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Bryan\Dropbox\Discovery Charter School\Financials\Reporting\2022 School Year\"/>
    </mc:Choice>
  </mc:AlternateContent>
  <xr:revisionPtr revIDLastSave="0" documentId="13_ncr:1_{7462014F-668D-437A-A3FF-1CE9B232E03B}" xr6:coauthVersionLast="47" xr6:coauthVersionMax="47" xr10:uidLastSave="{00000000-0000-0000-0000-000000000000}"/>
  <bookViews>
    <workbookView xWindow="-108" yWindow="-108" windowWidth="23256" windowHeight="12576" tabRatio="875" activeTab="7" xr2:uid="{156ED68A-4115-49D3-A09C-613847E2808C}"/>
  </bookViews>
  <sheets>
    <sheet name="Cover" sheetId="9" r:id="rId1"/>
    <sheet name="Dashboard" sheetId="6" r:id="rId2"/>
    <sheet name="Activity" sheetId="14" r:id="rId3"/>
    <sheet name="Financial Position" sheetId="11" r:id="rId4"/>
    <sheet name="Cash Flow" sheetId="12" r:id="rId5"/>
    <sheet name="Support" sheetId="7" r:id="rId6"/>
    <sheet name="DCS Detail" sheetId="15" r:id="rId7"/>
    <sheet name="Hillpointe Detail" sheetId="2" r:id="rId8"/>
    <sheet name="Sandhill Detail" sheetId="4" r:id="rId9"/>
    <sheet name="Financial Position Detail" sheetId="8" r:id="rId10"/>
    <sheet name="Cash Flow Detail" sheetId="10" r:id="rId11"/>
    <sheet name="Waitlist" sheetId="16" r:id="rId12"/>
    <sheet name="Model Comments" sheetId="13" r:id="rId13"/>
  </sheets>
  <externalReferences>
    <externalReference r:id="rId14"/>
  </externalReferences>
  <definedNames>
    <definedName name="_xlnm.Print_Area" localSheetId="2">Activity!$A$1:$R$50</definedName>
    <definedName name="_xlnm.Print_Area" localSheetId="4">'Cash Flow'!$A$1:$P$32</definedName>
    <definedName name="_xlnm.Print_Area" localSheetId="10">'Cash Flow Detail'!$A$1:$BY$32</definedName>
    <definedName name="_xlnm.Print_Area" localSheetId="1">Dashboard!$A$1:$AI$58</definedName>
    <definedName name="_xlnm.Print_Area" localSheetId="3">'Financial Position'!$A$1:$V$29</definedName>
    <definedName name="_xlnm.Print_Area" localSheetId="9">'Financial Position Detail'!$A$1:$BQ$74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B46" i="4" l="1"/>
  <c r="AB46" i="2"/>
  <c r="AB48" i="2" l="1"/>
  <c r="AB48" i="4"/>
  <c r="CE25" i="4"/>
  <c r="CD25" i="4"/>
  <c r="CC25" i="4"/>
  <c r="AM25" i="4"/>
  <c r="AY25" i="4" s="1"/>
  <c r="BK25" i="4" s="1"/>
  <c r="BW25" i="4" s="1"/>
  <c r="AL25" i="4"/>
  <c r="AX25" i="4" s="1"/>
  <c r="BJ25" i="4" s="1"/>
  <c r="BV25" i="4" s="1"/>
  <c r="AK25" i="4"/>
  <c r="AW25" i="4" s="1"/>
  <c r="BI25" i="4" s="1"/>
  <c r="BU25" i="4" s="1"/>
  <c r="AJ25" i="4"/>
  <c r="AJ25" i="15" s="1"/>
  <c r="AI25" i="4"/>
  <c r="AU25" i="4" s="1"/>
  <c r="BG25" i="4" s="1"/>
  <c r="BS25" i="4" s="1"/>
  <c r="AH25" i="4"/>
  <c r="AT25" i="4" s="1"/>
  <c r="BF25" i="4" s="1"/>
  <c r="BR25" i="4" s="1"/>
  <c r="AG25" i="4"/>
  <c r="AS25" i="4" s="1"/>
  <c r="BE25" i="4" s="1"/>
  <c r="BQ25" i="4" s="1"/>
  <c r="AF25" i="4"/>
  <c r="AF25" i="15" s="1"/>
  <c r="AE25" i="4"/>
  <c r="AD25" i="4"/>
  <c r="AP25" i="4" s="1"/>
  <c r="BB25" i="4" s="1"/>
  <c r="BN25" i="4" s="1"/>
  <c r="AC25" i="4"/>
  <c r="AO25" i="4" s="1"/>
  <c r="AB25" i="4"/>
  <c r="CF25" i="4" s="1"/>
  <c r="CF25" i="2"/>
  <c r="CE25" i="2"/>
  <c r="CD25" i="2"/>
  <c r="CC25" i="2"/>
  <c r="AM25" i="2"/>
  <c r="AM25" i="15" s="1"/>
  <c r="AL25" i="2"/>
  <c r="AL25" i="15" s="1"/>
  <c r="AK25" i="2"/>
  <c r="AW25" i="2" s="1"/>
  <c r="AJ25" i="2"/>
  <c r="AV25" i="2" s="1"/>
  <c r="AI25" i="2"/>
  <c r="AI25" i="15" s="1"/>
  <c r="AH25" i="2"/>
  <c r="AH25" i="15" s="1"/>
  <c r="AG25" i="2"/>
  <c r="AS25" i="2" s="1"/>
  <c r="AF25" i="2"/>
  <c r="AR25" i="2" s="1"/>
  <c r="AE25" i="2"/>
  <c r="AE25" i="15" s="1"/>
  <c r="AD25" i="2"/>
  <c r="AD25" i="15" s="1"/>
  <c r="AC25" i="2"/>
  <c r="AO25" i="2" s="1"/>
  <c r="AB25" i="2"/>
  <c r="AN25" i="2" s="1"/>
  <c r="B25" i="4"/>
  <c r="B25" i="2"/>
  <c r="A25" i="4"/>
  <c r="A25" i="2"/>
  <c r="CD25" i="15"/>
  <c r="CC25" i="15"/>
  <c r="AK25" i="15"/>
  <c r="AG25" i="15"/>
  <c r="AC25" i="15"/>
  <c r="AA25" i="15"/>
  <c r="Z25" i="15"/>
  <c r="Y25" i="15"/>
  <c r="X25" i="15"/>
  <c r="W25" i="15"/>
  <c r="V25" i="15"/>
  <c r="U25" i="15"/>
  <c r="T25" i="15"/>
  <c r="S25" i="15"/>
  <c r="R25" i="15"/>
  <c r="Q25" i="15"/>
  <c r="P25" i="15"/>
  <c r="O25" i="15"/>
  <c r="N25" i="15"/>
  <c r="M25" i="15"/>
  <c r="L25" i="15"/>
  <c r="K25" i="15"/>
  <c r="J25" i="15"/>
  <c r="I25" i="15"/>
  <c r="H25" i="15"/>
  <c r="G25" i="15"/>
  <c r="F25" i="15"/>
  <c r="E25" i="15"/>
  <c r="Z21" i="10"/>
  <c r="Z15" i="10"/>
  <c r="AZ25" i="2" l="1"/>
  <c r="BA25" i="4"/>
  <c r="BD25" i="2"/>
  <c r="AV25" i="15"/>
  <c r="BH25" i="2"/>
  <c r="BA25" i="2"/>
  <c r="AO25" i="15"/>
  <c r="BE25" i="2"/>
  <c r="AS25" i="15"/>
  <c r="BI25" i="2"/>
  <c r="AW25" i="15"/>
  <c r="CG25" i="4"/>
  <c r="AQ25" i="2"/>
  <c r="AU25" i="2"/>
  <c r="AY25" i="2"/>
  <c r="CG25" i="2"/>
  <c r="AN25" i="4"/>
  <c r="AZ25" i="4" s="1"/>
  <c r="BL25" i="4" s="1"/>
  <c r="BX25" i="4" s="1"/>
  <c r="AV25" i="4"/>
  <c r="BH25" i="4" s="1"/>
  <c r="BT25" i="4" s="1"/>
  <c r="AP25" i="2"/>
  <c r="AT25" i="2"/>
  <c r="AX25" i="2"/>
  <c r="AQ25" i="4"/>
  <c r="BC25" i="4" s="1"/>
  <c r="BO25" i="4" s="1"/>
  <c r="AR25" i="4"/>
  <c r="BD25" i="4" s="1"/>
  <c r="BP25" i="4" s="1"/>
  <c r="AB25" i="15"/>
  <c r="CE25" i="15"/>
  <c r="CF25" i="15"/>
  <c r="Z70" i="4"/>
  <c r="Y21" i="10"/>
  <c r="Y15" i="10"/>
  <c r="AP25" i="15" l="1"/>
  <c r="BB25" i="2"/>
  <c r="CH25" i="2"/>
  <c r="CI25" i="4"/>
  <c r="BM25" i="4"/>
  <c r="CJ25" i="4" s="1"/>
  <c r="BD25" i="15"/>
  <c r="BP25" i="2"/>
  <c r="BP25" i="15" s="1"/>
  <c r="AX25" i="15"/>
  <c r="BJ25" i="2"/>
  <c r="AQ25" i="15"/>
  <c r="CH25" i="15" s="1"/>
  <c r="BC25" i="2"/>
  <c r="BM25" i="2"/>
  <c r="BA25" i="15"/>
  <c r="AR25" i="15"/>
  <c r="AZ25" i="15"/>
  <c r="BL25" i="2"/>
  <c r="AY25" i="15"/>
  <c r="BK25" i="2"/>
  <c r="AU25" i="15"/>
  <c r="BG25" i="2"/>
  <c r="BU25" i="2"/>
  <c r="BU25" i="15" s="1"/>
  <c r="BI25" i="15"/>
  <c r="AT25" i="15"/>
  <c r="BF25" i="2"/>
  <c r="BQ25" i="2"/>
  <c r="BQ25" i="15" s="1"/>
  <c r="BE25" i="15"/>
  <c r="BH25" i="15"/>
  <c r="BT25" i="2"/>
  <c r="BT25" i="15" s="1"/>
  <c r="CH25" i="4"/>
  <c r="AN25" i="15"/>
  <c r="CG25" i="15" s="1"/>
  <c r="AK29" i="4"/>
  <c r="AW29" i="4" s="1"/>
  <c r="BI29" i="4" s="1"/>
  <c r="BU29" i="4" s="1"/>
  <c r="AJ29" i="4"/>
  <c r="AV29" i="4" s="1"/>
  <c r="BH29" i="4" s="1"/>
  <c r="BT29" i="4" s="1"/>
  <c r="AI29" i="4"/>
  <c r="AU29" i="4" s="1"/>
  <c r="BG29" i="4" s="1"/>
  <c r="BS29" i="4" s="1"/>
  <c r="AH29" i="4"/>
  <c r="AT29" i="4" s="1"/>
  <c r="BF29" i="4" s="1"/>
  <c r="BR29" i="4" s="1"/>
  <c r="AG29" i="4"/>
  <c r="AF29" i="4"/>
  <c r="AR29" i="4" s="1"/>
  <c r="BD29" i="4" s="1"/>
  <c r="BP29" i="4" s="1"/>
  <c r="AE29" i="4"/>
  <c r="AQ29" i="4" s="1"/>
  <c r="BC29" i="4" s="1"/>
  <c r="BO29" i="4" s="1"/>
  <c r="AD29" i="4"/>
  <c r="AP29" i="4" s="1"/>
  <c r="BB29" i="4" s="1"/>
  <c r="BN29" i="4" s="1"/>
  <c r="AC29" i="4"/>
  <c r="AB29" i="4"/>
  <c r="AN29" i="4" s="1"/>
  <c r="AZ29" i="4" s="1"/>
  <c r="BL29" i="4" s="1"/>
  <c r="BX29" i="4" s="1"/>
  <c r="AL29" i="4"/>
  <c r="AX29" i="4" s="1"/>
  <c r="BJ29" i="4" s="1"/>
  <c r="BV29" i="4" s="1"/>
  <c r="AK29" i="2"/>
  <c r="AW29" i="2" s="1"/>
  <c r="AJ29" i="2"/>
  <c r="AV29" i="2" s="1"/>
  <c r="AI29" i="2"/>
  <c r="AU29" i="2" s="1"/>
  <c r="AH29" i="2"/>
  <c r="AT29" i="2" s="1"/>
  <c r="AG29" i="2"/>
  <c r="AS29" i="2" s="1"/>
  <c r="AF29" i="2"/>
  <c r="AR29" i="2" s="1"/>
  <c r="AE29" i="2"/>
  <c r="AQ29" i="2" s="1"/>
  <c r="AD29" i="2"/>
  <c r="AP29" i="2" s="1"/>
  <c r="AC29" i="2"/>
  <c r="AO29" i="2" s="1"/>
  <c r="AB29" i="2"/>
  <c r="AM29" i="2"/>
  <c r="AL29" i="2"/>
  <c r="B29" i="4"/>
  <c r="A29" i="4"/>
  <c r="AM29" i="4" s="1"/>
  <c r="AY29" i="4" s="1"/>
  <c r="BK29" i="4" s="1"/>
  <c r="BW29" i="4" s="1"/>
  <c r="B29" i="2"/>
  <c r="A29" i="2"/>
  <c r="B50" i="4"/>
  <c r="A50" i="4"/>
  <c r="B50" i="2"/>
  <c r="A50" i="2"/>
  <c r="C173" i="15"/>
  <c r="CC50" i="15"/>
  <c r="BX50" i="15"/>
  <c r="BW50" i="15"/>
  <c r="BV50" i="15"/>
  <c r="BU50" i="15"/>
  <c r="BT50" i="15"/>
  <c r="BS50" i="15"/>
  <c r="BR50" i="15"/>
  <c r="BQ50" i="15"/>
  <c r="BP50" i="15"/>
  <c r="BO50" i="15"/>
  <c r="BN50" i="15"/>
  <c r="BM50" i="15"/>
  <c r="BL50" i="15"/>
  <c r="BK50" i="15"/>
  <c r="BJ50" i="15"/>
  <c r="BI50" i="15"/>
  <c r="BH50" i="15"/>
  <c r="BG50" i="15"/>
  <c r="BF50" i="15"/>
  <c r="BE50" i="15"/>
  <c r="BD50" i="15"/>
  <c r="BC50" i="15"/>
  <c r="BB50" i="15"/>
  <c r="BA50" i="15"/>
  <c r="AZ50" i="15"/>
  <c r="AY50" i="15"/>
  <c r="AX50" i="15"/>
  <c r="AW50" i="15"/>
  <c r="AV50" i="15"/>
  <c r="AU50" i="15"/>
  <c r="AT50" i="15"/>
  <c r="AS50" i="15"/>
  <c r="AR50" i="15"/>
  <c r="AQ50" i="15"/>
  <c r="AP50" i="15"/>
  <c r="AO50" i="15"/>
  <c r="AN50" i="15"/>
  <c r="AM50" i="15"/>
  <c r="AL50" i="15"/>
  <c r="AK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L50" i="15"/>
  <c r="K50" i="15"/>
  <c r="J50" i="15"/>
  <c r="I50" i="15"/>
  <c r="H50" i="15"/>
  <c r="G50" i="15"/>
  <c r="F50" i="15"/>
  <c r="E50" i="15"/>
  <c r="CC29" i="15"/>
  <c r="AJ29" i="15"/>
  <c r="AI29" i="15"/>
  <c r="AF29" i="15"/>
  <c r="AE29" i="15"/>
  <c r="AB29" i="15"/>
  <c r="AA29" i="15"/>
  <c r="Z29" i="15"/>
  <c r="Y29" i="15"/>
  <c r="X29" i="15"/>
  <c r="W29" i="15"/>
  <c r="V29" i="15"/>
  <c r="U29" i="15"/>
  <c r="T29" i="15"/>
  <c r="S29" i="15"/>
  <c r="R29" i="15"/>
  <c r="Q29" i="15"/>
  <c r="P29" i="15"/>
  <c r="O29" i="15"/>
  <c r="N29" i="15"/>
  <c r="M29" i="15"/>
  <c r="L29" i="15"/>
  <c r="K29" i="15"/>
  <c r="J29" i="15"/>
  <c r="I29" i="15"/>
  <c r="H29" i="15"/>
  <c r="G29" i="15"/>
  <c r="F29" i="15"/>
  <c r="E29" i="15"/>
  <c r="BK25" i="15" l="1"/>
  <c r="BW25" i="2"/>
  <c r="BW25" i="15" s="1"/>
  <c r="BC25" i="15"/>
  <c r="BO25" i="2"/>
  <c r="BO25" i="15" s="1"/>
  <c r="BF25" i="15"/>
  <c r="BR25" i="2"/>
  <c r="BR25" i="15" s="1"/>
  <c r="BG25" i="15"/>
  <c r="BS25" i="2"/>
  <c r="BS25" i="15" s="1"/>
  <c r="BL25" i="15"/>
  <c r="BX25" i="2"/>
  <c r="BX25" i="15" s="1"/>
  <c r="BM25" i="15"/>
  <c r="CJ25" i="15" s="1"/>
  <c r="BJ25" i="15"/>
  <c r="BV25" i="2"/>
  <c r="BV25" i="15" s="1"/>
  <c r="BB25" i="15"/>
  <c r="CI25" i="15" s="1"/>
  <c r="BN25" i="2"/>
  <c r="BN25" i="15" s="1"/>
  <c r="CI25" i="2"/>
  <c r="AH29" i="15"/>
  <c r="AD29" i="15"/>
  <c r="AG29" i="15"/>
  <c r="AX29" i="2"/>
  <c r="AL29" i="15"/>
  <c r="BB29" i="2"/>
  <c r="AP29" i="15"/>
  <c r="BF29" i="2"/>
  <c r="AT29" i="15"/>
  <c r="AY29" i="2"/>
  <c r="AM29" i="15"/>
  <c r="BC29" i="2"/>
  <c r="AQ29" i="15"/>
  <c r="BG29" i="2"/>
  <c r="AU29" i="15"/>
  <c r="BD29" i="2"/>
  <c r="AR29" i="15"/>
  <c r="BH29" i="2"/>
  <c r="AV29" i="15"/>
  <c r="BA29" i="2"/>
  <c r="AO29" i="15"/>
  <c r="BE29" i="2"/>
  <c r="BI29" i="2"/>
  <c r="AW29" i="15"/>
  <c r="AN29" i="2"/>
  <c r="AS29" i="4"/>
  <c r="BE29" i="4" s="1"/>
  <c r="BQ29" i="4" s="1"/>
  <c r="AC29" i="15"/>
  <c r="AK29" i="15"/>
  <c r="AO29" i="4"/>
  <c r="CJ25" i="2" l="1"/>
  <c r="BH29" i="15"/>
  <c r="BT29" i="2"/>
  <c r="BT29" i="15" s="1"/>
  <c r="BS29" i="2"/>
  <c r="BS29" i="15" s="1"/>
  <c r="BG29" i="15"/>
  <c r="BK29" i="2"/>
  <c r="AY29" i="15"/>
  <c r="BN29" i="2"/>
  <c r="BN29" i="15" s="1"/>
  <c r="BB29" i="15"/>
  <c r="BA29" i="4"/>
  <c r="BA29" i="15" s="1"/>
  <c r="BU29" i="2"/>
  <c r="BU29" i="15" s="1"/>
  <c r="BI29" i="15"/>
  <c r="AZ29" i="2"/>
  <c r="AN29" i="15"/>
  <c r="AS29" i="15"/>
  <c r="BM29" i="2"/>
  <c r="BP29" i="2"/>
  <c r="BP29" i="15" s="1"/>
  <c r="BD29" i="15"/>
  <c r="BO29" i="2"/>
  <c r="BO29" i="15" s="1"/>
  <c r="BC29" i="15"/>
  <c r="BR29" i="2"/>
  <c r="BR29" i="15" s="1"/>
  <c r="BF29" i="15"/>
  <c r="BJ29" i="2"/>
  <c r="AX29" i="15"/>
  <c r="BQ29" i="2"/>
  <c r="BQ29" i="15" s="1"/>
  <c r="BE29" i="15"/>
  <c r="BM29" i="4" l="1"/>
  <c r="BV29" i="2"/>
  <c r="BV29" i="15" s="1"/>
  <c r="BJ29" i="15"/>
  <c r="AZ29" i="15"/>
  <c r="BL29" i="2"/>
  <c r="BW29" i="2"/>
  <c r="BW29" i="15" s="1"/>
  <c r="BK29" i="15"/>
  <c r="BM29" i="15" l="1"/>
  <c r="BX29" i="2"/>
  <c r="BX29" i="15" s="1"/>
  <c r="BL29" i="15"/>
  <c r="BX181" i="15" l="1"/>
  <c r="BW181" i="15"/>
  <c r="BV181" i="15"/>
  <c r="BU181" i="15"/>
  <c r="BT181" i="15"/>
  <c r="BS181" i="15"/>
  <c r="BR181" i="15"/>
  <c r="BQ181" i="15"/>
  <c r="BP181" i="15"/>
  <c r="BO181" i="15"/>
  <c r="BN181" i="15"/>
  <c r="BM181" i="15"/>
  <c r="BL181" i="15"/>
  <c r="BK181" i="15"/>
  <c r="BJ181" i="15"/>
  <c r="BI181" i="15"/>
  <c r="BH181" i="15"/>
  <c r="BG181" i="15"/>
  <c r="BF181" i="15"/>
  <c r="BE181" i="15"/>
  <c r="BD181" i="15"/>
  <c r="BC181" i="15"/>
  <c r="BB181" i="15"/>
  <c r="BA181" i="15"/>
  <c r="AZ181" i="15"/>
  <c r="AY181" i="15"/>
  <c r="AX181" i="15"/>
  <c r="AW181" i="15"/>
  <c r="AV181" i="15"/>
  <c r="AU181" i="15"/>
  <c r="AT181" i="15"/>
  <c r="AS181" i="15"/>
  <c r="AR181" i="15"/>
  <c r="AQ181" i="15"/>
  <c r="AP181" i="15"/>
  <c r="AO181" i="15"/>
  <c r="AN181" i="15"/>
  <c r="AM181" i="15"/>
  <c r="AL181" i="15"/>
  <c r="AK181" i="15"/>
  <c r="AJ181" i="15"/>
  <c r="AI181" i="15"/>
  <c r="AH181" i="15"/>
  <c r="AG181" i="15"/>
  <c r="AF181" i="15"/>
  <c r="AE181" i="15"/>
  <c r="AD181" i="15"/>
  <c r="AB181" i="15"/>
  <c r="AA181" i="15"/>
  <c r="Z181" i="15"/>
  <c r="Y181" i="15"/>
  <c r="X181" i="15"/>
  <c r="W181" i="15"/>
  <c r="V181" i="15"/>
  <c r="U181" i="15"/>
  <c r="T181" i="15"/>
  <c r="S181" i="15"/>
  <c r="R181" i="15"/>
  <c r="Q181" i="15"/>
  <c r="P181" i="15"/>
  <c r="O181" i="15"/>
  <c r="N181" i="15"/>
  <c r="M181" i="15"/>
  <c r="L181" i="15"/>
  <c r="K181" i="15"/>
  <c r="J181" i="15"/>
  <c r="I181" i="15"/>
  <c r="H181" i="15"/>
  <c r="G181" i="15"/>
  <c r="F181" i="15"/>
  <c r="E181" i="15"/>
  <c r="CC181" i="15"/>
  <c r="A181" i="4"/>
  <c r="A181" i="2"/>
  <c r="B181" i="4"/>
  <c r="B181" i="2"/>
  <c r="AD85" i="8"/>
  <c r="AE85" i="8" s="1"/>
  <c r="AF85" i="8" s="1"/>
  <c r="AG85" i="8" s="1"/>
  <c r="AH85" i="8" s="1"/>
  <c r="AI85" i="8" s="1"/>
  <c r="AJ85" i="8" s="1"/>
  <c r="AK85" i="8" s="1"/>
  <c r="AL85" i="8" s="1"/>
  <c r="AM85" i="8" s="1"/>
  <c r="AN85" i="8" s="1"/>
  <c r="AO85" i="8" s="1"/>
  <c r="AP85" i="8" s="1"/>
  <c r="AQ85" i="8" s="1"/>
  <c r="AR85" i="8" s="1"/>
  <c r="AS85" i="8" s="1"/>
  <c r="AT85" i="8" s="1"/>
  <c r="AU85" i="8" s="1"/>
  <c r="AV85" i="8" s="1"/>
  <c r="AW85" i="8" s="1"/>
  <c r="AX85" i="8" s="1"/>
  <c r="AY85" i="8" s="1"/>
  <c r="AZ85" i="8" s="1"/>
  <c r="BA85" i="8" s="1"/>
  <c r="BB85" i="8" s="1"/>
  <c r="BC85" i="8" s="1"/>
  <c r="BD85" i="8" s="1"/>
  <c r="BE85" i="8" s="1"/>
  <c r="BF85" i="8" s="1"/>
  <c r="BG85" i="8" s="1"/>
  <c r="BH85" i="8" s="1"/>
  <c r="BI85" i="8" s="1"/>
  <c r="BJ85" i="8" s="1"/>
  <c r="BK85" i="8" s="1"/>
  <c r="BL85" i="8" s="1"/>
  <c r="BM85" i="8" s="1"/>
  <c r="BN85" i="8" s="1"/>
  <c r="BO85" i="8" s="1"/>
  <c r="BP85" i="8" s="1"/>
  <c r="BQ85" i="8" s="1"/>
  <c r="BR85" i="8" s="1"/>
  <c r="BS85" i="8" s="1"/>
  <c r="BT85" i="8" s="1"/>
  <c r="BU85" i="8" s="1"/>
  <c r="BV85" i="8" s="1"/>
  <c r="BW85" i="8" s="1"/>
  <c r="BX85" i="8" s="1"/>
  <c r="BY85" i="8" s="1"/>
  <c r="BY11" i="8" l="1"/>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M44" i="10"/>
  <c r="AL44" i="10"/>
  <c r="AK44" i="10"/>
  <c r="AJ44" i="10"/>
  <c r="AI44" i="10"/>
  <c r="AH44" i="10"/>
  <c r="AG44" i="10"/>
  <c r="AE41" i="10"/>
  <c r="N22" i="11"/>
  <c r="J22" i="11"/>
  <c r="H22" i="11"/>
  <c r="F22" i="11"/>
  <c r="BY37" i="8"/>
  <c r="BX37" i="8"/>
  <c r="BW37" i="8"/>
  <c r="BV37" i="8"/>
  <c r="BU37" i="8"/>
  <c r="BT37" i="8"/>
  <c r="BS37" i="8"/>
  <c r="BR37" i="8"/>
  <c r="BQ37" i="8"/>
  <c r="BP37" i="8"/>
  <c r="BO37" i="8"/>
  <c r="BN37" i="8"/>
  <c r="BM37" i="8"/>
  <c r="BL37" i="8"/>
  <c r="BK37" i="8"/>
  <c r="BJ37" i="8"/>
  <c r="BI37" i="8"/>
  <c r="BH37" i="8"/>
  <c r="BG37" i="8"/>
  <c r="BF37" i="8"/>
  <c r="BE37" i="8"/>
  <c r="BD37" i="8"/>
  <c r="BC37" i="8"/>
  <c r="BB37" i="8"/>
  <c r="BA37" i="8"/>
  <c r="AZ37" i="8"/>
  <c r="AY37" i="8"/>
  <c r="AX37" i="8"/>
  <c r="AW37" i="8"/>
  <c r="AV37" i="8"/>
  <c r="AU37" i="8"/>
  <c r="AT37" i="8"/>
  <c r="AS37" i="8"/>
  <c r="AR37" i="8"/>
  <c r="AQ37" i="8"/>
  <c r="AP37" i="8"/>
  <c r="AO37" i="8"/>
  <c r="AN37" i="8"/>
  <c r="AM37" i="8"/>
  <c r="AL37" i="8"/>
  <c r="AK37" i="8"/>
  <c r="AJ37" i="8"/>
  <c r="AI37" i="8"/>
  <c r="AH37" i="8"/>
  <c r="AG37" i="8"/>
  <c r="AF37" i="8"/>
  <c r="AE37" i="8"/>
  <c r="AD37" i="8"/>
  <c r="BY34" i="8"/>
  <c r="BX34" i="8"/>
  <c r="BW34" i="8"/>
  <c r="BV34" i="8"/>
  <c r="BU34" i="8"/>
  <c r="BT34" i="8"/>
  <c r="BS34" i="8"/>
  <c r="BR34" i="8"/>
  <c r="BQ34" i="8"/>
  <c r="BP34" i="8"/>
  <c r="BO34" i="8"/>
  <c r="BN34" i="8"/>
  <c r="BM34" i="8"/>
  <c r="BL34" i="8"/>
  <c r="BK34" i="8"/>
  <c r="BJ34" i="8"/>
  <c r="BI34" i="8"/>
  <c r="BH34" i="8"/>
  <c r="BG34"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E16" i="10"/>
  <c r="AD16" i="10"/>
  <c r="AC16" i="10"/>
  <c r="AB16" i="10"/>
  <c r="AD31" i="8"/>
  <c r="AE31" i="8" s="1"/>
  <c r="AF31" i="8" s="1"/>
  <c r="AG31" i="8" s="1"/>
  <c r="AH31" i="8" s="1"/>
  <c r="AI31" i="8" s="1"/>
  <c r="AJ31" i="8" s="1"/>
  <c r="AK31" i="8" s="1"/>
  <c r="AL31" i="8" s="1"/>
  <c r="AM31" i="8" s="1"/>
  <c r="AN31" i="8" s="1"/>
  <c r="AO31" i="8" s="1"/>
  <c r="AP31" i="8" s="1"/>
  <c r="AQ31" i="8" s="1"/>
  <c r="AR31" i="8" s="1"/>
  <c r="AS31" i="8" s="1"/>
  <c r="AT31" i="8" s="1"/>
  <c r="AU31" i="8" s="1"/>
  <c r="AV31" i="8" s="1"/>
  <c r="AW31" i="8" s="1"/>
  <c r="AX31" i="8" s="1"/>
  <c r="AY31" i="8" s="1"/>
  <c r="AZ31" i="8" s="1"/>
  <c r="BA31" i="8" s="1"/>
  <c r="BB31" i="8" s="1"/>
  <c r="BC31" i="8" s="1"/>
  <c r="BD31" i="8" s="1"/>
  <c r="BE31" i="8" s="1"/>
  <c r="BF31" i="8" s="1"/>
  <c r="BG31" i="8" s="1"/>
  <c r="BH31" i="8" s="1"/>
  <c r="BI31" i="8" s="1"/>
  <c r="BJ31" i="8" s="1"/>
  <c r="BK31" i="8" s="1"/>
  <c r="BL31" i="8" s="1"/>
  <c r="BM31" i="8" s="1"/>
  <c r="BN31" i="8" s="1"/>
  <c r="BO31" i="8" s="1"/>
  <c r="BP31" i="8" s="1"/>
  <c r="BQ31" i="8" s="1"/>
  <c r="BR31" i="8" s="1"/>
  <c r="BS31" i="8" s="1"/>
  <c r="BT31" i="8" s="1"/>
  <c r="BU31" i="8" s="1"/>
  <c r="BV31" i="8" s="1"/>
  <c r="BW31" i="8" s="1"/>
  <c r="BX31" i="8" s="1"/>
  <c r="BY31" i="8" s="1"/>
  <c r="A15" i="7"/>
  <c r="A15" i="9"/>
  <c r="AG2" i="6" s="1"/>
  <c r="P1" i="12"/>
  <c r="V1" i="11"/>
  <c r="A3" i="15" l="1"/>
  <c r="A3" i="2"/>
  <c r="A3" i="4"/>
  <c r="A3" i="8"/>
  <c r="A3" i="10"/>
  <c r="R2" i="14"/>
  <c r="P2" i="12"/>
  <c r="V2" i="11"/>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D22" i="10"/>
  <c r="AC22" i="10"/>
  <c r="AB22" i="10"/>
  <c r="BW21" i="10"/>
  <c r="BV21" i="10"/>
  <c r="BU21" i="10"/>
  <c r="BT21" i="10"/>
  <c r="BS21" i="10"/>
  <c r="BR21" i="10"/>
  <c r="BQ21" i="10"/>
  <c r="BP21" i="10"/>
  <c r="BO21" i="10"/>
  <c r="BN21" i="10"/>
  <c r="BM21" i="10"/>
  <c r="BL21" i="10"/>
  <c r="BK21" i="10"/>
  <c r="BJ21" i="10"/>
  <c r="BI21" i="10"/>
  <c r="BH21" i="10"/>
  <c r="BG21" i="10"/>
  <c r="BF21" i="10"/>
  <c r="BE21" i="10"/>
  <c r="BD21" i="10"/>
  <c r="BC21" i="10"/>
  <c r="BB21" i="10"/>
  <c r="BA21" i="10"/>
  <c r="AZ21" i="10"/>
  <c r="AY21" i="10"/>
  <c r="AX21" i="10"/>
  <c r="AW21" i="10"/>
  <c r="AV21" i="10"/>
  <c r="AU21" i="10"/>
  <c r="AT21" i="10"/>
  <c r="AS21" i="10"/>
  <c r="AR21" i="10"/>
  <c r="AQ21" i="10"/>
  <c r="AP21" i="10"/>
  <c r="AO21" i="10"/>
  <c r="AN21" i="10"/>
  <c r="AM21" i="10"/>
  <c r="AL21" i="10"/>
  <c r="AK21" i="10"/>
  <c r="AJ21" i="10"/>
  <c r="AI21" i="10"/>
  <c r="AH21" i="10"/>
  <c r="AG21" i="10"/>
  <c r="AF21" i="10"/>
  <c r="AE21" i="10"/>
  <c r="AD21" i="10"/>
  <c r="AC21" i="10"/>
  <c r="AB21" i="10"/>
  <c r="AD67" i="8" s="1"/>
  <c r="AE67" i="8" s="1"/>
  <c r="AF67" i="8" s="1"/>
  <c r="AG67" i="8" s="1"/>
  <c r="AH67" i="8" s="1"/>
  <c r="AI67" i="8" s="1"/>
  <c r="AJ67" i="8" s="1"/>
  <c r="AK67" i="8" s="1"/>
  <c r="AL67" i="8" s="1"/>
  <c r="AM67" i="8" s="1"/>
  <c r="AN67" i="8" s="1"/>
  <c r="AO67" i="8" s="1"/>
  <c r="AP67" i="8" s="1"/>
  <c r="AQ67" i="8" s="1"/>
  <c r="AR67" i="8" s="1"/>
  <c r="AS67" i="8" s="1"/>
  <c r="AT67" i="8" s="1"/>
  <c r="AU67" i="8" s="1"/>
  <c r="AV67" i="8" s="1"/>
  <c r="AW67" i="8" s="1"/>
  <c r="AX67" i="8" s="1"/>
  <c r="AY67" i="8" s="1"/>
  <c r="AZ67" i="8" s="1"/>
  <c r="BA67" i="8" s="1"/>
  <c r="BB67" i="8" s="1"/>
  <c r="BC67" i="8" s="1"/>
  <c r="BD67" i="8" s="1"/>
  <c r="BE67" i="8" s="1"/>
  <c r="BF67" i="8" s="1"/>
  <c r="BG67" i="8" s="1"/>
  <c r="BH67" i="8" s="1"/>
  <c r="BI67" i="8" s="1"/>
  <c r="BJ67" i="8" s="1"/>
  <c r="BK67" i="8" s="1"/>
  <c r="BL67" i="8" s="1"/>
  <c r="BM67" i="8" s="1"/>
  <c r="BN67" i="8" s="1"/>
  <c r="BO67" i="8" s="1"/>
  <c r="BP67" i="8" s="1"/>
  <c r="BQ67" i="8" s="1"/>
  <c r="BR67" i="8" s="1"/>
  <c r="BS67" i="8" s="1"/>
  <c r="BT67" i="8" s="1"/>
  <c r="BU67" i="8" s="1"/>
  <c r="BV67" i="8" s="1"/>
  <c r="BW67" i="8" s="1"/>
  <c r="BX67" i="8" s="1"/>
  <c r="BY67" i="8" s="1"/>
  <c r="AB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D33" i="8"/>
  <c r="AE33" i="8" s="1"/>
  <c r="AF33" i="8" s="1"/>
  <c r="AG33" i="8" s="1"/>
  <c r="AH33" i="8" s="1"/>
  <c r="AI33" i="8" s="1"/>
  <c r="AJ33" i="8" s="1"/>
  <c r="AK33" i="8" s="1"/>
  <c r="AL33" i="8" s="1"/>
  <c r="AM33" i="8" s="1"/>
  <c r="AN33" i="8" s="1"/>
  <c r="AO33" i="8" s="1"/>
  <c r="AP33" i="8" s="1"/>
  <c r="AQ33" i="8" s="1"/>
  <c r="AR33" i="8" s="1"/>
  <c r="AS33" i="8" s="1"/>
  <c r="AT33" i="8" s="1"/>
  <c r="AU33" i="8" s="1"/>
  <c r="AV33" i="8" s="1"/>
  <c r="AW33" i="8" s="1"/>
  <c r="AX33" i="8" s="1"/>
  <c r="AY33" i="8" s="1"/>
  <c r="AZ33" i="8" s="1"/>
  <c r="BA33" i="8" s="1"/>
  <c r="BB33" i="8" s="1"/>
  <c r="BC33" i="8" s="1"/>
  <c r="BD33" i="8" s="1"/>
  <c r="BE33" i="8" s="1"/>
  <c r="BF33" i="8" s="1"/>
  <c r="BG33" i="8" s="1"/>
  <c r="BH33" i="8" s="1"/>
  <c r="BI33" i="8" s="1"/>
  <c r="BJ33" i="8" s="1"/>
  <c r="BK33" i="8" s="1"/>
  <c r="BL33" i="8" s="1"/>
  <c r="BM33" i="8" s="1"/>
  <c r="BN33" i="8" s="1"/>
  <c r="BO33" i="8" s="1"/>
  <c r="BP33" i="8" s="1"/>
  <c r="BQ33" i="8" s="1"/>
  <c r="BR33" i="8" s="1"/>
  <c r="BS33" i="8" s="1"/>
  <c r="BT33" i="8" s="1"/>
  <c r="BU33" i="8" s="1"/>
  <c r="BV33" i="8" s="1"/>
  <c r="BW33" i="8" s="1"/>
  <c r="BX33" i="8" s="1"/>
  <c r="BY33" i="8" s="1"/>
  <c r="AD32" i="8"/>
  <c r="AE32" i="8" s="1"/>
  <c r="AF32" i="8" s="1"/>
  <c r="AG32" i="8" s="1"/>
  <c r="AH32" i="8" s="1"/>
  <c r="AI32" i="8" s="1"/>
  <c r="AJ32" i="8" s="1"/>
  <c r="AK32" i="8" s="1"/>
  <c r="AL32" i="8" s="1"/>
  <c r="AM32" i="8" s="1"/>
  <c r="AN32" i="8" s="1"/>
  <c r="AO32" i="8" s="1"/>
  <c r="AP32" i="8" s="1"/>
  <c r="AQ32" i="8" s="1"/>
  <c r="AR32" i="8" s="1"/>
  <c r="AS32" i="8" s="1"/>
  <c r="AT32" i="8" s="1"/>
  <c r="AU32" i="8" s="1"/>
  <c r="AV32" i="8" s="1"/>
  <c r="AW32" i="8" s="1"/>
  <c r="AX32" i="8" s="1"/>
  <c r="AY32" i="8" s="1"/>
  <c r="AZ32" i="8" s="1"/>
  <c r="BA32" i="8" s="1"/>
  <c r="BB32" i="8" s="1"/>
  <c r="BC32" i="8" s="1"/>
  <c r="BD32" i="8" s="1"/>
  <c r="BE32" i="8" s="1"/>
  <c r="BF32" i="8" s="1"/>
  <c r="BG32" i="8" s="1"/>
  <c r="BH32" i="8" s="1"/>
  <c r="BI32" i="8" s="1"/>
  <c r="BJ32" i="8" s="1"/>
  <c r="BK32" i="8" s="1"/>
  <c r="BL32" i="8" s="1"/>
  <c r="BM32" i="8" s="1"/>
  <c r="BN32" i="8" s="1"/>
  <c r="BO32" i="8" s="1"/>
  <c r="BP32" i="8" s="1"/>
  <c r="BQ32" i="8" s="1"/>
  <c r="BR32" i="8" s="1"/>
  <c r="BS32" i="8" s="1"/>
  <c r="BT32" i="8" s="1"/>
  <c r="BU32" i="8" s="1"/>
  <c r="BV32" i="8" s="1"/>
  <c r="BW32" i="8" s="1"/>
  <c r="BX32" i="8" s="1"/>
  <c r="BY32" i="8" s="1"/>
  <c r="AD30" i="8"/>
  <c r="AE30" i="8" s="1"/>
  <c r="AF30" i="8" s="1"/>
  <c r="AG30" i="8" s="1"/>
  <c r="AH30" i="8" s="1"/>
  <c r="AI30" i="8" s="1"/>
  <c r="AJ30" i="8" s="1"/>
  <c r="AK30" i="8" s="1"/>
  <c r="AL30" i="8" s="1"/>
  <c r="AM30" i="8" s="1"/>
  <c r="AN30" i="8" s="1"/>
  <c r="AO30" i="8" s="1"/>
  <c r="AP30" i="8" s="1"/>
  <c r="AQ30" i="8" s="1"/>
  <c r="AR30" i="8" s="1"/>
  <c r="AS30" i="8" s="1"/>
  <c r="AT30" i="8" s="1"/>
  <c r="AU30" i="8" s="1"/>
  <c r="AV30" i="8" s="1"/>
  <c r="AW30" i="8" s="1"/>
  <c r="AX30" i="8" s="1"/>
  <c r="AY30" i="8" s="1"/>
  <c r="AZ30" i="8" s="1"/>
  <c r="BA30" i="8" s="1"/>
  <c r="BB30" i="8" s="1"/>
  <c r="BC30" i="8" s="1"/>
  <c r="BD30" i="8" s="1"/>
  <c r="BE30" i="8" s="1"/>
  <c r="BF30" i="8" s="1"/>
  <c r="BG30" i="8" s="1"/>
  <c r="BH30" i="8" s="1"/>
  <c r="BI30" i="8" s="1"/>
  <c r="BJ30" i="8" s="1"/>
  <c r="BK30" i="8" s="1"/>
  <c r="BL30" i="8" s="1"/>
  <c r="BM30" i="8" s="1"/>
  <c r="BN30" i="8" s="1"/>
  <c r="BO30" i="8" s="1"/>
  <c r="BP30" i="8" s="1"/>
  <c r="BQ30" i="8" s="1"/>
  <c r="BR30" i="8" s="1"/>
  <c r="BS30" i="8" s="1"/>
  <c r="BT30" i="8" s="1"/>
  <c r="BU30" i="8" s="1"/>
  <c r="BV30" i="8" s="1"/>
  <c r="BW30" i="8" s="1"/>
  <c r="BX30" i="8" s="1"/>
  <c r="BY30" i="8" s="1"/>
  <c r="AD29" i="8"/>
  <c r="BX169" i="2"/>
  <c r="BW169" i="2"/>
  <c r="BV169" i="2"/>
  <c r="BU169" i="2"/>
  <c r="BT169" i="2"/>
  <c r="BS169" i="2"/>
  <c r="BR169" i="2"/>
  <c r="BQ169" i="2"/>
  <c r="BP169" i="2"/>
  <c r="BO169" i="2"/>
  <c r="BN169" i="2"/>
  <c r="BM169" i="2"/>
  <c r="BL169" i="2"/>
  <c r="BK169" i="2"/>
  <c r="BJ169"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AE169" i="2"/>
  <c r="AD169" i="2"/>
  <c r="AC169" i="2"/>
  <c r="AD66" i="8" l="1"/>
  <c r="AE66" i="8" s="1"/>
  <c r="AF66" i="8" s="1"/>
  <c r="AE29" i="8"/>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K46" i="10"/>
  <c r="AK22" i="10" s="1"/>
  <c r="AG46" i="10"/>
  <c r="AG22" i="10" s="1"/>
  <c r="AF46" i="10"/>
  <c r="AF22" i="10" s="1"/>
  <c r="AE46" i="10"/>
  <c r="AE22" i="10" s="1"/>
  <c r="AD46" i="10"/>
  <c r="AC46" i="10"/>
  <c r="AB46" i="10"/>
  <c r="AB43" i="10"/>
  <c r="AB41" i="10"/>
  <c r="AM41" i="10"/>
  <c r="AM16" i="10" s="1"/>
  <c r="AL41" i="10"/>
  <c r="AL16" i="10" s="1"/>
  <c r="AK41" i="10"/>
  <c r="AK16" i="10" s="1"/>
  <c r="AJ41" i="10"/>
  <c r="AJ16" i="10" s="1"/>
  <c r="AI41" i="10"/>
  <c r="AI16" i="10" s="1"/>
  <c r="AH41" i="10"/>
  <c r="AH16" i="10" s="1"/>
  <c r="AG41" i="10"/>
  <c r="AG16" i="10" s="1"/>
  <c r="AF41" i="10"/>
  <c r="AF16" i="10" s="1"/>
  <c r="AQ44" i="10"/>
  <c r="AQ41" i="10" s="1"/>
  <c r="AP44" i="10"/>
  <c r="AP41" i="10" s="1"/>
  <c r="AO44" i="10"/>
  <c r="AO41" i="10" s="1"/>
  <c r="AN44" i="10"/>
  <c r="AN41" i="10" s="1"/>
  <c r="AM46" i="10" l="1"/>
  <c r="AM22" i="10" s="1"/>
  <c r="AL46" i="10"/>
  <c r="AL22" i="10" s="1"/>
  <c r="AJ46" i="10"/>
  <c r="AJ22" i="10" s="1"/>
  <c r="AI46" i="10"/>
  <c r="AI22" i="10" s="1"/>
  <c r="AH46" i="10"/>
  <c r="AH22" i="10" s="1"/>
  <c r="AG66" i="8"/>
  <c r="AH66" i="8" s="1"/>
  <c r="AI66" i="8" s="1"/>
  <c r="AJ66" i="8" s="1"/>
  <c r="AK66" i="8" s="1"/>
  <c r="AL66" i="8" s="1"/>
  <c r="AM66" i="8" s="1"/>
  <c r="AN66" i="8" s="1"/>
  <c r="AO66" i="8" s="1"/>
  <c r="AF29" i="8"/>
  <c r="AP66" i="8" l="1"/>
  <c r="AQ66" i="8" s="1"/>
  <c r="AR66" i="8" s="1"/>
  <c r="AS66" i="8" s="1"/>
  <c r="AT66" i="8" s="1"/>
  <c r="AU66" i="8" s="1"/>
  <c r="AV66" i="8" s="1"/>
  <c r="AW66" i="8" s="1"/>
  <c r="AX66" i="8" s="1"/>
  <c r="AY66" i="8" s="1"/>
  <c r="AZ66" i="8" s="1"/>
  <c r="BA66" i="8" s="1"/>
  <c r="P22" i="11"/>
  <c r="AG29" i="8"/>
  <c r="BB66" i="8" l="1"/>
  <c r="BC66" i="8" s="1"/>
  <c r="BD66" i="8" s="1"/>
  <c r="BE66" i="8" s="1"/>
  <c r="BF66" i="8" s="1"/>
  <c r="BG66" i="8" s="1"/>
  <c r="BH66" i="8" s="1"/>
  <c r="BI66" i="8" s="1"/>
  <c r="BJ66" i="8" s="1"/>
  <c r="BK66" i="8" s="1"/>
  <c r="BL66" i="8" s="1"/>
  <c r="BM66" i="8" s="1"/>
  <c r="R22" i="11"/>
  <c r="AH29" i="8"/>
  <c r="BN66" i="8" l="1"/>
  <c r="BO66" i="8" s="1"/>
  <c r="BP66" i="8" s="1"/>
  <c r="BQ66" i="8" s="1"/>
  <c r="BR66" i="8" s="1"/>
  <c r="BS66" i="8" s="1"/>
  <c r="BT66" i="8" s="1"/>
  <c r="BU66" i="8" s="1"/>
  <c r="BV66" i="8" s="1"/>
  <c r="BW66" i="8" s="1"/>
  <c r="BX66" i="8" s="1"/>
  <c r="BY66" i="8" s="1"/>
  <c r="V22" i="11" s="1"/>
  <c r="T22" i="11"/>
  <c r="AI29" i="8"/>
  <c r="AJ29" i="8" l="1"/>
  <c r="Y45" i="2"/>
  <c r="Y45" i="4"/>
  <c r="Z285" i="4"/>
  <c r="Z284" i="4"/>
  <c r="Z283" i="4"/>
  <c r="Z282" i="4"/>
  <c r="Z281" i="4"/>
  <c r="Z280" i="4"/>
  <c r="Y285" i="4"/>
  <c r="Y284" i="4"/>
  <c r="Y283" i="4"/>
  <c r="Y282" i="4"/>
  <c r="Y281" i="4"/>
  <c r="Y280" i="4"/>
  <c r="Y288" i="2"/>
  <c r="Y287" i="2"/>
  <c r="Y286" i="2"/>
  <c r="Y285" i="2"/>
  <c r="Y284" i="2"/>
  <c r="Y283" i="2"/>
  <c r="Y282" i="2"/>
  <c r="Y281" i="2"/>
  <c r="Y280" i="2"/>
  <c r="AN93" i="2"/>
  <c r="AM93" i="2"/>
  <c r="AL93" i="2"/>
  <c r="AK93" i="2"/>
  <c r="AJ93" i="2"/>
  <c r="AI93" i="2"/>
  <c r="AH93" i="2"/>
  <c r="AG93" i="2"/>
  <c r="AF93" i="2"/>
  <c r="AE93" i="2"/>
  <c r="AD93" i="2"/>
  <c r="AP8" i="15"/>
  <c r="X21" i="10"/>
  <c r="X25" i="10" s="1"/>
  <c r="AJ28" i="4"/>
  <c r="AV28" i="4" s="1"/>
  <c r="BH28" i="4" s="1"/>
  <c r="BT28" i="4" s="1"/>
  <c r="AI28" i="4"/>
  <c r="AU28" i="4" s="1"/>
  <c r="BG28" i="4" s="1"/>
  <c r="BS28" i="4" s="1"/>
  <c r="AH28" i="4"/>
  <c r="AT28" i="4" s="1"/>
  <c r="BF28" i="4" s="1"/>
  <c r="BR28" i="4" s="1"/>
  <c r="AG28" i="4"/>
  <c r="AS28" i="4" s="1"/>
  <c r="BE28" i="4" s="1"/>
  <c r="BQ28" i="4" s="1"/>
  <c r="AF28" i="4"/>
  <c r="AR28" i="4" s="1"/>
  <c r="BD28" i="4" s="1"/>
  <c r="BP28" i="4" s="1"/>
  <c r="AE28" i="4"/>
  <c r="AQ28" i="4" s="1"/>
  <c r="BC28" i="4" s="1"/>
  <c r="BO28" i="4" s="1"/>
  <c r="AD28" i="4"/>
  <c r="AP28" i="4" s="1"/>
  <c r="BB28" i="4" s="1"/>
  <c r="BN28" i="4" s="1"/>
  <c r="AC28" i="4"/>
  <c r="AO28" i="4" s="1"/>
  <c r="AB28" i="4"/>
  <c r="AN28" i="4" s="1"/>
  <c r="AZ28" i="4" s="1"/>
  <c r="BL28" i="4" s="1"/>
  <c r="BX28" i="4" s="1"/>
  <c r="AM28" i="4"/>
  <c r="AY28" i="4" s="1"/>
  <c r="BK28" i="4" s="1"/>
  <c r="BW28" i="4" s="1"/>
  <c r="AK28" i="4"/>
  <c r="AW28" i="4" s="1"/>
  <c r="BI28" i="4" s="1"/>
  <c r="BU28" i="4" s="1"/>
  <c r="B28" i="4"/>
  <c r="A28" i="4"/>
  <c r="AJ28" i="2"/>
  <c r="AV28" i="2" s="1"/>
  <c r="AI28" i="2"/>
  <c r="AU28" i="2" s="1"/>
  <c r="AH28" i="2"/>
  <c r="AT28" i="2" s="1"/>
  <c r="AG28" i="2"/>
  <c r="AS28" i="2" s="1"/>
  <c r="AF28" i="2"/>
  <c r="AR28" i="2" s="1"/>
  <c r="AE28" i="2"/>
  <c r="AQ28" i="2" s="1"/>
  <c r="AD28" i="2"/>
  <c r="AP28" i="2" s="1"/>
  <c r="AC28" i="2"/>
  <c r="AO28" i="2" s="1"/>
  <c r="AB28" i="2"/>
  <c r="AN28" i="2" s="1"/>
  <c r="AM28" i="2"/>
  <c r="AL28" i="2"/>
  <c r="AX28" i="2" s="1"/>
  <c r="B28" i="2"/>
  <c r="A28" i="2"/>
  <c r="CC28" i="15"/>
  <c r="X28" i="15"/>
  <c r="W28" i="15"/>
  <c r="V28" i="15"/>
  <c r="U28" i="15"/>
  <c r="T28" i="15"/>
  <c r="S28" i="15"/>
  <c r="R28" i="15"/>
  <c r="Q28" i="15"/>
  <c r="P28" i="15"/>
  <c r="O28" i="15"/>
  <c r="N28" i="15"/>
  <c r="M28" i="15"/>
  <c r="L28" i="15"/>
  <c r="K28" i="15"/>
  <c r="J28" i="15"/>
  <c r="I28" i="15"/>
  <c r="H28" i="15"/>
  <c r="G28" i="15"/>
  <c r="F28" i="15"/>
  <c r="E28" i="15"/>
  <c r="AJ155" i="4"/>
  <c r="AV155" i="4" s="1"/>
  <c r="BH155" i="4" s="1"/>
  <c r="BT155" i="4" s="1"/>
  <c r="AI155" i="4"/>
  <c r="AU155" i="4" s="1"/>
  <c r="BG155" i="4" s="1"/>
  <c r="BS155" i="4" s="1"/>
  <c r="AH155" i="4"/>
  <c r="AT155" i="4" s="1"/>
  <c r="BF155" i="4" s="1"/>
  <c r="BR155" i="4" s="1"/>
  <c r="AG155" i="4"/>
  <c r="AS155" i="4" s="1"/>
  <c r="BE155" i="4" s="1"/>
  <c r="BQ155" i="4" s="1"/>
  <c r="AF155" i="4"/>
  <c r="AR155" i="4" s="1"/>
  <c r="BD155" i="4" s="1"/>
  <c r="BP155" i="4" s="1"/>
  <c r="AE155" i="4"/>
  <c r="AQ155" i="4" s="1"/>
  <c r="BC155" i="4" s="1"/>
  <c r="BO155" i="4" s="1"/>
  <c r="AD155" i="4"/>
  <c r="AP155" i="4" s="1"/>
  <c r="BB155" i="4" s="1"/>
  <c r="BN155" i="4" s="1"/>
  <c r="AC155" i="4"/>
  <c r="AO155" i="4" s="1"/>
  <c r="BA155" i="4" s="1"/>
  <c r="BM155" i="4" s="1"/>
  <c r="AB155" i="4"/>
  <c r="AN155" i="4" s="1"/>
  <c r="AZ155" i="4" s="1"/>
  <c r="BL155" i="4" s="1"/>
  <c r="BX155" i="4" s="1"/>
  <c r="AM155" i="4"/>
  <c r="AY155" i="4" s="1"/>
  <c r="BK155" i="4" s="1"/>
  <c r="BW155" i="4" s="1"/>
  <c r="AL155" i="4"/>
  <c r="AX155" i="4" s="1"/>
  <c r="BJ155" i="4" s="1"/>
  <c r="BV155" i="4" s="1"/>
  <c r="B155" i="4"/>
  <c r="A155" i="4"/>
  <c r="AJ155" i="2"/>
  <c r="AI155" i="2"/>
  <c r="AI155" i="15" s="1"/>
  <c r="AH155" i="2"/>
  <c r="AG155" i="2"/>
  <c r="AF155" i="2"/>
  <c r="AE155" i="2"/>
  <c r="AE155" i="15" s="1"/>
  <c r="AD155" i="2"/>
  <c r="AC155" i="2"/>
  <c r="AB155" i="2"/>
  <c r="AN155" i="2" s="1"/>
  <c r="AM155" i="2"/>
  <c r="AL155" i="2"/>
  <c r="B155" i="2"/>
  <c r="A155" i="2"/>
  <c r="CC155" i="15"/>
  <c r="X155" i="15"/>
  <c r="W155" i="15"/>
  <c r="V155" i="15"/>
  <c r="U155" i="15"/>
  <c r="T155" i="15"/>
  <c r="S155" i="15"/>
  <c r="R155" i="15"/>
  <c r="Q155" i="15"/>
  <c r="P155" i="15"/>
  <c r="O155" i="15"/>
  <c r="N155" i="15"/>
  <c r="M155" i="15"/>
  <c r="L155" i="15"/>
  <c r="K155" i="15"/>
  <c r="J155" i="15"/>
  <c r="I155" i="15"/>
  <c r="H155" i="15"/>
  <c r="G155" i="15"/>
  <c r="F155" i="15"/>
  <c r="E155" i="15"/>
  <c r="AN130" i="4"/>
  <c r="AZ130" i="4" s="1"/>
  <c r="BL130" i="4" s="1"/>
  <c r="BX130" i="4" s="1"/>
  <c r="AL130" i="4"/>
  <c r="AX130" i="4" s="1"/>
  <c r="BJ130" i="4" s="1"/>
  <c r="BV130" i="4" s="1"/>
  <c r="AK130" i="4"/>
  <c r="AW130" i="4" s="1"/>
  <c r="AJ130" i="4"/>
  <c r="AV130" i="4" s="1"/>
  <c r="AI130" i="4"/>
  <c r="AU130" i="4" s="1"/>
  <c r="AH130" i="4"/>
  <c r="AT130" i="4" s="1"/>
  <c r="AG130" i="4"/>
  <c r="AS130" i="4" s="1"/>
  <c r="AF130" i="4"/>
  <c r="AR130" i="4" s="1"/>
  <c r="AE130" i="4"/>
  <c r="AQ130" i="4" s="1"/>
  <c r="AD130" i="4"/>
  <c r="AP130" i="4" s="1"/>
  <c r="AC130" i="4"/>
  <c r="AO130" i="4" s="1"/>
  <c r="B130" i="4"/>
  <c r="A130" i="4"/>
  <c r="AM130" i="4" s="1"/>
  <c r="AY130" i="4" s="1"/>
  <c r="BK130" i="4" s="1"/>
  <c r="BW130" i="4" s="1"/>
  <c r="AK127" i="2"/>
  <c r="AJ127" i="2"/>
  <c r="AI127" i="2"/>
  <c r="AH127" i="2"/>
  <c r="AG127" i="2"/>
  <c r="AF127" i="2"/>
  <c r="AE127" i="2"/>
  <c r="AD127" i="2"/>
  <c r="AC127" i="2"/>
  <c r="AB127" i="2"/>
  <c r="AN127" i="2" s="1"/>
  <c r="AM127" i="2"/>
  <c r="AL127" i="2"/>
  <c r="AK130" i="2"/>
  <c r="AW130" i="2" s="1"/>
  <c r="BI130" i="2" s="1"/>
  <c r="AJ130" i="2"/>
  <c r="AV130" i="2" s="1"/>
  <c r="BH130" i="2" s="1"/>
  <c r="AI130" i="2"/>
  <c r="AH130" i="2"/>
  <c r="AT130" i="2" s="1"/>
  <c r="BF130" i="2" s="1"/>
  <c r="AG130" i="2"/>
  <c r="AS130" i="2" s="1"/>
  <c r="BE130" i="2" s="1"/>
  <c r="AF130" i="2"/>
  <c r="AR130" i="2" s="1"/>
  <c r="BD130" i="2" s="1"/>
  <c r="AE130" i="2"/>
  <c r="AD130" i="2"/>
  <c r="AP130" i="2" s="1"/>
  <c r="BB130" i="2" s="1"/>
  <c r="AC130" i="2"/>
  <c r="AO130" i="2" s="1"/>
  <c r="BA130" i="2" s="1"/>
  <c r="AB130" i="2"/>
  <c r="AN130" i="2" s="1"/>
  <c r="AM130" i="2"/>
  <c r="AL130" i="2"/>
  <c r="AX130" i="2" s="1"/>
  <c r="B130" i="2"/>
  <c r="A130" i="2"/>
  <c r="Y130" i="15" s="1"/>
  <c r="CC130" i="15"/>
  <c r="Z130" i="15"/>
  <c r="X130" i="15"/>
  <c r="W130" i="15"/>
  <c r="V130" i="15"/>
  <c r="U130" i="15"/>
  <c r="T130" i="15"/>
  <c r="S130" i="15"/>
  <c r="R130" i="15"/>
  <c r="Q130" i="15"/>
  <c r="P130" i="15"/>
  <c r="O130" i="15"/>
  <c r="N130" i="15"/>
  <c r="M130" i="15"/>
  <c r="L130" i="15"/>
  <c r="K130" i="15"/>
  <c r="J130" i="15"/>
  <c r="I130" i="15"/>
  <c r="H130" i="15"/>
  <c r="G130" i="15"/>
  <c r="F130" i="15"/>
  <c r="E130" i="15"/>
  <c r="AC28" i="15" l="1"/>
  <c r="AE28" i="15"/>
  <c r="AN130" i="15"/>
  <c r="AA155" i="15"/>
  <c r="AF155" i="15"/>
  <c r="AJ155" i="15"/>
  <c r="AI28" i="15"/>
  <c r="AE130" i="15"/>
  <c r="AI130" i="15"/>
  <c r="AA28" i="15"/>
  <c r="AJ28" i="15"/>
  <c r="AB155" i="15"/>
  <c r="AF28" i="15"/>
  <c r="AB28" i="15"/>
  <c r="AG28" i="15"/>
  <c r="AB130" i="15"/>
  <c r="Z28" i="15"/>
  <c r="AD28" i="15"/>
  <c r="AH28" i="15"/>
  <c r="AJ130" i="15"/>
  <c r="AK29" i="8"/>
  <c r="AF130" i="15"/>
  <c r="AK28" i="2"/>
  <c r="Y28" i="15"/>
  <c r="BA28" i="4"/>
  <c r="AL28" i="4"/>
  <c r="AY28" i="2"/>
  <c r="AM28" i="15"/>
  <c r="AZ28" i="2"/>
  <c r="AN28" i="15"/>
  <c r="BD28" i="2"/>
  <c r="AR28" i="15"/>
  <c r="BH28" i="2"/>
  <c r="AV28" i="15"/>
  <c r="BG28" i="2"/>
  <c r="AU28" i="15"/>
  <c r="AO28" i="15"/>
  <c r="BA28" i="2"/>
  <c r="BE28" i="2"/>
  <c r="AS28" i="15"/>
  <c r="BC28" i="2"/>
  <c r="AQ28" i="15"/>
  <c r="BB28" i="2"/>
  <c r="AP28" i="15"/>
  <c r="BF28" i="2"/>
  <c r="AT28" i="15"/>
  <c r="BJ28" i="2"/>
  <c r="AH155" i="15"/>
  <c r="AD155" i="15"/>
  <c r="Z155" i="15"/>
  <c r="AK155" i="2"/>
  <c r="AK155" i="4"/>
  <c r="AG155" i="15"/>
  <c r="Y155" i="15"/>
  <c r="AM155" i="15"/>
  <c r="AL155" i="15"/>
  <c r="AN155" i="15"/>
  <c r="AC155" i="15"/>
  <c r="AM130" i="15"/>
  <c r="AY130" i="2"/>
  <c r="AY130" i="15" s="1"/>
  <c r="AC130" i="15"/>
  <c r="AG130" i="15"/>
  <c r="AK130" i="15"/>
  <c r="AQ130" i="2"/>
  <c r="BC130" i="2" s="1"/>
  <c r="BO130" i="2" s="1"/>
  <c r="AU130" i="2"/>
  <c r="BG130" i="2" s="1"/>
  <c r="BS130" i="2" s="1"/>
  <c r="AD130" i="15"/>
  <c r="AH130" i="15"/>
  <c r="AZ130" i="2"/>
  <c r="BL130" i="2" s="1"/>
  <c r="AA130" i="15"/>
  <c r="AO130" i="15"/>
  <c r="BA130" i="4"/>
  <c r="BM130" i="4" s="1"/>
  <c r="AS130" i="15"/>
  <c r="BE130" i="4"/>
  <c r="BQ130" i="4" s="1"/>
  <c r="AW130" i="15"/>
  <c r="BI130" i="4"/>
  <c r="BU130" i="4" s="1"/>
  <c r="BB130" i="4"/>
  <c r="BN130" i="4" s="1"/>
  <c r="AP130" i="15"/>
  <c r="BF130" i="4"/>
  <c r="BR130" i="4" s="1"/>
  <c r="AT130" i="15"/>
  <c r="BC130" i="4"/>
  <c r="BO130" i="4" s="1"/>
  <c r="BG130" i="4"/>
  <c r="BS130" i="4" s="1"/>
  <c r="BD130" i="4"/>
  <c r="BP130" i="4" s="1"/>
  <c r="AR130" i="15"/>
  <c r="BH130" i="4"/>
  <c r="BT130" i="4" s="1"/>
  <c r="AV130" i="15"/>
  <c r="AL130" i="15"/>
  <c r="BJ130" i="2"/>
  <c r="BV130" i="2" s="1"/>
  <c r="AX130" i="15"/>
  <c r="BM130" i="2"/>
  <c r="BQ130" i="2"/>
  <c r="BI130" i="15"/>
  <c r="BU130" i="2"/>
  <c r="BN130" i="2"/>
  <c r="BF130" i="15"/>
  <c r="BR130" i="2"/>
  <c r="AZ130" i="15"/>
  <c r="BP130" i="2"/>
  <c r="BT130" i="2"/>
  <c r="BH130" i="15" l="1"/>
  <c r="BK130" i="2"/>
  <c r="BT130" i="15"/>
  <c r="BR130" i="15"/>
  <c r="AK155" i="15"/>
  <c r="AL29" i="8"/>
  <c r="AW28" i="2"/>
  <c r="AK28" i="15"/>
  <c r="AX28" i="4"/>
  <c r="AL28" i="15"/>
  <c r="BM28" i="4"/>
  <c r="BA28" i="15"/>
  <c r="BM28" i="2"/>
  <c r="BT28" i="2"/>
  <c r="BT28" i="15" s="1"/>
  <c r="BH28" i="15"/>
  <c r="BL28" i="2"/>
  <c r="AZ28" i="15"/>
  <c r="BV28" i="2"/>
  <c r="BN28" i="2"/>
  <c r="BN28" i="15" s="1"/>
  <c r="BB28" i="15"/>
  <c r="BF28" i="15"/>
  <c r="BR28" i="2"/>
  <c r="BR28" i="15" s="1"/>
  <c r="BO28" i="2"/>
  <c r="BO28" i="15" s="1"/>
  <c r="BC28" i="15"/>
  <c r="BQ28" i="2"/>
  <c r="BQ28" i="15" s="1"/>
  <c r="BE28" i="15"/>
  <c r="BS28" i="2"/>
  <c r="BS28" i="15" s="1"/>
  <c r="BG28" i="15"/>
  <c r="BP28" i="2"/>
  <c r="BP28" i="15" s="1"/>
  <c r="BD28" i="15"/>
  <c r="BK28" i="2"/>
  <c r="AY28" i="15"/>
  <c r="BS130" i="15"/>
  <c r="AW155" i="4"/>
  <c r="AU130" i="15"/>
  <c r="BD130" i="15"/>
  <c r="BG130" i="15"/>
  <c r="BN130" i="15"/>
  <c r="BM130" i="15"/>
  <c r="BP130" i="15"/>
  <c r="BJ130" i="15"/>
  <c r="BU130" i="15"/>
  <c r="BA130" i="15"/>
  <c r="AQ130" i="15"/>
  <c r="BQ130" i="15"/>
  <c r="BC130" i="15"/>
  <c r="BB130" i="15"/>
  <c r="BE130" i="15"/>
  <c r="BO130" i="15"/>
  <c r="BV130" i="15"/>
  <c r="BX130" i="2"/>
  <c r="BX130" i="15" s="1"/>
  <c r="BL130" i="15"/>
  <c r="BW130" i="2"/>
  <c r="BW130" i="15" s="1"/>
  <c r="BK130" i="15"/>
  <c r="AM29" i="8" l="1"/>
  <c r="AW28" i="15"/>
  <c r="BI28" i="2"/>
  <c r="BM28" i="15"/>
  <c r="BJ28" i="4"/>
  <c r="AX28" i="15"/>
  <c r="BW28" i="2"/>
  <c r="BW28" i="15" s="1"/>
  <c r="BK28" i="15"/>
  <c r="BX28" i="2"/>
  <c r="BX28" i="15" s="1"/>
  <c r="BL28" i="15"/>
  <c r="BI155" i="4"/>
  <c r="AN29" i="8" l="1"/>
  <c r="BI28" i="15"/>
  <c r="BU28" i="2"/>
  <c r="BV28" i="4"/>
  <c r="BJ28" i="15"/>
  <c r="BU155" i="4"/>
  <c r="AO29" i="8" l="1"/>
  <c r="BU28" i="15"/>
  <c r="BV28" i="15"/>
  <c r="AV283" i="4"/>
  <c r="BH283" i="4" s="1"/>
  <c r="BT283" i="4" s="1"/>
  <c r="AT281" i="4"/>
  <c r="BF281" i="4" s="1"/>
  <c r="BR281" i="4" s="1"/>
  <c r="AV282" i="4"/>
  <c r="BH282" i="4" s="1"/>
  <c r="BT282" i="4" s="1"/>
  <c r="AR280" i="4"/>
  <c r="BD280" i="4" s="1"/>
  <c r="BP280" i="4" s="1"/>
  <c r="AU285" i="4"/>
  <c r="BG285" i="4" s="1"/>
  <c r="BS285" i="4" s="1"/>
  <c r="AV284" i="4"/>
  <c r="BH284" i="4" s="1"/>
  <c r="BT284" i="4" s="1"/>
  <c r="AU284" i="4"/>
  <c r="BG284" i="4" s="1"/>
  <c r="BS284" i="4" s="1"/>
  <c r="AR284" i="4"/>
  <c r="BD284" i="4" s="1"/>
  <c r="BP284" i="4" s="1"/>
  <c r="AQ284" i="4"/>
  <c r="AU283" i="4"/>
  <c r="BG283" i="4" s="1"/>
  <c r="BS283" i="4" s="1"/>
  <c r="AT283" i="4"/>
  <c r="BF283" i="4" s="1"/>
  <c r="BR283" i="4" s="1"/>
  <c r="AQ283" i="4"/>
  <c r="BC283" i="4" s="1"/>
  <c r="BO283" i="4" s="1"/>
  <c r="AV281" i="4"/>
  <c r="BH281" i="4" s="1"/>
  <c r="BT281" i="4" s="1"/>
  <c r="AR281" i="4"/>
  <c r="BD281" i="4" s="1"/>
  <c r="BP281" i="4" s="1"/>
  <c r="AV280" i="4"/>
  <c r="BH280" i="4" s="1"/>
  <c r="BT280" i="4" s="1"/>
  <c r="AW287" i="2"/>
  <c r="BI287" i="2" s="1"/>
  <c r="BU287" i="2" s="1"/>
  <c r="AV287" i="2"/>
  <c r="BH287" i="2" s="1"/>
  <c r="BT287" i="2" s="1"/>
  <c r="AS287" i="2"/>
  <c r="BE287" i="2" s="1"/>
  <c r="BQ287" i="2" s="1"/>
  <c r="AR287" i="2"/>
  <c r="BD287" i="2" s="1"/>
  <c r="BP287" i="2" s="1"/>
  <c r="AQ287" i="2"/>
  <c r="AQ17" i="2" s="1"/>
  <c r="AV286" i="2"/>
  <c r="BH286" i="2" s="1"/>
  <c r="AQ285" i="2"/>
  <c r="BC285" i="2" s="1"/>
  <c r="AR284" i="2"/>
  <c r="BD284" i="2" s="1"/>
  <c r="AS283" i="2"/>
  <c r="AX282" i="2"/>
  <c r="BJ282" i="2" s="1"/>
  <c r="AU282" i="2"/>
  <c r="BG282" i="2" s="1"/>
  <c r="BS282" i="2" s="1"/>
  <c r="AU281" i="2"/>
  <c r="BG281" i="2" s="1"/>
  <c r="AU280" i="2"/>
  <c r="BG280" i="2" s="1"/>
  <c r="BS280" i="2" s="1"/>
  <c r="AT280" i="2"/>
  <c r="BF280" i="2" s="1"/>
  <c r="BR280" i="2" s="1"/>
  <c r="AS280" i="2"/>
  <c r="BE280" i="2" s="1"/>
  <c r="BQ280" i="2" s="1"/>
  <c r="AR280" i="2"/>
  <c r="AX281" i="2"/>
  <c r="AW280" i="2"/>
  <c r="BI280" i="2" s="1"/>
  <c r="BU280" i="2" s="1"/>
  <c r="AA18" i="4"/>
  <c r="AB18" i="4" s="1"/>
  <c r="AC18" i="4" s="1"/>
  <c r="AA17" i="4"/>
  <c r="AB17" i="4" s="1"/>
  <c r="AC17" i="4" s="1"/>
  <c r="AA16" i="4"/>
  <c r="AB16" i="4" s="1"/>
  <c r="AC16" i="4" s="1"/>
  <c r="X285" i="4"/>
  <c r="AJ285" i="4" s="1"/>
  <c r="AV285" i="4" s="1"/>
  <c r="BH285" i="4" s="1"/>
  <c r="BT285" i="4" s="1"/>
  <c r="W285" i="4"/>
  <c r="V285" i="4"/>
  <c r="AH285" i="4" s="1"/>
  <c r="AT285" i="4" s="1"/>
  <c r="BF285" i="4" s="1"/>
  <c r="BR285" i="4" s="1"/>
  <c r="U285" i="4"/>
  <c r="AG285" i="4" s="1"/>
  <c r="AS285" i="4" s="1"/>
  <c r="BE285" i="4" s="1"/>
  <c r="BQ285" i="4" s="1"/>
  <c r="T285" i="4"/>
  <c r="AF285" i="4" s="1"/>
  <c r="AR285" i="4" s="1"/>
  <c r="BD285" i="4" s="1"/>
  <c r="BP285" i="4" s="1"/>
  <c r="S285" i="4"/>
  <c r="AE285" i="4" s="1"/>
  <c r="AQ285" i="4" s="1"/>
  <c r="BC285" i="4" s="1"/>
  <c r="BO285" i="4" s="1"/>
  <c r="R285" i="4"/>
  <c r="Q285" i="4"/>
  <c r="AC285" i="4" s="1"/>
  <c r="AO285" i="4" s="1"/>
  <c r="BA285" i="4" s="1"/>
  <c r="BM285" i="4" s="1"/>
  <c r="BY285" i="4" s="1"/>
  <c r="P285" i="4"/>
  <c r="AB285" i="4" s="1"/>
  <c r="AN285" i="4" s="1"/>
  <c r="AZ285" i="4" s="1"/>
  <c r="BL285" i="4" s="1"/>
  <c r="BX285" i="4" s="1"/>
  <c r="O285" i="4"/>
  <c r="AA285" i="4" s="1"/>
  <c r="AM285" i="4" s="1"/>
  <c r="AY285" i="4" s="1"/>
  <c r="BK285" i="4" s="1"/>
  <c r="BW285" i="4" s="1"/>
  <c r="N285" i="4"/>
  <c r="AX285" i="4" s="1"/>
  <c r="BJ285" i="4" s="1"/>
  <c r="BV285" i="4" s="1"/>
  <c r="M285" i="4"/>
  <c r="AW285" i="4" s="1"/>
  <c r="BI285" i="4" s="1"/>
  <c r="BU285" i="4" s="1"/>
  <c r="L285" i="4"/>
  <c r="K285" i="4"/>
  <c r="J285" i="4"/>
  <c r="I285" i="4"/>
  <c r="H285" i="4"/>
  <c r="G285" i="4"/>
  <c r="F285" i="4"/>
  <c r="E285" i="4"/>
  <c r="X284" i="4"/>
  <c r="W284" i="4"/>
  <c r="V284" i="4"/>
  <c r="AH284" i="4" s="1"/>
  <c r="AT284" i="4" s="1"/>
  <c r="BF284" i="4" s="1"/>
  <c r="BR284" i="4" s="1"/>
  <c r="U284" i="4"/>
  <c r="AG284" i="4" s="1"/>
  <c r="AS284" i="4" s="1"/>
  <c r="BE284" i="4" s="1"/>
  <c r="BQ284" i="4" s="1"/>
  <c r="T284" i="4"/>
  <c r="S284" i="4"/>
  <c r="R284" i="4"/>
  <c r="Q284" i="4"/>
  <c r="AC284" i="4" s="1"/>
  <c r="AO284" i="4" s="1"/>
  <c r="BA284" i="4" s="1"/>
  <c r="BM284" i="4" s="1"/>
  <c r="BY284" i="4" s="1"/>
  <c r="P284" i="4"/>
  <c r="AB284" i="4" s="1"/>
  <c r="AN284" i="4" s="1"/>
  <c r="AZ284" i="4" s="1"/>
  <c r="BL284" i="4" s="1"/>
  <c r="BX284" i="4" s="1"/>
  <c r="O284" i="4"/>
  <c r="AA284" i="4" s="1"/>
  <c r="AM284" i="4" s="1"/>
  <c r="AY284" i="4" s="1"/>
  <c r="BK284" i="4" s="1"/>
  <c r="BW284" i="4" s="1"/>
  <c r="N284" i="4"/>
  <c r="AX284" i="4" s="1"/>
  <c r="BJ284" i="4" s="1"/>
  <c r="BV284" i="4" s="1"/>
  <c r="M284" i="4"/>
  <c r="AW284" i="4" s="1"/>
  <c r="BI284" i="4" s="1"/>
  <c r="BU284" i="4" s="1"/>
  <c r="L284" i="4"/>
  <c r="K284" i="4"/>
  <c r="J284" i="4"/>
  <c r="I284" i="4"/>
  <c r="H284" i="4"/>
  <c r="G284" i="4"/>
  <c r="F284" i="4"/>
  <c r="E284" i="4"/>
  <c r="X283" i="4"/>
  <c r="W283" i="4"/>
  <c r="V283" i="4"/>
  <c r="U283" i="4"/>
  <c r="AG283" i="4" s="1"/>
  <c r="AS283" i="4" s="1"/>
  <c r="BE283" i="4" s="1"/>
  <c r="BQ283" i="4" s="1"/>
  <c r="T283" i="4"/>
  <c r="AF283" i="4" s="1"/>
  <c r="AR283" i="4" s="1"/>
  <c r="BD283" i="4" s="1"/>
  <c r="BP283" i="4" s="1"/>
  <c r="S283" i="4"/>
  <c r="R283" i="4"/>
  <c r="Q283" i="4"/>
  <c r="AC283" i="4" s="1"/>
  <c r="AO283" i="4" s="1"/>
  <c r="BA283" i="4" s="1"/>
  <c r="BM283" i="4" s="1"/>
  <c r="BY283" i="4" s="1"/>
  <c r="P283" i="4"/>
  <c r="AB283" i="4" s="1"/>
  <c r="AN283" i="4" s="1"/>
  <c r="AZ283" i="4" s="1"/>
  <c r="BL283" i="4" s="1"/>
  <c r="BX283" i="4" s="1"/>
  <c r="O283" i="4"/>
  <c r="AA283" i="4" s="1"/>
  <c r="AM283" i="4" s="1"/>
  <c r="AY283" i="4" s="1"/>
  <c r="BK283" i="4" s="1"/>
  <c r="BW283" i="4" s="1"/>
  <c r="N283" i="4"/>
  <c r="AX283" i="4" s="1"/>
  <c r="BJ283" i="4" s="1"/>
  <c r="BV283" i="4" s="1"/>
  <c r="M283" i="4"/>
  <c r="AW283" i="4" s="1"/>
  <c r="BI283" i="4" s="1"/>
  <c r="BU283" i="4" s="1"/>
  <c r="L283" i="4"/>
  <c r="K283" i="4"/>
  <c r="J283" i="4"/>
  <c r="I283" i="4"/>
  <c r="H283" i="4"/>
  <c r="G283" i="4"/>
  <c r="F283" i="4"/>
  <c r="E283" i="4"/>
  <c r="X282" i="4"/>
  <c r="W282" i="4"/>
  <c r="AI282" i="4" s="1"/>
  <c r="AU282" i="4" s="1"/>
  <c r="BG282" i="4" s="1"/>
  <c r="BS282" i="4" s="1"/>
  <c r="V282" i="4"/>
  <c r="AH282" i="4" s="1"/>
  <c r="AT282" i="4" s="1"/>
  <c r="BF282" i="4" s="1"/>
  <c r="BR282" i="4" s="1"/>
  <c r="U282" i="4"/>
  <c r="AG282" i="4" s="1"/>
  <c r="AS282" i="4" s="1"/>
  <c r="BE282" i="4" s="1"/>
  <c r="BQ282" i="4" s="1"/>
  <c r="T282" i="4"/>
  <c r="AF282" i="4" s="1"/>
  <c r="AR282" i="4" s="1"/>
  <c r="BD282" i="4" s="1"/>
  <c r="BP282" i="4" s="1"/>
  <c r="S282" i="4"/>
  <c r="AE282" i="4" s="1"/>
  <c r="R282" i="4"/>
  <c r="Q282" i="4"/>
  <c r="AC282" i="4" s="1"/>
  <c r="AO282" i="4" s="1"/>
  <c r="BA282" i="4" s="1"/>
  <c r="BM282" i="4" s="1"/>
  <c r="BY282" i="4" s="1"/>
  <c r="P282" i="4"/>
  <c r="AB282" i="4" s="1"/>
  <c r="AN282" i="4" s="1"/>
  <c r="AZ282" i="4" s="1"/>
  <c r="BL282" i="4" s="1"/>
  <c r="BX282" i="4" s="1"/>
  <c r="O282" i="4"/>
  <c r="AA282" i="4" s="1"/>
  <c r="AM282" i="4" s="1"/>
  <c r="AY282" i="4" s="1"/>
  <c r="BK282" i="4" s="1"/>
  <c r="BW282" i="4" s="1"/>
  <c r="N282" i="4"/>
  <c r="AX282" i="4" s="1"/>
  <c r="BJ282" i="4" s="1"/>
  <c r="BV282" i="4" s="1"/>
  <c r="M282" i="4"/>
  <c r="L282" i="4"/>
  <c r="K282" i="4"/>
  <c r="J282" i="4"/>
  <c r="I282" i="4"/>
  <c r="H282" i="4"/>
  <c r="G282" i="4"/>
  <c r="F282" i="4"/>
  <c r="E282" i="4"/>
  <c r="X281" i="4"/>
  <c r="W281" i="4"/>
  <c r="AI281" i="4" s="1"/>
  <c r="AU281" i="4" s="1"/>
  <c r="BG281" i="4" s="1"/>
  <c r="BS281" i="4" s="1"/>
  <c r="V281" i="4"/>
  <c r="U281" i="4"/>
  <c r="AG281" i="4" s="1"/>
  <c r="AS281" i="4" s="1"/>
  <c r="BE281" i="4" s="1"/>
  <c r="BQ281" i="4" s="1"/>
  <c r="T281" i="4"/>
  <c r="S281" i="4"/>
  <c r="AE281" i="4" s="1"/>
  <c r="AQ281" i="4" s="1"/>
  <c r="BC281" i="4" s="1"/>
  <c r="BO281" i="4" s="1"/>
  <c r="R281" i="4"/>
  <c r="Q281" i="4"/>
  <c r="AC281" i="4" s="1"/>
  <c r="AO281" i="4" s="1"/>
  <c r="BA281" i="4" s="1"/>
  <c r="BM281" i="4" s="1"/>
  <c r="BY281" i="4" s="1"/>
  <c r="P281" i="4"/>
  <c r="AB281" i="4" s="1"/>
  <c r="AN281" i="4" s="1"/>
  <c r="AZ281" i="4" s="1"/>
  <c r="BL281" i="4" s="1"/>
  <c r="BX281" i="4" s="1"/>
  <c r="O281" i="4"/>
  <c r="AA281" i="4" s="1"/>
  <c r="AM281" i="4" s="1"/>
  <c r="AY281" i="4" s="1"/>
  <c r="BK281" i="4" s="1"/>
  <c r="BW281" i="4" s="1"/>
  <c r="N281" i="4"/>
  <c r="AX281" i="4" s="1"/>
  <c r="BJ281" i="4" s="1"/>
  <c r="BV281" i="4" s="1"/>
  <c r="M281" i="4"/>
  <c r="L281" i="4"/>
  <c r="K281" i="4"/>
  <c r="J281" i="4"/>
  <c r="I281" i="4"/>
  <c r="H281" i="4"/>
  <c r="G281" i="4"/>
  <c r="F281" i="4"/>
  <c r="E281" i="4"/>
  <c r="X280" i="4"/>
  <c r="W280" i="4"/>
  <c r="AI280" i="4" s="1"/>
  <c r="AU280" i="4" s="1"/>
  <c r="BG280" i="4" s="1"/>
  <c r="BS280" i="4" s="1"/>
  <c r="V280" i="4"/>
  <c r="AH280" i="4" s="1"/>
  <c r="AT280" i="4" s="1"/>
  <c r="BF280" i="4" s="1"/>
  <c r="BR280" i="4" s="1"/>
  <c r="U280" i="4"/>
  <c r="AG280" i="4" s="1"/>
  <c r="AS280" i="4" s="1"/>
  <c r="BE280" i="4" s="1"/>
  <c r="BQ280" i="4" s="1"/>
  <c r="T280" i="4"/>
  <c r="S280" i="4"/>
  <c r="AE280" i="4" s="1"/>
  <c r="AQ280" i="4" s="1"/>
  <c r="BC280" i="4" s="1"/>
  <c r="BO280" i="4" s="1"/>
  <c r="R280" i="4"/>
  <c r="Q280" i="4"/>
  <c r="AC280" i="4" s="1"/>
  <c r="AO280" i="4" s="1"/>
  <c r="BA280" i="4" s="1"/>
  <c r="BM280" i="4" s="1"/>
  <c r="BY280" i="4" s="1"/>
  <c r="P280" i="4"/>
  <c r="AB280" i="4" s="1"/>
  <c r="AN280" i="4" s="1"/>
  <c r="AZ280" i="4" s="1"/>
  <c r="BL280" i="4" s="1"/>
  <c r="BX280" i="4" s="1"/>
  <c r="O280" i="4"/>
  <c r="AA280" i="4" s="1"/>
  <c r="AM280" i="4" s="1"/>
  <c r="AY280" i="4" s="1"/>
  <c r="BK280" i="4" s="1"/>
  <c r="BW280" i="4" s="1"/>
  <c r="N280" i="4"/>
  <c r="AX280" i="4" s="1"/>
  <c r="BJ280" i="4" s="1"/>
  <c r="BV280" i="4" s="1"/>
  <c r="M280" i="4"/>
  <c r="L280" i="4"/>
  <c r="K280" i="4"/>
  <c r="J280" i="4"/>
  <c r="I280" i="4"/>
  <c r="H280" i="4"/>
  <c r="G280" i="4"/>
  <c r="F280" i="4"/>
  <c r="E280" i="4"/>
  <c r="X288" i="2"/>
  <c r="AJ288" i="2" s="1"/>
  <c r="AV288" i="2" s="1"/>
  <c r="BH288" i="2" s="1"/>
  <c r="BT288" i="2" s="1"/>
  <c r="W288" i="2"/>
  <c r="AI288" i="2" s="1"/>
  <c r="AU288" i="2" s="1"/>
  <c r="BG288" i="2" s="1"/>
  <c r="BS288" i="2" s="1"/>
  <c r="V288" i="2"/>
  <c r="AH288" i="2" s="1"/>
  <c r="AT288" i="2" s="1"/>
  <c r="BF288" i="2" s="1"/>
  <c r="BR288" i="2" s="1"/>
  <c r="U288" i="2"/>
  <c r="AG288" i="2" s="1"/>
  <c r="AS288" i="2" s="1"/>
  <c r="BE288" i="2" s="1"/>
  <c r="BQ288" i="2" s="1"/>
  <c r="T288" i="2"/>
  <c r="AF288" i="2" s="1"/>
  <c r="AR288" i="2" s="1"/>
  <c r="BD288" i="2" s="1"/>
  <c r="BP288" i="2" s="1"/>
  <c r="S288" i="2"/>
  <c r="AE288" i="2" s="1"/>
  <c r="AQ288" i="2" s="1"/>
  <c r="R288" i="2"/>
  <c r="Q288" i="2"/>
  <c r="AC288" i="2" s="1"/>
  <c r="AO288" i="2" s="1"/>
  <c r="P288" i="2"/>
  <c r="AB288" i="2" s="1"/>
  <c r="AN288" i="2" s="1"/>
  <c r="O288" i="2"/>
  <c r="AA288" i="2" s="1"/>
  <c r="AM288" i="2" s="1"/>
  <c r="AY288" i="2" s="1"/>
  <c r="N288" i="2"/>
  <c r="Z288" i="2" s="1"/>
  <c r="M288" i="2"/>
  <c r="AW288" i="2" s="1"/>
  <c r="BI288" i="2" s="1"/>
  <c r="BU288" i="2" s="1"/>
  <c r="L288" i="2"/>
  <c r="K288" i="2"/>
  <c r="J288" i="2"/>
  <c r="I288" i="2"/>
  <c r="H288" i="2"/>
  <c r="G288" i="2"/>
  <c r="F288" i="2"/>
  <c r="E288" i="2"/>
  <c r="X287" i="2"/>
  <c r="W287" i="2"/>
  <c r="AI287" i="2" s="1"/>
  <c r="AU287" i="2" s="1"/>
  <c r="BG287" i="2" s="1"/>
  <c r="BS287" i="2" s="1"/>
  <c r="V287" i="2"/>
  <c r="AH287" i="2" s="1"/>
  <c r="AT287" i="2" s="1"/>
  <c r="BF287" i="2" s="1"/>
  <c r="BR287" i="2" s="1"/>
  <c r="U287" i="2"/>
  <c r="T287" i="2"/>
  <c r="S287" i="2"/>
  <c r="R287" i="2"/>
  <c r="Q287" i="2"/>
  <c r="AC287" i="2" s="1"/>
  <c r="AO287" i="2" s="1"/>
  <c r="BA287" i="2" s="1"/>
  <c r="P287" i="2"/>
  <c r="AB287" i="2" s="1"/>
  <c r="AN287" i="2" s="1"/>
  <c r="AZ287" i="2" s="1"/>
  <c r="O287" i="2"/>
  <c r="AA287" i="2" s="1"/>
  <c r="AM287" i="2" s="1"/>
  <c r="N287" i="2"/>
  <c r="Z287" i="2" s="1"/>
  <c r="M287" i="2"/>
  <c r="L287" i="2"/>
  <c r="K287" i="2"/>
  <c r="J287" i="2"/>
  <c r="I287" i="2"/>
  <c r="H287" i="2"/>
  <c r="G287" i="2"/>
  <c r="F287" i="2"/>
  <c r="E287" i="2"/>
  <c r="X286" i="2"/>
  <c r="W286" i="2"/>
  <c r="AI286" i="2" s="1"/>
  <c r="AU286" i="2" s="1"/>
  <c r="BG286" i="2" s="1"/>
  <c r="BS286" i="2" s="1"/>
  <c r="V286" i="2"/>
  <c r="AH286" i="2" s="1"/>
  <c r="AT286" i="2" s="1"/>
  <c r="BF286" i="2" s="1"/>
  <c r="BR286" i="2" s="1"/>
  <c r="U286" i="2"/>
  <c r="AG286" i="2" s="1"/>
  <c r="AS286" i="2" s="1"/>
  <c r="BE286" i="2" s="1"/>
  <c r="BQ286" i="2" s="1"/>
  <c r="T286" i="2"/>
  <c r="AF286" i="2" s="1"/>
  <c r="AR286" i="2" s="1"/>
  <c r="BD286" i="2" s="1"/>
  <c r="BP286" i="2" s="1"/>
  <c r="S286" i="2"/>
  <c r="AE286" i="2" s="1"/>
  <c r="AQ286" i="2" s="1"/>
  <c r="R286" i="2"/>
  <c r="Q286" i="2"/>
  <c r="AC286" i="2" s="1"/>
  <c r="AO286" i="2" s="1"/>
  <c r="P286" i="2"/>
  <c r="AB286" i="2" s="1"/>
  <c r="AN286" i="2" s="1"/>
  <c r="AZ286" i="2" s="1"/>
  <c r="O286" i="2"/>
  <c r="AA286" i="2" s="1"/>
  <c r="AM286" i="2" s="1"/>
  <c r="N286" i="2"/>
  <c r="Z286" i="2" s="1"/>
  <c r="AX286" i="2" s="1"/>
  <c r="BJ286" i="2" s="1"/>
  <c r="M286" i="2"/>
  <c r="AW286" i="2" s="1"/>
  <c r="BI286" i="2" s="1"/>
  <c r="BU286" i="2" s="1"/>
  <c r="L286" i="2"/>
  <c r="K286" i="2"/>
  <c r="J286" i="2"/>
  <c r="I286" i="2"/>
  <c r="H286" i="2"/>
  <c r="G286" i="2"/>
  <c r="F286" i="2"/>
  <c r="E286" i="2"/>
  <c r="X285" i="2"/>
  <c r="AJ285" i="2" s="1"/>
  <c r="AV285" i="2" s="1"/>
  <c r="BH285" i="2" s="1"/>
  <c r="BT285" i="2" s="1"/>
  <c r="W285" i="2"/>
  <c r="AI285" i="2" s="1"/>
  <c r="AU285" i="2" s="1"/>
  <c r="BG285" i="2" s="1"/>
  <c r="BS285" i="2" s="1"/>
  <c r="V285" i="2"/>
  <c r="AH285" i="2" s="1"/>
  <c r="AT285" i="2" s="1"/>
  <c r="BF285" i="2" s="1"/>
  <c r="BR285" i="2" s="1"/>
  <c r="U285" i="2"/>
  <c r="AG285" i="2" s="1"/>
  <c r="AS285" i="2" s="1"/>
  <c r="BE285" i="2" s="1"/>
  <c r="BQ285" i="2" s="1"/>
  <c r="T285" i="2"/>
  <c r="AF285" i="2" s="1"/>
  <c r="AR285" i="2" s="1"/>
  <c r="BD285" i="2" s="1"/>
  <c r="BP285" i="2" s="1"/>
  <c r="S285" i="2"/>
  <c r="R285" i="2"/>
  <c r="Q285" i="2"/>
  <c r="AC285" i="2" s="1"/>
  <c r="AO285" i="2" s="1"/>
  <c r="BA285" i="2" s="1"/>
  <c r="BM285" i="2" s="1"/>
  <c r="BY285" i="2" s="1"/>
  <c r="P285" i="2"/>
  <c r="AB285" i="2" s="1"/>
  <c r="AN285" i="2" s="1"/>
  <c r="AZ285" i="2" s="1"/>
  <c r="BL285" i="2" s="1"/>
  <c r="BX285" i="2" s="1"/>
  <c r="O285" i="2"/>
  <c r="N285" i="2"/>
  <c r="Z285" i="2" s="1"/>
  <c r="M285" i="2"/>
  <c r="L285" i="2"/>
  <c r="K285" i="2"/>
  <c r="J285" i="2"/>
  <c r="I285" i="2"/>
  <c r="H285" i="2"/>
  <c r="G285" i="2"/>
  <c r="F285" i="2"/>
  <c r="E285" i="2"/>
  <c r="X284" i="2"/>
  <c r="AJ284" i="2" s="1"/>
  <c r="AV284" i="2" s="1"/>
  <c r="BH284" i="2" s="1"/>
  <c r="BT284" i="2" s="1"/>
  <c r="W284" i="2"/>
  <c r="AI284" i="2" s="1"/>
  <c r="AU284" i="2" s="1"/>
  <c r="BG284" i="2" s="1"/>
  <c r="BS284" i="2" s="1"/>
  <c r="V284" i="2"/>
  <c r="AH284" i="2" s="1"/>
  <c r="AT284" i="2" s="1"/>
  <c r="BF284" i="2" s="1"/>
  <c r="BR284" i="2" s="1"/>
  <c r="U284" i="2"/>
  <c r="AG284" i="2" s="1"/>
  <c r="AS284" i="2" s="1"/>
  <c r="BE284" i="2" s="1"/>
  <c r="BQ284" i="2" s="1"/>
  <c r="T284" i="2"/>
  <c r="S284" i="2"/>
  <c r="AE284" i="2" s="1"/>
  <c r="AQ284" i="2" s="1"/>
  <c r="R284" i="2"/>
  <c r="Q284" i="2"/>
  <c r="AC284" i="2" s="1"/>
  <c r="AO284" i="2" s="1"/>
  <c r="P284" i="2"/>
  <c r="AB284" i="2" s="1"/>
  <c r="AN284" i="2" s="1"/>
  <c r="O284" i="2"/>
  <c r="AA284" i="2" s="1"/>
  <c r="AM284" i="2" s="1"/>
  <c r="AY284" i="2" s="1"/>
  <c r="N284" i="2"/>
  <c r="Z284" i="2" s="1"/>
  <c r="AX284" i="2" s="1"/>
  <c r="BJ284" i="2" s="1"/>
  <c r="BV284" i="2" s="1"/>
  <c r="M284" i="2"/>
  <c r="AW284" i="2" s="1"/>
  <c r="BI284" i="2" s="1"/>
  <c r="BU284" i="2" s="1"/>
  <c r="L284" i="2"/>
  <c r="K284" i="2"/>
  <c r="J284" i="2"/>
  <c r="I284" i="2"/>
  <c r="H284" i="2"/>
  <c r="G284" i="2"/>
  <c r="F284" i="2"/>
  <c r="E284" i="2"/>
  <c r="X283" i="2"/>
  <c r="AJ283" i="2" s="1"/>
  <c r="AV283" i="2" s="1"/>
  <c r="BH283" i="2" s="1"/>
  <c r="BT283" i="2" s="1"/>
  <c r="W283" i="2"/>
  <c r="AI283" i="2" s="1"/>
  <c r="AU283" i="2" s="1"/>
  <c r="BG283" i="2" s="1"/>
  <c r="BS283" i="2" s="1"/>
  <c r="V283" i="2"/>
  <c r="AH283" i="2" s="1"/>
  <c r="AT283" i="2" s="1"/>
  <c r="BF283" i="2" s="1"/>
  <c r="BR283" i="2" s="1"/>
  <c r="U283" i="2"/>
  <c r="T283" i="2"/>
  <c r="AF283" i="2" s="1"/>
  <c r="AR283" i="2" s="1"/>
  <c r="BD283" i="2" s="1"/>
  <c r="BP283" i="2" s="1"/>
  <c r="S283" i="2"/>
  <c r="AE283" i="2" s="1"/>
  <c r="AQ283" i="2" s="1"/>
  <c r="BC283" i="2" s="1"/>
  <c r="R283" i="2"/>
  <c r="Q283" i="2"/>
  <c r="AC283" i="2" s="1"/>
  <c r="AO283" i="2" s="1"/>
  <c r="BA283" i="2" s="1"/>
  <c r="P283" i="2"/>
  <c r="AB283" i="2" s="1"/>
  <c r="AN283" i="2" s="1"/>
  <c r="AZ283" i="2" s="1"/>
  <c r="BL283" i="2" s="1"/>
  <c r="O283" i="2"/>
  <c r="AA283" i="2" s="1"/>
  <c r="AM283" i="2" s="1"/>
  <c r="N283" i="2"/>
  <c r="Z283" i="2" s="1"/>
  <c r="M283" i="2"/>
  <c r="L283" i="2"/>
  <c r="K283" i="2"/>
  <c r="J283" i="2"/>
  <c r="I283" i="2"/>
  <c r="H283" i="2"/>
  <c r="G283" i="2"/>
  <c r="F283" i="2"/>
  <c r="E283" i="2"/>
  <c r="X282" i="2"/>
  <c r="AJ282" i="2" s="1"/>
  <c r="AV282" i="2" s="1"/>
  <c r="BH282" i="2" s="1"/>
  <c r="BT282" i="2" s="1"/>
  <c r="W282" i="2"/>
  <c r="V282" i="2"/>
  <c r="AH282" i="2" s="1"/>
  <c r="AT282" i="2" s="1"/>
  <c r="BF282" i="2" s="1"/>
  <c r="BR282" i="2" s="1"/>
  <c r="U282" i="2"/>
  <c r="AG282" i="2" s="1"/>
  <c r="AS282" i="2" s="1"/>
  <c r="BE282" i="2" s="1"/>
  <c r="BQ282" i="2" s="1"/>
  <c r="T282" i="2"/>
  <c r="AF282" i="2" s="1"/>
  <c r="AR282" i="2" s="1"/>
  <c r="BD282" i="2" s="1"/>
  <c r="BP282" i="2" s="1"/>
  <c r="S282" i="2"/>
  <c r="AE282" i="2" s="1"/>
  <c r="AQ282" i="2" s="1"/>
  <c r="R282" i="2"/>
  <c r="Q282" i="2"/>
  <c r="AC282" i="2" s="1"/>
  <c r="AO282" i="2" s="1"/>
  <c r="BA282" i="2" s="1"/>
  <c r="P282" i="2"/>
  <c r="AB282" i="2" s="1"/>
  <c r="AN282" i="2" s="1"/>
  <c r="O282" i="2"/>
  <c r="AA282" i="2" s="1"/>
  <c r="AM282" i="2" s="1"/>
  <c r="N282" i="2"/>
  <c r="Z282" i="2" s="1"/>
  <c r="M282" i="2"/>
  <c r="AW282" i="2" s="1"/>
  <c r="BI282" i="2" s="1"/>
  <c r="BU282" i="2" s="1"/>
  <c r="L282" i="2"/>
  <c r="K282" i="2"/>
  <c r="J282" i="2"/>
  <c r="I282" i="2"/>
  <c r="H282" i="2"/>
  <c r="G282" i="2"/>
  <c r="F282" i="2"/>
  <c r="E282" i="2"/>
  <c r="X281" i="2"/>
  <c r="AJ281" i="2" s="1"/>
  <c r="AV281" i="2" s="1"/>
  <c r="BH281" i="2" s="1"/>
  <c r="BT281" i="2" s="1"/>
  <c r="W281" i="2"/>
  <c r="V281" i="2"/>
  <c r="AH281" i="2" s="1"/>
  <c r="AT281" i="2" s="1"/>
  <c r="BF281" i="2" s="1"/>
  <c r="BR281" i="2" s="1"/>
  <c r="U281" i="2"/>
  <c r="AG281" i="2" s="1"/>
  <c r="AS281" i="2" s="1"/>
  <c r="BE281" i="2" s="1"/>
  <c r="BQ281" i="2" s="1"/>
  <c r="T281" i="2"/>
  <c r="AF281" i="2" s="1"/>
  <c r="AR281" i="2" s="1"/>
  <c r="BD281" i="2" s="1"/>
  <c r="BP281" i="2" s="1"/>
  <c r="S281" i="2"/>
  <c r="AE281" i="2" s="1"/>
  <c r="AQ281" i="2" s="1"/>
  <c r="R281" i="2"/>
  <c r="Q281" i="2"/>
  <c r="AC281" i="2" s="1"/>
  <c r="AO281" i="2" s="1"/>
  <c r="P281" i="2"/>
  <c r="AB281" i="2" s="1"/>
  <c r="AN281" i="2" s="1"/>
  <c r="O281" i="2"/>
  <c r="AA281" i="2" s="1"/>
  <c r="AM281" i="2" s="1"/>
  <c r="N281" i="2"/>
  <c r="Z281" i="2" s="1"/>
  <c r="M281" i="2"/>
  <c r="L281" i="2"/>
  <c r="K281" i="2"/>
  <c r="J281" i="2"/>
  <c r="I281" i="2"/>
  <c r="H281" i="2"/>
  <c r="G281" i="2"/>
  <c r="F281" i="2"/>
  <c r="E281" i="2"/>
  <c r="X280" i="2"/>
  <c r="AJ280" i="2" s="1"/>
  <c r="AV280" i="2" s="1"/>
  <c r="BH280" i="2" s="1"/>
  <c r="BT280" i="2" s="1"/>
  <c r="W280" i="2"/>
  <c r="V280" i="2"/>
  <c r="U280" i="2"/>
  <c r="T280" i="2"/>
  <c r="S280" i="2"/>
  <c r="AE280" i="2" s="1"/>
  <c r="AQ280" i="2" s="1"/>
  <c r="R280" i="2"/>
  <c r="Q280" i="2"/>
  <c r="AC280" i="2" s="1"/>
  <c r="AO280" i="2" s="1"/>
  <c r="P280" i="2"/>
  <c r="AB280" i="2" s="1"/>
  <c r="AN280" i="2" s="1"/>
  <c r="O280" i="2"/>
  <c r="AA280" i="2" s="1"/>
  <c r="AM280" i="2" s="1"/>
  <c r="N280" i="2"/>
  <c r="Z280" i="2" s="1"/>
  <c r="AX280" i="2" s="1"/>
  <c r="M280" i="2"/>
  <c r="L280" i="2"/>
  <c r="K280" i="2"/>
  <c r="J280" i="2"/>
  <c r="I280" i="2"/>
  <c r="H280" i="2"/>
  <c r="G280" i="2"/>
  <c r="F280" i="2"/>
  <c r="E280" i="2"/>
  <c r="D285" i="4"/>
  <c r="D284" i="4"/>
  <c r="D283" i="4"/>
  <c r="D282" i="4"/>
  <c r="D281" i="4"/>
  <c r="D288" i="2"/>
  <c r="D287" i="2"/>
  <c r="D286" i="2"/>
  <c r="D285" i="2"/>
  <c r="D284" i="2"/>
  <c r="D283" i="2"/>
  <c r="D282" i="2"/>
  <c r="D281" i="2"/>
  <c r="D280" i="4"/>
  <c r="D280" i="2"/>
  <c r="AP29" i="8" l="1"/>
  <c r="AA17" i="2"/>
  <c r="AB17" i="2" s="1"/>
  <c r="AC17" i="2" s="1"/>
  <c r="AW283" i="2"/>
  <c r="BI283" i="2" s="1"/>
  <c r="BU283" i="2" s="1"/>
  <c r="AA13" i="2"/>
  <c r="AB13" i="2" s="1"/>
  <c r="AC13" i="2" s="1"/>
  <c r="AR17" i="2"/>
  <c r="AS17" i="2" s="1"/>
  <c r="AT17" i="2" s="1"/>
  <c r="AU17" i="2" s="1"/>
  <c r="AV17" i="2" s="1"/>
  <c r="AW17" i="2" s="1"/>
  <c r="AW281" i="2"/>
  <c r="BI281" i="2" s="1"/>
  <c r="BU281" i="2" s="1"/>
  <c r="AW285" i="2"/>
  <c r="BI285" i="2" s="1"/>
  <c r="BU285" i="2" s="1"/>
  <c r="AA15" i="2"/>
  <c r="AB15" i="2" s="1"/>
  <c r="AC15" i="2" s="1"/>
  <c r="AW281" i="4"/>
  <c r="BI281" i="4" s="1"/>
  <c r="BU281" i="4" s="1"/>
  <c r="AA11" i="4"/>
  <c r="AB11" i="4" s="1"/>
  <c r="AC11" i="4" s="1"/>
  <c r="AQ10" i="2"/>
  <c r="BC280" i="2"/>
  <c r="AQ12" i="2"/>
  <c r="AR12" i="2" s="1"/>
  <c r="AS12" i="2" s="1"/>
  <c r="AT12" i="2" s="1"/>
  <c r="AU12" i="2" s="1"/>
  <c r="AV12" i="2" s="1"/>
  <c r="AW12" i="2" s="1"/>
  <c r="AX12" i="2" s="1"/>
  <c r="BC282" i="2"/>
  <c r="BC284" i="2"/>
  <c r="AQ14" i="2"/>
  <c r="AR14" i="2" s="1"/>
  <c r="AS14" i="2" s="1"/>
  <c r="AT14" i="2" s="1"/>
  <c r="AU14" i="2" s="1"/>
  <c r="AV14" i="2" s="1"/>
  <c r="AW14" i="2" s="1"/>
  <c r="AX14" i="2" s="1"/>
  <c r="AY14" i="2" s="1"/>
  <c r="AQ16" i="2"/>
  <c r="AR16" i="2" s="1"/>
  <c r="AS16" i="2" s="1"/>
  <c r="AT16" i="2" s="1"/>
  <c r="AU16" i="2" s="1"/>
  <c r="AV16" i="2" s="1"/>
  <c r="AW16" i="2" s="1"/>
  <c r="AX16" i="2" s="1"/>
  <c r="BC286" i="2"/>
  <c r="BO286" i="2" s="1"/>
  <c r="BO16" i="2" s="1"/>
  <c r="BP16" i="2" s="1"/>
  <c r="BQ16" i="2" s="1"/>
  <c r="BR16" i="2" s="1"/>
  <c r="BS16" i="2" s="1"/>
  <c r="AQ18" i="2"/>
  <c r="AR18" i="2" s="1"/>
  <c r="AS18" i="2" s="1"/>
  <c r="AT18" i="2" s="1"/>
  <c r="AU18" i="2" s="1"/>
  <c r="AV18" i="2" s="1"/>
  <c r="AW18" i="2" s="1"/>
  <c r="BC288" i="2"/>
  <c r="BC287" i="2"/>
  <c r="BO287" i="2" s="1"/>
  <c r="AA13" i="4"/>
  <c r="AB13" i="4" s="1"/>
  <c r="AC13" i="4" s="1"/>
  <c r="AA15" i="4"/>
  <c r="AB15" i="4" s="1"/>
  <c r="AC15" i="4" s="1"/>
  <c r="AA11" i="2"/>
  <c r="AB11" i="2" s="1"/>
  <c r="AC11" i="2" s="1"/>
  <c r="AX285" i="2"/>
  <c r="BJ285" i="2" s="1"/>
  <c r="AA12" i="2"/>
  <c r="AB12" i="2" s="1"/>
  <c r="AC12" i="2" s="1"/>
  <c r="AA14" i="2"/>
  <c r="AB14" i="2" s="1"/>
  <c r="AC14" i="2" s="1"/>
  <c r="AA16" i="2"/>
  <c r="AB16" i="2" s="1"/>
  <c r="AC16" i="2" s="1"/>
  <c r="AA18" i="2"/>
  <c r="AB18" i="2" s="1"/>
  <c r="AC18" i="2" s="1"/>
  <c r="AQ11" i="2"/>
  <c r="AR11" i="2" s="1"/>
  <c r="AS11" i="2" s="1"/>
  <c r="AT11" i="2" s="1"/>
  <c r="AU11" i="2" s="1"/>
  <c r="AV11" i="2" s="1"/>
  <c r="BC281" i="2"/>
  <c r="BC13" i="2"/>
  <c r="BD13" i="2" s="1"/>
  <c r="BO283" i="2"/>
  <c r="BO13" i="2" s="1"/>
  <c r="BP13" i="2" s="1"/>
  <c r="AA10" i="4"/>
  <c r="AB10" i="4" s="1"/>
  <c r="AC10" i="4" s="1"/>
  <c r="AA12" i="4"/>
  <c r="AB12" i="4" s="1"/>
  <c r="AC12" i="4" s="1"/>
  <c r="AA14" i="4"/>
  <c r="AB14" i="4" s="1"/>
  <c r="AC14" i="4" s="1"/>
  <c r="AQ13" i="2"/>
  <c r="AR13" i="2" s="1"/>
  <c r="AS13" i="2" s="1"/>
  <c r="AT13" i="2" s="1"/>
  <c r="AU13" i="2" s="1"/>
  <c r="AV13" i="2" s="1"/>
  <c r="AA10" i="2"/>
  <c r="AB10" i="2" s="1"/>
  <c r="AC10" i="2" s="1"/>
  <c r="AR10" i="2"/>
  <c r="AS10" i="2" s="1"/>
  <c r="AT10" i="2" s="1"/>
  <c r="AU10" i="2" s="1"/>
  <c r="AV10" i="2" s="1"/>
  <c r="AW10" i="2" s="1"/>
  <c r="AX10" i="2" s="1"/>
  <c r="BC284" i="4"/>
  <c r="BO284" i="4" s="1"/>
  <c r="AQ282" i="4"/>
  <c r="AW282" i="4"/>
  <c r="AW280" i="4"/>
  <c r="BI280" i="4" s="1"/>
  <c r="BU280" i="4" s="1"/>
  <c r="BS281" i="2"/>
  <c r="BT286" i="2"/>
  <c r="BP284" i="2"/>
  <c r="BE283" i="2"/>
  <c r="BD280" i="2"/>
  <c r="BC15" i="2"/>
  <c r="BD15" i="2" s="1"/>
  <c r="BE15" i="2" s="1"/>
  <c r="BF15" i="2" s="1"/>
  <c r="BG15" i="2" s="1"/>
  <c r="BH15" i="2" s="1"/>
  <c r="BO285" i="2"/>
  <c r="BO15" i="2" s="1"/>
  <c r="BP15" i="2" s="1"/>
  <c r="BQ15" i="2" s="1"/>
  <c r="BR15" i="2" s="1"/>
  <c r="BS15" i="2" s="1"/>
  <c r="BT15" i="2" s="1"/>
  <c r="BJ281" i="2"/>
  <c r="BV282" i="2"/>
  <c r="AX283" i="2"/>
  <c r="BJ280" i="2"/>
  <c r="AX287" i="2"/>
  <c r="AX288" i="2"/>
  <c r="BV286" i="2"/>
  <c r="BK284" i="2"/>
  <c r="AY281" i="2"/>
  <c r="BK288" i="2"/>
  <c r="AY286" i="2"/>
  <c r="AY283" i="2"/>
  <c r="AY287" i="2"/>
  <c r="AY282" i="2"/>
  <c r="AY280" i="2"/>
  <c r="AM285" i="2"/>
  <c r="AY285" i="2" s="1"/>
  <c r="BL287" i="2"/>
  <c r="AZ281" i="2"/>
  <c r="BL286" i="2"/>
  <c r="BX283" i="2"/>
  <c r="AZ280" i="2"/>
  <c r="AZ282" i="2"/>
  <c r="AZ288" i="2"/>
  <c r="AZ284" i="2"/>
  <c r="BA281" i="2"/>
  <c r="BM287" i="2"/>
  <c r="BM283" i="2"/>
  <c r="BA288" i="2"/>
  <c r="BA280" i="2"/>
  <c r="BA284" i="2"/>
  <c r="BM282" i="2"/>
  <c r="BA286" i="2"/>
  <c r="BU15" i="2" l="1"/>
  <c r="BT16" i="2"/>
  <c r="BU16" i="2" s="1"/>
  <c r="BV16" i="2" s="1"/>
  <c r="AQ29" i="8"/>
  <c r="BC17" i="2"/>
  <c r="BD17" i="2" s="1"/>
  <c r="BE17" i="2" s="1"/>
  <c r="BF17" i="2" s="1"/>
  <c r="BG17" i="2" s="1"/>
  <c r="BH17" i="2" s="1"/>
  <c r="BI17" i="2" s="1"/>
  <c r="BI15" i="2"/>
  <c r="BJ15" i="2" s="1"/>
  <c r="AW13" i="2"/>
  <c r="AX13" i="2" s="1"/>
  <c r="AY13" i="2" s="1"/>
  <c r="AZ13" i="2" s="1"/>
  <c r="BA13" i="2" s="1"/>
  <c r="AW11" i="2"/>
  <c r="AX11" i="2" s="1"/>
  <c r="AY11" i="2" s="1"/>
  <c r="AZ11" i="2" s="1"/>
  <c r="BA11" i="2" s="1"/>
  <c r="BO288" i="2"/>
  <c r="BO18" i="2" s="1"/>
  <c r="BP18" i="2" s="1"/>
  <c r="BQ18" i="2" s="1"/>
  <c r="BR18" i="2" s="1"/>
  <c r="BS18" i="2" s="1"/>
  <c r="BT18" i="2" s="1"/>
  <c r="BU18" i="2" s="1"/>
  <c r="BC18" i="2"/>
  <c r="BD18" i="2" s="1"/>
  <c r="BE18" i="2" s="1"/>
  <c r="BF18" i="2" s="1"/>
  <c r="BG18" i="2" s="1"/>
  <c r="BH18" i="2" s="1"/>
  <c r="BI18" i="2" s="1"/>
  <c r="BC10" i="2"/>
  <c r="BD10" i="2" s="1"/>
  <c r="BE10" i="2" s="1"/>
  <c r="BF10" i="2" s="1"/>
  <c r="BG10" i="2" s="1"/>
  <c r="BH10" i="2" s="1"/>
  <c r="BI10" i="2" s="1"/>
  <c r="BJ10" i="2" s="1"/>
  <c r="BO280" i="2"/>
  <c r="BO10" i="2" s="1"/>
  <c r="BC14" i="2"/>
  <c r="BD14" i="2" s="1"/>
  <c r="BE14" i="2" s="1"/>
  <c r="BF14" i="2" s="1"/>
  <c r="BG14" i="2" s="1"/>
  <c r="BH14" i="2" s="1"/>
  <c r="BI14" i="2" s="1"/>
  <c r="BJ14" i="2" s="1"/>
  <c r="BK14" i="2" s="1"/>
  <c r="BO284" i="2"/>
  <c r="BO14" i="2" s="1"/>
  <c r="BP14" i="2" s="1"/>
  <c r="BQ14" i="2" s="1"/>
  <c r="BR14" i="2" s="1"/>
  <c r="BS14" i="2" s="1"/>
  <c r="BT14" i="2" s="1"/>
  <c r="BU14" i="2" s="1"/>
  <c r="BV14" i="2" s="1"/>
  <c r="BC12" i="2"/>
  <c r="BD12" i="2" s="1"/>
  <c r="BE12" i="2" s="1"/>
  <c r="BF12" i="2" s="1"/>
  <c r="BG12" i="2" s="1"/>
  <c r="BH12" i="2" s="1"/>
  <c r="BI12" i="2" s="1"/>
  <c r="BJ12" i="2" s="1"/>
  <c r="BO282" i="2"/>
  <c r="BO12" i="2" s="1"/>
  <c r="BP12" i="2" s="1"/>
  <c r="BQ12" i="2" s="1"/>
  <c r="BR12" i="2" s="1"/>
  <c r="BS12" i="2" s="1"/>
  <c r="BT12" i="2" s="1"/>
  <c r="BU12" i="2" s="1"/>
  <c r="BV12" i="2" s="1"/>
  <c r="BC11" i="2"/>
  <c r="BD11" i="2" s="1"/>
  <c r="BE11" i="2" s="1"/>
  <c r="BF11" i="2" s="1"/>
  <c r="BG11" i="2" s="1"/>
  <c r="BH11" i="2" s="1"/>
  <c r="BI11" i="2" s="1"/>
  <c r="BJ11" i="2" s="1"/>
  <c r="BO281" i="2"/>
  <c r="BO11" i="2" s="1"/>
  <c r="BP11" i="2" s="1"/>
  <c r="BQ11" i="2" s="1"/>
  <c r="BR11" i="2" s="1"/>
  <c r="BS11" i="2" s="1"/>
  <c r="BT11" i="2" s="1"/>
  <c r="BU11" i="2" s="1"/>
  <c r="BC282" i="4"/>
  <c r="BO282" i="4" s="1"/>
  <c r="BI282" i="4"/>
  <c r="BE13" i="2"/>
  <c r="BF13" i="2" s="1"/>
  <c r="BG13" i="2" s="1"/>
  <c r="BH13" i="2" s="1"/>
  <c r="BI13" i="2" s="1"/>
  <c r="BQ283" i="2"/>
  <c r="BQ13" i="2" s="1"/>
  <c r="BR13" i="2" s="1"/>
  <c r="BS13" i="2" s="1"/>
  <c r="BT13" i="2" s="1"/>
  <c r="BU13" i="2" s="1"/>
  <c r="BP280" i="2"/>
  <c r="BV285" i="2"/>
  <c r="BV15" i="2" s="1"/>
  <c r="BJ288" i="2"/>
  <c r="AX18" i="2"/>
  <c r="AY18" i="2" s="1"/>
  <c r="AZ18" i="2" s="1"/>
  <c r="BA18" i="2" s="1"/>
  <c r="BV280" i="2"/>
  <c r="BJ287" i="2"/>
  <c r="AX17" i="2"/>
  <c r="AY17" i="2" s="1"/>
  <c r="AZ17" i="2" s="1"/>
  <c r="BA17" i="2" s="1"/>
  <c r="BJ283" i="2"/>
  <c r="BV281" i="2"/>
  <c r="AY12" i="2"/>
  <c r="AZ12" i="2" s="1"/>
  <c r="BA12" i="2" s="1"/>
  <c r="BK282" i="2"/>
  <c r="BW288" i="2"/>
  <c r="BW284" i="2"/>
  <c r="BK287" i="2"/>
  <c r="BK281" i="2"/>
  <c r="AY16" i="2"/>
  <c r="AZ16" i="2" s="1"/>
  <c r="BA16" i="2" s="1"/>
  <c r="BK286" i="2"/>
  <c r="AY10" i="2"/>
  <c r="AZ10" i="2" s="1"/>
  <c r="BA10" i="2" s="1"/>
  <c r="BK280" i="2"/>
  <c r="BK283" i="2"/>
  <c r="BL282" i="2"/>
  <c r="BL280" i="2"/>
  <c r="BL281" i="2"/>
  <c r="AZ14" i="2"/>
  <c r="BA14" i="2" s="1"/>
  <c r="BL284" i="2"/>
  <c r="BL288" i="2"/>
  <c r="BX286" i="2"/>
  <c r="BX287" i="2"/>
  <c r="BM286" i="2"/>
  <c r="BM280" i="2"/>
  <c r="BY287" i="2"/>
  <c r="BY283" i="2"/>
  <c r="BM288" i="2"/>
  <c r="BY282" i="2"/>
  <c r="BM281" i="2"/>
  <c r="BM284" i="2"/>
  <c r="BK285" i="2"/>
  <c r="AR29" i="8" l="1"/>
  <c r="BW14" i="2"/>
  <c r="BV11" i="2"/>
  <c r="BP10" i="2"/>
  <c r="BQ10" i="2" s="1"/>
  <c r="BR10" i="2" s="1"/>
  <c r="BS10" i="2" s="1"/>
  <c r="BT10" i="2" s="1"/>
  <c r="BU10" i="2" s="1"/>
  <c r="BV10" i="2" s="1"/>
  <c r="BU282" i="4"/>
  <c r="BV287" i="2"/>
  <c r="BJ17" i="2"/>
  <c r="BK17" i="2" s="1"/>
  <c r="BL17" i="2" s="1"/>
  <c r="BM17" i="2" s="1"/>
  <c r="BV288" i="2"/>
  <c r="BV18" i="2" s="1"/>
  <c r="BW18" i="2" s="1"/>
  <c r="BJ18" i="2"/>
  <c r="BK18" i="2" s="1"/>
  <c r="BL18" i="2" s="1"/>
  <c r="BM18" i="2" s="1"/>
  <c r="BV283" i="2"/>
  <c r="BV13" i="2" s="1"/>
  <c r="BJ13" i="2"/>
  <c r="BK13" i="2" s="1"/>
  <c r="BL13" i="2" s="1"/>
  <c r="BM13" i="2" s="1"/>
  <c r="BK11" i="2"/>
  <c r="BL11" i="2" s="1"/>
  <c r="BM11" i="2" s="1"/>
  <c r="BW281" i="2"/>
  <c r="BW280" i="2"/>
  <c r="BK10" i="2"/>
  <c r="BL10" i="2" s="1"/>
  <c r="BM10" i="2" s="1"/>
  <c r="BW282" i="2"/>
  <c r="BW12" i="2" s="1"/>
  <c r="BK12" i="2"/>
  <c r="BL12" i="2" s="1"/>
  <c r="BM12" i="2" s="1"/>
  <c r="BW283" i="2"/>
  <c r="BW13" i="2" s="1"/>
  <c r="BX13" i="2" s="1"/>
  <c r="BW286" i="2"/>
  <c r="BW16" i="2" s="1"/>
  <c r="BX16" i="2" s="1"/>
  <c r="BW287" i="2"/>
  <c r="BX280" i="2"/>
  <c r="BL14" i="2"/>
  <c r="BM14" i="2" s="1"/>
  <c r="BX284" i="2"/>
  <c r="BX288" i="2"/>
  <c r="BX282" i="2"/>
  <c r="BX281" i="2"/>
  <c r="BY284" i="2"/>
  <c r="BY280" i="2"/>
  <c r="BY281" i="2"/>
  <c r="BY288" i="2"/>
  <c r="BY286" i="2"/>
  <c r="BK15" i="2"/>
  <c r="BL15" i="2" s="1"/>
  <c r="BM15" i="2" s="1"/>
  <c r="BW285" i="2"/>
  <c r="BW15" i="2" s="1"/>
  <c r="BX15" i="2" s="1"/>
  <c r="BX14" i="2" l="1"/>
  <c r="AS29" i="8"/>
  <c r="BW11" i="2"/>
  <c r="BX11" i="2" s="1"/>
  <c r="BX18" i="2"/>
  <c r="BW10" i="2"/>
  <c r="BX10" i="2" s="1"/>
  <c r="BX12" i="2"/>
  <c r="AT29" i="8" l="1"/>
  <c r="AY127" i="2"/>
  <c r="BK127" i="2" s="1"/>
  <c r="BW127" i="2" s="1"/>
  <c r="AW127" i="2"/>
  <c r="BI127" i="2" s="1"/>
  <c r="BU127" i="2" s="1"/>
  <c r="AS127" i="2"/>
  <c r="BE127" i="2" s="1"/>
  <c r="BQ127" i="2" s="1"/>
  <c r="AO127" i="2"/>
  <c r="BA127" i="2" s="1"/>
  <c r="BM127" i="2" s="1"/>
  <c r="AU127" i="2"/>
  <c r="BG127" i="2" s="1"/>
  <c r="BS127" i="2" s="1"/>
  <c r="AT127" i="2"/>
  <c r="BF127" i="2" s="1"/>
  <c r="BR127" i="2" s="1"/>
  <c r="AQ127" i="2"/>
  <c r="BC127" i="2" s="1"/>
  <c r="BO127" i="2" s="1"/>
  <c r="AP127" i="2"/>
  <c r="BB127" i="2" s="1"/>
  <c r="BN127" i="2" s="1"/>
  <c r="AX127" i="2"/>
  <c r="BJ127" i="2" s="1"/>
  <c r="BV127" i="2" s="1"/>
  <c r="BL48" i="4"/>
  <c r="BX48" i="4" s="1"/>
  <c r="BK48" i="4"/>
  <c r="BW48" i="4" s="1"/>
  <c r="BJ48" i="4"/>
  <c r="BV48" i="4" s="1"/>
  <c r="BI48" i="4"/>
  <c r="BU48" i="4" s="1"/>
  <c r="BH48" i="4"/>
  <c r="BT48" i="4" s="1"/>
  <c r="BG48" i="4"/>
  <c r="BS48" i="4" s="1"/>
  <c r="BF48" i="4"/>
  <c r="BR48" i="4" s="1"/>
  <c r="BE48" i="4"/>
  <c r="BQ48" i="4" s="1"/>
  <c r="BD48" i="4"/>
  <c r="BP48" i="4" s="1"/>
  <c r="BC48" i="4"/>
  <c r="BO48" i="4" s="1"/>
  <c r="BB48" i="4"/>
  <c r="BN48" i="4" s="1"/>
  <c r="BL48" i="2"/>
  <c r="BX48" i="2" s="1"/>
  <c r="BK48" i="2"/>
  <c r="BW48" i="2" s="1"/>
  <c r="BJ48" i="2"/>
  <c r="BV48" i="2" s="1"/>
  <c r="BI48" i="2"/>
  <c r="BU48" i="2" s="1"/>
  <c r="BH48" i="2"/>
  <c r="BT48" i="2" s="1"/>
  <c r="BG48" i="2"/>
  <c r="BS48" i="2" s="1"/>
  <c r="BF48" i="2"/>
  <c r="BR48" i="2" s="1"/>
  <c r="BE48" i="2"/>
  <c r="BQ48" i="2" s="1"/>
  <c r="BD48" i="2"/>
  <c r="BP48" i="2" s="1"/>
  <c r="BC48" i="2"/>
  <c r="BO48" i="2" s="1"/>
  <c r="BB48" i="2"/>
  <c r="BN48" i="2" s="1"/>
  <c r="BA48" i="4"/>
  <c r="BM48" i="4" s="1"/>
  <c r="BA48" i="2"/>
  <c r="BM48" i="2" s="1"/>
  <c r="AM48" i="4"/>
  <c r="AL48" i="4"/>
  <c r="AK48" i="4"/>
  <c r="AJ48" i="4"/>
  <c r="AM48" i="2"/>
  <c r="AL48" i="2"/>
  <c r="AK48" i="2"/>
  <c r="AJ48" i="2"/>
  <c r="AB156" i="2"/>
  <c r="AQ49" i="2"/>
  <c r="BC49" i="2" s="1"/>
  <c r="BO49" i="2" s="1"/>
  <c r="AP49" i="2"/>
  <c r="BB49" i="2" s="1"/>
  <c r="BN49" i="2" s="1"/>
  <c r="AO49" i="2"/>
  <c r="AN49" i="2"/>
  <c r="AM49" i="2"/>
  <c r="AY49" i="2" s="1"/>
  <c r="AL49" i="2"/>
  <c r="AX49" i="2" s="1"/>
  <c r="AK49" i="2"/>
  <c r="AW49" i="2" s="1"/>
  <c r="AJ49" i="2"/>
  <c r="AI49" i="2"/>
  <c r="AU49" i="2" s="1"/>
  <c r="AH49" i="2"/>
  <c r="AT49" i="2" s="1"/>
  <c r="AG49" i="2"/>
  <c r="AF49" i="2"/>
  <c r="AR49" i="2" s="1"/>
  <c r="BD49" i="2" s="1"/>
  <c r="BP49" i="2" s="1"/>
  <c r="BB49" i="4"/>
  <c r="BN49" i="4" s="1"/>
  <c r="AQ49" i="4"/>
  <c r="BC49" i="4" s="1"/>
  <c r="BO49" i="4" s="1"/>
  <c r="AP49" i="4"/>
  <c r="AO49" i="4"/>
  <c r="BA49" i="4" s="1"/>
  <c r="BM49" i="4" s="1"/>
  <c r="AN49" i="4"/>
  <c r="AZ49" i="4" s="1"/>
  <c r="BL49" i="4" s="1"/>
  <c r="AM49" i="4"/>
  <c r="AY49" i="4" s="1"/>
  <c r="BK49" i="4" s="1"/>
  <c r="AL49" i="4"/>
  <c r="AX49" i="4" s="1"/>
  <c r="BJ49" i="4" s="1"/>
  <c r="AK49" i="4"/>
  <c r="AW49" i="4" s="1"/>
  <c r="BI49" i="4" s="1"/>
  <c r="AJ49" i="4"/>
  <c r="AV49" i="4" s="1"/>
  <c r="AI49" i="4"/>
  <c r="AU49" i="4" s="1"/>
  <c r="BG49" i="4" s="1"/>
  <c r="AH49" i="4"/>
  <c r="AT49" i="4" s="1"/>
  <c r="BF49" i="4" s="1"/>
  <c r="AG49" i="4"/>
  <c r="AS49" i="4" s="1"/>
  <c r="AF49" i="4"/>
  <c r="AR49" i="4" s="1"/>
  <c r="BD49" i="4" s="1"/>
  <c r="B49" i="4"/>
  <c r="A49" i="4"/>
  <c r="B49" i="2"/>
  <c r="A49" i="2"/>
  <c r="CC49" i="15"/>
  <c r="AE49" i="15"/>
  <c r="AD49" i="15"/>
  <c r="AC49" i="15"/>
  <c r="AB49" i="15"/>
  <c r="AA49" i="15"/>
  <c r="Z49" i="15"/>
  <c r="X49" i="15"/>
  <c r="W49" i="15"/>
  <c r="V49" i="15"/>
  <c r="U49" i="15"/>
  <c r="T49" i="15"/>
  <c r="S49" i="15"/>
  <c r="R49" i="15"/>
  <c r="Q49" i="15"/>
  <c r="P49" i="15"/>
  <c r="O49" i="15"/>
  <c r="N49" i="15"/>
  <c r="M49" i="15"/>
  <c r="L49" i="15"/>
  <c r="K49" i="15"/>
  <c r="J49" i="15"/>
  <c r="I49" i="15"/>
  <c r="H49" i="15"/>
  <c r="G49" i="15"/>
  <c r="F49" i="15"/>
  <c r="E49" i="15"/>
  <c r="AL46" i="4"/>
  <c r="AX46" i="4" s="1"/>
  <c r="BJ46" i="4" s="1"/>
  <c r="BV46" i="4" s="1"/>
  <c r="AM46" i="2"/>
  <c r="AY46" i="2" s="1"/>
  <c r="BK46" i="2" s="1"/>
  <c r="BW46" i="2" s="1"/>
  <c r="AL46" i="2"/>
  <c r="AX46" i="2" s="1"/>
  <c r="BJ46" i="2" s="1"/>
  <c r="BV46" i="2" s="1"/>
  <c r="AJ46" i="4"/>
  <c r="AV46" i="4" s="1"/>
  <c r="BH46" i="4" s="1"/>
  <c r="BT46" i="4" s="1"/>
  <c r="AI46" i="4"/>
  <c r="AU46" i="4" s="1"/>
  <c r="BG46" i="4" s="1"/>
  <c r="BS46" i="4" s="1"/>
  <c r="AH46" i="4"/>
  <c r="AT46" i="4" s="1"/>
  <c r="BF46" i="4" s="1"/>
  <c r="BR46" i="4" s="1"/>
  <c r="AG46" i="4"/>
  <c r="AS46" i="4" s="1"/>
  <c r="BE46" i="4" s="1"/>
  <c r="BQ46" i="4" s="1"/>
  <c r="AF46" i="4"/>
  <c r="AR46" i="4" s="1"/>
  <c r="BD46" i="4" s="1"/>
  <c r="BP46" i="4" s="1"/>
  <c r="AE46" i="4"/>
  <c r="AQ46" i="4" s="1"/>
  <c r="BC46" i="4" s="1"/>
  <c r="BO46" i="4" s="1"/>
  <c r="AD46" i="4"/>
  <c r="AP46" i="4" s="1"/>
  <c r="BB46" i="4" s="1"/>
  <c r="BN46" i="4" s="1"/>
  <c r="AC46" i="4"/>
  <c r="AO46" i="4" s="1"/>
  <c r="BA46" i="4" s="1"/>
  <c r="BM46" i="4" s="1"/>
  <c r="AN46" i="4"/>
  <c r="AZ46" i="4" s="1"/>
  <c r="BL46" i="4" s="1"/>
  <c r="BX46" i="4" s="1"/>
  <c r="AJ46" i="2"/>
  <c r="AV46" i="2" s="1"/>
  <c r="BH46" i="2" s="1"/>
  <c r="BT46" i="2" s="1"/>
  <c r="AI46" i="2"/>
  <c r="AU46" i="2" s="1"/>
  <c r="BG46" i="2" s="1"/>
  <c r="BS46" i="2" s="1"/>
  <c r="AH46" i="2"/>
  <c r="AT46" i="2" s="1"/>
  <c r="BF46" i="2" s="1"/>
  <c r="BR46" i="2" s="1"/>
  <c r="AG46" i="2"/>
  <c r="AS46" i="2" s="1"/>
  <c r="BE46" i="2" s="1"/>
  <c r="BQ46" i="2" s="1"/>
  <c r="AF46" i="2"/>
  <c r="AR46" i="2" s="1"/>
  <c r="BD46" i="2" s="1"/>
  <c r="BP46" i="2" s="1"/>
  <c r="AE46" i="2"/>
  <c r="AQ46" i="2" s="1"/>
  <c r="BC46" i="2" s="1"/>
  <c r="BO46" i="2" s="1"/>
  <c r="AD46" i="2"/>
  <c r="AP46" i="2" s="1"/>
  <c r="BB46" i="2" s="1"/>
  <c r="BN46" i="2" s="1"/>
  <c r="AC46" i="2"/>
  <c r="AO46" i="2" s="1"/>
  <c r="BA46" i="2" s="1"/>
  <c r="BM46" i="2" s="1"/>
  <c r="AN46" i="2"/>
  <c r="AZ46" i="2" s="1"/>
  <c r="BL46" i="2" s="1"/>
  <c r="BX46" i="2" s="1"/>
  <c r="R45" i="2"/>
  <c r="U45" i="2"/>
  <c r="R45" i="4"/>
  <c r="U45" i="4"/>
  <c r="BN17" i="2"/>
  <c r="BO17" i="2" s="1"/>
  <c r="BP17" i="2" s="1"/>
  <c r="BQ17" i="2" s="1"/>
  <c r="BR17" i="2" s="1"/>
  <c r="BS17" i="2" s="1"/>
  <c r="BT17" i="2" s="1"/>
  <c r="BU17" i="2" s="1"/>
  <c r="BV17" i="2" s="1"/>
  <c r="BW17" i="2" s="1"/>
  <c r="BX17" i="2" s="1"/>
  <c r="BB16" i="2"/>
  <c r="BC16" i="2" s="1"/>
  <c r="BD16" i="2" s="1"/>
  <c r="BE16" i="2" s="1"/>
  <c r="BF16" i="2" s="1"/>
  <c r="BG16" i="2" s="1"/>
  <c r="BH16" i="2" s="1"/>
  <c r="BI16" i="2" s="1"/>
  <c r="BJ16" i="2" s="1"/>
  <c r="BK16" i="2" s="1"/>
  <c r="BL16" i="2" s="1"/>
  <c r="BM16" i="2" s="1"/>
  <c r="Z259" i="4"/>
  <c r="AA259" i="4" s="1"/>
  <c r="AB259" i="4" s="1"/>
  <c r="AC259" i="4" s="1"/>
  <c r="AD259" i="4" s="1"/>
  <c r="AE259" i="4" s="1"/>
  <c r="AF259" i="4" s="1"/>
  <c r="AG259" i="4" s="1"/>
  <c r="AH259" i="4" s="1"/>
  <c r="AI259" i="4" s="1"/>
  <c r="AJ259" i="4" s="1"/>
  <c r="AK259" i="4" s="1"/>
  <c r="AL259" i="4" s="1"/>
  <c r="AM259" i="4" s="1"/>
  <c r="AN259" i="4" s="1"/>
  <c r="AO259" i="4" s="1"/>
  <c r="AP259" i="4" s="1"/>
  <c r="AQ259" i="4" s="1"/>
  <c r="AR259" i="4" s="1"/>
  <c r="AS259" i="4" s="1"/>
  <c r="AT259" i="4" s="1"/>
  <c r="AU259" i="4" s="1"/>
  <c r="AV259" i="4" s="1"/>
  <c r="AW259" i="4" s="1"/>
  <c r="AX259" i="4" s="1"/>
  <c r="AY259" i="4" s="1"/>
  <c r="AZ259" i="4" s="1"/>
  <c r="BA259" i="4" s="1"/>
  <c r="BB259" i="4" s="1"/>
  <c r="BC259" i="4" s="1"/>
  <c r="BD259" i="4" s="1"/>
  <c r="BE259" i="4" s="1"/>
  <c r="BF259" i="4" s="1"/>
  <c r="BG259" i="4" s="1"/>
  <c r="BH259" i="4" s="1"/>
  <c r="BI259" i="4" s="1"/>
  <c r="BJ259" i="4" s="1"/>
  <c r="BK259" i="4" s="1"/>
  <c r="BL259" i="4" s="1"/>
  <c r="BM259" i="4" s="1"/>
  <c r="BN259" i="4" s="1"/>
  <c r="BO259" i="4" s="1"/>
  <c r="BP259" i="4" s="1"/>
  <c r="BQ259" i="4" s="1"/>
  <c r="BR259" i="4" s="1"/>
  <c r="BS259" i="4" s="1"/>
  <c r="BT259" i="4" s="1"/>
  <c r="BU259" i="4" s="1"/>
  <c r="BV259" i="4" s="1"/>
  <c r="BW259" i="4" s="1"/>
  <c r="BX259" i="4" s="1"/>
  <c r="Z259" i="2"/>
  <c r="AA259" i="2" s="1"/>
  <c r="AB259" i="2" s="1"/>
  <c r="AC259" i="2" s="1"/>
  <c r="AD259" i="2" s="1"/>
  <c r="AE259" i="2" s="1"/>
  <c r="AF259" i="2" s="1"/>
  <c r="AG259" i="2" s="1"/>
  <c r="AH259" i="2" s="1"/>
  <c r="AI259" i="2" s="1"/>
  <c r="AJ259" i="2" s="1"/>
  <c r="AK259" i="2" s="1"/>
  <c r="AL259" i="2" s="1"/>
  <c r="AM259" i="2" s="1"/>
  <c r="AN259" i="2" s="1"/>
  <c r="AO259" i="2" s="1"/>
  <c r="AP259" i="2" s="1"/>
  <c r="AQ259" i="2" s="1"/>
  <c r="AR259" i="2" s="1"/>
  <c r="AS259" i="2" s="1"/>
  <c r="AT259" i="2" s="1"/>
  <c r="AU259" i="2" s="1"/>
  <c r="AV259" i="2" s="1"/>
  <c r="AW259" i="2" s="1"/>
  <c r="AX259" i="2" s="1"/>
  <c r="AY259" i="2" s="1"/>
  <c r="AZ259" i="2" s="1"/>
  <c r="BA259" i="2" s="1"/>
  <c r="BB259" i="2" s="1"/>
  <c r="BC259" i="2" s="1"/>
  <c r="BD259" i="2" s="1"/>
  <c r="BE259" i="2" s="1"/>
  <c r="BF259" i="2" s="1"/>
  <c r="BG259" i="2" s="1"/>
  <c r="BH259" i="2" s="1"/>
  <c r="BI259" i="2" s="1"/>
  <c r="BJ259" i="2" s="1"/>
  <c r="BK259" i="2" s="1"/>
  <c r="BL259" i="2" s="1"/>
  <c r="BM259" i="2" s="1"/>
  <c r="BN259" i="2" s="1"/>
  <c r="BO259" i="2" s="1"/>
  <c r="BP259" i="2" s="1"/>
  <c r="BQ259" i="2" s="1"/>
  <c r="BR259" i="2" s="1"/>
  <c r="BS259" i="2" s="1"/>
  <c r="BT259" i="2" s="1"/>
  <c r="BU259" i="2" s="1"/>
  <c r="BV259" i="2" s="1"/>
  <c r="BW259" i="2" s="1"/>
  <c r="BX259" i="2" s="1"/>
  <c r="AQ8" i="15"/>
  <c r="AR8" i="15" s="1"/>
  <c r="AS8" i="15" s="1"/>
  <c r="AT8" i="15" s="1"/>
  <c r="AU8" i="15" s="1"/>
  <c r="AV8" i="15" s="1"/>
  <c r="AW8" i="15" s="1"/>
  <c r="AX8" i="15" s="1"/>
  <c r="AY8" i="15" s="1"/>
  <c r="AZ8" i="15" s="1"/>
  <c r="BA8" i="15" s="1"/>
  <c r="BB8" i="15" s="1"/>
  <c r="BC8" i="15" s="1"/>
  <c r="BD8" i="15" s="1"/>
  <c r="BE8" i="15" s="1"/>
  <c r="BF8" i="15" s="1"/>
  <c r="BG8" i="15" s="1"/>
  <c r="BH8" i="15" s="1"/>
  <c r="BI8" i="15" s="1"/>
  <c r="BJ8" i="15" s="1"/>
  <c r="BK8" i="15" s="1"/>
  <c r="BL8" i="15" s="1"/>
  <c r="BM8" i="15" s="1"/>
  <c r="BN8" i="15" s="1"/>
  <c r="BO8" i="15" s="1"/>
  <c r="BP8" i="15" s="1"/>
  <c r="BQ8" i="15" s="1"/>
  <c r="BR8" i="15" s="1"/>
  <c r="BS8" i="15" s="1"/>
  <c r="BT8" i="15" s="1"/>
  <c r="BU8" i="15" s="1"/>
  <c r="BV8" i="15" s="1"/>
  <c r="BW8" i="15" s="1"/>
  <c r="BX8" i="15" s="1"/>
  <c r="C8" i="15"/>
  <c r="D8" i="15" s="1"/>
  <c r="AB39" i="4"/>
  <c r="AB39" i="2"/>
  <c r="AZ262" i="4"/>
  <c r="AY262" i="4"/>
  <c r="AX262" i="4"/>
  <c r="AW262" i="4"/>
  <c r="AV262" i="4"/>
  <c r="AU262" i="4"/>
  <c r="AT262" i="4"/>
  <c r="AS262" i="4"/>
  <c r="AR262" i="4"/>
  <c r="AQ262" i="4"/>
  <c r="AP262" i="4"/>
  <c r="AZ262" i="2"/>
  <c r="AY262" i="2"/>
  <c r="AX262" i="2"/>
  <c r="AW262" i="2"/>
  <c r="AV262" i="2"/>
  <c r="AU262" i="2"/>
  <c r="AT262" i="2"/>
  <c r="AS262" i="2"/>
  <c r="AR262" i="2"/>
  <c r="AQ262" i="2"/>
  <c r="AP262" i="2"/>
  <c r="AO262" i="4"/>
  <c r="AO262" i="2"/>
  <c r="AN262" i="4"/>
  <c r="AM262" i="4"/>
  <c r="AL262" i="4"/>
  <c r="AK262" i="4"/>
  <c r="AJ262" i="4"/>
  <c r="AJ39" i="4" s="1"/>
  <c r="AV39" i="4" s="1"/>
  <c r="BH39" i="4" s="1"/>
  <c r="BT39" i="4" s="1"/>
  <c r="AI262" i="4"/>
  <c r="AI39" i="4" s="1"/>
  <c r="AU39" i="4" s="1"/>
  <c r="BG39" i="4" s="1"/>
  <c r="BS39" i="4" s="1"/>
  <c r="AH262" i="4"/>
  <c r="AH39" i="4" s="1"/>
  <c r="AT39" i="4" s="1"/>
  <c r="BF39" i="4" s="1"/>
  <c r="BR39" i="4" s="1"/>
  <c r="AG262" i="4"/>
  <c r="AG39" i="4" s="1"/>
  <c r="AS39" i="4" s="1"/>
  <c r="BE39" i="4" s="1"/>
  <c r="BQ39" i="4" s="1"/>
  <c r="AF262" i="4"/>
  <c r="AF39" i="4" s="1"/>
  <c r="AR39" i="4" s="1"/>
  <c r="BD39" i="4" s="1"/>
  <c r="BP39" i="4" s="1"/>
  <c r="AE262" i="4"/>
  <c r="AE39" i="4" s="1"/>
  <c r="AQ39" i="4" s="1"/>
  <c r="BC39" i="4" s="1"/>
  <c r="BO39" i="4" s="1"/>
  <c r="AD262" i="4"/>
  <c r="AD39" i="4" s="1"/>
  <c r="AP39" i="4" s="1"/>
  <c r="BB39" i="4" s="1"/>
  <c r="BN39" i="4" s="1"/>
  <c r="AN262" i="2"/>
  <c r="AM262" i="2"/>
  <c r="AL262" i="2"/>
  <c r="AK262" i="2"/>
  <c r="AJ262" i="2"/>
  <c r="AJ39" i="2" s="1"/>
  <c r="AV39" i="2" s="1"/>
  <c r="BH39" i="2" s="1"/>
  <c r="BT39" i="2" s="1"/>
  <c r="AI262" i="2"/>
  <c r="AI39" i="2" s="1"/>
  <c r="AU39" i="2" s="1"/>
  <c r="BG39" i="2" s="1"/>
  <c r="BS39" i="2" s="1"/>
  <c r="AH262" i="2"/>
  <c r="AH39" i="2" s="1"/>
  <c r="AT39" i="2" s="1"/>
  <c r="BF39" i="2" s="1"/>
  <c r="BR39" i="2" s="1"/>
  <c r="AG262" i="2"/>
  <c r="AG39" i="2" s="1"/>
  <c r="AS39" i="2" s="1"/>
  <c r="BE39" i="2" s="1"/>
  <c r="BQ39" i="2" s="1"/>
  <c r="AF262" i="2"/>
  <c r="AF39" i="2" s="1"/>
  <c r="AR39" i="2" s="1"/>
  <c r="BD39" i="2" s="1"/>
  <c r="BP39" i="2" s="1"/>
  <c r="AE262" i="2"/>
  <c r="AE39" i="2" s="1"/>
  <c r="AQ39" i="2" s="1"/>
  <c r="BC39" i="2" s="1"/>
  <c r="BO39" i="2" s="1"/>
  <c r="AD262" i="2"/>
  <c r="AD39" i="2" s="1"/>
  <c r="AP39" i="2" s="1"/>
  <c r="BB39" i="2" s="1"/>
  <c r="BN39" i="2" s="1"/>
  <c r="AC262" i="4"/>
  <c r="AC39" i="4" s="1"/>
  <c r="AO39" i="4" s="1"/>
  <c r="BA39" i="4" s="1"/>
  <c r="BM39" i="4" s="1"/>
  <c r="AC262" i="2"/>
  <c r="AC39" i="2" s="1"/>
  <c r="AO39" i="2" s="1"/>
  <c r="BA39" i="2" s="1"/>
  <c r="BM39" i="2" s="1"/>
  <c r="A8" i="15"/>
  <c r="AB15" i="10"/>
  <c r="BW15" i="10"/>
  <c r="BV15" i="10"/>
  <c r="BU15" i="10"/>
  <c r="BT15" i="10"/>
  <c r="BS15" i="10"/>
  <c r="BR15" i="10"/>
  <c r="BQ15" i="10"/>
  <c r="BP15" i="10"/>
  <c r="BO15" i="10"/>
  <c r="BN15" i="10"/>
  <c r="BM15" i="10"/>
  <c r="BL15" i="10"/>
  <c r="BK15" i="10"/>
  <c r="BJ15" i="10"/>
  <c r="BI15" i="10"/>
  <c r="BH15" i="10"/>
  <c r="BG15" i="10"/>
  <c r="BF15" i="10"/>
  <c r="BE15" i="10"/>
  <c r="BD15" i="10"/>
  <c r="BC15" i="10"/>
  <c r="BB15" i="10"/>
  <c r="BA15" i="10"/>
  <c r="AZ15" i="10"/>
  <c r="AY15" i="10"/>
  <c r="AX15" i="10"/>
  <c r="AW15" i="10"/>
  <c r="AV15" i="10"/>
  <c r="AU15" i="10"/>
  <c r="AT15" i="10"/>
  <c r="AS15" i="10"/>
  <c r="AR15" i="10"/>
  <c r="AQ15" i="10"/>
  <c r="AP15" i="10"/>
  <c r="AO15" i="10"/>
  <c r="AN15" i="10"/>
  <c r="AK49" i="15" l="1"/>
  <c r="AU29" i="8"/>
  <c r="AM49" i="15"/>
  <c r="AH49" i="15"/>
  <c r="AQ49" i="15"/>
  <c r="AG49" i="15"/>
  <c r="Y49" i="15"/>
  <c r="AI49" i="15"/>
  <c r="AL49" i="15"/>
  <c r="AP49" i="15"/>
  <c r="AO49" i="15"/>
  <c r="BG49" i="2"/>
  <c r="BS49" i="2" s="1"/>
  <c r="AU49" i="15"/>
  <c r="BK49" i="2"/>
  <c r="BW49" i="2" s="1"/>
  <c r="AY49" i="15"/>
  <c r="AW49" i="15"/>
  <c r="BF49" i="2"/>
  <c r="BR49" i="2" s="1"/>
  <c r="AT49" i="15"/>
  <c r="BJ49" i="2"/>
  <c r="BV49" i="2" s="1"/>
  <c r="AX49" i="15"/>
  <c r="AV127" i="2"/>
  <c r="AS49" i="2"/>
  <c r="BE49" i="2" s="1"/>
  <c r="BQ49" i="2" s="1"/>
  <c r="BA49" i="2"/>
  <c r="AF49" i="15"/>
  <c r="AR127" i="2"/>
  <c r="AR49" i="15"/>
  <c r="AJ49" i="15"/>
  <c r="AN49" i="15"/>
  <c r="AV49" i="2"/>
  <c r="BH49" i="2" s="1"/>
  <c r="BT49" i="2" s="1"/>
  <c r="AZ49" i="2"/>
  <c r="BL49" i="2" s="1"/>
  <c r="BX49" i="2" s="1"/>
  <c r="AZ127" i="2"/>
  <c r="BB49" i="15"/>
  <c r="BC49" i="15"/>
  <c r="BD49" i="15"/>
  <c r="BI49" i="2"/>
  <c r="BU49" i="2" s="1"/>
  <c r="BN49" i="15"/>
  <c r="BO49" i="15"/>
  <c r="BU49" i="4"/>
  <c r="BR49" i="4"/>
  <c r="BV49" i="4"/>
  <c r="BS49" i="4"/>
  <c r="BW49" i="4"/>
  <c r="BX49" i="4"/>
  <c r="BH49" i="4"/>
  <c r="BP49" i="4"/>
  <c r="BP49" i="15" s="1"/>
  <c r="BE49" i="4"/>
  <c r="E8" i="15"/>
  <c r="F8" i="15" s="1"/>
  <c r="G8" i="15" s="1"/>
  <c r="H8" i="15" s="1"/>
  <c r="I8" i="15" s="1"/>
  <c r="J8" i="15" s="1"/>
  <c r="K8" i="15" s="1"/>
  <c r="L8" i="15" s="1"/>
  <c r="M8" i="15" s="1"/>
  <c r="N8" i="15" s="1"/>
  <c r="O8" i="15" s="1"/>
  <c r="P8" i="15" s="1"/>
  <c r="AN39" i="2"/>
  <c r="AZ39" i="2" s="1"/>
  <c r="BL39" i="2" s="1"/>
  <c r="BX39" i="2" s="1"/>
  <c r="AN39" i="4"/>
  <c r="AZ39" i="4" s="1"/>
  <c r="BL39" i="4" s="1"/>
  <c r="BX39" i="4" s="1"/>
  <c r="AM39" i="2"/>
  <c r="AY39" i="2" s="1"/>
  <c r="BK39" i="2" s="1"/>
  <c r="BW39" i="2" s="1"/>
  <c r="AL39" i="2"/>
  <c r="AX39" i="2" s="1"/>
  <c r="BJ39" i="2" s="1"/>
  <c r="BV39" i="2" s="1"/>
  <c r="AL39" i="4"/>
  <c r="AX39" i="4" s="1"/>
  <c r="BJ39" i="4" s="1"/>
  <c r="BV39" i="4" s="1"/>
  <c r="A213" i="4"/>
  <c r="A213" i="2"/>
  <c r="A219" i="4"/>
  <c r="A219" i="2"/>
  <c r="A218" i="4"/>
  <c r="A217" i="4"/>
  <c r="A216" i="4"/>
  <c r="A215" i="4"/>
  <c r="A214" i="4"/>
  <c r="A218" i="2"/>
  <c r="A217" i="2"/>
  <c r="A216" i="2"/>
  <c r="A215" i="2"/>
  <c r="A214" i="2"/>
  <c r="A208" i="4"/>
  <c r="A207" i="4"/>
  <c r="A206" i="4"/>
  <c r="A205" i="4"/>
  <c r="A204" i="4"/>
  <c r="A203" i="4"/>
  <c r="A208" i="2"/>
  <c r="A207" i="2"/>
  <c r="A206" i="2"/>
  <c r="A205" i="2"/>
  <c r="A204" i="2"/>
  <c r="A203" i="2"/>
  <c r="A8" i="13"/>
  <c r="A9" i="13" s="1"/>
  <c r="A10" i="13" s="1"/>
  <c r="A11" i="13" s="1"/>
  <c r="D183" i="4"/>
  <c r="D183" i="2"/>
  <c r="C183" i="4"/>
  <c r="C183" i="2"/>
  <c r="D180" i="15"/>
  <c r="D218" i="15" s="1"/>
  <c r="D179" i="15"/>
  <c r="D178" i="15"/>
  <c r="D216" i="15" s="1"/>
  <c r="D177" i="15"/>
  <c r="D215" i="15" s="1"/>
  <c r="C180" i="15"/>
  <c r="CC180" i="15" s="1"/>
  <c r="C179" i="15"/>
  <c r="CC179" i="15" s="1"/>
  <c r="C178" i="15"/>
  <c r="CC178" i="15" s="1"/>
  <c r="C177" i="15"/>
  <c r="CC177" i="15" s="1"/>
  <c r="B180" i="4"/>
  <c r="A180" i="4"/>
  <c r="B180" i="2"/>
  <c r="A180" i="2"/>
  <c r="B179" i="4"/>
  <c r="A179" i="4"/>
  <c r="B179" i="2"/>
  <c r="A179" i="2"/>
  <c r="B178" i="4"/>
  <c r="A178" i="4"/>
  <c r="B178" i="2"/>
  <c r="A178" i="2"/>
  <c r="B177" i="4"/>
  <c r="A177" i="4"/>
  <c r="B177" i="2"/>
  <c r="A177" i="2"/>
  <c r="B176" i="4"/>
  <c r="A176" i="4"/>
  <c r="B176" i="2"/>
  <c r="A176" i="2"/>
  <c r="B173" i="4"/>
  <c r="A173" i="4"/>
  <c r="B173" i="2"/>
  <c r="A173" i="2"/>
  <c r="B171" i="4"/>
  <c r="A171" i="4"/>
  <c r="B171" i="2"/>
  <c r="A171" i="2"/>
  <c r="B170" i="4"/>
  <c r="A170" i="4"/>
  <c r="B170" i="2"/>
  <c r="A170" i="2"/>
  <c r="B169" i="4"/>
  <c r="A169" i="4"/>
  <c r="B169" i="2"/>
  <c r="A169" i="2"/>
  <c r="B168" i="4"/>
  <c r="A168" i="4"/>
  <c r="B168" i="2"/>
  <c r="A168" i="2"/>
  <c r="P35" i="12"/>
  <c r="N35" i="12"/>
  <c r="H5" i="12"/>
  <c r="J5" i="12" s="1"/>
  <c r="L5" i="12" s="1"/>
  <c r="L35" i="12"/>
  <c r="R1" i="14"/>
  <c r="A2" i="14"/>
  <c r="F5" i="14"/>
  <c r="H5" i="14" s="1"/>
  <c r="J5" i="14" s="1"/>
  <c r="L5" i="14" s="1"/>
  <c r="N5" i="14" s="1"/>
  <c r="P5" i="14" s="1"/>
  <c r="BW38" i="10"/>
  <c r="BV38" i="10"/>
  <c r="BU38" i="10"/>
  <c r="BT38" i="10"/>
  <c r="BS38" i="10"/>
  <c r="BR38" i="10"/>
  <c r="BQ38" i="10"/>
  <c r="BP38" i="10"/>
  <c r="BO38" i="10"/>
  <c r="BN38" i="10"/>
  <c r="BM38" i="10"/>
  <c r="BL38" i="10"/>
  <c r="BK38" i="10"/>
  <c r="BJ38" i="10"/>
  <c r="BI38" i="10"/>
  <c r="BH38" i="10"/>
  <c r="BG38" i="10"/>
  <c r="BF38" i="10"/>
  <c r="BE38" i="10"/>
  <c r="BD38" i="10"/>
  <c r="BC38" i="10"/>
  <c r="BB38" i="10"/>
  <c r="BA38" i="10"/>
  <c r="AZ38" i="10"/>
  <c r="AY38" i="10"/>
  <c r="AX38" i="10"/>
  <c r="AW38" i="10"/>
  <c r="AV38" i="10"/>
  <c r="AU38" i="10"/>
  <c r="AT38" i="10"/>
  <c r="AS38" i="10"/>
  <c r="AR38" i="10"/>
  <c r="AQ38" i="10"/>
  <c r="AP38" i="10"/>
  <c r="AO38" i="10"/>
  <c r="AN38" i="10"/>
  <c r="AM38" i="10"/>
  <c r="AL38" i="10"/>
  <c r="AK38" i="10"/>
  <c r="AJ38" i="10"/>
  <c r="AI38" i="10"/>
  <c r="AH38" i="10"/>
  <c r="AG38" i="10"/>
  <c r="AF38" i="10"/>
  <c r="AE38" i="10"/>
  <c r="AD38" i="10"/>
  <c r="AC38" i="10"/>
  <c r="AB38" i="10"/>
  <c r="AA38" i="10"/>
  <c r="Z38" i="10"/>
  <c r="Y38" i="10"/>
  <c r="X38" i="10"/>
  <c r="W38" i="10"/>
  <c r="V38" i="10"/>
  <c r="U38" i="10"/>
  <c r="T38" i="10"/>
  <c r="S38" i="10"/>
  <c r="R38" i="10"/>
  <c r="Q38" i="10"/>
  <c r="P38" i="10"/>
  <c r="O38" i="10"/>
  <c r="N38" i="10"/>
  <c r="M38" i="10"/>
  <c r="L38" i="10"/>
  <c r="K38" i="10"/>
  <c r="J38" i="10"/>
  <c r="I38" i="10"/>
  <c r="H38" i="10"/>
  <c r="G38" i="10"/>
  <c r="F38" i="10"/>
  <c r="E38" i="10"/>
  <c r="D38" i="10"/>
  <c r="BY91" i="8"/>
  <c r="BY90" i="8" s="1"/>
  <c r="BX91" i="8"/>
  <c r="BX90" i="8" s="1"/>
  <c r="BW91" i="8"/>
  <c r="BV91" i="8"/>
  <c r="BV90" i="8" s="1"/>
  <c r="BU91" i="8"/>
  <c r="BU90" i="8" s="1"/>
  <c r="BT91" i="8"/>
  <c r="BT90" i="8" s="1"/>
  <c r="BS91" i="8"/>
  <c r="BS90" i="8" s="1"/>
  <c r="BR91" i="8"/>
  <c r="BR90" i="8" s="1"/>
  <c r="BQ91" i="8"/>
  <c r="BQ90" i="8" s="1"/>
  <c r="BP91" i="8"/>
  <c r="BP90" i="8" s="1"/>
  <c r="BO91" i="8"/>
  <c r="BO90" i="8" s="1"/>
  <c r="BN91" i="8"/>
  <c r="BN90" i="8" s="1"/>
  <c r="BM91" i="8"/>
  <c r="BM90" i="8" s="1"/>
  <c r="BL91" i="8"/>
  <c r="BL90" i="8" s="1"/>
  <c r="BK91" i="8"/>
  <c r="BK90" i="8" s="1"/>
  <c r="BJ91" i="8"/>
  <c r="BJ90" i="8" s="1"/>
  <c r="BI91" i="8"/>
  <c r="BI90" i="8" s="1"/>
  <c r="BH91" i="8"/>
  <c r="BH90" i="8" s="1"/>
  <c r="BG91" i="8"/>
  <c r="BG90" i="8" s="1"/>
  <c r="BF91" i="8"/>
  <c r="BF90" i="8" s="1"/>
  <c r="BE91" i="8"/>
  <c r="BE90" i="8" s="1"/>
  <c r="BD91" i="8"/>
  <c r="BD90" i="8" s="1"/>
  <c r="BC91" i="8"/>
  <c r="BC90" i="8" s="1"/>
  <c r="BB91" i="8"/>
  <c r="BB90" i="8" s="1"/>
  <c r="BA91" i="8"/>
  <c r="BA90" i="8" s="1"/>
  <c r="AZ91" i="8"/>
  <c r="AZ90" i="8" s="1"/>
  <c r="AY91" i="8"/>
  <c r="AY90" i="8" s="1"/>
  <c r="AX91" i="8"/>
  <c r="AX90" i="8" s="1"/>
  <c r="AW91" i="8"/>
  <c r="AW90" i="8" s="1"/>
  <c r="AV91" i="8"/>
  <c r="AV90" i="8" s="1"/>
  <c r="AU91" i="8"/>
  <c r="AU90" i="8" s="1"/>
  <c r="AT91" i="8"/>
  <c r="AT90" i="8" s="1"/>
  <c r="AS91" i="8"/>
  <c r="AS90" i="8" s="1"/>
  <c r="AR91" i="8"/>
  <c r="AR90" i="8" s="1"/>
  <c r="AQ91" i="8"/>
  <c r="AQ90" i="8" s="1"/>
  <c r="AP91" i="8"/>
  <c r="AP90" i="8" s="1"/>
  <c r="AO91" i="8"/>
  <c r="AN91" i="8"/>
  <c r="AM91" i="8"/>
  <c r="AL91"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D91" i="8"/>
  <c r="BW90" i="8"/>
  <c r="BF25" i="10"/>
  <c r="BW25" i="10"/>
  <c r="BV25" i="10"/>
  <c r="BU25" i="10"/>
  <c r="BT25" i="10"/>
  <c r="BS25" i="10"/>
  <c r="BR25" i="10"/>
  <c r="BQ25" i="10"/>
  <c r="BP25" i="10"/>
  <c r="BO25" i="10"/>
  <c r="BN25" i="10"/>
  <c r="BM25" i="10"/>
  <c r="BL25" i="10"/>
  <c r="BK25" i="10"/>
  <c r="BJ25" i="10"/>
  <c r="BI25" i="10"/>
  <c r="BH25" i="10"/>
  <c r="BG25" i="10"/>
  <c r="BE25" i="10"/>
  <c r="BD25" i="10"/>
  <c r="BC25" i="10"/>
  <c r="BB25" i="10"/>
  <c r="BA25" i="10"/>
  <c r="AZ25" i="10"/>
  <c r="AY25" i="10"/>
  <c r="AX25" i="10"/>
  <c r="AW25" i="10"/>
  <c r="AV25" i="10"/>
  <c r="AU25" i="10"/>
  <c r="AT25" i="10"/>
  <c r="AS25" i="10"/>
  <c r="AR25" i="10"/>
  <c r="AQ25" i="10"/>
  <c r="AP25" i="10"/>
  <c r="AO25" i="10"/>
  <c r="AN25"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BX246" i="15"/>
  <c r="BW246" i="15"/>
  <c r="BV246" i="15"/>
  <c r="BU246" i="15"/>
  <c r="BT246" i="15"/>
  <c r="BS246" i="15"/>
  <c r="BR246" i="15"/>
  <c r="BQ246" i="15"/>
  <c r="BP246" i="15"/>
  <c r="BO246" i="15"/>
  <c r="BN246" i="15"/>
  <c r="BM246" i="15"/>
  <c r="BL246" i="15"/>
  <c r="BK246" i="15"/>
  <c r="BJ246" i="15"/>
  <c r="BI246" i="15"/>
  <c r="BH246" i="15"/>
  <c r="BG246" i="15"/>
  <c r="BF246" i="15"/>
  <c r="BE246" i="15"/>
  <c r="BD246" i="15"/>
  <c r="BC246" i="15"/>
  <c r="BB246" i="15"/>
  <c r="BA246" i="15"/>
  <c r="BX245" i="15"/>
  <c r="BW245" i="15"/>
  <c r="BV245" i="15"/>
  <c r="BU245" i="15"/>
  <c r="BT245" i="15"/>
  <c r="BS245" i="15"/>
  <c r="BR245" i="15"/>
  <c r="BQ245" i="15"/>
  <c r="BP245" i="15"/>
  <c r="BO245" i="15"/>
  <c r="BN245" i="15"/>
  <c r="BM245" i="15"/>
  <c r="BL245" i="15"/>
  <c r="BK245" i="15"/>
  <c r="BJ245" i="15"/>
  <c r="BI245" i="15"/>
  <c r="BH245" i="15"/>
  <c r="BG245" i="15"/>
  <c r="BF245" i="15"/>
  <c r="BE245" i="15"/>
  <c r="BD245" i="15"/>
  <c r="BC245" i="15"/>
  <c r="BB245" i="15"/>
  <c r="BA245" i="15"/>
  <c r="BX244" i="15"/>
  <c r="BW244" i="15"/>
  <c r="BV244" i="15"/>
  <c r="BU244" i="15"/>
  <c r="BT244" i="15"/>
  <c r="BS244" i="15"/>
  <c r="BR244" i="15"/>
  <c r="BQ244" i="15"/>
  <c r="BP244" i="15"/>
  <c r="BO244" i="15"/>
  <c r="BN244" i="15"/>
  <c r="BM244" i="15"/>
  <c r="BL244" i="15"/>
  <c r="BK244" i="15"/>
  <c r="BJ244" i="15"/>
  <c r="BI244" i="15"/>
  <c r="BH244" i="15"/>
  <c r="BG244" i="15"/>
  <c r="BF244" i="15"/>
  <c r="BE244" i="15"/>
  <c r="BD244" i="15"/>
  <c r="BC244" i="15"/>
  <c r="BB244" i="15"/>
  <c r="BA244" i="15"/>
  <c r="BX243" i="15"/>
  <c r="BW243" i="15"/>
  <c r="BV243" i="15"/>
  <c r="BU243" i="15"/>
  <c r="BT243" i="15"/>
  <c r="BS243" i="15"/>
  <c r="BR243" i="15"/>
  <c r="BQ243" i="15"/>
  <c r="BP243" i="15"/>
  <c r="BO243" i="15"/>
  <c r="BN243" i="15"/>
  <c r="BM243" i="15"/>
  <c r="BL243" i="15"/>
  <c r="BK243" i="15"/>
  <c r="BJ243" i="15"/>
  <c r="BI243" i="15"/>
  <c r="BH243" i="15"/>
  <c r="BG243" i="15"/>
  <c r="BF243" i="15"/>
  <c r="BE243" i="15"/>
  <c r="BD243" i="15"/>
  <c r="BC243" i="15"/>
  <c r="BB243" i="15"/>
  <c r="BA243" i="15"/>
  <c r="BX242" i="15"/>
  <c r="BW242" i="15"/>
  <c r="BV242" i="15"/>
  <c r="BU242" i="15"/>
  <c r="BT242" i="15"/>
  <c r="BS242" i="15"/>
  <c r="BR242" i="15"/>
  <c r="BQ242" i="15"/>
  <c r="BP242" i="15"/>
  <c r="BO242" i="15"/>
  <c r="BN242" i="15"/>
  <c r="BM242" i="15"/>
  <c r="BL242" i="15"/>
  <c r="BK242" i="15"/>
  <c r="BJ242" i="15"/>
  <c r="BI242" i="15"/>
  <c r="BH242" i="15"/>
  <c r="BG242" i="15"/>
  <c r="BF242" i="15"/>
  <c r="BE242" i="15"/>
  <c r="BD242" i="15"/>
  <c r="BC242" i="15"/>
  <c r="BB242" i="15"/>
  <c r="BA242" i="15"/>
  <c r="BX241" i="15"/>
  <c r="BW241" i="15"/>
  <c r="BV241" i="15"/>
  <c r="BU241" i="15"/>
  <c r="BT241" i="15"/>
  <c r="BS241" i="15"/>
  <c r="BR241" i="15"/>
  <c r="BQ241" i="15"/>
  <c r="BP241" i="15"/>
  <c r="BO241" i="15"/>
  <c r="BN241" i="15"/>
  <c r="BM241" i="15"/>
  <c r="BL241" i="15"/>
  <c r="BK241" i="15"/>
  <c r="BJ241" i="15"/>
  <c r="BI241" i="15"/>
  <c r="BH241" i="15"/>
  <c r="BG241" i="15"/>
  <c r="BF241" i="15"/>
  <c r="BE241" i="15"/>
  <c r="BD241" i="15"/>
  <c r="BC241" i="15"/>
  <c r="BB241" i="15"/>
  <c r="BA241" i="15"/>
  <c r="BX240" i="15"/>
  <c r="BW240" i="15"/>
  <c r="BV240" i="15"/>
  <c r="BU240" i="15"/>
  <c r="BT240" i="15"/>
  <c r="BS240" i="15"/>
  <c r="BR240" i="15"/>
  <c r="BQ240" i="15"/>
  <c r="BP240" i="15"/>
  <c r="BO240" i="15"/>
  <c r="BN240" i="15"/>
  <c r="BM240" i="15"/>
  <c r="BL240" i="15"/>
  <c r="BK240" i="15"/>
  <c r="BJ240" i="15"/>
  <c r="BI240" i="15"/>
  <c r="BH240" i="15"/>
  <c r="BG240" i="15"/>
  <c r="BF240" i="15"/>
  <c r="BE240" i="15"/>
  <c r="BD240" i="15"/>
  <c r="BC240" i="15"/>
  <c r="BB240" i="15"/>
  <c r="BA240" i="15"/>
  <c r="BX239" i="15"/>
  <c r="BW239" i="15"/>
  <c r="BV239" i="15"/>
  <c r="BU239" i="15"/>
  <c r="BT239" i="15"/>
  <c r="BS239" i="15"/>
  <c r="BR239" i="15"/>
  <c r="BQ239" i="15"/>
  <c r="BP239" i="15"/>
  <c r="BO239" i="15"/>
  <c r="BN239" i="15"/>
  <c r="BM239" i="15"/>
  <c r="BL239" i="15"/>
  <c r="BK239" i="15"/>
  <c r="BJ239" i="15"/>
  <c r="BI239" i="15"/>
  <c r="BH239" i="15"/>
  <c r="BG239" i="15"/>
  <c r="BF239" i="15"/>
  <c r="BE239" i="15"/>
  <c r="BD239" i="15"/>
  <c r="BC239" i="15"/>
  <c r="BB239" i="15"/>
  <c r="BA239" i="15"/>
  <c r="BX238" i="15"/>
  <c r="BW238" i="15"/>
  <c r="BV238" i="15"/>
  <c r="BU238" i="15"/>
  <c r="BT238" i="15"/>
  <c r="BS238" i="15"/>
  <c r="BR238" i="15"/>
  <c r="BQ238" i="15"/>
  <c r="BP238" i="15"/>
  <c r="BO238" i="15"/>
  <c r="BN238" i="15"/>
  <c r="BM238" i="15"/>
  <c r="BL238" i="15"/>
  <c r="BK238" i="15"/>
  <c r="BJ238" i="15"/>
  <c r="BI238" i="15"/>
  <c r="BH238" i="15"/>
  <c r="BG238" i="15"/>
  <c r="BF238" i="15"/>
  <c r="BE238" i="15"/>
  <c r="BD238" i="15"/>
  <c r="BC238" i="15"/>
  <c r="BB238" i="15"/>
  <c r="BA238" i="15"/>
  <c r="BX237" i="15"/>
  <c r="BW237" i="15"/>
  <c r="BV237" i="15"/>
  <c r="BU237" i="15"/>
  <c r="BT237" i="15"/>
  <c r="BS237" i="15"/>
  <c r="BR237" i="15"/>
  <c r="BQ237" i="15"/>
  <c r="BP237" i="15"/>
  <c r="BO237" i="15"/>
  <c r="BN237" i="15"/>
  <c r="BM237" i="15"/>
  <c r="BL237" i="15"/>
  <c r="BK237" i="15"/>
  <c r="BJ237" i="15"/>
  <c r="BI237" i="15"/>
  <c r="BH237" i="15"/>
  <c r="BG237" i="15"/>
  <c r="BF237" i="15"/>
  <c r="BE237" i="15"/>
  <c r="BD237" i="15"/>
  <c r="BC237" i="15"/>
  <c r="BB237" i="15"/>
  <c r="BA237" i="15"/>
  <c r="BX236" i="15"/>
  <c r="BW236" i="15"/>
  <c r="BV236" i="15"/>
  <c r="BU236" i="15"/>
  <c r="BT236" i="15"/>
  <c r="BS236" i="15"/>
  <c r="BR236" i="15"/>
  <c r="BQ236" i="15"/>
  <c r="BP236" i="15"/>
  <c r="BO236" i="15"/>
  <c r="BN236" i="15"/>
  <c r="BM236" i="15"/>
  <c r="BL236" i="15"/>
  <c r="BK236" i="15"/>
  <c r="BJ236" i="15"/>
  <c r="BI236" i="15"/>
  <c r="BH236" i="15"/>
  <c r="BG236" i="15"/>
  <c r="BF236" i="15"/>
  <c r="BE236" i="15"/>
  <c r="BD236" i="15"/>
  <c r="BC236" i="15"/>
  <c r="BB236" i="15"/>
  <c r="BA236" i="15"/>
  <c r="BX235" i="15"/>
  <c r="BW235" i="15"/>
  <c r="BV235" i="15"/>
  <c r="BU235" i="15"/>
  <c r="BT235" i="15"/>
  <c r="BS235" i="15"/>
  <c r="BR235" i="15"/>
  <c r="BQ235" i="15"/>
  <c r="BP235" i="15"/>
  <c r="BO235" i="15"/>
  <c r="BN235" i="15"/>
  <c r="BM235" i="15"/>
  <c r="BL235" i="15"/>
  <c r="BK235" i="15"/>
  <c r="BJ235" i="15"/>
  <c r="BI235" i="15"/>
  <c r="BH235" i="15"/>
  <c r="BG235" i="15"/>
  <c r="BF235" i="15"/>
  <c r="BE235" i="15"/>
  <c r="BD235" i="15"/>
  <c r="BC235" i="15"/>
  <c r="BB235" i="15"/>
  <c r="BA235" i="15"/>
  <c r="BX234" i="15"/>
  <c r="BW234" i="15"/>
  <c r="BV234" i="15"/>
  <c r="BU234" i="15"/>
  <c r="BT234" i="15"/>
  <c r="BS234" i="15"/>
  <c r="BR234" i="15"/>
  <c r="BQ234" i="15"/>
  <c r="BP234" i="15"/>
  <c r="BO234" i="15"/>
  <c r="BN234" i="15"/>
  <c r="BM234" i="15"/>
  <c r="BL234" i="15"/>
  <c r="BK234" i="15"/>
  <c r="BJ234" i="15"/>
  <c r="BI234" i="15"/>
  <c r="BH234" i="15"/>
  <c r="BG234" i="15"/>
  <c r="BF234" i="15"/>
  <c r="BE234" i="15"/>
  <c r="BD234" i="15"/>
  <c r="BC234" i="15"/>
  <c r="BB234" i="15"/>
  <c r="BA234" i="15"/>
  <c r="BX233" i="15"/>
  <c r="BW233" i="15"/>
  <c r="BV233" i="15"/>
  <c r="BU233" i="15"/>
  <c r="BT233" i="15"/>
  <c r="BS233" i="15"/>
  <c r="BR233" i="15"/>
  <c r="BQ233" i="15"/>
  <c r="BP233" i="15"/>
  <c r="BO233" i="15"/>
  <c r="BN233" i="15"/>
  <c r="BM233" i="15"/>
  <c r="BL233" i="15"/>
  <c r="BK233" i="15"/>
  <c r="BJ233" i="15"/>
  <c r="BI233" i="15"/>
  <c r="BH233" i="15"/>
  <c r="BG233" i="15"/>
  <c r="BF233" i="15"/>
  <c r="BE233" i="15"/>
  <c r="BD233" i="15"/>
  <c r="BC233" i="15"/>
  <c r="BB233" i="15"/>
  <c r="BA233" i="15"/>
  <c r="BX232" i="15"/>
  <c r="BX248" i="15" s="1"/>
  <c r="BW232" i="15"/>
  <c r="BW248" i="15" s="1"/>
  <c r="BV232" i="15"/>
  <c r="BV248" i="15" s="1"/>
  <c r="BU232" i="15"/>
  <c r="BU248" i="15" s="1"/>
  <c r="BT232" i="15"/>
  <c r="BT248" i="15" s="1"/>
  <c r="BS232" i="15"/>
  <c r="BS248" i="15" s="1"/>
  <c r="BR232" i="15"/>
  <c r="BR248" i="15" s="1"/>
  <c r="BQ232" i="15"/>
  <c r="BQ248" i="15" s="1"/>
  <c r="BP232" i="15"/>
  <c r="BP248" i="15" s="1"/>
  <c r="BO232" i="15"/>
  <c r="BO248" i="15" s="1"/>
  <c r="BN232" i="15"/>
  <c r="BN248" i="15" s="1"/>
  <c r="BM232" i="15"/>
  <c r="BM248" i="15" s="1"/>
  <c r="BL232" i="15"/>
  <c r="BL248" i="15" s="1"/>
  <c r="BK232" i="15"/>
  <c r="BK248" i="15" s="1"/>
  <c r="BJ232" i="15"/>
  <c r="BJ248" i="15" s="1"/>
  <c r="BI232" i="15"/>
  <c r="BI248" i="15" s="1"/>
  <c r="BH232" i="15"/>
  <c r="BH248" i="15" s="1"/>
  <c r="BG232" i="15"/>
  <c r="BF232" i="15"/>
  <c r="BF248" i="15" s="1"/>
  <c r="BE232" i="15"/>
  <c r="BE248" i="15" s="1"/>
  <c r="BD232" i="15"/>
  <c r="BD248" i="15" s="1"/>
  <c r="BC232" i="15"/>
  <c r="BC248" i="15" s="1"/>
  <c r="BB232" i="15"/>
  <c r="BB248" i="15" s="1"/>
  <c r="BA232" i="15"/>
  <c r="BA248" i="15" s="1"/>
  <c r="BX229" i="15"/>
  <c r="BW229" i="15"/>
  <c r="BV229" i="15"/>
  <c r="BU229" i="15"/>
  <c r="BT229" i="15"/>
  <c r="BS229" i="15"/>
  <c r="BR229" i="15"/>
  <c r="BQ229" i="15"/>
  <c r="BP229" i="15"/>
  <c r="BO229" i="15"/>
  <c r="BN229" i="15"/>
  <c r="BM229" i="15"/>
  <c r="BL229" i="15"/>
  <c r="BK229" i="15"/>
  <c r="BJ229" i="15"/>
  <c r="BI229" i="15"/>
  <c r="BH229" i="15"/>
  <c r="BG229" i="15"/>
  <c r="BF229" i="15"/>
  <c r="BE229" i="15"/>
  <c r="BD229" i="15"/>
  <c r="BC229" i="15"/>
  <c r="BB229" i="15"/>
  <c r="BA229" i="15"/>
  <c r="BX228" i="15"/>
  <c r="BW228" i="15"/>
  <c r="BV228" i="15"/>
  <c r="BU228" i="15"/>
  <c r="BT228" i="15"/>
  <c r="BS228" i="15"/>
  <c r="BR228" i="15"/>
  <c r="BQ228" i="15"/>
  <c r="BP228" i="15"/>
  <c r="BO228" i="15"/>
  <c r="BN228" i="15"/>
  <c r="BM228" i="15"/>
  <c r="BL228" i="15"/>
  <c r="BK228" i="15"/>
  <c r="BJ228" i="15"/>
  <c r="BI228" i="15"/>
  <c r="BH228" i="15"/>
  <c r="BG228" i="15"/>
  <c r="BF228" i="15"/>
  <c r="BE228" i="15"/>
  <c r="BD228" i="15"/>
  <c r="BC228" i="15"/>
  <c r="BB228" i="15"/>
  <c r="BA228" i="15"/>
  <c r="BX227" i="15"/>
  <c r="BW227" i="15"/>
  <c r="BV227" i="15"/>
  <c r="BU227" i="15"/>
  <c r="BT227" i="15"/>
  <c r="BS227" i="15"/>
  <c r="BR227" i="15"/>
  <c r="BQ227" i="15"/>
  <c r="BP227" i="15"/>
  <c r="BO227" i="15"/>
  <c r="BN227" i="15"/>
  <c r="BM227" i="15"/>
  <c r="BL227" i="15"/>
  <c r="BK227" i="15"/>
  <c r="BJ227" i="15"/>
  <c r="BI227" i="15"/>
  <c r="BH227" i="15"/>
  <c r="BG227" i="15"/>
  <c r="BF227" i="15"/>
  <c r="BE227" i="15"/>
  <c r="BD227" i="15"/>
  <c r="BC227" i="15"/>
  <c r="BB227" i="15"/>
  <c r="BA227" i="15"/>
  <c r="BX226" i="15"/>
  <c r="BW226" i="15"/>
  <c r="BV226" i="15"/>
  <c r="BU226" i="15"/>
  <c r="BT226" i="15"/>
  <c r="BS226" i="15"/>
  <c r="BR226" i="15"/>
  <c r="BQ226" i="15"/>
  <c r="BP226" i="15"/>
  <c r="BO226" i="15"/>
  <c r="BN226" i="15"/>
  <c r="BM226" i="15"/>
  <c r="BL226" i="15"/>
  <c r="BK226" i="15"/>
  <c r="BJ226" i="15"/>
  <c r="BI226" i="15"/>
  <c r="BH226" i="15"/>
  <c r="BG226" i="15"/>
  <c r="BF226" i="15"/>
  <c r="BE226" i="15"/>
  <c r="BD226" i="15"/>
  <c r="BC226" i="15"/>
  <c r="BB226" i="15"/>
  <c r="BA226" i="15"/>
  <c r="BX225" i="15"/>
  <c r="BX231" i="15" s="1"/>
  <c r="BX249" i="15" s="1"/>
  <c r="BW225" i="15"/>
  <c r="BW231" i="15" s="1"/>
  <c r="BV225" i="15"/>
  <c r="BV231" i="15" s="1"/>
  <c r="BU225" i="15"/>
  <c r="BU231" i="15" s="1"/>
  <c r="BU249" i="15" s="1"/>
  <c r="BT225" i="15"/>
  <c r="BT231" i="15" s="1"/>
  <c r="BT249" i="15" s="1"/>
  <c r="BS225" i="15"/>
  <c r="BS231" i="15" s="1"/>
  <c r="BR225" i="15"/>
  <c r="BR231" i="15" s="1"/>
  <c r="BQ225" i="15"/>
  <c r="BQ231" i="15" s="1"/>
  <c r="BP225" i="15"/>
  <c r="BP231" i="15" s="1"/>
  <c r="BP249" i="15" s="1"/>
  <c r="BO225" i="15"/>
  <c r="BO231" i="15" s="1"/>
  <c r="BN225" i="15"/>
  <c r="BM225" i="15"/>
  <c r="BM231" i="15" s="1"/>
  <c r="BM249" i="15" s="1"/>
  <c r="BL225" i="15"/>
  <c r="BL231" i="15" s="1"/>
  <c r="BL249" i="15" s="1"/>
  <c r="BK225" i="15"/>
  <c r="BK231" i="15" s="1"/>
  <c r="BJ225" i="15"/>
  <c r="BJ231" i="15" s="1"/>
  <c r="BI225" i="15"/>
  <c r="BH225" i="15"/>
  <c r="BH231" i="15" s="1"/>
  <c r="BH249" i="15" s="1"/>
  <c r="BG225" i="15"/>
  <c r="BG231" i="15" s="1"/>
  <c r="BF225" i="15"/>
  <c r="BF231" i="15" s="1"/>
  <c r="BE225" i="15"/>
  <c r="BE231" i="15" s="1"/>
  <c r="BE249" i="15" s="1"/>
  <c r="BD225" i="15"/>
  <c r="BD231" i="15" s="1"/>
  <c r="BD249" i="15" s="1"/>
  <c r="BC225" i="15"/>
  <c r="BC231" i="15" s="1"/>
  <c r="BB225" i="15"/>
  <c r="BB231" i="15" s="1"/>
  <c r="BA225" i="15"/>
  <c r="BA231" i="15" s="1"/>
  <c r="BA249" i="15" s="1"/>
  <c r="BX224" i="15"/>
  <c r="BW224" i="15"/>
  <c r="BV224" i="15"/>
  <c r="BU224" i="15"/>
  <c r="BT224" i="15"/>
  <c r="BS224" i="15"/>
  <c r="BR224" i="15"/>
  <c r="BQ224" i="15"/>
  <c r="BP224" i="15"/>
  <c r="BO224" i="15"/>
  <c r="BN224" i="15"/>
  <c r="BM224" i="15"/>
  <c r="BL224" i="15"/>
  <c r="BK224" i="15"/>
  <c r="BJ224" i="15"/>
  <c r="BI224" i="15"/>
  <c r="BH224" i="15"/>
  <c r="BG224" i="15"/>
  <c r="BF224" i="15"/>
  <c r="BE224" i="15"/>
  <c r="BD224" i="15"/>
  <c r="BC224" i="15"/>
  <c r="BB224" i="15"/>
  <c r="BA224" i="15"/>
  <c r="BX223" i="15"/>
  <c r="BW223" i="15"/>
  <c r="BV223" i="15"/>
  <c r="BU223" i="15"/>
  <c r="BT223" i="15"/>
  <c r="BS223" i="15"/>
  <c r="BR223" i="15"/>
  <c r="BQ223" i="15"/>
  <c r="BP223" i="15"/>
  <c r="BO223" i="15"/>
  <c r="BN223" i="15"/>
  <c r="BM223" i="15"/>
  <c r="BL223" i="15"/>
  <c r="BK223" i="15"/>
  <c r="BJ223" i="15"/>
  <c r="BI223" i="15"/>
  <c r="BH223" i="15"/>
  <c r="BG223" i="15"/>
  <c r="BF223" i="15"/>
  <c r="BE223" i="15"/>
  <c r="BD223" i="15"/>
  <c r="BC223" i="15"/>
  <c r="BB223" i="15"/>
  <c r="BA223" i="15"/>
  <c r="BX222" i="15"/>
  <c r="BW222" i="15"/>
  <c r="BV222" i="15"/>
  <c r="BU222" i="15"/>
  <c r="BT222" i="15"/>
  <c r="BS222" i="15"/>
  <c r="BR222" i="15"/>
  <c r="BQ222" i="15"/>
  <c r="BP222" i="15"/>
  <c r="BO222" i="15"/>
  <c r="BN222" i="15"/>
  <c r="BM222" i="15"/>
  <c r="BL222" i="15"/>
  <c r="BK222" i="15"/>
  <c r="BJ222" i="15"/>
  <c r="BI222" i="15"/>
  <c r="BH222" i="15"/>
  <c r="BG222" i="15"/>
  <c r="BF222" i="15"/>
  <c r="BE222" i="15"/>
  <c r="BD222" i="15"/>
  <c r="BC222" i="15"/>
  <c r="BB222" i="15"/>
  <c r="BA222" i="15"/>
  <c r="BX205" i="15"/>
  <c r="BW205" i="15"/>
  <c r="BV205" i="15"/>
  <c r="BU205" i="15"/>
  <c r="BT205" i="15"/>
  <c r="BS205" i="15"/>
  <c r="BR205" i="15"/>
  <c r="BQ205" i="15"/>
  <c r="BP205" i="15"/>
  <c r="BO205" i="15"/>
  <c r="BN205" i="15"/>
  <c r="BM205" i="15"/>
  <c r="BL205" i="15"/>
  <c r="BK205" i="15"/>
  <c r="BJ205" i="15"/>
  <c r="BI205" i="15"/>
  <c r="BH205" i="15"/>
  <c r="BG205" i="15"/>
  <c r="BF205" i="15"/>
  <c r="BE205" i="15"/>
  <c r="BD205" i="15"/>
  <c r="BC205" i="15"/>
  <c r="BB205" i="15"/>
  <c r="BA205" i="15"/>
  <c r="BX169" i="15"/>
  <c r="BX207" i="15" s="1"/>
  <c r="BW169" i="15"/>
  <c r="BW207" i="15" s="1"/>
  <c r="BV169" i="15"/>
  <c r="BV207" i="15" s="1"/>
  <c r="BU169" i="15"/>
  <c r="BU207" i="15" s="1"/>
  <c r="BT169" i="15"/>
  <c r="BT207" i="15" s="1"/>
  <c r="BS169" i="15"/>
  <c r="BS207" i="15" s="1"/>
  <c r="BR169" i="15"/>
  <c r="BR207" i="15" s="1"/>
  <c r="BQ169" i="15"/>
  <c r="BQ207" i="15" s="1"/>
  <c r="BP169" i="15"/>
  <c r="BP207" i="15" s="1"/>
  <c r="BO169" i="15"/>
  <c r="BO207" i="15" s="1"/>
  <c r="BN169" i="15"/>
  <c r="BN207" i="15" s="1"/>
  <c r="BM169" i="15"/>
  <c r="BM207" i="15" s="1"/>
  <c r="BL169" i="15"/>
  <c r="BL207" i="15" s="1"/>
  <c r="BK169" i="15"/>
  <c r="BK207" i="15" s="1"/>
  <c r="BJ169" i="15"/>
  <c r="BJ207" i="15" s="1"/>
  <c r="BI169" i="15"/>
  <c r="BI207" i="15" s="1"/>
  <c r="BH169" i="15"/>
  <c r="BH207" i="15" s="1"/>
  <c r="BG169" i="15"/>
  <c r="BG207" i="15" s="1"/>
  <c r="BF169" i="15"/>
  <c r="BF207" i="15" s="1"/>
  <c r="BE169" i="15"/>
  <c r="BE207" i="15" s="1"/>
  <c r="BD169" i="15"/>
  <c r="BD207" i="15" s="1"/>
  <c r="BC169" i="15"/>
  <c r="BC207" i="15" s="1"/>
  <c r="BB169" i="15"/>
  <c r="BB207" i="15" s="1"/>
  <c r="BA169" i="15"/>
  <c r="BA207" i="15" s="1"/>
  <c r="BX168" i="15"/>
  <c r="BW168" i="15"/>
  <c r="BV168" i="15"/>
  <c r="BU168" i="15"/>
  <c r="BT168" i="15"/>
  <c r="BS168" i="15"/>
  <c r="BR168" i="15"/>
  <c r="BQ168" i="15"/>
  <c r="BP168" i="15"/>
  <c r="BO168" i="15"/>
  <c r="BN168" i="15"/>
  <c r="BM168" i="15"/>
  <c r="BL168" i="15"/>
  <c r="BK168" i="15"/>
  <c r="BJ168" i="15"/>
  <c r="BI168" i="15"/>
  <c r="BH168" i="15"/>
  <c r="BG168" i="15"/>
  <c r="BF168" i="15"/>
  <c r="BE168" i="15"/>
  <c r="BD168" i="15"/>
  <c r="BC168" i="15"/>
  <c r="BB168" i="15"/>
  <c r="BA168" i="15"/>
  <c r="BX165" i="15"/>
  <c r="BW165" i="15"/>
  <c r="BV165" i="15"/>
  <c r="BU165" i="15"/>
  <c r="BT165" i="15"/>
  <c r="BS165" i="15"/>
  <c r="BR165" i="15"/>
  <c r="BQ165" i="15"/>
  <c r="BP165" i="15"/>
  <c r="BO165" i="15"/>
  <c r="BN165" i="15"/>
  <c r="BM165" i="15"/>
  <c r="BL165" i="15"/>
  <c r="BK165" i="15"/>
  <c r="BJ165" i="15"/>
  <c r="BI165" i="15"/>
  <c r="BH165" i="15"/>
  <c r="BG165" i="15"/>
  <c r="BF165" i="15"/>
  <c r="BE165" i="15"/>
  <c r="BD165" i="15"/>
  <c r="BC165" i="15"/>
  <c r="BB165" i="15"/>
  <c r="BA165" i="15"/>
  <c r="BX164" i="15"/>
  <c r="BW164" i="15"/>
  <c r="BV164" i="15"/>
  <c r="BU164" i="15"/>
  <c r="BT164" i="15"/>
  <c r="BS164" i="15"/>
  <c r="BR164" i="15"/>
  <c r="BQ164" i="15"/>
  <c r="BP164" i="15"/>
  <c r="BO164" i="15"/>
  <c r="BN164" i="15"/>
  <c r="BM164" i="15"/>
  <c r="BL164" i="15"/>
  <c r="BK164" i="15"/>
  <c r="BJ164" i="15"/>
  <c r="BI164" i="15"/>
  <c r="BH164" i="15"/>
  <c r="BG164" i="15"/>
  <c r="BF164" i="15"/>
  <c r="BE164" i="15"/>
  <c r="BD164" i="15"/>
  <c r="BC164" i="15"/>
  <c r="BB164" i="15"/>
  <c r="BA164" i="15"/>
  <c r="BX163" i="15"/>
  <c r="BW163" i="15"/>
  <c r="BV163" i="15"/>
  <c r="BU163" i="15"/>
  <c r="BT163" i="15"/>
  <c r="BS163" i="15"/>
  <c r="BR163" i="15"/>
  <c r="BQ163" i="15"/>
  <c r="BP163" i="15"/>
  <c r="BO163" i="15"/>
  <c r="BN163" i="15"/>
  <c r="BM163" i="15"/>
  <c r="BL163" i="15"/>
  <c r="BK163" i="15"/>
  <c r="BJ163" i="15"/>
  <c r="BI163" i="15"/>
  <c r="BH163" i="15"/>
  <c r="BG163" i="15"/>
  <c r="BF163" i="15"/>
  <c r="BE163" i="15"/>
  <c r="BD163" i="15"/>
  <c r="BC163" i="15"/>
  <c r="BB163" i="15"/>
  <c r="BA163" i="15"/>
  <c r="BX161" i="15"/>
  <c r="BW161" i="15"/>
  <c r="BV161" i="15"/>
  <c r="BU161" i="15"/>
  <c r="BT161" i="15"/>
  <c r="BS161" i="15"/>
  <c r="BR161" i="15"/>
  <c r="BQ161" i="15"/>
  <c r="BP161" i="15"/>
  <c r="BO161" i="15"/>
  <c r="BN161" i="15"/>
  <c r="BM161" i="15"/>
  <c r="BL161" i="15"/>
  <c r="BK161" i="15"/>
  <c r="BJ161" i="15"/>
  <c r="BI161" i="15"/>
  <c r="BH161" i="15"/>
  <c r="BG161" i="15"/>
  <c r="BF161" i="15"/>
  <c r="BE161" i="15"/>
  <c r="BD161" i="15"/>
  <c r="BC161" i="15"/>
  <c r="BB161" i="15"/>
  <c r="BA161" i="15"/>
  <c r="BX160" i="15"/>
  <c r="BW160" i="15"/>
  <c r="BV160" i="15"/>
  <c r="BU160" i="15"/>
  <c r="BT160" i="15"/>
  <c r="BS160" i="15"/>
  <c r="BR160" i="15"/>
  <c r="BQ160" i="15"/>
  <c r="BP160" i="15"/>
  <c r="BO160" i="15"/>
  <c r="BN160" i="15"/>
  <c r="BM160" i="15"/>
  <c r="BL160" i="15"/>
  <c r="BK160" i="15"/>
  <c r="BJ160" i="15"/>
  <c r="BI160" i="15"/>
  <c r="BH160" i="15"/>
  <c r="BG160" i="15"/>
  <c r="BF160" i="15"/>
  <c r="BE160" i="15"/>
  <c r="BD160" i="15"/>
  <c r="BC160" i="15"/>
  <c r="BB160" i="15"/>
  <c r="BA160" i="15"/>
  <c r="BX146" i="15"/>
  <c r="BW146" i="15"/>
  <c r="BV146" i="15"/>
  <c r="BU146" i="15"/>
  <c r="BT146" i="15"/>
  <c r="BS146" i="15"/>
  <c r="BR146" i="15"/>
  <c r="BQ146" i="15"/>
  <c r="BP146" i="15"/>
  <c r="BO146" i="15"/>
  <c r="BN146" i="15"/>
  <c r="BM146" i="15"/>
  <c r="BL146" i="15"/>
  <c r="BK146" i="15"/>
  <c r="BJ146" i="15"/>
  <c r="BI146" i="15"/>
  <c r="BH146" i="15"/>
  <c r="BG146" i="15"/>
  <c r="BF146" i="15"/>
  <c r="BE146" i="15"/>
  <c r="BD146" i="15"/>
  <c r="BC146" i="15"/>
  <c r="BB146" i="15"/>
  <c r="BA146" i="15"/>
  <c r="BX143" i="15"/>
  <c r="BW143" i="15"/>
  <c r="BV143" i="15"/>
  <c r="BU143" i="15"/>
  <c r="BT143" i="15"/>
  <c r="BS143" i="15"/>
  <c r="BR143" i="15"/>
  <c r="BQ143" i="15"/>
  <c r="BP143" i="15"/>
  <c r="BO143" i="15"/>
  <c r="BN143" i="15"/>
  <c r="BM143" i="15"/>
  <c r="BL143" i="15"/>
  <c r="BK143" i="15"/>
  <c r="BJ143" i="15"/>
  <c r="BI143" i="15"/>
  <c r="BH143" i="15"/>
  <c r="BG143" i="15"/>
  <c r="BF143" i="15"/>
  <c r="BE143" i="15"/>
  <c r="BD143" i="15"/>
  <c r="BC143" i="15"/>
  <c r="BB143" i="15"/>
  <c r="BA143" i="15"/>
  <c r="BX142" i="15"/>
  <c r="BW142" i="15"/>
  <c r="BV142" i="15"/>
  <c r="BU142" i="15"/>
  <c r="BT142" i="15"/>
  <c r="BS142" i="15"/>
  <c r="BR142" i="15"/>
  <c r="BQ142" i="15"/>
  <c r="BP142" i="15"/>
  <c r="BO142" i="15"/>
  <c r="BN142" i="15"/>
  <c r="BM142" i="15"/>
  <c r="BL142" i="15"/>
  <c r="BK142" i="15"/>
  <c r="BJ142" i="15"/>
  <c r="BI142" i="15"/>
  <c r="BH142" i="15"/>
  <c r="BG142" i="15"/>
  <c r="BF142" i="15"/>
  <c r="BE142" i="15"/>
  <c r="BD142" i="15"/>
  <c r="BC142" i="15"/>
  <c r="BB142" i="15"/>
  <c r="BA142" i="15"/>
  <c r="BX124" i="15"/>
  <c r="BW124" i="15"/>
  <c r="BV124" i="15"/>
  <c r="BU124" i="15"/>
  <c r="BT124" i="15"/>
  <c r="BS124" i="15"/>
  <c r="BR124" i="15"/>
  <c r="BQ124" i="15"/>
  <c r="BP124" i="15"/>
  <c r="BO124" i="15"/>
  <c r="BN124" i="15"/>
  <c r="BM124" i="15"/>
  <c r="BL124" i="15"/>
  <c r="BK124" i="15"/>
  <c r="BJ124" i="15"/>
  <c r="BI124" i="15"/>
  <c r="BH124" i="15"/>
  <c r="BG124" i="15"/>
  <c r="BF124" i="15"/>
  <c r="BE124" i="15"/>
  <c r="BD124" i="15"/>
  <c r="BC124" i="15"/>
  <c r="BB124" i="15"/>
  <c r="BA124" i="15"/>
  <c r="BX116" i="15"/>
  <c r="BW116" i="15"/>
  <c r="BV116" i="15"/>
  <c r="BU116" i="15"/>
  <c r="BT116" i="15"/>
  <c r="BS116" i="15"/>
  <c r="BR116" i="15"/>
  <c r="BQ116" i="15"/>
  <c r="BP116" i="15"/>
  <c r="BO116" i="15"/>
  <c r="BN116" i="15"/>
  <c r="BM116" i="15"/>
  <c r="BL116" i="15"/>
  <c r="BK116" i="15"/>
  <c r="BJ116" i="15"/>
  <c r="BI116" i="15"/>
  <c r="BH116" i="15"/>
  <c r="BG116" i="15"/>
  <c r="BF116" i="15"/>
  <c r="BE116" i="15"/>
  <c r="BD116" i="15"/>
  <c r="BC116" i="15"/>
  <c r="BB116" i="15"/>
  <c r="BA116" i="15"/>
  <c r="BX114" i="15"/>
  <c r="BW114" i="15"/>
  <c r="BV114" i="15"/>
  <c r="BU114" i="15"/>
  <c r="BT114" i="15"/>
  <c r="BS114" i="15"/>
  <c r="BR114" i="15"/>
  <c r="BQ114" i="15"/>
  <c r="BP114" i="15"/>
  <c r="BO114" i="15"/>
  <c r="BN114" i="15"/>
  <c r="BM114" i="15"/>
  <c r="BL114" i="15"/>
  <c r="BK114" i="15"/>
  <c r="BJ114" i="15"/>
  <c r="BI114" i="15"/>
  <c r="BH114" i="15"/>
  <c r="BG114" i="15"/>
  <c r="BF114" i="15"/>
  <c r="BE114" i="15"/>
  <c r="BD114" i="15"/>
  <c r="BC114" i="15"/>
  <c r="BB114" i="15"/>
  <c r="BA114" i="15"/>
  <c r="BX100" i="15"/>
  <c r="BW100" i="15"/>
  <c r="BV100" i="15"/>
  <c r="BU100" i="15"/>
  <c r="BT100" i="15"/>
  <c r="BS100" i="15"/>
  <c r="BR100" i="15"/>
  <c r="BQ100" i="15"/>
  <c r="BP100" i="15"/>
  <c r="BO100" i="15"/>
  <c r="BN100" i="15"/>
  <c r="BM100" i="15"/>
  <c r="BL100" i="15"/>
  <c r="BK100" i="15"/>
  <c r="BJ100" i="15"/>
  <c r="BI100" i="15"/>
  <c r="BH100" i="15"/>
  <c r="BG100" i="15"/>
  <c r="BF100" i="15"/>
  <c r="BE100" i="15"/>
  <c r="BD100" i="15"/>
  <c r="BC100" i="15"/>
  <c r="BB100" i="15"/>
  <c r="BA100" i="15"/>
  <c r="BX97" i="15"/>
  <c r="BW97" i="15"/>
  <c r="BV97" i="15"/>
  <c r="BU97" i="15"/>
  <c r="BT97" i="15"/>
  <c r="BS97" i="15"/>
  <c r="BR97" i="15"/>
  <c r="BQ97" i="15"/>
  <c r="BP97" i="15"/>
  <c r="BO97" i="15"/>
  <c r="BN97" i="15"/>
  <c r="BM97" i="15"/>
  <c r="BL97" i="15"/>
  <c r="BK97" i="15"/>
  <c r="BJ97" i="15"/>
  <c r="BI97" i="15"/>
  <c r="BH97" i="15"/>
  <c r="BG97" i="15"/>
  <c r="BF97" i="15"/>
  <c r="BE97" i="15"/>
  <c r="BD97" i="15"/>
  <c r="BC97" i="15"/>
  <c r="BB97" i="15"/>
  <c r="BA97" i="15"/>
  <c r="BX88" i="15"/>
  <c r="BW88" i="15"/>
  <c r="BV88" i="15"/>
  <c r="BU88" i="15"/>
  <c r="BT88" i="15"/>
  <c r="BS88" i="15"/>
  <c r="BR88" i="15"/>
  <c r="BQ88" i="15"/>
  <c r="BP88" i="15"/>
  <c r="BO88" i="15"/>
  <c r="BN88" i="15"/>
  <c r="BM88" i="15"/>
  <c r="BL88" i="15"/>
  <c r="BK88" i="15"/>
  <c r="BJ88" i="15"/>
  <c r="BI88" i="15"/>
  <c r="BH88" i="15"/>
  <c r="BG88" i="15"/>
  <c r="BF88" i="15"/>
  <c r="BE88" i="15"/>
  <c r="BD88" i="15"/>
  <c r="BC88" i="15"/>
  <c r="BB88" i="15"/>
  <c r="BA88" i="15"/>
  <c r="BX86" i="15"/>
  <c r="BW86" i="15"/>
  <c r="BV86" i="15"/>
  <c r="BU86" i="15"/>
  <c r="BT86" i="15"/>
  <c r="BS86" i="15"/>
  <c r="BR86" i="15"/>
  <c r="BQ86" i="15"/>
  <c r="BP86" i="15"/>
  <c r="BO86" i="15"/>
  <c r="BN86" i="15"/>
  <c r="BM86" i="15"/>
  <c r="BL86" i="15"/>
  <c r="BK86" i="15"/>
  <c r="BJ86" i="15"/>
  <c r="BI86" i="15"/>
  <c r="BH86" i="15"/>
  <c r="BG86" i="15"/>
  <c r="BF86" i="15"/>
  <c r="BE86" i="15"/>
  <c r="BD86" i="15"/>
  <c r="BC86" i="15"/>
  <c r="BB86" i="15"/>
  <c r="BA86" i="15"/>
  <c r="BX75" i="15"/>
  <c r="BW75" i="15"/>
  <c r="BV75" i="15"/>
  <c r="BU75" i="15"/>
  <c r="BT75" i="15"/>
  <c r="BS75" i="15"/>
  <c r="BR75" i="15"/>
  <c r="BQ75" i="15"/>
  <c r="BP75" i="15"/>
  <c r="BO75" i="15"/>
  <c r="BN75" i="15"/>
  <c r="BM75" i="15"/>
  <c r="BL75" i="15"/>
  <c r="BK75" i="15"/>
  <c r="BJ75" i="15"/>
  <c r="BI75" i="15"/>
  <c r="BH75" i="15"/>
  <c r="BG75" i="15"/>
  <c r="BF75" i="15"/>
  <c r="BE75" i="15"/>
  <c r="BD75" i="15"/>
  <c r="BC75" i="15"/>
  <c r="BB75" i="15"/>
  <c r="BA75" i="15"/>
  <c r="BX56" i="15"/>
  <c r="BW56" i="15"/>
  <c r="BV56" i="15"/>
  <c r="BU56" i="15"/>
  <c r="BT56" i="15"/>
  <c r="BS56" i="15"/>
  <c r="BR56" i="15"/>
  <c r="BQ56" i="15"/>
  <c r="BP56" i="15"/>
  <c r="BO56" i="15"/>
  <c r="BN56" i="15"/>
  <c r="BM56" i="15"/>
  <c r="BL56" i="15"/>
  <c r="BK56" i="15"/>
  <c r="BJ56" i="15"/>
  <c r="BI56" i="15"/>
  <c r="BH56" i="15"/>
  <c r="BG56" i="15"/>
  <c r="BF56" i="15"/>
  <c r="BE56" i="15"/>
  <c r="BD56" i="15"/>
  <c r="BC56" i="15"/>
  <c r="BB56" i="15"/>
  <c r="BA56" i="15"/>
  <c r="BX55" i="15"/>
  <c r="BW55" i="15"/>
  <c r="BV55" i="15"/>
  <c r="BU55" i="15"/>
  <c r="BT55" i="15"/>
  <c r="BS55" i="15"/>
  <c r="BR55" i="15"/>
  <c r="BQ55" i="15"/>
  <c r="BP55" i="15"/>
  <c r="BO55" i="15"/>
  <c r="BN55" i="15"/>
  <c r="BM55" i="15"/>
  <c r="BL55" i="15"/>
  <c r="BK55" i="15"/>
  <c r="BJ55" i="15"/>
  <c r="BI55" i="15"/>
  <c r="BH55" i="15"/>
  <c r="BG55" i="15"/>
  <c r="BF55" i="15"/>
  <c r="BE55" i="15"/>
  <c r="BD55" i="15"/>
  <c r="BC55" i="15"/>
  <c r="BB55" i="15"/>
  <c r="BA55" i="15"/>
  <c r="BX54" i="15"/>
  <c r="BW54" i="15"/>
  <c r="BV54" i="15"/>
  <c r="BU54" i="15"/>
  <c r="BT54" i="15"/>
  <c r="BS54" i="15"/>
  <c r="BR54" i="15"/>
  <c r="BQ54" i="15"/>
  <c r="BP54" i="15"/>
  <c r="BO54" i="15"/>
  <c r="BN54" i="15"/>
  <c r="BM54" i="15"/>
  <c r="BL54" i="15"/>
  <c r="BK54" i="15"/>
  <c r="BJ54" i="15"/>
  <c r="BI54" i="15"/>
  <c r="BH54" i="15"/>
  <c r="BG54" i="15"/>
  <c r="BF54" i="15"/>
  <c r="BE54" i="15"/>
  <c r="BD54" i="15"/>
  <c r="BC54" i="15"/>
  <c r="BB54" i="15"/>
  <c r="BA54" i="15"/>
  <c r="H23" i="12" l="1"/>
  <c r="D23" i="12"/>
  <c r="L23" i="12"/>
  <c r="P23" i="12"/>
  <c r="N23" i="12"/>
  <c r="J23" i="12"/>
  <c r="BG49" i="15"/>
  <c r="BS49" i="15"/>
  <c r="BK49" i="15"/>
  <c r="BJ49" i="15"/>
  <c r="BN218" i="2"/>
  <c r="AV29" i="8"/>
  <c r="BF49" i="15"/>
  <c r="L4" i="12"/>
  <c r="N5" i="12"/>
  <c r="BV49" i="15"/>
  <c r="D217" i="15"/>
  <c r="BL49" i="15"/>
  <c r="BR49" i="15"/>
  <c r="AS49" i="15"/>
  <c r="BD127" i="2"/>
  <c r="BM49" i="2"/>
  <c r="BM49" i="15" s="1"/>
  <c r="BA49" i="15"/>
  <c r="BH127" i="2"/>
  <c r="BW49" i="15"/>
  <c r="AV49" i="15"/>
  <c r="AZ49" i="15"/>
  <c r="BX49" i="15"/>
  <c r="BL127" i="2"/>
  <c r="BU49" i="15"/>
  <c r="BI49" i="15"/>
  <c r="BE49" i="15"/>
  <c r="BQ49" i="4"/>
  <c r="BQ49" i="15" s="1"/>
  <c r="BT49" i="4"/>
  <c r="BT49" i="15" s="1"/>
  <c r="BH49" i="15"/>
  <c r="BG248" i="15"/>
  <c r="BG249" i="15" s="1"/>
  <c r="Q8" i="15"/>
  <c r="R8" i="15" s="1"/>
  <c r="S8" i="15" s="1"/>
  <c r="T8" i="15" s="1"/>
  <c r="U8" i="15" s="1"/>
  <c r="V8" i="15" s="1"/>
  <c r="W8" i="15" s="1"/>
  <c r="X8" i="15" s="1"/>
  <c r="Y8" i="15" s="1"/>
  <c r="Z8" i="15" s="1"/>
  <c r="AA8" i="15" s="1"/>
  <c r="AB8" i="15" s="1"/>
  <c r="AC8" i="15" s="1"/>
  <c r="AD8" i="15" s="1"/>
  <c r="AE8" i="15" s="1"/>
  <c r="AF8" i="15" s="1"/>
  <c r="AG8" i="15" s="1"/>
  <c r="AH8" i="15" s="1"/>
  <c r="AI8" i="15" s="1"/>
  <c r="AJ8" i="15" s="1"/>
  <c r="AK8" i="15" s="1"/>
  <c r="AL8" i="15" s="1"/>
  <c r="AM8" i="15" s="1"/>
  <c r="AN8" i="15" s="1"/>
  <c r="AO8" i="15" s="1"/>
  <c r="BI231" i="15"/>
  <c r="BI249" i="15" s="1"/>
  <c r="C216" i="4"/>
  <c r="C215" i="2"/>
  <c r="D216" i="2"/>
  <c r="C215" i="4"/>
  <c r="D217" i="4"/>
  <c r="C217" i="4"/>
  <c r="D215" i="2"/>
  <c r="D218" i="2"/>
  <c r="D218" i="4"/>
  <c r="C218" i="4"/>
  <c r="C216" i="2"/>
  <c r="D215" i="4"/>
  <c r="C218" i="2"/>
  <c r="D216" i="4"/>
  <c r="C217" i="2"/>
  <c r="D217" i="2"/>
  <c r="C215" i="15"/>
  <c r="CC215" i="15" s="1"/>
  <c r="C218" i="15"/>
  <c r="CC218" i="15" s="1"/>
  <c r="C216" i="15"/>
  <c r="CC216" i="15" s="1"/>
  <c r="C217" i="15"/>
  <c r="CC217" i="15" s="1"/>
  <c r="BN231" i="15"/>
  <c r="BN249" i="15" s="1"/>
  <c r="P16" i="12"/>
  <c r="BQ249" i="15"/>
  <c r="L16" i="12"/>
  <c r="N17" i="12"/>
  <c r="P17" i="12"/>
  <c r="L17" i="12"/>
  <c r="N22" i="12"/>
  <c r="P22" i="12"/>
  <c r="L22" i="12"/>
  <c r="N11" i="12"/>
  <c r="P11" i="12"/>
  <c r="L11" i="12"/>
  <c r="N16" i="12"/>
  <c r="P4" i="14"/>
  <c r="R5" i="14"/>
  <c r="BB249" i="15"/>
  <c r="BF249" i="15"/>
  <c r="BJ249" i="15"/>
  <c r="BR249" i="15"/>
  <c r="BV249" i="15"/>
  <c r="BC249" i="15"/>
  <c r="BK249" i="15"/>
  <c r="BO249" i="15"/>
  <c r="BS249" i="15"/>
  <c r="BW249" i="15"/>
  <c r="AW29" i="8" l="1"/>
  <c r="P5" i="12"/>
  <c r="P4" i="12" s="1"/>
  <c r="N4" i="12"/>
  <c r="N19" i="12"/>
  <c r="BX127" i="2"/>
  <c r="BT127" i="2"/>
  <c r="BP127" i="2"/>
  <c r="P19" i="12"/>
  <c r="L25" i="12"/>
  <c r="N25" i="12"/>
  <c r="L19" i="12"/>
  <c r="P25" i="12"/>
  <c r="R4" i="14"/>
  <c r="AX29" i="8" l="1"/>
  <c r="BX248" i="4"/>
  <c r="BX249" i="4" s="1"/>
  <c r="BW248" i="4"/>
  <c r="BW249" i="4" s="1"/>
  <c r="BV248" i="4"/>
  <c r="BV249" i="4" s="1"/>
  <c r="BU248" i="4"/>
  <c r="BU249" i="4" s="1"/>
  <c r="BT248" i="4"/>
  <c r="BT249" i="4" s="1"/>
  <c r="BS248" i="4"/>
  <c r="BS249" i="4" s="1"/>
  <c r="BR248" i="4"/>
  <c r="BR249" i="4" s="1"/>
  <c r="BQ248" i="4"/>
  <c r="BQ249" i="4" s="1"/>
  <c r="BP248" i="4"/>
  <c r="BP249" i="4" s="1"/>
  <c r="BO248" i="4"/>
  <c r="BO249" i="4" s="1"/>
  <c r="BN248" i="4"/>
  <c r="BN249" i="4" s="1"/>
  <c r="BM248" i="4"/>
  <c r="BM249" i="4" s="1"/>
  <c r="BL248" i="4"/>
  <c r="BL249" i="4" s="1"/>
  <c r="BK248" i="4"/>
  <c r="BK249" i="4" s="1"/>
  <c r="BJ248" i="4"/>
  <c r="BJ249" i="4" s="1"/>
  <c r="BI248" i="4"/>
  <c r="BI249" i="4" s="1"/>
  <c r="BH248" i="4"/>
  <c r="BH249" i="4" s="1"/>
  <c r="BG248" i="4"/>
  <c r="BG249" i="4" s="1"/>
  <c r="BF248" i="4"/>
  <c r="BF249" i="4" s="1"/>
  <c r="BE248" i="4"/>
  <c r="BE249" i="4" s="1"/>
  <c r="BD248" i="4"/>
  <c r="BD249" i="4" s="1"/>
  <c r="BC248" i="4"/>
  <c r="BC249" i="4" s="1"/>
  <c r="BB248" i="4"/>
  <c r="BB249" i="4" s="1"/>
  <c r="BA248" i="4"/>
  <c r="BA249" i="4" s="1"/>
  <c r="BX248" i="2"/>
  <c r="BX249" i="2" s="1"/>
  <c r="BW248" i="2"/>
  <c r="BW249" i="2" s="1"/>
  <c r="BV248" i="2"/>
  <c r="BV249" i="2" s="1"/>
  <c r="BU248" i="2"/>
  <c r="BU249" i="2" s="1"/>
  <c r="BT248" i="2"/>
  <c r="BT249" i="2" s="1"/>
  <c r="BS248" i="2"/>
  <c r="BS249" i="2" s="1"/>
  <c r="BR248" i="2"/>
  <c r="BR249" i="2" s="1"/>
  <c r="BQ248" i="2"/>
  <c r="BQ249" i="2" s="1"/>
  <c r="BP248" i="2"/>
  <c r="BP249" i="2" s="1"/>
  <c r="BO248" i="2"/>
  <c r="BO249" i="2" s="1"/>
  <c r="BN248" i="2"/>
  <c r="BN249" i="2" s="1"/>
  <c r="BM248" i="2"/>
  <c r="BM249" i="2" s="1"/>
  <c r="BL248" i="2"/>
  <c r="BL249" i="2" s="1"/>
  <c r="BK248" i="2"/>
  <c r="BK249" i="2" s="1"/>
  <c r="BJ248" i="2"/>
  <c r="BJ249" i="2" s="1"/>
  <c r="BI248" i="2"/>
  <c r="BI249" i="2" s="1"/>
  <c r="BH248" i="2"/>
  <c r="BH249" i="2" s="1"/>
  <c r="BG248" i="2"/>
  <c r="BG249" i="2" s="1"/>
  <c r="BF248" i="2"/>
  <c r="BF249" i="2" s="1"/>
  <c r="BE248" i="2"/>
  <c r="BE249" i="2" s="1"/>
  <c r="BD248" i="2"/>
  <c r="BD249" i="2" s="1"/>
  <c r="BC248" i="2"/>
  <c r="BC249" i="2" s="1"/>
  <c r="BB248" i="2"/>
  <c r="BB249" i="2" s="1"/>
  <c r="BA248" i="2"/>
  <c r="BA249" i="2" s="1"/>
  <c r="BX170" i="4"/>
  <c r="BX171" i="4" s="1"/>
  <c r="BW170" i="4"/>
  <c r="BW171" i="4" s="1"/>
  <c r="BV170" i="4"/>
  <c r="BV171" i="4" s="1"/>
  <c r="BU170" i="4"/>
  <c r="BU171" i="4" s="1"/>
  <c r="BT170" i="4"/>
  <c r="BT171" i="4" s="1"/>
  <c r="BS170" i="4"/>
  <c r="BS171" i="4" s="1"/>
  <c r="BR170" i="4"/>
  <c r="BR171" i="4" s="1"/>
  <c r="BQ170" i="4"/>
  <c r="BQ171" i="4" s="1"/>
  <c r="BP170" i="4"/>
  <c r="BP171" i="4" s="1"/>
  <c r="BO170" i="4"/>
  <c r="BO171" i="4" s="1"/>
  <c r="BN170" i="4"/>
  <c r="BN171" i="4" s="1"/>
  <c r="BM170" i="4"/>
  <c r="BM171" i="4" s="1"/>
  <c r="BL170" i="4"/>
  <c r="BL171" i="4" s="1"/>
  <c r="BK170" i="4"/>
  <c r="BK171" i="4" s="1"/>
  <c r="BJ170" i="4"/>
  <c r="BJ171" i="4" s="1"/>
  <c r="BI170" i="4"/>
  <c r="BI171" i="4" s="1"/>
  <c r="BH170" i="4"/>
  <c r="BH171" i="4" s="1"/>
  <c r="BG170" i="4"/>
  <c r="BG171" i="4" s="1"/>
  <c r="BF170" i="4"/>
  <c r="BF171" i="4" s="1"/>
  <c r="BE170" i="4"/>
  <c r="BE171" i="4" s="1"/>
  <c r="BD170" i="4"/>
  <c r="BD171" i="4" s="1"/>
  <c r="BC170" i="4"/>
  <c r="BC171" i="4" s="1"/>
  <c r="BB170" i="4"/>
  <c r="BB171" i="4" s="1"/>
  <c r="BA170" i="4"/>
  <c r="BA171" i="4" s="1"/>
  <c r="BX162" i="4"/>
  <c r="BW162" i="4"/>
  <c r="BV162" i="4"/>
  <c r="BU162" i="4"/>
  <c r="BT162" i="4"/>
  <c r="BS162" i="4"/>
  <c r="BR162" i="4"/>
  <c r="BQ162" i="4"/>
  <c r="BP162" i="4"/>
  <c r="BO162" i="4"/>
  <c r="BN162" i="4"/>
  <c r="BM162" i="4"/>
  <c r="BL162" i="4"/>
  <c r="BK162" i="4"/>
  <c r="BJ162" i="4"/>
  <c r="BI162" i="4"/>
  <c r="BH162" i="4"/>
  <c r="BG162" i="4"/>
  <c r="BF162" i="4"/>
  <c r="BE162" i="4"/>
  <c r="BD162" i="4"/>
  <c r="BC162" i="4"/>
  <c r="BB162" i="4"/>
  <c r="BA162" i="4"/>
  <c r="BX156" i="4"/>
  <c r="BW156" i="4"/>
  <c r="BV156" i="4"/>
  <c r="BU156" i="4"/>
  <c r="BT156" i="4"/>
  <c r="BS156" i="4"/>
  <c r="BR156" i="4"/>
  <c r="BQ156" i="4"/>
  <c r="BP156" i="4"/>
  <c r="BO156" i="4"/>
  <c r="BN156" i="4"/>
  <c r="BM156" i="4"/>
  <c r="BL156" i="4"/>
  <c r="BK156" i="4"/>
  <c r="BJ156" i="4"/>
  <c r="BI156" i="4"/>
  <c r="BH156" i="4"/>
  <c r="BG156" i="4"/>
  <c r="BF156" i="4"/>
  <c r="BE156" i="4"/>
  <c r="BD156" i="4"/>
  <c r="BC156" i="4"/>
  <c r="BB156" i="4"/>
  <c r="BA156" i="4"/>
  <c r="BX170" i="2"/>
  <c r="BW170" i="2"/>
  <c r="BW170" i="15" s="1"/>
  <c r="BV170" i="2"/>
  <c r="BU170" i="2"/>
  <c r="BT170" i="2"/>
  <c r="BS170" i="2"/>
  <c r="BR170" i="2"/>
  <c r="BQ170" i="2"/>
  <c r="BP170" i="2"/>
  <c r="BO170" i="2"/>
  <c r="BN170" i="2"/>
  <c r="BM170" i="2"/>
  <c r="BL170" i="2"/>
  <c r="BK170" i="2"/>
  <c r="BJ170" i="2"/>
  <c r="BI170" i="2"/>
  <c r="BH170" i="2"/>
  <c r="BG170" i="2"/>
  <c r="BG170" i="15" s="1"/>
  <c r="BF170" i="2"/>
  <c r="BE170" i="2"/>
  <c r="BD170" i="2"/>
  <c r="BC170" i="2"/>
  <c r="BB170" i="2"/>
  <c r="BA170" i="2"/>
  <c r="BX162" i="2"/>
  <c r="BX162" i="15" s="1"/>
  <c r="BW162" i="2"/>
  <c r="BW162" i="15" s="1"/>
  <c r="BV162" i="2"/>
  <c r="BV162" i="15" s="1"/>
  <c r="BU162" i="2"/>
  <c r="BU162" i="15" s="1"/>
  <c r="BT162" i="2"/>
  <c r="BT162" i="15" s="1"/>
  <c r="BS162" i="2"/>
  <c r="BS162" i="15" s="1"/>
  <c r="BR162" i="2"/>
  <c r="BR162" i="15" s="1"/>
  <c r="BQ162" i="2"/>
  <c r="BQ162" i="15" s="1"/>
  <c r="BP162" i="2"/>
  <c r="BP162" i="15" s="1"/>
  <c r="BO162" i="2"/>
  <c r="BO162" i="15" s="1"/>
  <c r="BN162" i="2"/>
  <c r="BN162" i="15" s="1"/>
  <c r="BM162" i="2"/>
  <c r="BM162" i="15" s="1"/>
  <c r="BL162" i="2"/>
  <c r="BL162" i="15" s="1"/>
  <c r="BK162" i="2"/>
  <c r="BK162" i="15" s="1"/>
  <c r="BJ162" i="2"/>
  <c r="BJ162" i="15" s="1"/>
  <c r="BI162" i="2"/>
  <c r="BI162" i="15" s="1"/>
  <c r="BH162" i="2"/>
  <c r="BH162" i="15" s="1"/>
  <c r="BG162" i="2"/>
  <c r="BG162" i="15" s="1"/>
  <c r="BF162" i="2"/>
  <c r="BF162" i="15" s="1"/>
  <c r="BE162" i="2"/>
  <c r="BE162" i="15" s="1"/>
  <c r="BD162" i="2"/>
  <c r="BD162" i="15" s="1"/>
  <c r="BC162" i="2"/>
  <c r="BC162" i="15" s="1"/>
  <c r="BB162" i="2"/>
  <c r="BB162" i="15" s="1"/>
  <c r="BA162" i="2"/>
  <c r="BA162" i="15" s="1"/>
  <c r="BX156" i="15"/>
  <c r="BW156" i="15"/>
  <c r="BV156" i="15"/>
  <c r="BU156" i="15"/>
  <c r="BT156" i="15"/>
  <c r="BS156" i="15"/>
  <c r="BR156" i="15"/>
  <c r="BQ156" i="15"/>
  <c r="BP156" i="15"/>
  <c r="BO156" i="15"/>
  <c r="BN156" i="15"/>
  <c r="BM156" i="15"/>
  <c r="BL156" i="15"/>
  <c r="BK156" i="15"/>
  <c r="BJ156" i="15"/>
  <c r="BI156" i="15"/>
  <c r="BH156" i="15"/>
  <c r="BG156" i="15"/>
  <c r="BF156" i="15"/>
  <c r="BE156" i="15"/>
  <c r="BD156" i="15"/>
  <c r="BC156" i="15"/>
  <c r="BB156" i="15"/>
  <c r="BA156" i="15"/>
  <c r="BX3" i="4"/>
  <c r="BW3" i="4"/>
  <c r="BV3" i="4"/>
  <c r="BU3" i="4"/>
  <c r="BT3" i="4"/>
  <c r="BS3" i="4"/>
  <c r="BR3" i="4"/>
  <c r="BQ3" i="4"/>
  <c r="BP3" i="4"/>
  <c r="BO3" i="4"/>
  <c r="BN3" i="4"/>
  <c r="BM3" i="4"/>
  <c r="BL3" i="4"/>
  <c r="BK3" i="4"/>
  <c r="BJ3" i="4"/>
  <c r="BI3" i="4"/>
  <c r="BH3" i="4"/>
  <c r="BG3" i="4"/>
  <c r="BF3" i="4"/>
  <c r="BE3" i="4"/>
  <c r="BD3" i="4"/>
  <c r="BC3" i="4"/>
  <c r="BB3" i="4"/>
  <c r="BA3" i="4"/>
  <c r="BX3" i="2"/>
  <c r="BW3" i="2"/>
  <c r="BV3" i="2"/>
  <c r="BU3" i="2"/>
  <c r="BT3" i="2"/>
  <c r="BS3" i="2"/>
  <c r="BR3" i="2"/>
  <c r="BQ3" i="2"/>
  <c r="BP3" i="2"/>
  <c r="BO3" i="2"/>
  <c r="BN3" i="2"/>
  <c r="BM3" i="2"/>
  <c r="BL3" i="2"/>
  <c r="BK3" i="2"/>
  <c r="BJ3" i="2"/>
  <c r="BI3" i="2"/>
  <c r="BH3" i="2"/>
  <c r="BG3" i="2"/>
  <c r="BF3" i="2"/>
  <c r="BE3" i="2"/>
  <c r="BD3" i="2"/>
  <c r="BC3" i="2"/>
  <c r="BB3" i="2"/>
  <c r="BA3" i="2"/>
  <c r="J22" i="12"/>
  <c r="J17" i="12"/>
  <c r="J16" i="12"/>
  <c r="H17" i="12"/>
  <c r="H11" i="12"/>
  <c r="D17" i="12"/>
  <c r="H35" i="12"/>
  <c r="J35" i="12" s="1"/>
  <c r="D4" i="12"/>
  <c r="N5" i="11"/>
  <c r="J4" i="11"/>
  <c r="H5" i="11"/>
  <c r="L5" i="11"/>
  <c r="L22" i="11" s="1"/>
  <c r="F55" i="14"/>
  <c r="CC192" i="15"/>
  <c r="CC172" i="15"/>
  <c r="CC169" i="15"/>
  <c r="CC168" i="15"/>
  <c r="CC165" i="15"/>
  <c r="CC164" i="15"/>
  <c r="CC163" i="15"/>
  <c r="CC161" i="15"/>
  <c r="CC160" i="15"/>
  <c r="CC159" i="15"/>
  <c r="CC156" i="15"/>
  <c r="CC154" i="15"/>
  <c r="CC153" i="15"/>
  <c r="CC152" i="15"/>
  <c r="CC151" i="15"/>
  <c r="CC150" i="15"/>
  <c r="CC149" i="15"/>
  <c r="CC148" i="15"/>
  <c r="CC147" i="15"/>
  <c r="CC146" i="15"/>
  <c r="CC145" i="15"/>
  <c r="CC144" i="15"/>
  <c r="CC143" i="15"/>
  <c r="CC142" i="15"/>
  <c r="CC139" i="15"/>
  <c r="CC138" i="15"/>
  <c r="CC137" i="15"/>
  <c r="CC136" i="15"/>
  <c r="CC135" i="15"/>
  <c r="CC134" i="15"/>
  <c r="CC133" i="15"/>
  <c r="CC132" i="15"/>
  <c r="CC131" i="15"/>
  <c r="CC129" i="15"/>
  <c r="CC128" i="15"/>
  <c r="CC127" i="15"/>
  <c r="CC126" i="15"/>
  <c r="CC125" i="15"/>
  <c r="CC124" i="15"/>
  <c r="CC122" i="15"/>
  <c r="CC121" i="15"/>
  <c r="CC120" i="15"/>
  <c r="CC119" i="15"/>
  <c r="CC118" i="15"/>
  <c r="CC117" i="15"/>
  <c r="CC116" i="15"/>
  <c r="CC115" i="15"/>
  <c r="CC114" i="15"/>
  <c r="CC112" i="15"/>
  <c r="CC111" i="15"/>
  <c r="CC110" i="15"/>
  <c r="CC109" i="15"/>
  <c r="CC108" i="15"/>
  <c r="CC107" i="15"/>
  <c r="CC106" i="15"/>
  <c r="CC105" i="15"/>
  <c r="CC104" i="15"/>
  <c r="CC103" i="15"/>
  <c r="CC102" i="15"/>
  <c r="CC101" i="15"/>
  <c r="CC100" i="15"/>
  <c r="CC99" i="15"/>
  <c r="CC98" i="15"/>
  <c r="CC97" i="15"/>
  <c r="CC95" i="15"/>
  <c r="CC94" i="15"/>
  <c r="CC93" i="15"/>
  <c r="CC92" i="15"/>
  <c r="CC91" i="15"/>
  <c r="CC90" i="15"/>
  <c r="CC89" i="15"/>
  <c r="CC88" i="15"/>
  <c r="CC87" i="15"/>
  <c r="CC86" i="15"/>
  <c r="CC84" i="15"/>
  <c r="CC83" i="15"/>
  <c r="CC82" i="15"/>
  <c r="CC81" i="15"/>
  <c r="CC80" i="15"/>
  <c r="CC79" i="15"/>
  <c r="CC78" i="15"/>
  <c r="CC77" i="15"/>
  <c r="CC76" i="15"/>
  <c r="CC75" i="15"/>
  <c r="CC73" i="15"/>
  <c r="CC72" i="15"/>
  <c r="CC71" i="15"/>
  <c r="CC70" i="15"/>
  <c r="CC69" i="15"/>
  <c r="CC68" i="15"/>
  <c r="CC67" i="15"/>
  <c r="CC66" i="15"/>
  <c r="CC65" i="15"/>
  <c r="CC64" i="15"/>
  <c r="CC63" i="15"/>
  <c r="CC62" i="15"/>
  <c r="CC61" i="15"/>
  <c r="CC60" i="15"/>
  <c r="CC59" i="15"/>
  <c r="CC58" i="15"/>
  <c r="CC57" i="15"/>
  <c r="CC56" i="15"/>
  <c r="CC55" i="15"/>
  <c r="CC54" i="15"/>
  <c r="CC51" i="15"/>
  <c r="CC48" i="15"/>
  <c r="CC47" i="15"/>
  <c r="CC46" i="15"/>
  <c r="CC45" i="15"/>
  <c r="CC44" i="15"/>
  <c r="CC43" i="15"/>
  <c r="CC42" i="15"/>
  <c r="CC41" i="15"/>
  <c r="CC40" i="15"/>
  <c r="CC39" i="15"/>
  <c r="CC38" i="15"/>
  <c r="CC37" i="15"/>
  <c r="CC36" i="15"/>
  <c r="CC35" i="15"/>
  <c r="CC34" i="15"/>
  <c r="CC33" i="15"/>
  <c r="CC32" i="15"/>
  <c r="CC31" i="15"/>
  <c r="CC30" i="15"/>
  <c r="CC27" i="15"/>
  <c r="CC26" i="15"/>
  <c r="CC24" i="15"/>
  <c r="CC23" i="15"/>
  <c r="CC4" i="2"/>
  <c r="CD4" i="2" s="1"/>
  <c r="CC4" i="4"/>
  <c r="CC4" i="15"/>
  <c r="CD3" i="2"/>
  <c r="CD3" i="4"/>
  <c r="CD3" i="15"/>
  <c r="D3" i="4"/>
  <c r="C3" i="4"/>
  <c r="D3" i="2"/>
  <c r="C3" i="2"/>
  <c r="N4" i="14"/>
  <c r="C205" i="15"/>
  <c r="CC205" i="15" s="1"/>
  <c r="D205" i="15"/>
  <c r="E205" i="15"/>
  <c r="F205" i="15"/>
  <c r="G205" i="15"/>
  <c r="H205" i="15"/>
  <c r="I205" i="15"/>
  <c r="J205" i="15"/>
  <c r="K205" i="15"/>
  <c r="L205" i="15"/>
  <c r="M205" i="15"/>
  <c r="N205" i="15"/>
  <c r="O205" i="15"/>
  <c r="P205" i="15"/>
  <c r="Q205" i="15"/>
  <c r="R205" i="15"/>
  <c r="S205" i="15"/>
  <c r="T205" i="15"/>
  <c r="U205" i="15"/>
  <c r="V205" i="15"/>
  <c r="W205" i="15"/>
  <c r="X205" i="15"/>
  <c r="Y205" i="15"/>
  <c r="Z205" i="15"/>
  <c r="AA205" i="15"/>
  <c r="AB205" i="15"/>
  <c r="AC205" i="15"/>
  <c r="AD205" i="15"/>
  <c r="AE205" i="15"/>
  <c r="AF205" i="15"/>
  <c r="AG205" i="15"/>
  <c r="AH205" i="15"/>
  <c r="AI205" i="15"/>
  <c r="AJ205" i="15"/>
  <c r="AK205" i="15"/>
  <c r="AL205" i="15"/>
  <c r="AM205" i="15"/>
  <c r="AN205" i="15"/>
  <c r="AO205" i="15"/>
  <c r="AP205" i="15"/>
  <c r="AQ205" i="15"/>
  <c r="AR205" i="15"/>
  <c r="AS205" i="15"/>
  <c r="AT205" i="15"/>
  <c r="AU205" i="15"/>
  <c r="AV205" i="15"/>
  <c r="AW205" i="15"/>
  <c r="AX205" i="15"/>
  <c r="AY205" i="15"/>
  <c r="AZ205" i="15"/>
  <c r="AZ248" i="4"/>
  <c r="AZ249" i="4" s="1"/>
  <c r="AY248" i="4"/>
  <c r="AY249" i="4" s="1"/>
  <c r="AX248" i="4"/>
  <c r="AX249" i="4" s="1"/>
  <c r="AW248" i="4"/>
  <c r="AW249" i="4" s="1"/>
  <c r="AV248" i="4"/>
  <c r="AV249" i="4" s="1"/>
  <c r="AU248" i="4"/>
  <c r="AU249" i="4" s="1"/>
  <c r="AT248" i="4"/>
  <c r="AT249" i="4" s="1"/>
  <c r="AS248" i="4"/>
  <c r="AS249" i="4" s="1"/>
  <c r="AR248" i="4"/>
  <c r="AR249" i="4" s="1"/>
  <c r="AQ248" i="4"/>
  <c r="AQ249" i="4" s="1"/>
  <c r="AP248" i="4"/>
  <c r="AP249" i="4" s="1"/>
  <c r="AO248" i="4"/>
  <c r="AO249" i="4" s="1"/>
  <c r="AZ248" i="2"/>
  <c r="AZ249" i="2" s="1"/>
  <c r="AY248" i="2"/>
  <c r="AY249" i="2" s="1"/>
  <c r="AX248" i="2"/>
  <c r="AX249" i="2" s="1"/>
  <c r="AW248" i="2"/>
  <c r="AW249" i="2" s="1"/>
  <c r="AV248" i="2"/>
  <c r="AV249" i="2" s="1"/>
  <c r="AU248" i="2"/>
  <c r="AU249" i="2" s="1"/>
  <c r="AT248" i="2"/>
  <c r="AT249" i="2" s="1"/>
  <c r="AS248" i="2"/>
  <c r="AS249" i="2" s="1"/>
  <c r="AR248" i="2"/>
  <c r="AR249" i="2" s="1"/>
  <c r="AQ248" i="2"/>
  <c r="AQ249" i="2" s="1"/>
  <c r="AP248" i="2"/>
  <c r="AP249" i="2" s="1"/>
  <c r="AO248" i="2"/>
  <c r="AO249" i="2" s="1"/>
  <c r="AZ3" i="4"/>
  <c r="AY3" i="4"/>
  <c r="AX3" i="4"/>
  <c r="AW3" i="4"/>
  <c r="AV3" i="4"/>
  <c r="AU3" i="4"/>
  <c r="AT3" i="4"/>
  <c r="AS3" i="4"/>
  <c r="AR3" i="4"/>
  <c r="AQ3" i="4"/>
  <c r="AP3" i="4"/>
  <c r="AO3" i="4"/>
  <c r="AZ3" i="2"/>
  <c r="AY3" i="2"/>
  <c r="AX3" i="2"/>
  <c r="AW3" i="2"/>
  <c r="AV3" i="2"/>
  <c r="AU3" i="2"/>
  <c r="AT3" i="2"/>
  <c r="AS3" i="2"/>
  <c r="AR3" i="2"/>
  <c r="AQ3" i="2"/>
  <c r="AP3" i="2"/>
  <c r="AO3" i="2"/>
  <c r="AZ246" i="15"/>
  <c r="AY246" i="15"/>
  <c r="AX246" i="15"/>
  <c r="AW246" i="15"/>
  <c r="AV246" i="15"/>
  <c r="AU246" i="15"/>
  <c r="AT246" i="15"/>
  <c r="AS246" i="15"/>
  <c r="AR246" i="15"/>
  <c r="AQ246" i="15"/>
  <c r="AP246" i="15"/>
  <c r="AO246" i="15"/>
  <c r="AZ245" i="15"/>
  <c r="AY245" i="15"/>
  <c r="AX245" i="15"/>
  <c r="AW245" i="15"/>
  <c r="AV245" i="15"/>
  <c r="AU245" i="15"/>
  <c r="AT245" i="15"/>
  <c r="AS245" i="15"/>
  <c r="AR245" i="15"/>
  <c r="AQ245" i="15"/>
  <c r="AP245" i="15"/>
  <c r="AO245" i="15"/>
  <c r="AZ244" i="15"/>
  <c r="AY244" i="15"/>
  <c r="AX244" i="15"/>
  <c r="AW244" i="15"/>
  <c r="AV244" i="15"/>
  <c r="AU244" i="15"/>
  <c r="AT244" i="15"/>
  <c r="AS244" i="15"/>
  <c r="AR244" i="15"/>
  <c r="AQ244" i="15"/>
  <c r="AP244" i="15"/>
  <c r="AO244" i="15"/>
  <c r="AZ243" i="15"/>
  <c r="AY243" i="15"/>
  <c r="AX243" i="15"/>
  <c r="AW243" i="15"/>
  <c r="AV243" i="15"/>
  <c r="AU243" i="15"/>
  <c r="AT243" i="15"/>
  <c r="AS243" i="15"/>
  <c r="AR243" i="15"/>
  <c r="AQ243" i="15"/>
  <c r="AP243" i="15"/>
  <c r="AO243" i="15"/>
  <c r="AZ242" i="15"/>
  <c r="AY242" i="15"/>
  <c r="AX242" i="15"/>
  <c r="AW242" i="15"/>
  <c r="AV242" i="15"/>
  <c r="AU242" i="15"/>
  <c r="AT242" i="15"/>
  <c r="AS242" i="15"/>
  <c r="AR242" i="15"/>
  <c r="AQ242" i="15"/>
  <c r="AP242" i="15"/>
  <c r="AO242" i="15"/>
  <c r="AZ241" i="15"/>
  <c r="AY241" i="15"/>
  <c r="AX241" i="15"/>
  <c r="AW241" i="15"/>
  <c r="AV241" i="15"/>
  <c r="AU241" i="15"/>
  <c r="AT241" i="15"/>
  <c r="AS241" i="15"/>
  <c r="AR241" i="15"/>
  <c r="AQ241" i="15"/>
  <c r="AP241" i="15"/>
  <c r="AO241" i="15"/>
  <c r="AZ240" i="15"/>
  <c r="AY240" i="15"/>
  <c r="AX240" i="15"/>
  <c r="AW240" i="15"/>
  <c r="AV240" i="15"/>
  <c r="AU240" i="15"/>
  <c r="AT240" i="15"/>
  <c r="AS240" i="15"/>
  <c r="AR240" i="15"/>
  <c r="AQ240" i="15"/>
  <c r="AP240" i="15"/>
  <c r="AO240" i="15"/>
  <c r="AZ239" i="15"/>
  <c r="AY239" i="15"/>
  <c r="AX239" i="15"/>
  <c r="AW239" i="15"/>
  <c r="AV239" i="15"/>
  <c r="AU239" i="15"/>
  <c r="AT239" i="15"/>
  <c r="AS239" i="15"/>
  <c r="AR239" i="15"/>
  <c r="AQ239" i="15"/>
  <c r="AP239" i="15"/>
  <c r="AO239" i="15"/>
  <c r="AZ238" i="15"/>
  <c r="AY238" i="15"/>
  <c r="AX238" i="15"/>
  <c r="AW238" i="15"/>
  <c r="AV238" i="15"/>
  <c r="AU238" i="15"/>
  <c r="AT238" i="15"/>
  <c r="AS238" i="15"/>
  <c r="AR238" i="15"/>
  <c r="AQ238" i="15"/>
  <c r="AP238" i="15"/>
  <c r="AO238" i="15"/>
  <c r="AZ237" i="15"/>
  <c r="AY237" i="15"/>
  <c r="AX237" i="15"/>
  <c r="AW237" i="15"/>
  <c r="AV237" i="15"/>
  <c r="AU237" i="15"/>
  <c r="AT237" i="15"/>
  <c r="AS237" i="15"/>
  <c r="AR237" i="15"/>
  <c r="AQ237" i="15"/>
  <c r="AP237" i="15"/>
  <c r="AO237" i="15"/>
  <c r="AZ236" i="15"/>
  <c r="AY236" i="15"/>
  <c r="AX236" i="15"/>
  <c r="AW236" i="15"/>
  <c r="AV236" i="15"/>
  <c r="AU236" i="15"/>
  <c r="AT236" i="15"/>
  <c r="AS236" i="15"/>
  <c r="AR236" i="15"/>
  <c r="AQ236" i="15"/>
  <c r="AP236" i="15"/>
  <c r="AO236" i="15"/>
  <c r="AZ235" i="15"/>
  <c r="AY235" i="15"/>
  <c r="AX235" i="15"/>
  <c r="AW235" i="15"/>
  <c r="AV235" i="15"/>
  <c r="AU235" i="15"/>
  <c r="AT235" i="15"/>
  <c r="AS235" i="15"/>
  <c r="AR235" i="15"/>
  <c r="AQ235" i="15"/>
  <c r="AP235" i="15"/>
  <c r="AO235" i="15"/>
  <c r="AZ234" i="15"/>
  <c r="AY234" i="15"/>
  <c r="AX234" i="15"/>
  <c r="AW234" i="15"/>
  <c r="AV234" i="15"/>
  <c r="AU234" i="15"/>
  <c r="AT234" i="15"/>
  <c r="AS234" i="15"/>
  <c r="AR234" i="15"/>
  <c r="AQ234" i="15"/>
  <c r="AP234" i="15"/>
  <c r="AO234" i="15"/>
  <c r="AZ233" i="15"/>
  <c r="AY233" i="15"/>
  <c r="AX233" i="15"/>
  <c r="AW233" i="15"/>
  <c r="AV233" i="15"/>
  <c r="AU233" i="15"/>
  <c r="AT233" i="15"/>
  <c r="AS233" i="15"/>
  <c r="AR233" i="15"/>
  <c r="AQ233" i="15"/>
  <c r="AP233" i="15"/>
  <c r="AO233" i="15"/>
  <c r="AZ232" i="15"/>
  <c r="AZ248" i="15" s="1"/>
  <c r="AY232" i="15"/>
  <c r="AX232" i="15"/>
  <c r="AX248" i="15" s="1"/>
  <c r="AW232" i="15"/>
  <c r="AV232" i="15"/>
  <c r="AV248" i="15" s="1"/>
  <c r="AU232" i="15"/>
  <c r="AT232" i="15"/>
  <c r="AS232" i="15"/>
  <c r="AS248" i="15" s="1"/>
  <c r="AR232" i="15"/>
  <c r="AQ232" i="15"/>
  <c r="AP232" i="15"/>
  <c r="AO232" i="15"/>
  <c r="AZ229" i="15"/>
  <c r="AY229" i="15"/>
  <c r="AX229" i="15"/>
  <c r="AW229" i="15"/>
  <c r="AV229" i="15"/>
  <c r="AU229" i="15"/>
  <c r="AT229" i="15"/>
  <c r="AS229" i="15"/>
  <c r="AR229" i="15"/>
  <c r="AQ229" i="15"/>
  <c r="AP229" i="15"/>
  <c r="AO229" i="15"/>
  <c r="AZ228" i="15"/>
  <c r="AY228" i="15"/>
  <c r="AX228" i="15"/>
  <c r="AW228" i="15"/>
  <c r="AV228" i="15"/>
  <c r="AU228" i="15"/>
  <c r="AT228" i="15"/>
  <c r="AS228" i="15"/>
  <c r="AR228" i="15"/>
  <c r="AQ228" i="15"/>
  <c r="AP228" i="15"/>
  <c r="AO228" i="15"/>
  <c r="AZ227" i="15"/>
  <c r="AY227" i="15"/>
  <c r="AX227" i="15"/>
  <c r="AW227" i="15"/>
  <c r="AV227" i="15"/>
  <c r="AU227" i="15"/>
  <c r="AT227" i="15"/>
  <c r="AS227" i="15"/>
  <c r="AR227" i="15"/>
  <c r="AQ227" i="15"/>
  <c r="AP227" i="15"/>
  <c r="AO227" i="15"/>
  <c r="AZ226" i="15"/>
  <c r="AY226" i="15"/>
  <c r="AX226" i="15"/>
  <c r="AW226" i="15"/>
  <c r="AV226" i="15"/>
  <c r="AU226" i="15"/>
  <c r="AT226" i="15"/>
  <c r="AS226" i="15"/>
  <c r="AR226" i="15"/>
  <c r="AQ226" i="15"/>
  <c r="AP226" i="15"/>
  <c r="AO226" i="15"/>
  <c r="AZ225" i="15"/>
  <c r="AZ231" i="15" s="1"/>
  <c r="AY225" i="15"/>
  <c r="AY231" i="15" s="1"/>
  <c r="AX225" i="15"/>
  <c r="AX231" i="15" s="1"/>
  <c r="AW225" i="15"/>
  <c r="AV225" i="15"/>
  <c r="AV231" i="15" s="1"/>
  <c r="AU225" i="15"/>
  <c r="AU231" i="15" s="1"/>
  <c r="AT225" i="15"/>
  <c r="AT231" i="15" s="1"/>
  <c r="AS225" i="15"/>
  <c r="AS231" i="15" s="1"/>
  <c r="AR225" i="15"/>
  <c r="AR231" i="15" s="1"/>
  <c r="AQ225" i="15"/>
  <c r="AP225" i="15"/>
  <c r="AP231" i="15" s="1"/>
  <c r="AO225" i="15"/>
  <c r="AO231" i="15" s="1"/>
  <c r="AZ224" i="15"/>
  <c r="AY224" i="15"/>
  <c r="AX224" i="15"/>
  <c r="AW224" i="15"/>
  <c r="AV224" i="15"/>
  <c r="AU224" i="15"/>
  <c r="AT224" i="15"/>
  <c r="AS224" i="15"/>
  <c r="AR224" i="15"/>
  <c r="AQ224" i="15"/>
  <c r="AP224" i="15"/>
  <c r="AO224" i="15"/>
  <c r="AZ223" i="15"/>
  <c r="AY223" i="15"/>
  <c r="AX223" i="15"/>
  <c r="AW223" i="15"/>
  <c r="AV223" i="15"/>
  <c r="AU223" i="15"/>
  <c r="AT223" i="15"/>
  <c r="AS223" i="15"/>
  <c r="AR223" i="15"/>
  <c r="AQ223" i="15"/>
  <c r="AP223" i="15"/>
  <c r="AO223" i="15"/>
  <c r="AZ222" i="15"/>
  <c r="AY222" i="15"/>
  <c r="AX222" i="15"/>
  <c r="AW222" i="15"/>
  <c r="AV222" i="15"/>
  <c r="AU222" i="15"/>
  <c r="AT222" i="15"/>
  <c r="AS222" i="15"/>
  <c r="AR222" i="15"/>
  <c r="AQ222" i="15"/>
  <c r="AP222" i="15"/>
  <c r="AO222" i="15"/>
  <c r="D207" i="15"/>
  <c r="C207" i="15"/>
  <c r="CC207" i="15" s="1"/>
  <c r="C187" i="15"/>
  <c r="CC187" i="15" s="1"/>
  <c r="AZ169" i="15"/>
  <c r="AZ207" i="15" s="1"/>
  <c r="AY169" i="15"/>
  <c r="AY207" i="15" s="1"/>
  <c r="AX169" i="15"/>
  <c r="AX207" i="15" s="1"/>
  <c r="AW169" i="15"/>
  <c r="AW207" i="15" s="1"/>
  <c r="AV169" i="15"/>
  <c r="AV207" i="15" s="1"/>
  <c r="AU169" i="15"/>
  <c r="AU207" i="15" s="1"/>
  <c r="AT169" i="15"/>
  <c r="AT207" i="15" s="1"/>
  <c r="AS169" i="15"/>
  <c r="AS207" i="15" s="1"/>
  <c r="AR169" i="15"/>
  <c r="AR207" i="15" s="1"/>
  <c r="AQ169" i="15"/>
  <c r="AQ207" i="15" s="1"/>
  <c r="AP169" i="15"/>
  <c r="AP207" i="15" s="1"/>
  <c r="AO169" i="15"/>
  <c r="AO207" i="15" s="1"/>
  <c r="AZ168" i="15"/>
  <c r="AY168" i="15"/>
  <c r="AX168" i="15"/>
  <c r="AW168" i="15"/>
  <c r="AV168" i="15"/>
  <c r="AU168" i="15"/>
  <c r="AT168" i="15"/>
  <c r="AS168" i="15"/>
  <c r="AR168" i="15"/>
  <c r="AQ168" i="15"/>
  <c r="AP168" i="15"/>
  <c r="AO168" i="15"/>
  <c r="AZ165" i="15"/>
  <c r="AY165" i="15"/>
  <c r="AX165" i="15"/>
  <c r="AW165" i="15"/>
  <c r="AV165" i="15"/>
  <c r="AU165" i="15"/>
  <c r="AT165" i="15"/>
  <c r="AS165" i="15"/>
  <c r="AR165" i="15"/>
  <c r="AQ165" i="15"/>
  <c r="AP165" i="15"/>
  <c r="AO165" i="15"/>
  <c r="AZ164" i="15"/>
  <c r="AY164" i="15"/>
  <c r="AX164" i="15"/>
  <c r="AW164" i="15"/>
  <c r="AV164" i="15"/>
  <c r="AU164" i="15"/>
  <c r="AT164" i="15"/>
  <c r="AS164" i="15"/>
  <c r="AR164" i="15"/>
  <c r="AQ164" i="15"/>
  <c r="AP164" i="15"/>
  <c r="AO164" i="15"/>
  <c r="AZ163" i="15"/>
  <c r="AY163" i="15"/>
  <c r="AX163" i="15"/>
  <c r="AW163" i="15"/>
  <c r="AV163" i="15"/>
  <c r="AU163" i="15"/>
  <c r="AT163" i="15"/>
  <c r="AS163" i="15"/>
  <c r="AR163" i="15"/>
  <c r="AQ163" i="15"/>
  <c r="AP163" i="15"/>
  <c r="AO163" i="15"/>
  <c r="AZ161" i="15"/>
  <c r="AY161" i="15"/>
  <c r="AX161" i="15"/>
  <c r="AW161" i="15"/>
  <c r="AV161" i="15"/>
  <c r="AU161" i="15"/>
  <c r="AT161" i="15"/>
  <c r="AS161" i="15"/>
  <c r="AR161" i="15"/>
  <c r="AQ161" i="15"/>
  <c r="AP161" i="15"/>
  <c r="AO161" i="15"/>
  <c r="AZ160" i="15"/>
  <c r="AY160" i="15"/>
  <c r="AX160" i="15"/>
  <c r="AW160" i="15"/>
  <c r="AV160" i="15"/>
  <c r="AU160" i="15"/>
  <c r="AT160" i="15"/>
  <c r="AS160" i="15"/>
  <c r="AR160" i="15"/>
  <c r="AQ160" i="15"/>
  <c r="AP160" i="15"/>
  <c r="AO160" i="15"/>
  <c r="AZ146" i="15"/>
  <c r="AY146" i="15"/>
  <c r="AX146" i="15"/>
  <c r="AW146" i="15"/>
  <c r="AV146" i="15"/>
  <c r="AU146" i="15"/>
  <c r="AT146" i="15"/>
  <c r="AS146" i="15"/>
  <c r="AR146" i="15"/>
  <c r="AQ146" i="15"/>
  <c r="AP146" i="15"/>
  <c r="AO146" i="15"/>
  <c r="AZ143" i="15"/>
  <c r="AY143" i="15"/>
  <c r="AX143" i="15"/>
  <c r="AW143" i="15"/>
  <c r="AV143" i="15"/>
  <c r="AU143" i="15"/>
  <c r="AT143" i="15"/>
  <c r="AS143" i="15"/>
  <c r="AR143" i="15"/>
  <c r="AQ143" i="15"/>
  <c r="AP143" i="15"/>
  <c r="AO143" i="15"/>
  <c r="AZ142" i="15"/>
  <c r="AY142" i="15"/>
  <c r="AX142" i="15"/>
  <c r="AW142" i="15"/>
  <c r="AV142" i="15"/>
  <c r="AU142" i="15"/>
  <c r="AT142" i="15"/>
  <c r="AS142" i="15"/>
  <c r="AR142" i="15"/>
  <c r="AQ142" i="15"/>
  <c r="AP142" i="15"/>
  <c r="AO142" i="15"/>
  <c r="AZ124" i="15"/>
  <c r="AY124" i="15"/>
  <c r="AX124" i="15"/>
  <c r="AW124" i="15"/>
  <c r="AV124" i="15"/>
  <c r="AU124" i="15"/>
  <c r="AT124" i="15"/>
  <c r="AS124" i="15"/>
  <c r="AR124" i="15"/>
  <c r="AQ124" i="15"/>
  <c r="AP124" i="15"/>
  <c r="AO124" i="15"/>
  <c r="AZ116" i="15"/>
  <c r="AY116" i="15"/>
  <c r="AX116" i="15"/>
  <c r="AW116" i="15"/>
  <c r="AV116" i="15"/>
  <c r="AU116" i="15"/>
  <c r="AT116" i="15"/>
  <c r="AS116" i="15"/>
  <c r="AR116" i="15"/>
  <c r="AQ116" i="15"/>
  <c r="AP116" i="15"/>
  <c r="AO116" i="15"/>
  <c r="AZ114" i="15"/>
  <c r="AY114" i="15"/>
  <c r="AX114" i="15"/>
  <c r="AW114" i="15"/>
  <c r="AV114" i="15"/>
  <c r="AU114" i="15"/>
  <c r="AT114" i="15"/>
  <c r="AS114" i="15"/>
  <c r="AR114" i="15"/>
  <c r="AQ114" i="15"/>
  <c r="AP114" i="15"/>
  <c r="AO114" i="15"/>
  <c r="AZ100" i="15"/>
  <c r="AY100" i="15"/>
  <c r="AX100" i="15"/>
  <c r="AW100" i="15"/>
  <c r="AV100" i="15"/>
  <c r="AU100" i="15"/>
  <c r="AT100" i="15"/>
  <c r="AS100" i="15"/>
  <c r="AR100" i="15"/>
  <c r="AQ100" i="15"/>
  <c r="AP100" i="15"/>
  <c r="AO100" i="15"/>
  <c r="AZ97" i="15"/>
  <c r="AY97" i="15"/>
  <c r="AX97" i="15"/>
  <c r="AW97" i="15"/>
  <c r="AV97" i="15"/>
  <c r="AU97" i="15"/>
  <c r="AT97" i="15"/>
  <c r="AS97" i="15"/>
  <c r="AR97" i="15"/>
  <c r="AQ97" i="15"/>
  <c r="AP97" i="15"/>
  <c r="AO97" i="15"/>
  <c r="AZ88" i="15"/>
  <c r="AY88" i="15"/>
  <c r="AX88" i="15"/>
  <c r="AW88" i="15"/>
  <c r="AV88" i="15"/>
  <c r="AU88" i="15"/>
  <c r="AT88" i="15"/>
  <c r="AS88" i="15"/>
  <c r="AR88" i="15"/>
  <c r="AQ88" i="15"/>
  <c r="AP88" i="15"/>
  <c r="AO88" i="15"/>
  <c r="AZ86" i="15"/>
  <c r="AY86" i="15"/>
  <c r="AX86" i="15"/>
  <c r="AW86" i="15"/>
  <c r="AV86" i="15"/>
  <c r="AU86" i="15"/>
  <c r="AT86" i="15"/>
  <c r="AS86" i="15"/>
  <c r="AR86" i="15"/>
  <c r="AQ86" i="15"/>
  <c r="AP86" i="15"/>
  <c r="AO86" i="15"/>
  <c r="AZ75" i="15"/>
  <c r="AY75" i="15"/>
  <c r="AX75" i="15"/>
  <c r="AW75" i="15"/>
  <c r="AV75" i="15"/>
  <c r="AU75" i="15"/>
  <c r="AT75" i="15"/>
  <c r="AS75" i="15"/>
  <c r="AR75" i="15"/>
  <c r="AQ75" i="15"/>
  <c r="AP75" i="15"/>
  <c r="AO75" i="15"/>
  <c r="AZ56" i="15"/>
  <c r="AY56" i="15"/>
  <c r="AX56" i="15"/>
  <c r="AW56" i="15"/>
  <c r="AV56" i="15"/>
  <c r="AU56" i="15"/>
  <c r="AT56" i="15"/>
  <c r="AS56" i="15"/>
  <c r="AR56" i="15"/>
  <c r="AQ56" i="15"/>
  <c r="AP56" i="15"/>
  <c r="AO56" i="15"/>
  <c r="AZ55" i="15"/>
  <c r="AY55" i="15"/>
  <c r="AX55" i="15"/>
  <c r="AW55" i="15"/>
  <c r="AV55" i="15"/>
  <c r="AU55" i="15"/>
  <c r="AT55" i="15"/>
  <c r="AS55" i="15"/>
  <c r="AR55" i="15"/>
  <c r="AQ55" i="15"/>
  <c r="AP55" i="15"/>
  <c r="AO55" i="15"/>
  <c r="AZ54" i="15"/>
  <c r="AY54" i="15"/>
  <c r="AX54" i="15"/>
  <c r="AW54" i="15"/>
  <c r="AV54" i="15"/>
  <c r="AU54" i="15"/>
  <c r="AT54" i="15"/>
  <c r="AS54" i="15"/>
  <c r="AR54" i="15"/>
  <c r="AQ54" i="15"/>
  <c r="AP54" i="15"/>
  <c r="AO54" i="15"/>
  <c r="AZ156" i="4"/>
  <c r="AY156" i="4"/>
  <c r="AX156" i="4"/>
  <c r="AW156" i="4"/>
  <c r="AV156" i="4"/>
  <c r="AU156" i="4"/>
  <c r="AT156" i="4"/>
  <c r="AS156" i="4"/>
  <c r="AR156" i="4"/>
  <c r="AQ156" i="4"/>
  <c r="AP156" i="4"/>
  <c r="AO156" i="4"/>
  <c r="AN156" i="4"/>
  <c r="AM156" i="4"/>
  <c r="AL156" i="4"/>
  <c r="AK156" i="4"/>
  <c r="AJ156" i="4"/>
  <c r="AI156" i="4"/>
  <c r="AH156" i="4"/>
  <c r="AG156" i="4"/>
  <c r="AF156" i="4"/>
  <c r="AE156" i="4"/>
  <c r="AD156" i="4"/>
  <c r="AC156" i="4"/>
  <c r="AB156" i="4"/>
  <c r="AZ170" i="4"/>
  <c r="AY170" i="4"/>
  <c r="AX170" i="4"/>
  <c r="AX171" i="4" s="1"/>
  <c r="AW170" i="4"/>
  <c r="AV170" i="4"/>
  <c r="AU170" i="4"/>
  <c r="AT170" i="4"/>
  <c r="AS170" i="4"/>
  <c r="AS171" i="4" s="1"/>
  <c r="AR170" i="4"/>
  <c r="AQ170" i="4"/>
  <c r="AP170" i="4"/>
  <c r="AP171" i="4" s="1"/>
  <c r="AO170" i="4"/>
  <c r="AO171" i="4" s="1"/>
  <c r="AZ170" i="2"/>
  <c r="AZ170" i="15" s="1"/>
  <c r="AY170" i="2"/>
  <c r="AY170" i="15" s="1"/>
  <c r="AX170" i="2"/>
  <c r="AX170" i="15" s="1"/>
  <c r="AW170" i="2"/>
  <c r="AW170" i="15" s="1"/>
  <c r="AV170" i="2"/>
  <c r="AV170" i="15" s="1"/>
  <c r="AU170" i="2"/>
  <c r="AU170" i="15" s="1"/>
  <c r="AT170" i="2"/>
  <c r="AT170" i="15" s="1"/>
  <c r="AS170" i="2"/>
  <c r="AS170" i="15" s="1"/>
  <c r="AR170" i="2"/>
  <c r="AR170" i="15" s="1"/>
  <c r="AQ170" i="2"/>
  <c r="AQ170" i="15" s="1"/>
  <c r="AP170" i="2"/>
  <c r="AP170" i="15" s="1"/>
  <c r="AO170" i="2"/>
  <c r="AO170" i="15" s="1"/>
  <c r="AZ162" i="4"/>
  <c r="AY162" i="4"/>
  <c r="AX162" i="4"/>
  <c r="AW162" i="4"/>
  <c r="AV162" i="4"/>
  <c r="AU162" i="4"/>
  <c r="AT162" i="4"/>
  <c r="AS162" i="4"/>
  <c r="AR162" i="4"/>
  <c r="AQ162" i="4"/>
  <c r="AP162" i="4"/>
  <c r="AO162" i="4"/>
  <c r="AN162" i="4"/>
  <c r="AM162" i="4"/>
  <c r="AL162" i="4"/>
  <c r="AK162" i="4"/>
  <c r="AJ162" i="4"/>
  <c r="AI162" i="4"/>
  <c r="AH162" i="4"/>
  <c r="AG162" i="4"/>
  <c r="AF162" i="4"/>
  <c r="AE162" i="4"/>
  <c r="AD162" i="4"/>
  <c r="AC162" i="4"/>
  <c r="AB162" i="4"/>
  <c r="Z162" i="4"/>
  <c r="AZ162" i="2"/>
  <c r="AY162" i="2"/>
  <c r="AX162" i="2"/>
  <c r="AW162" i="2"/>
  <c r="AV162" i="2"/>
  <c r="AU162" i="2"/>
  <c r="AT162" i="2"/>
  <c r="AS162" i="2"/>
  <c r="AR162" i="2"/>
  <c r="AQ162" i="2"/>
  <c r="AP162" i="2"/>
  <c r="AO162" i="2"/>
  <c r="AN162" i="2"/>
  <c r="AM162" i="2"/>
  <c r="AL162" i="2"/>
  <c r="AK162" i="2"/>
  <c r="AJ162" i="2"/>
  <c r="AI162" i="2"/>
  <c r="AH162" i="2"/>
  <c r="AG162" i="2"/>
  <c r="AF162" i="2"/>
  <c r="AE162" i="2"/>
  <c r="AD162" i="2"/>
  <c r="AC162" i="2"/>
  <c r="AB162" i="2"/>
  <c r="AA162" i="2"/>
  <c r="Z162" i="2"/>
  <c r="AC67" i="8"/>
  <c r="W21" i="10"/>
  <c r="V21" i="10"/>
  <c r="U21" i="10"/>
  <c r="T21" i="10"/>
  <c r="S21" i="10"/>
  <c r="R21" i="10"/>
  <c r="Q21" i="10"/>
  <c r="P21" i="10"/>
  <c r="O10" i="10"/>
  <c r="D11" i="12" s="1"/>
  <c r="O21" i="10"/>
  <c r="D22" i="12" s="1"/>
  <c r="X268" i="4"/>
  <c r="X275" i="4" s="1"/>
  <c r="X267" i="4"/>
  <c r="X274" i="4" s="1"/>
  <c r="X265" i="4"/>
  <c r="X272" i="4" s="1"/>
  <c r="X267" i="2"/>
  <c r="X274" i="2" s="1"/>
  <c r="X265" i="2"/>
  <c r="X266" i="2" s="1"/>
  <c r="X273" i="2" s="1"/>
  <c r="X277" i="4"/>
  <c r="X276" i="4"/>
  <c r="X277" i="2"/>
  <c r="X276" i="2"/>
  <c r="X275" i="2"/>
  <c r="CD181" i="15" l="1"/>
  <c r="CD50" i="15"/>
  <c r="CD29" i="15"/>
  <c r="CD155" i="15"/>
  <c r="CD28" i="15"/>
  <c r="AY29" i="8"/>
  <c r="D25" i="12"/>
  <c r="CD49" i="15"/>
  <c r="CD130" i="15"/>
  <c r="AU248" i="15"/>
  <c r="AU249" i="15" s="1"/>
  <c r="AO248" i="15"/>
  <c r="AO249" i="15" s="1"/>
  <c r="H22" i="12"/>
  <c r="H25" i="12" s="1"/>
  <c r="CD216" i="15"/>
  <c r="CD218" i="15"/>
  <c r="CD217" i="15"/>
  <c r="CD215" i="15"/>
  <c r="AQ231" i="15"/>
  <c r="AQ248" i="15"/>
  <c r="CD179" i="15"/>
  <c r="CD180" i="15"/>
  <c r="CD178" i="15"/>
  <c r="CD177" i="15"/>
  <c r="AP248" i="15"/>
  <c r="AP249" i="15" s="1"/>
  <c r="BG171" i="2"/>
  <c r="BG171" i="15" s="1"/>
  <c r="AT248" i="15"/>
  <c r="AT249" i="15" s="1"/>
  <c r="AW248" i="15"/>
  <c r="AW231" i="15"/>
  <c r="AY248" i="15"/>
  <c r="AY249" i="15" s="1"/>
  <c r="H55" i="14"/>
  <c r="J55" i="14" s="1"/>
  <c r="BB171" i="2"/>
  <c r="BB171" i="15" s="1"/>
  <c r="BB170" i="15"/>
  <c r="BF170" i="15"/>
  <c r="BF171" i="2"/>
  <c r="BF171" i="15" s="1"/>
  <c r="BJ171" i="2"/>
  <c r="BJ171" i="15" s="1"/>
  <c r="BJ170" i="15"/>
  <c r="BN171" i="2"/>
  <c r="BN171" i="15" s="1"/>
  <c r="BN170" i="15"/>
  <c r="BR171" i="2"/>
  <c r="BR171" i="15" s="1"/>
  <c r="BR170" i="15"/>
  <c r="BV171" i="2"/>
  <c r="BV171" i="15" s="1"/>
  <c r="BV170" i="15"/>
  <c r="BC171" i="2"/>
  <c r="BC171" i="15" s="1"/>
  <c r="BC170" i="15"/>
  <c r="BK171" i="2"/>
  <c r="BK171" i="15" s="1"/>
  <c r="BK170" i="15"/>
  <c r="BO171" i="2"/>
  <c r="BO171" i="15" s="1"/>
  <c r="BO170" i="15"/>
  <c r="BS171" i="2"/>
  <c r="BS171" i="15" s="1"/>
  <c r="BS170" i="15"/>
  <c r="BW171" i="2"/>
  <c r="BW171" i="15" s="1"/>
  <c r="BD171" i="2"/>
  <c r="BD171" i="15" s="1"/>
  <c r="BD170" i="15"/>
  <c r="BH171" i="2"/>
  <c r="BH171" i="15" s="1"/>
  <c r="BH170" i="15"/>
  <c r="BL171" i="2"/>
  <c r="BL171" i="15" s="1"/>
  <c r="BL170" i="15"/>
  <c r="BP171" i="2"/>
  <c r="BP171" i="15" s="1"/>
  <c r="BP170" i="15"/>
  <c r="BT171" i="2"/>
  <c r="BT171" i="15" s="1"/>
  <c r="BT170" i="15"/>
  <c r="BX171" i="2"/>
  <c r="BX171" i="15" s="1"/>
  <c r="BX170" i="15"/>
  <c r="BA171" i="2"/>
  <c r="BA171" i="15" s="1"/>
  <c r="BA170" i="15"/>
  <c r="BE171" i="2"/>
  <c r="BE171" i="15" s="1"/>
  <c r="BE170" i="15"/>
  <c r="BI171" i="2"/>
  <c r="BI171" i="15" s="1"/>
  <c r="BI170" i="15"/>
  <c r="BM171" i="2"/>
  <c r="BM171" i="15" s="1"/>
  <c r="BM170" i="15"/>
  <c r="BQ171" i="2"/>
  <c r="BQ171" i="15" s="1"/>
  <c r="BQ170" i="15"/>
  <c r="BU171" i="2"/>
  <c r="BU171" i="15" s="1"/>
  <c r="BU170" i="15"/>
  <c r="J19" i="12"/>
  <c r="J25" i="12"/>
  <c r="P5" i="11"/>
  <c r="R5" i="11" s="1"/>
  <c r="CD207" i="15"/>
  <c r="CD205" i="15"/>
  <c r="CD192" i="15"/>
  <c r="CD168" i="15"/>
  <c r="CD164" i="15"/>
  <c r="CD160" i="15"/>
  <c r="CD156" i="15"/>
  <c r="CD153" i="15"/>
  <c r="CD151" i="15"/>
  <c r="CD149" i="15"/>
  <c r="CD147" i="15"/>
  <c r="CD145" i="15"/>
  <c r="CD143" i="15"/>
  <c r="CD139" i="15"/>
  <c r="CD137" i="15"/>
  <c r="CD135" i="15"/>
  <c r="CD133" i="15"/>
  <c r="CD131" i="15"/>
  <c r="CD128" i="15"/>
  <c r="CD126" i="15"/>
  <c r="CD124" i="15"/>
  <c r="CD122" i="15"/>
  <c r="CD120" i="15"/>
  <c r="CD118" i="15"/>
  <c r="CD116" i="15"/>
  <c r="CD114" i="15"/>
  <c r="CD112" i="15"/>
  <c r="CD110" i="15"/>
  <c r="CD172" i="15"/>
  <c r="CD169" i="15"/>
  <c r="CD165" i="15"/>
  <c r="CD163" i="15"/>
  <c r="CD161" i="15"/>
  <c r="CD159" i="15"/>
  <c r="CD154" i="15"/>
  <c r="CD152" i="15"/>
  <c r="CD150" i="15"/>
  <c r="CD148" i="15"/>
  <c r="CD146" i="15"/>
  <c r="CD144" i="15"/>
  <c r="CD142" i="15"/>
  <c r="CD138" i="15"/>
  <c r="CD136" i="15"/>
  <c r="CD134" i="15"/>
  <c r="CD132" i="15"/>
  <c r="CD129" i="15"/>
  <c r="CD127" i="15"/>
  <c r="CD125" i="15"/>
  <c r="CD121" i="15"/>
  <c r="CD119" i="15"/>
  <c r="CD117" i="15"/>
  <c r="CD115" i="15"/>
  <c r="CD111" i="15"/>
  <c r="CD109" i="15"/>
  <c r="CD108" i="15"/>
  <c r="CD107" i="15"/>
  <c r="CD106" i="15"/>
  <c r="CD105" i="15"/>
  <c r="CD104" i="15"/>
  <c r="CD103" i="15"/>
  <c r="CD102" i="15"/>
  <c r="CD101" i="15"/>
  <c r="CD100" i="15"/>
  <c r="CD99" i="15"/>
  <c r="CD98" i="15"/>
  <c r="CD97" i="15"/>
  <c r="CD95" i="15"/>
  <c r="CD94" i="15"/>
  <c r="CD93" i="15"/>
  <c r="CD92" i="15"/>
  <c r="CD91" i="15"/>
  <c r="CD90" i="15"/>
  <c r="CD89" i="15"/>
  <c r="CD88" i="15"/>
  <c r="CD87" i="15"/>
  <c r="CD86" i="15"/>
  <c r="CD84" i="15"/>
  <c r="CD83" i="15"/>
  <c r="CD82" i="15"/>
  <c r="CD81" i="15"/>
  <c r="CD80" i="15"/>
  <c r="CD79" i="15"/>
  <c r="CD78" i="15"/>
  <c r="CD77" i="15"/>
  <c r="CD76" i="15"/>
  <c r="CD75" i="15"/>
  <c r="CD73" i="15"/>
  <c r="CD72" i="15"/>
  <c r="CD71" i="15"/>
  <c r="CD70" i="15"/>
  <c r="CD69" i="15"/>
  <c r="CD68" i="15"/>
  <c r="CD67" i="15"/>
  <c r="CD66" i="15"/>
  <c r="CD65" i="15"/>
  <c r="CD64" i="15"/>
  <c r="CD63" i="15"/>
  <c r="CD62" i="15"/>
  <c r="CD61" i="15"/>
  <c r="CD60" i="15"/>
  <c r="CD59" i="15"/>
  <c r="CD58" i="15"/>
  <c r="CD57" i="15"/>
  <c r="CD56" i="15"/>
  <c r="CD55" i="15"/>
  <c r="CD54" i="15"/>
  <c r="CD51" i="15"/>
  <c r="CD48" i="15"/>
  <c r="CD47" i="15"/>
  <c r="CD46" i="15"/>
  <c r="CD45" i="15"/>
  <c r="CD44" i="15"/>
  <c r="CD43" i="15"/>
  <c r="CD42" i="15"/>
  <c r="CD41" i="15"/>
  <c r="CD40" i="15"/>
  <c r="CD39" i="15"/>
  <c r="CD38" i="15"/>
  <c r="CD37" i="15"/>
  <c r="CD36" i="15"/>
  <c r="CD35" i="15"/>
  <c r="CD34" i="15"/>
  <c r="CD33" i="15"/>
  <c r="CD32" i="15"/>
  <c r="CD31" i="15"/>
  <c r="CD30" i="15"/>
  <c r="CD27" i="15"/>
  <c r="CD26" i="15"/>
  <c r="CD24" i="15"/>
  <c r="CD23" i="15"/>
  <c r="CE3" i="4"/>
  <c r="CE3" i="2"/>
  <c r="L55" i="14"/>
  <c r="CE3" i="15"/>
  <c r="CD4" i="15"/>
  <c r="CD4" i="4"/>
  <c r="CE4" i="2"/>
  <c r="AR162" i="15"/>
  <c r="AV162" i="15"/>
  <c r="AZ162" i="15"/>
  <c r="AR156" i="15"/>
  <c r="AV156" i="15"/>
  <c r="AZ156" i="15"/>
  <c r="AR248" i="15"/>
  <c r="AR249" i="15" s="1"/>
  <c r="AO162" i="15"/>
  <c r="AS162" i="15"/>
  <c r="AW162" i="15"/>
  <c r="AO156" i="15"/>
  <c r="AS156" i="15"/>
  <c r="AW156" i="15"/>
  <c r="AX162" i="15"/>
  <c r="AT156" i="15"/>
  <c r="AX156" i="15"/>
  <c r="AT162" i="15"/>
  <c r="AP156" i="15"/>
  <c r="AQ162" i="15"/>
  <c r="AU162" i="15"/>
  <c r="AY162" i="15"/>
  <c r="AQ156" i="15"/>
  <c r="AU156" i="15"/>
  <c r="AY156" i="15"/>
  <c r="AP162" i="15"/>
  <c r="X272" i="2"/>
  <c r="AX249" i="15"/>
  <c r="AV249" i="15"/>
  <c r="AZ249" i="15"/>
  <c r="AS249" i="15"/>
  <c r="AO171" i="2"/>
  <c r="AO171" i="15" s="1"/>
  <c r="AS171" i="2"/>
  <c r="AS171" i="15" s="1"/>
  <c r="AW171" i="2"/>
  <c r="AP171" i="2"/>
  <c r="AP171" i="15" s="1"/>
  <c r="AT171" i="2"/>
  <c r="AX171" i="2"/>
  <c r="AX171" i="15" s="1"/>
  <c r="AQ171" i="2"/>
  <c r="AU171" i="2"/>
  <c r="AY171" i="2"/>
  <c r="AQ171" i="4"/>
  <c r="AU171" i="4"/>
  <c r="AY171" i="4"/>
  <c r="AW171" i="4"/>
  <c r="AT171" i="4"/>
  <c r="AR171" i="2"/>
  <c r="AV171" i="2"/>
  <c r="AZ171" i="2"/>
  <c r="AR171" i="4"/>
  <c r="AV171" i="4"/>
  <c r="AZ171" i="4"/>
  <c r="X266" i="4"/>
  <c r="X273" i="4" s="1"/>
  <c r="CE181" i="15" l="1"/>
  <c r="CE29" i="15"/>
  <c r="CE50" i="15"/>
  <c r="CE155" i="15"/>
  <c r="CE28" i="15"/>
  <c r="AZ29" i="8"/>
  <c r="T5" i="11"/>
  <c r="R4" i="11"/>
  <c r="CE49" i="15"/>
  <c r="CE130" i="15"/>
  <c r="AQ249" i="15"/>
  <c r="AW249" i="15"/>
  <c r="CF3" i="2"/>
  <c r="CF3" i="4"/>
  <c r="CE192" i="15"/>
  <c r="CE205" i="15"/>
  <c r="CE172" i="15"/>
  <c r="N55" i="14"/>
  <c r="P55" i="14" s="1"/>
  <c r="CF3" i="15"/>
  <c r="CF4" i="2"/>
  <c r="CE4" i="4"/>
  <c r="CE4" i="15"/>
  <c r="AV171" i="15"/>
  <c r="AU171" i="15"/>
  <c r="AZ171" i="15"/>
  <c r="AY171" i="15"/>
  <c r="AT171" i="15"/>
  <c r="AR171" i="15"/>
  <c r="AQ171" i="15"/>
  <c r="AW171" i="15"/>
  <c r="AC20" i="8"/>
  <c r="AD20" i="8" s="1"/>
  <c r="AE20" i="8" s="1"/>
  <c r="AF20" i="8" s="1"/>
  <c r="AG20" i="8" s="1"/>
  <c r="AH20" i="8" s="1"/>
  <c r="AI20" i="8" s="1"/>
  <c r="AJ20" i="8" s="1"/>
  <c r="AK20" i="8" s="1"/>
  <c r="AL20" i="8" s="1"/>
  <c r="AM20" i="8" s="1"/>
  <c r="AN20" i="8" s="1"/>
  <c r="AO20" i="8" s="1"/>
  <c r="AP20" i="8" s="1"/>
  <c r="CF181" i="15" l="1"/>
  <c r="CF29" i="15"/>
  <c r="CF50" i="15"/>
  <c r="CF155" i="15"/>
  <c r="CF28" i="15"/>
  <c r="BA29" i="8"/>
  <c r="V5" i="11"/>
  <c r="V4" i="11" s="1"/>
  <c r="T4" i="11"/>
  <c r="CF49" i="15"/>
  <c r="CF130" i="15"/>
  <c r="AQ20" i="8"/>
  <c r="R55" i="14"/>
  <c r="CF205" i="15"/>
  <c r="CF192" i="15"/>
  <c r="CF172" i="15"/>
  <c r="CG3" i="4"/>
  <c r="CG3" i="2"/>
  <c r="CG3" i="15"/>
  <c r="CF4" i="4"/>
  <c r="CF4" i="15"/>
  <c r="CG4" i="2"/>
  <c r="V268" i="4"/>
  <c r="U268" i="4"/>
  <c r="T268" i="4"/>
  <c r="S268" i="4"/>
  <c r="R268" i="4"/>
  <c r="V267" i="4"/>
  <c r="U267" i="4"/>
  <c r="T267" i="4"/>
  <c r="S267" i="4"/>
  <c r="R267" i="4"/>
  <c r="V265" i="4"/>
  <c r="U265" i="4"/>
  <c r="T265" i="4"/>
  <c r="S265" i="4"/>
  <c r="R265" i="4"/>
  <c r="R265" i="2"/>
  <c r="S265" i="2"/>
  <c r="T265" i="2"/>
  <c r="U265" i="2"/>
  <c r="V265" i="2"/>
  <c r="W265" i="2"/>
  <c r="W267" i="2"/>
  <c r="W265" i="4"/>
  <c r="W268" i="4"/>
  <c r="W267" i="4"/>
  <c r="CG50" i="15" l="1"/>
  <c r="CG29" i="15"/>
  <c r="CG155" i="15"/>
  <c r="CG28" i="15"/>
  <c r="BB29" i="8"/>
  <c r="CG49" i="15"/>
  <c r="CG130" i="15"/>
  <c r="AR20" i="8"/>
  <c r="CG205" i="15"/>
  <c r="CG192" i="15"/>
  <c r="CG172" i="15"/>
  <c r="CH3" i="2"/>
  <c r="CH3" i="4"/>
  <c r="CH3" i="15"/>
  <c r="CH4" i="2"/>
  <c r="CG4" i="15"/>
  <c r="CG4" i="4"/>
  <c r="R266" i="2"/>
  <c r="R264" i="2" s="1"/>
  <c r="S266" i="2"/>
  <c r="S264" i="2" s="1"/>
  <c r="T266" i="2"/>
  <c r="T273" i="2" s="1"/>
  <c r="U266" i="2"/>
  <c r="U273" i="2" s="1"/>
  <c r="V266" i="2"/>
  <c r="V273" i="2" s="1"/>
  <c r="W266" i="2"/>
  <c r="W264" i="2" s="1"/>
  <c r="W266" i="4"/>
  <c r="W264" i="4" s="1"/>
  <c r="V266" i="4"/>
  <c r="V273" i="4" s="1"/>
  <c r="U266" i="4"/>
  <c r="U264" i="4" s="1"/>
  <c r="T266" i="4"/>
  <c r="T264" i="4" s="1"/>
  <c r="S266" i="4"/>
  <c r="S264" i="4" s="1"/>
  <c r="R266" i="4"/>
  <c r="R264" i="4" s="1"/>
  <c r="AP266" i="2"/>
  <c r="AQ269" i="2"/>
  <c r="AR269" i="2" s="1"/>
  <c r="AS269" i="2" s="1"/>
  <c r="AT269" i="2" s="1"/>
  <c r="AU269" i="2" s="1"/>
  <c r="AV269" i="2" s="1"/>
  <c r="AW269" i="2" s="1"/>
  <c r="AX269" i="2" s="1"/>
  <c r="AY269" i="2" s="1"/>
  <c r="AZ269" i="2" s="1"/>
  <c r="BA269" i="2" s="1"/>
  <c r="AQ265" i="2"/>
  <c r="AR265" i="2" s="1"/>
  <c r="AS265" i="2" s="1"/>
  <c r="AT265" i="2" s="1"/>
  <c r="AU265" i="2" s="1"/>
  <c r="AV265" i="2" s="1"/>
  <c r="AW265" i="2" s="1"/>
  <c r="AX265" i="2" s="1"/>
  <c r="AY265" i="2" s="1"/>
  <c r="AZ265" i="2" s="1"/>
  <c r="Y270" i="4"/>
  <c r="Z270" i="4" s="1"/>
  <c r="Y270" i="2"/>
  <c r="Z270" i="2" s="1"/>
  <c r="AA270" i="2" s="1"/>
  <c r="Y269" i="2"/>
  <c r="Z269" i="2" s="1"/>
  <c r="Y268" i="2"/>
  <c r="Z268" i="2" s="1"/>
  <c r="Y269" i="4"/>
  <c r="Z269" i="4" s="1"/>
  <c r="Y268" i="4"/>
  <c r="Z268" i="4" s="1"/>
  <c r="AA268" i="4" s="1"/>
  <c r="Y267" i="4"/>
  <c r="Z267" i="4" s="1"/>
  <c r="AA267" i="4" s="1"/>
  <c r="AB267" i="4" s="1"/>
  <c r="AC267" i="4" s="1"/>
  <c r="Y267" i="2"/>
  <c r="Y265" i="4"/>
  <c r="V264" i="2"/>
  <c r="Q264" i="4"/>
  <c r="Q264" i="2"/>
  <c r="R277" i="4"/>
  <c r="R276" i="4"/>
  <c r="R275" i="4"/>
  <c r="R274" i="4"/>
  <c r="R272" i="4"/>
  <c r="R277" i="2"/>
  <c r="R276" i="2"/>
  <c r="R275" i="2"/>
  <c r="R274" i="2"/>
  <c r="R273" i="2"/>
  <c r="R272" i="2"/>
  <c r="S277" i="4"/>
  <c r="S276" i="4"/>
  <c r="S275" i="4"/>
  <c r="S274" i="4"/>
  <c r="S272" i="4"/>
  <c r="S277" i="2"/>
  <c r="S276" i="2"/>
  <c r="S275" i="2"/>
  <c r="S274" i="2"/>
  <c r="S272" i="2"/>
  <c r="T277" i="4"/>
  <c r="T276" i="4"/>
  <c r="T275" i="4"/>
  <c r="T274" i="4"/>
  <c r="T272" i="4"/>
  <c r="T277" i="2"/>
  <c r="T276" i="2"/>
  <c r="T275" i="2"/>
  <c r="T274" i="2"/>
  <c r="T272" i="2"/>
  <c r="U277" i="4"/>
  <c r="U276" i="4"/>
  <c r="U275" i="4"/>
  <c r="U274" i="4"/>
  <c r="U272" i="4"/>
  <c r="U277" i="2"/>
  <c r="U276" i="2"/>
  <c r="U275" i="2"/>
  <c r="U274" i="2"/>
  <c r="U272" i="2"/>
  <c r="V277" i="4"/>
  <c r="V276" i="4"/>
  <c r="V275" i="4"/>
  <c r="V274" i="4"/>
  <c r="V272" i="4"/>
  <c r="V277" i="2"/>
  <c r="V276" i="2"/>
  <c r="V275" i="2"/>
  <c r="V274" i="2"/>
  <c r="V272" i="2"/>
  <c r="W277" i="4"/>
  <c r="W277" i="2"/>
  <c r="W276" i="4"/>
  <c r="W276" i="2"/>
  <c r="W275" i="4"/>
  <c r="W275" i="2"/>
  <c r="W274" i="4"/>
  <c r="W274" i="2"/>
  <c r="W272" i="4"/>
  <c r="W272" i="2"/>
  <c r="AI51" i="2"/>
  <c r="AU51" i="2" s="1"/>
  <c r="BG51" i="2" s="1"/>
  <c r="AH51" i="2"/>
  <c r="AT51" i="2" s="1"/>
  <c r="BF51" i="2" s="1"/>
  <c r="AG51" i="2"/>
  <c r="AS51" i="2" s="1"/>
  <c r="BE51" i="2" s="1"/>
  <c r="AF51" i="2"/>
  <c r="AR51" i="2" s="1"/>
  <c r="BD51" i="2" s="1"/>
  <c r="AE51" i="2"/>
  <c r="AQ51" i="2" s="1"/>
  <c r="BC51" i="2" s="1"/>
  <c r="AD51" i="2"/>
  <c r="AP51" i="2" s="1"/>
  <c r="BB51" i="2" s="1"/>
  <c r="AC51" i="2"/>
  <c r="AO51" i="2" s="1"/>
  <c r="BA51" i="2" s="1"/>
  <c r="AB51" i="2"/>
  <c r="AN51" i="2" s="1"/>
  <c r="AZ51" i="2" s="1"/>
  <c r="BL51" i="2" s="1"/>
  <c r="AM51" i="2"/>
  <c r="AY51" i="2" s="1"/>
  <c r="BK51" i="2" s="1"/>
  <c r="AL51" i="2"/>
  <c r="AX51" i="2" s="1"/>
  <c r="BJ51" i="2" s="1"/>
  <c r="AJ51" i="2"/>
  <c r="AV51" i="2" s="1"/>
  <c r="BH51" i="2" s="1"/>
  <c r="AI51" i="4"/>
  <c r="AU51" i="4" s="1"/>
  <c r="BG51" i="4" s="1"/>
  <c r="BS51" i="4" s="1"/>
  <c r="AH51" i="4"/>
  <c r="AT51" i="4" s="1"/>
  <c r="BF51" i="4" s="1"/>
  <c r="BR51" i="4" s="1"/>
  <c r="AG51" i="4"/>
  <c r="AS51" i="4" s="1"/>
  <c r="BE51" i="4" s="1"/>
  <c r="BQ51" i="4" s="1"/>
  <c r="AF51" i="4"/>
  <c r="AR51" i="4" s="1"/>
  <c r="BD51" i="4" s="1"/>
  <c r="BP51" i="4" s="1"/>
  <c r="AE51" i="4"/>
  <c r="AQ51" i="4" s="1"/>
  <c r="BC51" i="4" s="1"/>
  <c r="BO51" i="4" s="1"/>
  <c r="AD51" i="4"/>
  <c r="AP51" i="4" s="1"/>
  <c r="BB51" i="4" s="1"/>
  <c r="BN51" i="4" s="1"/>
  <c r="AC51" i="4"/>
  <c r="AO51" i="4" s="1"/>
  <c r="BA51" i="4" s="1"/>
  <c r="BM51" i="4" s="1"/>
  <c r="AB51" i="4"/>
  <c r="AN51" i="4" s="1"/>
  <c r="AZ51" i="4" s="1"/>
  <c r="BL51" i="4" s="1"/>
  <c r="BX51" i="4" s="1"/>
  <c r="AL51" i="4"/>
  <c r="AX51" i="4" s="1"/>
  <c r="BJ51" i="4" s="1"/>
  <c r="BV51" i="4" s="1"/>
  <c r="AJ51" i="4"/>
  <c r="AV51" i="4" s="1"/>
  <c r="BH51" i="4" s="1"/>
  <c r="BT51" i="4" s="1"/>
  <c r="AI47" i="2"/>
  <c r="AH47" i="2"/>
  <c r="AG47" i="2"/>
  <c r="AF47" i="2"/>
  <c r="AE47" i="2"/>
  <c r="AD47" i="2"/>
  <c r="AC47" i="2"/>
  <c r="AB47" i="2"/>
  <c r="AJ47" i="2"/>
  <c r="AI47" i="4"/>
  <c r="AH47" i="4"/>
  <c r="AG47" i="4"/>
  <c r="AF47" i="4"/>
  <c r="AE47" i="4"/>
  <c r="AD47" i="4"/>
  <c r="AC47" i="4"/>
  <c r="AB47" i="4"/>
  <c r="AJ47" i="4"/>
  <c r="AI44" i="2"/>
  <c r="AU44" i="2" s="1"/>
  <c r="BG44" i="2" s="1"/>
  <c r="AH44" i="2"/>
  <c r="AT44" i="2" s="1"/>
  <c r="BF44" i="2" s="1"/>
  <c r="AG44" i="2"/>
  <c r="AS44" i="2" s="1"/>
  <c r="BE44" i="2" s="1"/>
  <c r="AF44" i="2"/>
  <c r="AR44" i="2" s="1"/>
  <c r="BD44" i="2" s="1"/>
  <c r="AE44" i="2"/>
  <c r="AQ44" i="2" s="1"/>
  <c r="BC44" i="2" s="1"/>
  <c r="AD44" i="2"/>
  <c r="AP44" i="2" s="1"/>
  <c r="BB44" i="2" s="1"/>
  <c r="AC44" i="2"/>
  <c r="AO44" i="2" s="1"/>
  <c r="BA44" i="2" s="1"/>
  <c r="AB44" i="2"/>
  <c r="AN44" i="2" s="1"/>
  <c r="AZ44" i="2" s="1"/>
  <c r="BL44" i="2" s="1"/>
  <c r="AM44" i="2"/>
  <c r="AY44" i="2" s="1"/>
  <c r="BK44" i="2" s="1"/>
  <c r="AL44" i="2"/>
  <c r="AX44" i="2" s="1"/>
  <c r="BJ44" i="2" s="1"/>
  <c r="AJ44" i="2"/>
  <c r="AV44" i="2" s="1"/>
  <c r="BH44" i="2" s="1"/>
  <c r="AI44" i="4"/>
  <c r="AU44" i="4" s="1"/>
  <c r="BG44" i="4" s="1"/>
  <c r="BS44" i="4" s="1"/>
  <c r="AH44" i="4"/>
  <c r="AT44" i="4" s="1"/>
  <c r="BF44" i="4" s="1"/>
  <c r="BR44" i="4" s="1"/>
  <c r="AG44" i="4"/>
  <c r="AS44" i="4" s="1"/>
  <c r="BE44" i="4" s="1"/>
  <c r="BQ44" i="4" s="1"/>
  <c r="AF44" i="4"/>
  <c r="AR44" i="4" s="1"/>
  <c r="BD44" i="4" s="1"/>
  <c r="BP44" i="4" s="1"/>
  <c r="AE44" i="4"/>
  <c r="AQ44" i="4" s="1"/>
  <c r="BC44" i="4" s="1"/>
  <c r="BO44" i="4" s="1"/>
  <c r="AD44" i="4"/>
  <c r="AP44" i="4" s="1"/>
  <c r="BB44" i="4" s="1"/>
  <c r="BN44" i="4" s="1"/>
  <c r="AC44" i="4"/>
  <c r="AO44" i="4" s="1"/>
  <c r="BA44" i="4" s="1"/>
  <c r="BM44" i="4" s="1"/>
  <c r="AB44" i="4"/>
  <c r="AN44" i="4" s="1"/>
  <c r="AZ44" i="4" s="1"/>
  <c r="BL44" i="4" s="1"/>
  <c r="BX44" i="4" s="1"/>
  <c r="AL44" i="4"/>
  <c r="AX44" i="4" s="1"/>
  <c r="BJ44" i="4" s="1"/>
  <c r="BV44" i="4" s="1"/>
  <c r="AJ44" i="4"/>
  <c r="AV44" i="4" s="1"/>
  <c r="BH44" i="4" s="1"/>
  <c r="BT44" i="4" s="1"/>
  <c r="AI43" i="2"/>
  <c r="AU43" i="2" s="1"/>
  <c r="BG43" i="2" s="1"/>
  <c r="AH43" i="2"/>
  <c r="AT43" i="2" s="1"/>
  <c r="BF43" i="2" s="1"/>
  <c r="AG43" i="2"/>
  <c r="AS43" i="2" s="1"/>
  <c r="BE43" i="2" s="1"/>
  <c r="AF43" i="2"/>
  <c r="AR43" i="2" s="1"/>
  <c r="BD43" i="2" s="1"/>
  <c r="AE43" i="2"/>
  <c r="AQ43" i="2" s="1"/>
  <c r="BC43" i="2" s="1"/>
  <c r="AD43" i="2"/>
  <c r="AP43" i="2" s="1"/>
  <c r="BB43" i="2" s="1"/>
  <c r="AC43" i="2"/>
  <c r="AO43" i="2" s="1"/>
  <c r="BA43" i="2" s="1"/>
  <c r="AB43" i="2"/>
  <c r="AN43" i="2" s="1"/>
  <c r="AZ43" i="2" s="1"/>
  <c r="BL43" i="2" s="1"/>
  <c r="AM43" i="2"/>
  <c r="AY43" i="2" s="1"/>
  <c r="BK43" i="2" s="1"/>
  <c r="AL43" i="2"/>
  <c r="AX43" i="2" s="1"/>
  <c r="BJ43" i="2" s="1"/>
  <c r="AJ43" i="2"/>
  <c r="AV43" i="2" s="1"/>
  <c r="BH43" i="2" s="1"/>
  <c r="AI43" i="4"/>
  <c r="AU43" i="4" s="1"/>
  <c r="BG43" i="4" s="1"/>
  <c r="BS43" i="4" s="1"/>
  <c r="AH43" i="4"/>
  <c r="AT43" i="4" s="1"/>
  <c r="BF43" i="4" s="1"/>
  <c r="BR43" i="4" s="1"/>
  <c r="AG43" i="4"/>
  <c r="AS43" i="4" s="1"/>
  <c r="BE43" i="4" s="1"/>
  <c r="BQ43" i="4" s="1"/>
  <c r="AF43" i="4"/>
  <c r="AR43" i="4" s="1"/>
  <c r="BD43" i="4" s="1"/>
  <c r="BP43" i="4" s="1"/>
  <c r="AE43" i="4"/>
  <c r="AQ43" i="4" s="1"/>
  <c r="BC43" i="4" s="1"/>
  <c r="BO43" i="4" s="1"/>
  <c r="AD43" i="4"/>
  <c r="AP43" i="4" s="1"/>
  <c r="BB43" i="4" s="1"/>
  <c r="BN43" i="4" s="1"/>
  <c r="AC43" i="4"/>
  <c r="AO43" i="4" s="1"/>
  <c r="BA43" i="4" s="1"/>
  <c r="BM43" i="4" s="1"/>
  <c r="AB43" i="4"/>
  <c r="AN43" i="4" s="1"/>
  <c r="AZ43" i="4" s="1"/>
  <c r="BL43" i="4" s="1"/>
  <c r="BX43" i="4" s="1"/>
  <c r="AL43" i="4"/>
  <c r="AX43" i="4" s="1"/>
  <c r="BJ43" i="4" s="1"/>
  <c r="BV43" i="4" s="1"/>
  <c r="AJ43" i="4"/>
  <c r="AV43" i="4" s="1"/>
  <c r="BH43" i="4" s="1"/>
  <c r="BT43" i="4" s="1"/>
  <c r="AI42" i="2"/>
  <c r="AU42" i="2" s="1"/>
  <c r="BG42" i="2" s="1"/>
  <c r="AH42" i="2"/>
  <c r="AT42" i="2" s="1"/>
  <c r="BF42" i="2" s="1"/>
  <c r="AG42" i="2"/>
  <c r="AS42" i="2" s="1"/>
  <c r="BE42" i="2" s="1"/>
  <c r="AF42" i="2"/>
  <c r="AR42" i="2" s="1"/>
  <c r="BD42" i="2" s="1"/>
  <c r="AE42" i="2"/>
  <c r="AQ42" i="2" s="1"/>
  <c r="BC42" i="2" s="1"/>
  <c r="AD42" i="2"/>
  <c r="AP42" i="2" s="1"/>
  <c r="BB42" i="2" s="1"/>
  <c r="AC42" i="2"/>
  <c r="AO42" i="2" s="1"/>
  <c r="BA42" i="2" s="1"/>
  <c r="AB42" i="2"/>
  <c r="AN42" i="2" s="1"/>
  <c r="AZ42" i="2" s="1"/>
  <c r="BL42" i="2" s="1"/>
  <c r="AM42" i="2"/>
  <c r="AY42" i="2" s="1"/>
  <c r="BK42" i="2" s="1"/>
  <c r="AL42" i="2"/>
  <c r="AX42" i="2" s="1"/>
  <c r="BJ42" i="2" s="1"/>
  <c r="AJ42" i="2"/>
  <c r="AV42" i="2" s="1"/>
  <c r="BH42" i="2" s="1"/>
  <c r="AI42" i="4"/>
  <c r="AU42" i="4" s="1"/>
  <c r="BG42" i="4" s="1"/>
  <c r="BS42" i="4" s="1"/>
  <c r="AH42" i="4"/>
  <c r="AT42" i="4" s="1"/>
  <c r="BF42" i="4" s="1"/>
  <c r="BR42" i="4" s="1"/>
  <c r="AG42" i="4"/>
  <c r="AS42" i="4" s="1"/>
  <c r="BE42" i="4" s="1"/>
  <c r="BQ42" i="4" s="1"/>
  <c r="AF42" i="4"/>
  <c r="AR42" i="4" s="1"/>
  <c r="BD42" i="4" s="1"/>
  <c r="BP42" i="4" s="1"/>
  <c r="AE42" i="4"/>
  <c r="AQ42" i="4" s="1"/>
  <c r="BC42" i="4" s="1"/>
  <c r="BO42" i="4" s="1"/>
  <c r="AD42" i="4"/>
  <c r="AP42" i="4" s="1"/>
  <c r="BB42" i="4" s="1"/>
  <c r="BN42" i="4" s="1"/>
  <c r="AC42" i="4"/>
  <c r="AO42" i="4" s="1"/>
  <c r="BA42" i="4" s="1"/>
  <c r="BM42" i="4" s="1"/>
  <c r="AB42" i="4"/>
  <c r="AN42" i="4" s="1"/>
  <c r="AZ42" i="4" s="1"/>
  <c r="BL42" i="4" s="1"/>
  <c r="BX42" i="4" s="1"/>
  <c r="AL42" i="4"/>
  <c r="AX42" i="4" s="1"/>
  <c r="BJ42" i="4" s="1"/>
  <c r="BV42" i="4" s="1"/>
  <c r="AJ42" i="4"/>
  <c r="AV42" i="4" s="1"/>
  <c r="BH42" i="4" s="1"/>
  <c r="BT42" i="4" s="1"/>
  <c r="AI41" i="2"/>
  <c r="AU41" i="2" s="1"/>
  <c r="BG41" i="2" s="1"/>
  <c r="AH41" i="2"/>
  <c r="AT41" i="2" s="1"/>
  <c r="BF41" i="2" s="1"/>
  <c r="AG41" i="2"/>
  <c r="AS41" i="2" s="1"/>
  <c r="BE41" i="2" s="1"/>
  <c r="AF41" i="2"/>
  <c r="AR41" i="2" s="1"/>
  <c r="BD41" i="2" s="1"/>
  <c r="AE41" i="2"/>
  <c r="AQ41" i="2" s="1"/>
  <c r="BC41" i="2" s="1"/>
  <c r="AD41" i="2"/>
  <c r="AP41" i="2" s="1"/>
  <c r="BB41" i="2" s="1"/>
  <c r="AC41" i="2"/>
  <c r="AO41" i="2" s="1"/>
  <c r="BA41" i="2" s="1"/>
  <c r="AB41" i="2"/>
  <c r="AN41" i="2" s="1"/>
  <c r="AZ41" i="2" s="1"/>
  <c r="BL41" i="2" s="1"/>
  <c r="AM41" i="2"/>
  <c r="AY41" i="2" s="1"/>
  <c r="BK41" i="2" s="1"/>
  <c r="AL41" i="2"/>
  <c r="AX41" i="2" s="1"/>
  <c r="BJ41" i="2" s="1"/>
  <c r="AJ41" i="2"/>
  <c r="AV41" i="2" s="1"/>
  <c r="BH41" i="2" s="1"/>
  <c r="AI41" i="4"/>
  <c r="AU41" i="4" s="1"/>
  <c r="BG41" i="4" s="1"/>
  <c r="BS41" i="4" s="1"/>
  <c r="AH41" i="4"/>
  <c r="AT41" i="4" s="1"/>
  <c r="BF41" i="4" s="1"/>
  <c r="BR41" i="4" s="1"/>
  <c r="AG41" i="4"/>
  <c r="AS41" i="4" s="1"/>
  <c r="BE41" i="4" s="1"/>
  <c r="BQ41" i="4" s="1"/>
  <c r="AF41" i="4"/>
  <c r="AR41" i="4" s="1"/>
  <c r="BD41" i="4" s="1"/>
  <c r="BP41" i="4" s="1"/>
  <c r="AE41" i="4"/>
  <c r="AQ41" i="4" s="1"/>
  <c r="BC41" i="4" s="1"/>
  <c r="BO41" i="4" s="1"/>
  <c r="AD41" i="4"/>
  <c r="AP41" i="4" s="1"/>
  <c r="BB41" i="4" s="1"/>
  <c r="BN41" i="4" s="1"/>
  <c r="AC41" i="4"/>
  <c r="AO41" i="4" s="1"/>
  <c r="BA41" i="4" s="1"/>
  <c r="BM41" i="4" s="1"/>
  <c r="AB41" i="4"/>
  <c r="AN41" i="4" s="1"/>
  <c r="AZ41" i="4" s="1"/>
  <c r="BL41" i="4" s="1"/>
  <c r="BX41" i="4" s="1"/>
  <c r="AL41" i="4"/>
  <c r="AX41" i="4" s="1"/>
  <c r="BJ41" i="4" s="1"/>
  <c r="BV41" i="4" s="1"/>
  <c r="AJ41" i="4"/>
  <c r="AV41" i="4" s="1"/>
  <c r="BH41" i="4" s="1"/>
  <c r="BT41" i="4" s="1"/>
  <c r="AI40" i="2"/>
  <c r="AU40" i="2" s="1"/>
  <c r="BG40" i="2" s="1"/>
  <c r="AH40" i="2"/>
  <c r="AT40" i="2" s="1"/>
  <c r="BF40" i="2" s="1"/>
  <c r="AG40" i="2"/>
  <c r="AS40" i="2" s="1"/>
  <c r="BE40" i="2" s="1"/>
  <c r="AF40" i="2"/>
  <c r="AR40" i="2" s="1"/>
  <c r="BD40" i="2" s="1"/>
  <c r="AE40" i="2"/>
  <c r="AQ40" i="2" s="1"/>
  <c r="BC40" i="2" s="1"/>
  <c r="AD40" i="2"/>
  <c r="AP40" i="2" s="1"/>
  <c r="BB40" i="2" s="1"/>
  <c r="AC40" i="2"/>
  <c r="AO40" i="2" s="1"/>
  <c r="BA40" i="2" s="1"/>
  <c r="AB40" i="2"/>
  <c r="AN40" i="2" s="1"/>
  <c r="AZ40" i="2" s="1"/>
  <c r="BL40" i="2" s="1"/>
  <c r="AM40" i="2"/>
  <c r="AY40" i="2" s="1"/>
  <c r="BK40" i="2" s="1"/>
  <c r="AL40" i="2"/>
  <c r="AX40" i="2" s="1"/>
  <c r="BJ40" i="2" s="1"/>
  <c r="AJ40" i="2"/>
  <c r="AV40" i="2" s="1"/>
  <c r="BH40" i="2" s="1"/>
  <c r="AI40" i="4"/>
  <c r="AU40" i="4" s="1"/>
  <c r="BG40" i="4" s="1"/>
  <c r="BS40" i="4" s="1"/>
  <c r="AH40" i="4"/>
  <c r="AT40" i="4" s="1"/>
  <c r="BF40" i="4" s="1"/>
  <c r="BR40" i="4" s="1"/>
  <c r="AG40" i="4"/>
  <c r="AS40" i="4" s="1"/>
  <c r="BE40" i="4" s="1"/>
  <c r="BQ40" i="4" s="1"/>
  <c r="AF40" i="4"/>
  <c r="AR40" i="4" s="1"/>
  <c r="BD40" i="4" s="1"/>
  <c r="BP40" i="4" s="1"/>
  <c r="AE40" i="4"/>
  <c r="AQ40" i="4" s="1"/>
  <c r="BC40" i="4" s="1"/>
  <c r="BO40" i="4" s="1"/>
  <c r="AD40" i="4"/>
  <c r="AP40" i="4" s="1"/>
  <c r="BB40" i="4" s="1"/>
  <c r="BN40" i="4" s="1"/>
  <c r="AC40" i="4"/>
  <c r="AO40" i="4" s="1"/>
  <c r="BA40" i="4" s="1"/>
  <c r="BM40" i="4" s="1"/>
  <c r="AB40" i="4"/>
  <c r="AN40" i="4" s="1"/>
  <c r="AZ40" i="4" s="1"/>
  <c r="BL40" i="4" s="1"/>
  <c r="BX40" i="4" s="1"/>
  <c r="AL40" i="4"/>
  <c r="AX40" i="4" s="1"/>
  <c r="BJ40" i="4" s="1"/>
  <c r="BV40" i="4" s="1"/>
  <c r="AJ40" i="4"/>
  <c r="AV40" i="4" s="1"/>
  <c r="BH40" i="4" s="1"/>
  <c r="BT40" i="4" s="1"/>
  <c r="AI38" i="2"/>
  <c r="AU38" i="2" s="1"/>
  <c r="BG38" i="2" s="1"/>
  <c r="AH38" i="2"/>
  <c r="AT38" i="2" s="1"/>
  <c r="BF38" i="2" s="1"/>
  <c r="AG38" i="2"/>
  <c r="AS38" i="2" s="1"/>
  <c r="BE38" i="2" s="1"/>
  <c r="AF38" i="2"/>
  <c r="AR38" i="2" s="1"/>
  <c r="BD38" i="2" s="1"/>
  <c r="AE38" i="2"/>
  <c r="AQ38" i="2" s="1"/>
  <c r="BC38" i="2" s="1"/>
  <c r="AD38" i="2"/>
  <c r="AP38" i="2" s="1"/>
  <c r="BB38" i="2" s="1"/>
  <c r="AC38" i="2"/>
  <c r="AO38" i="2" s="1"/>
  <c r="BA38" i="2" s="1"/>
  <c r="AB38" i="2"/>
  <c r="AN38" i="2" s="1"/>
  <c r="AZ38" i="2" s="1"/>
  <c r="BL38" i="2" s="1"/>
  <c r="AM38" i="2"/>
  <c r="AY38" i="2" s="1"/>
  <c r="BK38" i="2" s="1"/>
  <c r="AL38" i="2"/>
  <c r="AX38" i="2" s="1"/>
  <c r="BJ38" i="2" s="1"/>
  <c r="AJ38" i="2"/>
  <c r="AV38" i="2" s="1"/>
  <c r="BH38" i="2" s="1"/>
  <c r="AI38" i="4"/>
  <c r="AU38" i="4" s="1"/>
  <c r="BG38" i="4" s="1"/>
  <c r="AH38" i="4"/>
  <c r="AT38" i="4" s="1"/>
  <c r="BF38" i="4" s="1"/>
  <c r="BR38" i="4" s="1"/>
  <c r="AG38" i="4"/>
  <c r="AS38" i="4" s="1"/>
  <c r="BE38" i="4" s="1"/>
  <c r="BQ38" i="4" s="1"/>
  <c r="AF38" i="4"/>
  <c r="AR38" i="4" s="1"/>
  <c r="BD38" i="4" s="1"/>
  <c r="AE38" i="4"/>
  <c r="AQ38" i="4" s="1"/>
  <c r="BC38" i="4" s="1"/>
  <c r="AD38" i="4"/>
  <c r="AP38" i="4" s="1"/>
  <c r="BB38" i="4" s="1"/>
  <c r="BN38" i="4" s="1"/>
  <c r="AC38" i="4"/>
  <c r="AO38" i="4" s="1"/>
  <c r="BA38" i="4" s="1"/>
  <c r="BM38" i="4" s="1"/>
  <c r="AB38" i="4"/>
  <c r="AN38" i="4" s="1"/>
  <c r="AZ38" i="4" s="1"/>
  <c r="BL38" i="4" s="1"/>
  <c r="AL38" i="4"/>
  <c r="AX38" i="4" s="1"/>
  <c r="BJ38" i="4" s="1"/>
  <c r="BV38" i="4" s="1"/>
  <c r="AJ38" i="4"/>
  <c r="AV38" i="4" s="1"/>
  <c r="BH38" i="4" s="1"/>
  <c r="AI37" i="2"/>
  <c r="AU37" i="2" s="1"/>
  <c r="BG37" i="2" s="1"/>
  <c r="AH37" i="2"/>
  <c r="AT37" i="2" s="1"/>
  <c r="BF37" i="2" s="1"/>
  <c r="AG37" i="2"/>
  <c r="AS37" i="2" s="1"/>
  <c r="BE37" i="2" s="1"/>
  <c r="AF37" i="2"/>
  <c r="AR37" i="2" s="1"/>
  <c r="BD37" i="2" s="1"/>
  <c r="AE37" i="2"/>
  <c r="AQ37" i="2" s="1"/>
  <c r="BC37" i="2" s="1"/>
  <c r="AD37" i="2"/>
  <c r="AP37" i="2" s="1"/>
  <c r="BB37" i="2" s="1"/>
  <c r="AC37" i="2"/>
  <c r="AO37" i="2" s="1"/>
  <c r="BA37" i="2" s="1"/>
  <c r="AB37" i="2"/>
  <c r="AN37" i="2" s="1"/>
  <c r="AZ37" i="2" s="1"/>
  <c r="BL37" i="2" s="1"/>
  <c r="AM37" i="2"/>
  <c r="AY37" i="2" s="1"/>
  <c r="BK37" i="2" s="1"/>
  <c r="AL37" i="2"/>
  <c r="AX37" i="2" s="1"/>
  <c r="BJ37" i="2" s="1"/>
  <c r="AJ37" i="2"/>
  <c r="AV37" i="2" s="1"/>
  <c r="BH37" i="2" s="1"/>
  <c r="AI37" i="4"/>
  <c r="AU37" i="4" s="1"/>
  <c r="BG37" i="4" s="1"/>
  <c r="BS37" i="4" s="1"/>
  <c r="AH37" i="4"/>
  <c r="AT37" i="4" s="1"/>
  <c r="BF37" i="4" s="1"/>
  <c r="BR37" i="4" s="1"/>
  <c r="AG37" i="4"/>
  <c r="AS37" i="4" s="1"/>
  <c r="BE37" i="4" s="1"/>
  <c r="BQ37" i="4" s="1"/>
  <c r="AF37" i="4"/>
  <c r="AR37" i="4" s="1"/>
  <c r="BD37" i="4" s="1"/>
  <c r="BP37" i="4" s="1"/>
  <c r="AE37" i="4"/>
  <c r="AQ37" i="4" s="1"/>
  <c r="BC37" i="4" s="1"/>
  <c r="BO37" i="4" s="1"/>
  <c r="AD37" i="4"/>
  <c r="AP37" i="4" s="1"/>
  <c r="BB37" i="4" s="1"/>
  <c r="BN37" i="4" s="1"/>
  <c r="AC37" i="4"/>
  <c r="AO37" i="4" s="1"/>
  <c r="BA37" i="4" s="1"/>
  <c r="BM37" i="4" s="1"/>
  <c r="AB37" i="4"/>
  <c r="AN37" i="4" s="1"/>
  <c r="AZ37" i="4" s="1"/>
  <c r="BL37" i="4" s="1"/>
  <c r="BX37" i="4" s="1"/>
  <c r="AL37" i="4"/>
  <c r="AX37" i="4" s="1"/>
  <c r="BJ37" i="4" s="1"/>
  <c r="BV37" i="4" s="1"/>
  <c r="AJ37" i="4"/>
  <c r="AV37" i="4" s="1"/>
  <c r="BH37" i="4" s="1"/>
  <c r="BT37" i="4" s="1"/>
  <c r="AI36" i="2"/>
  <c r="AU36" i="2" s="1"/>
  <c r="BG36" i="2" s="1"/>
  <c r="AH36" i="2"/>
  <c r="AT36" i="2" s="1"/>
  <c r="BF36" i="2" s="1"/>
  <c r="AG36" i="2"/>
  <c r="AS36" i="2" s="1"/>
  <c r="BE36" i="2" s="1"/>
  <c r="AF36" i="2"/>
  <c r="AR36" i="2" s="1"/>
  <c r="BD36" i="2" s="1"/>
  <c r="AE36" i="2"/>
  <c r="AQ36" i="2" s="1"/>
  <c r="BC36" i="2" s="1"/>
  <c r="AD36" i="2"/>
  <c r="AP36" i="2" s="1"/>
  <c r="BB36" i="2" s="1"/>
  <c r="BA36" i="2"/>
  <c r="AB36" i="2"/>
  <c r="AN36" i="2" s="1"/>
  <c r="AZ36" i="2" s="1"/>
  <c r="BL36" i="2" s="1"/>
  <c r="AM36" i="2"/>
  <c r="AY36" i="2" s="1"/>
  <c r="BK36" i="2" s="1"/>
  <c r="AL36" i="2"/>
  <c r="AX36" i="2" s="1"/>
  <c r="BJ36" i="2" s="1"/>
  <c r="AJ36" i="2"/>
  <c r="AV36" i="2" s="1"/>
  <c r="BH36" i="2" s="1"/>
  <c r="AI36" i="4"/>
  <c r="AU36" i="4" s="1"/>
  <c r="BG36" i="4" s="1"/>
  <c r="BS36" i="4" s="1"/>
  <c r="AH36" i="4"/>
  <c r="AT36" i="4" s="1"/>
  <c r="BF36" i="4" s="1"/>
  <c r="BR36" i="4" s="1"/>
  <c r="AG36" i="4"/>
  <c r="AS36" i="4" s="1"/>
  <c r="BE36" i="4" s="1"/>
  <c r="BQ36" i="4" s="1"/>
  <c r="AF36" i="4"/>
  <c r="AR36" i="4" s="1"/>
  <c r="BD36" i="4" s="1"/>
  <c r="BP36" i="4" s="1"/>
  <c r="AE36" i="4"/>
  <c r="AQ36" i="4" s="1"/>
  <c r="BC36" i="4" s="1"/>
  <c r="BO36" i="4" s="1"/>
  <c r="AD36" i="4"/>
  <c r="AP36" i="4" s="1"/>
  <c r="BB36" i="4" s="1"/>
  <c r="BN36" i="4" s="1"/>
  <c r="AC36" i="4"/>
  <c r="AO36" i="4" s="1"/>
  <c r="BA36" i="4" s="1"/>
  <c r="BM36" i="4" s="1"/>
  <c r="AB36" i="4"/>
  <c r="AN36" i="4" s="1"/>
  <c r="AZ36" i="4" s="1"/>
  <c r="BL36" i="4" s="1"/>
  <c r="BX36" i="4" s="1"/>
  <c r="AL36" i="4"/>
  <c r="AX36" i="4" s="1"/>
  <c r="BJ36" i="4" s="1"/>
  <c r="BV36" i="4" s="1"/>
  <c r="AJ36" i="4"/>
  <c r="AV36" i="4" s="1"/>
  <c r="BH36" i="4" s="1"/>
  <c r="BT36" i="4" s="1"/>
  <c r="AI35" i="2"/>
  <c r="AU35" i="2" s="1"/>
  <c r="BG35" i="2" s="1"/>
  <c r="AH35" i="2"/>
  <c r="AT35" i="2" s="1"/>
  <c r="BF35" i="2" s="1"/>
  <c r="AG35" i="2"/>
  <c r="AS35" i="2" s="1"/>
  <c r="BE35" i="2" s="1"/>
  <c r="AF35" i="2"/>
  <c r="AR35" i="2" s="1"/>
  <c r="BD35" i="2" s="1"/>
  <c r="AE35" i="2"/>
  <c r="AQ35" i="2" s="1"/>
  <c r="BC35" i="2" s="1"/>
  <c r="AD35" i="2"/>
  <c r="AP35" i="2" s="1"/>
  <c r="BB35" i="2" s="1"/>
  <c r="AC35" i="2"/>
  <c r="AO35" i="2" s="1"/>
  <c r="BA35" i="2" s="1"/>
  <c r="AB35" i="2"/>
  <c r="AN35" i="2" s="1"/>
  <c r="AZ35" i="2" s="1"/>
  <c r="BL35" i="2" s="1"/>
  <c r="AM35" i="2"/>
  <c r="AY35" i="2" s="1"/>
  <c r="BK35" i="2" s="1"/>
  <c r="AL35" i="2"/>
  <c r="AX35" i="2" s="1"/>
  <c r="BJ35" i="2" s="1"/>
  <c r="AJ35" i="2"/>
  <c r="AV35" i="2" s="1"/>
  <c r="BH35" i="2" s="1"/>
  <c r="AI35" i="4"/>
  <c r="AU35" i="4" s="1"/>
  <c r="BG35" i="4" s="1"/>
  <c r="BS35" i="4" s="1"/>
  <c r="AH35" i="4"/>
  <c r="AT35" i="4" s="1"/>
  <c r="BF35" i="4" s="1"/>
  <c r="BR35" i="4" s="1"/>
  <c r="AG35" i="4"/>
  <c r="AS35" i="4" s="1"/>
  <c r="BE35" i="4" s="1"/>
  <c r="BQ35" i="4" s="1"/>
  <c r="AF35" i="4"/>
  <c r="AR35" i="4" s="1"/>
  <c r="BD35" i="4" s="1"/>
  <c r="BP35" i="4" s="1"/>
  <c r="AE35" i="4"/>
  <c r="AQ35" i="4" s="1"/>
  <c r="BC35" i="4" s="1"/>
  <c r="BO35" i="4" s="1"/>
  <c r="AD35" i="4"/>
  <c r="AP35" i="4" s="1"/>
  <c r="BB35" i="4" s="1"/>
  <c r="BN35" i="4" s="1"/>
  <c r="AC35" i="4"/>
  <c r="AO35" i="4" s="1"/>
  <c r="BA35" i="4" s="1"/>
  <c r="BM35" i="4" s="1"/>
  <c r="AB35" i="4"/>
  <c r="AN35" i="4" s="1"/>
  <c r="AZ35" i="4" s="1"/>
  <c r="BL35" i="4" s="1"/>
  <c r="BX35" i="4" s="1"/>
  <c r="AL35" i="4"/>
  <c r="AX35" i="4" s="1"/>
  <c r="BJ35" i="4" s="1"/>
  <c r="BV35" i="4" s="1"/>
  <c r="AJ35" i="4"/>
  <c r="AV35" i="4" s="1"/>
  <c r="BH35" i="4" s="1"/>
  <c r="BT35" i="4" s="1"/>
  <c r="AI34" i="2"/>
  <c r="AU34" i="2" s="1"/>
  <c r="BG34" i="2" s="1"/>
  <c r="AH34" i="2"/>
  <c r="AT34" i="2" s="1"/>
  <c r="BF34" i="2" s="1"/>
  <c r="AG34" i="2"/>
  <c r="AS34" i="2" s="1"/>
  <c r="BE34" i="2" s="1"/>
  <c r="AF34" i="2"/>
  <c r="AR34" i="2" s="1"/>
  <c r="BD34" i="2" s="1"/>
  <c r="AE34" i="2"/>
  <c r="AQ34" i="2" s="1"/>
  <c r="BC34" i="2" s="1"/>
  <c r="AD34" i="2"/>
  <c r="AP34" i="2" s="1"/>
  <c r="BB34" i="2" s="1"/>
  <c r="AC34" i="2"/>
  <c r="AO34" i="2" s="1"/>
  <c r="BA34" i="2" s="1"/>
  <c r="AB34" i="2"/>
  <c r="AN34" i="2" s="1"/>
  <c r="AZ34" i="2" s="1"/>
  <c r="BL34" i="2" s="1"/>
  <c r="AM34" i="2"/>
  <c r="AY34" i="2" s="1"/>
  <c r="BK34" i="2" s="1"/>
  <c r="AL34" i="2"/>
  <c r="AX34" i="2" s="1"/>
  <c r="BJ34" i="2" s="1"/>
  <c r="AJ34" i="2"/>
  <c r="AV34" i="2" s="1"/>
  <c r="BH34" i="2" s="1"/>
  <c r="AI34" i="4"/>
  <c r="AU34" i="4" s="1"/>
  <c r="BG34" i="4" s="1"/>
  <c r="BS34" i="4" s="1"/>
  <c r="AH34" i="4"/>
  <c r="AT34" i="4" s="1"/>
  <c r="BF34" i="4" s="1"/>
  <c r="BR34" i="4" s="1"/>
  <c r="AG34" i="4"/>
  <c r="AS34" i="4" s="1"/>
  <c r="BE34" i="4" s="1"/>
  <c r="BQ34" i="4" s="1"/>
  <c r="AF34" i="4"/>
  <c r="AR34" i="4" s="1"/>
  <c r="BD34" i="4" s="1"/>
  <c r="BP34" i="4" s="1"/>
  <c r="AE34" i="4"/>
  <c r="AQ34" i="4" s="1"/>
  <c r="BC34" i="4" s="1"/>
  <c r="BO34" i="4" s="1"/>
  <c r="AD34" i="4"/>
  <c r="AP34" i="4" s="1"/>
  <c r="BB34" i="4" s="1"/>
  <c r="BN34" i="4" s="1"/>
  <c r="AC34" i="4"/>
  <c r="AO34" i="4" s="1"/>
  <c r="BA34" i="4" s="1"/>
  <c r="BM34" i="4" s="1"/>
  <c r="AB34" i="4"/>
  <c r="AN34" i="4" s="1"/>
  <c r="AZ34" i="4" s="1"/>
  <c r="BL34" i="4" s="1"/>
  <c r="BX34" i="4" s="1"/>
  <c r="AL34" i="4"/>
  <c r="AX34" i="4" s="1"/>
  <c r="BJ34" i="4" s="1"/>
  <c r="BV34" i="4" s="1"/>
  <c r="AJ34" i="4"/>
  <c r="AV34" i="4" s="1"/>
  <c r="BH34" i="4" s="1"/>
  <c r="BT34" i="4" s="1"/>
  <c r="AI33" i="2"/>
  <c r="AU33" i="2" s="1"/>
  <c r="BG33" i="2" s="1"/>
  <c r="AH33" i="2"/>
  <c r="AT33" i="2" s="1"/>
  <c r="BF33" i="2" s="1"/>
  <c r="AG33" i="2"/>
  <c r="AS33" i="2" s="1"/>
  <c r="BE33" i="2" s="1"/>
  <c r="AF33" i="2"/>
  <c r="AR33" i="2" s="1"/>
  <c r="BD33" i="2" s="1"/>
  <c r="AE33" i="2"/>
  <c r="AQ33" i="2" s="1"/>
  <c r="BC33" i="2" s="1"/>
  <c r="AD33" i="2"/>
  <c r="AP33" i="2" s="1"/>
  <c r="BB33" i="2" s="1"/>
  <c r="AC33" i="2"/>
  <c r="AO33" i="2" s="1"/>
  <c r="BA33" i="2" s="1"/>
  <c r="AB33" i="2"/>
  <c r="AN33" i="2" s="1"/>
  <c r="AZ33" i="2" s="1"/>
  <c r="BL33" i="2" s="1"/>
  <c r="AM33" i="2"/>
  <c r="AY33" i="2" s="1"/>
  <c r="BK33" i="2" s="1"/>
  <c r="AL33" i="2"/>
  <c r="AX33" i="2" s="1"/>
  <c r="BJ33" i="2" s="1"/>
  <c r="AJ33" i="2"/>
  <c r="AV33" i="2" s="1"/>
  <c r="BH33" i="2" s="1"/>
  <c r="AI33" i="4"/>
  <c r="AU33" i="4" s="1"/>
  <c r="BG33" i="4" s="1"/>
  <c r="BS33" i="4" s="1"/>
  <c r="AH33" i="4"/>
  <c r="AT33" i="4" s="1"/>
  <c r="BF33" i="4" s="1"/>
  <c r="BR33" i="4" s="1"/>
  <c r="AG33" i="4"/>
  <c r="AS33" i="4" s="1"/>
  <c r="BE33" i="4" s="1"/>
  <c r="BQ33" i="4" s="1"/>
  <c r="AF33" i="4"/>
  <c r="AR33" i="4" s="1"/>
  <c r="BD33" i="4" s="1"/>
  <c r="BP33" i="4" s="1"/>
  <c r="AE33" i="4"/>
  <c r="AQ33" i="4" s="1"/>
  <c r="BC33" i="4" s="1"/>
  <c r="BO33" i="4" s="1"/>
  <c r="AD33" i="4"/>
  <c r="AP33" i="4" s="1"/>
  <c r="BB33" i="4" s="1"/>
  <c r="BN33" i="4" s="1"/>
  <c r="AC33" i="4"/>
  <c r="AO33" i="4" s="1"/>
  <c r="BA33" i="4" s="1"/>
  <c r="BM33" i="4" s="1"/>
  <c r="AB33" i="4"/>
  <c r="AN33" i="4" s="1"/>
  <c r="AZ33" i="4" s="1"/>
  <c r="BL33" i="4" s="1"/>
  <c r="BX33" i="4" s="1"/>
  <c r="AL33" i="4"/>
  <c r="AX33" i="4" s="1"/>
  <c r="BJ33" i="4" s="1"/>
  <c r="BV33" i="4" s="1"/>
  <c r="AJ33" i="4"/>
  <c r="AV33" i="4" s="1"/>
  <c r="BH33" i="4" s="1"/>
  <c r="BT33" i="4" s="1"/>
  <c r="AI31" i="2"/>
  <c r="AU31" i="2" s="1"/>
  <c r="BG31" i="2" s="1"/>
  <c r="AH31" i="2"/>
  <c r="AT31" i="2" s="1"/>
  <c r="BF31" i="2" s="1"/>
  <c r="AG31" i="2"/>
  <c r="AS31" i="2" s="1"/>
  <c r="BE31" i="2" s="1"/>
  <c r="AF31" i="2"/>
  <c r="AR31" i="2" s="1"/>
  <c r="BD31" i="2" s="1"/>
  <c r="AE31" i="2"/>
  <c r="AQ31" i="2" s="1"/>
  <c r="BC31" i="2" s="1"/>
  <c r="AD31" i="2"/>
  <c r="AP31" i="2" s="1"/>
  <c r="BB31" i="2" s="1"/>
  <c r="AC31" i="2"/>
  <c r="AO31" i="2" s="1"/>
  <c r="BA31" i="2" s="1"/>
  <c r="AB31" i="2"/>
  <c r="AN31" i="2" s="1"/>
  <c r="AZ31" i="2" s="1"/>
  <c r="BL31" i="2" s="1"/>
  <c r="AM31" i="2"/>
  <c r="AY31" i="2" s="1"/>
  <c r="BK31" i="2" s="1"/>
  <c r="AL31" i="2"/>
  <c r="AX31" i="2" s="1"/>
  <c r="BJ31" i="2" s="1"/>
  <c r="AJ31" i="2"/>
  <c r="AV31" i="2" s="1"/>
  <c r="BH31" i="2" s="1"/>
  <c r="AI31" i="4"/>
  <c r="AU31" i="4" s="1"/>
  <c r="BG31" i="4" s="1"/>
  <c r="BS31" i="4" s="1"/>
  <c r="AH31" i="4"/>
  <c r="AT31" i="4" s="1"/>
  <c r="BF31" i="4" s="1"/>
  <c r="BR31" i="4" s="1"/>
  <c r="AG31" i="4"/>
  <c r="AS31" i="4" s="1"/>
  <c r="BE31" i="4" s="1"/>
  <c r="BQ31" i="4" s="1"/>
  <c r="AF31" i="4"/>
  <c r="AR31" i="4" s="1"/>
  <c r="BD31" i="4" s="1"/>
  <c r="BP31" i="4" s="1"/>
  <c r="AE31" i="4"/>
  <c r="AQ31" i="4" s="1"/>
  <c r="BC31" i="4" s="1"/>
  <c r="BO31" i="4" s="1"/>
  <c r="AD31" i="4"/>
  <c r="AP31" i="4" s="1"/>
  <c r="BB31" i="4" s="1"/>
  <c r="BN31" i="4" s="1"/>
  <c r="AC31" i="4"/>
  <c r="AO31" i="4" s="1"/>
  <c r="BA31" i="4" s="1"/>
  <c r="BM31" i="4" s="1"/>
  <c r="AB31" i="4"/>
  <c r="AN31" i="4" s="1"/>
  <c r="AZ31" i="4" s="1"/>
  <c r="BL31" i="4" s="1"/>
  <c r="BX31" i="4" s="1"/>
  <c r="AL31" i="4"/>
  <c r="AX31" i="4" s="1"/>
  <c r="BJ31" i="4" s="1"/>
  <c r="BV31" i="4" s="1"/>
  <c r="AJ31" i="4"/>
  <c r="AV31" i="4" s="1"/>
  <c r="BH31" i="4" s="1"/>
  <c r="BT31" i="4" s="1"/>
  <c r="AI30" i="2"/>
  <c r="AU30" i="2" s="1"/>
  <c r="BG30" i="2" s="1"/>
  <c r="AH30" i="2"/>
  <c r="AT30" i="2" s="1"/>
  <c r="BF30" i="2" s="1"/>
  <c r="AG30" i="2"/>
  <c r="AS30" i="2" s="1"/>
  <c r="BE30" i="2" s="1"/>
  <c r="AF30" i="2"/>
  <c r="AR30" i="2" s="1"/>
  <c r="BD30" i="2" s="1"/>
  <c r="AE30" i="2"/>
  <c r="AQ30" i="2" s="1"/>
  <c r="BC30" i="2" s="1"/>
  <c r="AD30" i="2"/>
  <c r="AP30" i="2" s="1"/>
  <c r="BB30" i="2" s="1"/>
  <c r="AC30" i="2"/>
  <c r="AO30" i="2" s="1"/>
  <c r="BA30" i="2" s="1"/>
  <c r="AB30" i="2"/>
  <c r="AN30" i="2" s="1"/>
  <c r="AZ30" i="2" s="1"/>
  <c r="BL30" i="2" s="1"/>
  <c r="AM30" i="2"/>
  <c r="AY30" i="2" s="1"/>
  <c r="BK30" i="2" s="1"/>
  <c r="AL30" i="2"/>
  <c r="AX30" i="2" s="1"/>
  <c r="BJ30" i="2" s="1"/>
  <c r="AJ30" i="2"/>
  <c r="AV30" i="2" s="1"/>
  <c r="BH30" i="2" s="1"/>
  <c r="AI30" i="4"/>
  <c r="AU30" i="4" s="1"/>
  <c r="BG30" i="4" s="1"/>
  <c r="BS30" i="4" s="1"/>
  <c r="AH30" i="4"/>
  <c r="AT30" i="4" s="1"/>
  <c r="BF30" i="4" s="1"/>
  <c r="BR30" i="4" s="1"/>
  <c r="AG30" i="4"/>
  <c r="AS30" i="4" s="1"/>
  <c r="BE30" i="4" s="1"/>
  <c r="BQ30" i="4" s="1"/>
  <c r="AF30" i="4"/>
  <c r="AR30" i="4" s="1"/>
  <c r="BD30" i="4" s="1"/>
  <c r="BP30" i="4" s="1"/>
  <c r="AE30" i="4"/>
  <c r="AQ30" i="4" s="1"/>
  <c r="BC30" i="4" s="1"/>
  <c r="BO30" i="4" s="1"/>
  <c r="AD30" i="4"/>
  <c r="AP30" i="4" s="1"/>
  <c r="BB30" i="4" s="1"/>
  <c r="BN30" i="4" s="1"/>
  <c r="AC30" i="4"/>
  <c r="AO30" i="4" s="1"/>
  <c r="BA30" i="4" s="1"/>
  <c r="BM30" i="4" s="1"/>
  <c r="AB30" i="4"/>
  <c r="AN30" i="4" s="1"/>
  <c r="AZ30" i="4" s="1"/>
  <c r="BL30" i="4" s="1"/>
  <c r="BX30" i="4" s="1"/>
  <c r="AL30" i="4"/>
  <c r="AX30" i="4" s="1"/>
  <c r="BJ30" i="4" s="1"/>
  <c r="BV30" i="4" s="1"/>
  <c r="AJ30" i="4"/>
  <c r="AV30" i="4" s="1"/>
  <c r="BH30" i="4" s="1"/>
  <c r="BT30" i="4" s="1"/>
  <c r="AI27" i="2"/>
  <c r="AU27" i="2" s="1"/>
  <c r="BG27" i="2" s="1"/>
  <c r="AH27" i="2"/>
  <c r="AT27" i="2" s="1"/>
  <c r="BF27" i="2" s="1"/>
  <c r="AG27" i="2"/>
  <c r="AS27" i="2" s="1"/>
  <c r="BE27" i="2" s="1"/>
  <c r="AF27" i="2"/>
  <c r="AR27" i="2" s="1"/>
  <c r="BD27" i="2" s="1"/>
  <c r="AE27" i="2"/>
  <c r="AQ27" i="2" s="1"/>
  <c r="BC27" i="2" s="1"/>
  <c r="AD27" i="2"/>
  <c r="AP27" i="2" s="1"/>
  <c r="BB27" i="2" s="1"/>
  <c r="AC27" i="2"/>
  <c r="AO27" i="2" s="1"/>
  <c r="BA27" i="2" s="1"/>
  <c r="AB27" i="2"/>
  <c r="AN27" i="2" s="1"/>
  <c r="AZ27" i="2" s="1"/>
  <c r="BL27" i="2" s="1"/>
  <c r="AM27" i="2"/>
  <c r="AY27" i="2" s="1"/>
  <c r="BK27" i="2" s="1"/>
  <c r="AL27" i="2"/>
  <c r="AX27" i="2" s="1"/>
  <c r="BJ27" i="2" s="1"/>
  <c r="AJ27" i="2"/>
  <c r="AV27" i="2" s="1"/>
  <c r="BH27" i="2" s="1"/>
  <c r="AI27" i="4"/>
  <c r="AU27" i="4" s="1"/>
  <c r="BG27" i="4" s="1"/>
  <c r="BS27" i="4" s="1"/>
  <c r="AH27" i="4"/>
  <c r="AT27" i="4" s="1"/>
  <c r="BF27" i="4" s="1"/>
  <c r="BR27" i="4" s="1"/>
  <c r="AG27" i="4"/>
  <c r="AS27" i="4" s="1"/>
  <c r="BE27" i="4" s="1"/>
  <c r="BQ27" i="4" s="1"/>
  <c r="AF27" i="4"/>
  <c r="AR27" i="4" s="1"/>
  <c r="BD27" i="4" s="1"/>
  <c r="BP27" i="4" s="1"/>
  <c r="AE27" i="4"/>
  <c r="AQ27" i="4" s="1"/>
  <c r="BC27" i="4" s="1"/>
  <c r="BO27" i="4" s="1"/>
  <c r="AD27" i="4"/>
  <c r="AP27" i="4" s="1"/>
  <c r="BB27" i="4" s="1"/>
  <c r="BN27" i="4" s="1"/>
  <c r="AC27" i="4"/>
  <c r="AO27" i="4" s="1"/>
  <c r="BA27" i="4" s="1"/>
  <c r="BM27" i="4" s="1"/>
  <c r="AB27" i="4"/>
  <c r="AN27" i="4" s="1"/>
  <c r="AZ27" i="4" s="1"/>
  <c r="BL27" i="4" s="1"/>
  <c r="BX27" i="4" s="1"/>
  <c r="AL27" i="4"/>
  <c r="AX27" i="4" s="1"/>
  <c r="BJ27" i="4" s="1"/>
  <c r="BV27" i="4" s="1"/>
  <c r="AJ27" i="4"/>
  <c r="AV27" i="4" s="1"/>
  <c r="BH27" i="4" s="1"/>
  <c r="BT27" i="4" s="1"/>
  <c r="AI26" i="2"/>
  <c r="AU26" i="2" s="1"/>
  <c r="BG26" i="2" s="1"/>
  <c r="AH26" i="2"/>
  <c r="AT26" i="2" s="1"/>
  <c r="BF26" i="2" s="1"/>
  <c r="AG26" i="2"/>
  <c r="AS26" i="2" s="1"/>
  <c r="BE26" i="2" s="1"/>
  <c r="AF26" i="2"/>
  <c r="AR26" i="2" s="1"/>
  <c r="BD26" i="2" s="1"/>
  <c r="AE26" i="2"/>
  <c r="AQ26" i="2" s="1"/>
  <c r="BC26" i="2" s="1"/>
  <c r="AD26" i="2"/>
  <c r="AP26" i="2" s="1"/>
  <c r="BB26" i="2" s="1"/>
  <c r="AC26" i="2"/>
  <c r="AO26" i="2" s="1"/>
  <c r="BA26" i="2" s="1"/>
  <c r="AB26" i="2"/>
  <c r="AN26" i="2" s="1"/>
  <c r="AZ26" i="2" s="1"/>
  <c r="BL26" i="2" s="1"/>
  <c r="AM26" i="2"/>
  <c r="AY26" i="2" s="1"/>
  <c r="BK26" i="2" s="1"/>
  <c r="AL26" i="2"/>
  <c r="AX26" i="2" s="1"/>
  <c r="BJ26" i="2" s="1"/>
  <c r="AJ26" i="2"/>
  <c r="AV26" i="2" s="1"/>
  <c r="BH26" i="2" s="1"/>
  <c r="AI26" i="4"/>
  <c r="AU26" i="4" s="1"/>
  <c r="BG26" i="4" s="1"/>
  <c r="BS26" i="4" s="1"/>
  <c r="AH26" i="4"/>
  <c r="AT26" i="4" s="1"/>
  <c r="BF26" i="4" s="1"/>
  <c r="BR26" i="4" s="1"/>
  <c r="AG26" i="4"/>
  <c r="AS26" i="4" s="1"/>
  <c r="BE26" i="4" s="1"/>
  <c r="BQ26" i="4" s="1"/>
  <c r="AF26" i="4"/>
  <c r="AR26" i="4" s="1"/>
  <c r="BD26" i="4" s="1"/>
  <c r="BP26" i="4" s="1"/>
  <c r="AE26" i="4"/>
  <c r="AQ26" i="4" s="1"/>
  <c r="BC26" i="4" s="1"/>
  <c r="BO26" i="4" s="1"/>
  <c r="AD26" i="4"/>
  <c r="AP26" i="4" s="1"/>
  <c r="BB26" i="4" s="1"/>
  <c r="BN26" i="4" s="1"/>
  <c r="AC26" i="4"/>
  <c r="AO26" i="4" s="1"/>
  <c r="BA26" i="4" s="1"/>
  <c r="BM26" i="4" s="1"/>
  <c r="AB26" i="4"/>
  <c r="AN26" i="4" s="1"/>
  <c r="AZ26" i="4" s="1"/>
  <c r="BL26" i="4" s="1"/>
  <c r="BX26" i="4" s="1"/>
  <c r="AL26" i="4"/>
  <c r="AX26" i="4" s="1"/>
  <c r="BJ26" i="4" s="1"/>
  <c r="AJ26" i="4"/>
  <c r="AV26" i="4" s="1"/>
  <c r="BH26" i="4" s="1"/>
  <c r="BT26" i="4" s="1"/>
  <c r="AI24" i="2"/>
  <c r="AU24" i="2" s="1"/>
  <c r="BG24" i="2" s="1"/>
  <c r="AH24" i="2"/>
  <c r="AT24" i="2" s="1"/>
  <c r="BF24" i="2" s="1"/>
  <c r="AG24" i="2"/>
  <c r="AS24" i="2" s="1"/>
  <c r="BE24" i="2" s="1"/>
  <c r="AF24" i="2"/>
  <c r="AR24" i="2" s="1"/>
  <c r="BD24" i="2" s="1"/>
  <c r="AE24" i="2"/>
  <c r="AQ24" i="2" s="1"/>
  <c r="BC24" i="2" s="1"/>
  <c r="AD24" i="2"/>
  <c r="AP24" i="2" s="1"/>
  <c r="BB24" i="2" s="1"/>
  <c r="AC24" i="2"/>
  <c r="AO24" i="2" s="1"/>
  <c r="BA24" i="2" s="1"/>
  <c r="AB24" i="2"/>
  <c r="AN24" i="2" s="1"/>
  <c r="AZ24" i="2" s="1"/>
  <c r="BL24" i="2" s="1"/>
  <c r="AM24" i="2"/>
  <c r="AY24" i="2" s="1"/>
  <c r="BK24" i="2" s="1"/>
  <c r="AL24" i="2"/>
  <c r="AX24" i="2" s="1"/>
  <c r="BJ24" i="2" s="1"/>
  <c r="AJ24" i="2"/>
  <c r="AV24" i="2" s="1"/>
  <c r="BH24" i="2" s="1"/>
  <c r="AI24" i="4"/>
  <c r="AU24" i="4" s="1"/>
  <c r="AH24" i="4"/>
  <c r="AT24" i="4" s="1"/>
  <c r="BF24" i="4" s="1"/>
  <c r="AG24" i="4"/>
  <c r="AS24" i="4" s="1"/>
  <c r="AF24" i="4"/>
  <c r="AR24" i="4" s="1"/>
  <c r="AE24" i="4"/>
  <c r="AQ24" i="4" s="1"/>
  <c r="AD24" i="4"/>
  <c r="AP24" i="4" s="1"/>
  <c r="AC24" i="4"/>
  <c r="AO24" i="4" s="1"/>
  <c r="AB24" i="4"/>
  <c r="AN24" i="4" s="1"/>
  <c r="AZ24" i="4" s="1"/>
  <c r="AL24" i="4"/>
  <c r="AX24" i="4" s="1"/>
  <c r="AJ24" i="4"/>
  <c r="AV24" i="4" s="1"/>
  <c r="AI23" i="2"/>
  <c r="AU23" i="2" s="1"/>
  <c r="BG23" i="2" s="1"/>
  <c r="AH23" i="2"/>
  <c r="AT23" i="2" s="1"/>
  <c r="BF23" i="2" s="1"/>
  <c r="AG23" i="2"/>
  <c r="AS23" i="2" s="1"/>
  <c r="BE23" i="2" s="1"/>
  <c r="AF23" i="2"/>
  <c r="AR23" i="2" s="1"/>
  <c r="BD23" i="2" s="1"/>
  <c r="AE23" i="2"/>
  <c r="AQ23" i="2" s="1"/>
  <c r="BC23" i="2" s="1"/>
  <c r="AD23" i="2"/>
  <c r="AP23" i="2" s="1"/>
  <c r="BB23" i="2" s="1"/>
  <c r="AC23" i="2"/>
  <c r="AB23" i="2"/>
  <c r="AN23" i="2" s="1"/>
  <c r="AZ23" i="2" s="1"/>
  <c r="BL23" i="2" s="1"/>
  <c r="AM23" i="2"/>
  <c r="AY23" i="2" s="1"/>
  <c r="BK23" i="2" s="1"/>
  <c r="AL23" i="2"/>
  <c r="AX23" i="2" s="1"/>
  <c r="BJ23" i="2" s="1"/>
  <c r="AI23" i="4"/>
  <c r="AU23" i="4" s="1"/>
  <c r="BG23" i="4" s="1"/>
  <c r="BS23" i="4" s="1"/>
  <c r="AH23" i="4"/>
  <c r="AT23" i="4" s="1"/>
  <c r="BF23" i="4" s="1"/>
  <c r="BR23" i="4" s="1"/>
  <c r="AG23" i="4"/>
  <c r="AS23" i="4" s="1"/>
  <c r="BE23" i="4" s="1"/>
  <c r="BQ23" i="4" s="1"/>
  <c r="AF23" i="4"/>
  <c r="AR23" i="4" s="1"/>
  <c r="BD23" i="4" s="1"/>
  <c r="BP23" i="4" s="1"/>
  <c r="AE23" i="4"/>
  <c r="AQ23" i="4" s="1"/>
  <c r="BC23" i="4" s="1"/>
  <c r="BO23" i="4" s="1"/>
  <c r="AD23" i="4"/>
  <c r="AP23" i="4" s="1"/>
  <c r="BB23" i="4" s="1"/>
  <c r="BN23" i="4" s="1"/>
  <c r="AC23" i="4"/>
  <c r="AO23" i="4" s="1"/>
  <c r="BA23" i="4" s="1"/>
  <c r="BM23" i="4" s="1"/>
  <c r="AB23" i="4"/>
  <c r="AN23" i="4" s="1"/>
  <c r="AZ23" i="4" s="1"/>
  <c r="BL23" i="4" s="1"/>
  <c r="BX23" i="4" s="1"/>
  <c r="AL23" i="4"/>
  <c r="AX23" i="4" s="1"/>
  <c r="BJ23" i="4" s="1"/>
  <c r="BV23" i="4" s="1"/>
  <c r="AJ23" i="4"/>
  <c r="AV23" i="4" s="1"/>
  <c r="BH23" i="4" s="1"/>
  <c r="BT23" i="4" s="1"/>
  <c r="AJ23" i="2"/>
  <c r="AV23" i="2" s="1"/>
  <c r="BH23" i="2" s="1"/>
  <c r="W173" i="2"/>
  <c r="W176" i="2" s="1"/>
  <c r="V173" i="2"/>
  <c r="V176" i="2" s="1"/>
  <c r="U173" i="2"/>
  <c r="U176" i="2" s="1"/>
  <c r="T173" i="2"/>
  <c r="T176" i="2" s="1"/>
  <c r="S173" i="2"/>
  <c r="S176" i="2" s="1"/>
  <c r="R173" i="2"/>
  <c r="R176" i="2" s="1"/>
  <c r="Q173" i="2"/>
  <c r="Q176" i="2" s="1"/>
  <c r="O173" i="2"/>
  <c r="O176" i="2" s="1"/>
  <c r="M173" i="2"/>
  <c r="M176" i="2" s="1"/>
  <c r="L173" i="2"/>
  <c r="L176" i="2" s="1"/>
  <c r="F173" i="2"/>
  <c r="F176" i="2" s="1"/>
  <c r="E173" i="2"/>
  <c r="E176" i="2" s="1"/>
  <c r="D173" i="2"/>
  <c r="C173" i="2"/>
  <c r="W173" i="4"/>
  <c r="W176" i="4" s="1"/>
  <c r="V173" i="4"/>
  <c r="V176" i="4" s="1"/>
  <c r="U173" i="4"/>
  <c r="U176" i="4" s="1"/>
  <c r="T173" i="4"/>
  <c r="T176" i="4" s="1"/>
  <c r="S173" i="4"/>
  <c r="S176" i="4" s="1"/>
  <c r="R173" i="4"/>
  <c r="R176" i="4" s="1"/>
  <c r="Q173" i="4"/>
  <c r="Q176" i="4" s="1"/>
  <c r="O173" i="4"/>
  <c r="O176" i="4" s="1"/>
  <c r="N173" i="4"/>
  <c r="N176" i="4" s="1"/>
  <c r="M173" i="4"/>
  <c r="M176" i="4" s="1"/>
  <c r="L173" i="4"/>
  <c r="L176" i="4" s="1"/>
  <c r="F173" i="4"/>
  <c r="F176" i="4" s="1"/>
  <c r="E173" i="4"/>
  <c r="E176" i="4" s="1"/>
  <c r="D173" i="4"/>
  <c r="C173" i="4"/>
  <c r="D173" i="15"/>
  <c r="P173" i="2"/>
  <c r="P176" i="2" s="1"/>
  <c r="P173" i="4"/>
  <c r="P176" i="4" s="1"/>
  <c r="P161" i="15"/>
  <c r="AN161" i="15"/>
  <c r="AM161" i="15"/>
  <c r="AL161" i="15"/>
  <c r="AK161" i="15"/>
  <c r="AJ161" i="15"/>
  <c r="AI161" i="15"/>
  <c r="AH161" i="15"/>
  <c r="AG161" i="15"/>
  <c r="AF161" i="15"/>
  <c r="AE161" i="15"/>
  <c r="AD161" i="15"/>
  <c r="AC161" i="15"/>
  <c r="AB161" i="15"/>
  <c r="AA161" i="15"/>
  <c r="Z161" i="15"/>
  <c r="X161" i="15"/>
  <c r="W161" i="15"/>
  <c r="V161" i="15"/>
  <c r="U161" i="15"/>
  <c r="T161" i="15"/>
  <c r="S161" i="15"/>
  <c r="R161" i="15"/>
  <c r="Q161" i="15"/>
  <c r="O161" i="15"/>
  <c r="N161" i="15"/>
  <c r="M161" i="15"/>
  <c r="L161" i="15"/>
  <c r="K161" i="15"/>
  <c r="J161" i="15"/>
  <c r="I161" i="15"/>
  <c r="H161" i="15"/>
  <c r="G161" i="15"/>
  <c r="F161" i="15"/>
  <c r="E161" i="15"/>
  <c r="AN160" i="15"/>
  <c r="AM160" i="15"/>
  <c r="AL160" i="15"/>
  <c r="AK160" i="15"/>
  <c r="AJ160" i="15"/>
  <c r="AI160" i="15"/>
  <c r="AH160" i="15"/>
  <c r="AG160" i="15"/>
  <c r="AF160" i="15"/>
  <c r="AE160" i="15"/>
  <c r="AD160" i="15"/>
  <c r="AC160" i="15"/>
  <c r="AB160" i="15"/>
  <c r="Z160" i="15"/>
  <c r="X160" i="15"/>
  <c r="W160" i="15"/>
  <c r="V160" i="15"/>
  <c r="U160" i="15"/>
  <c r="T160" i="15"/>
  <c r="S160" i="15"/>
  <c r="R160" i="15"/>
  <c r="Q160" i="15"/>
  <c r="P160" i="15"/>
  <c r="O160" i="15"/>
  <c r="N160" i="15"/>
  <c r="M160" i="15"/>
  <c r="L160" i="15"/>
  <c r="K160" i="15"/>
  <c r="J160" i="15"/>
  <c r="I160" i="15"/>
  <c r="H160" i="15"/>
  <c r="G160" i="15"/>
  <c r="F160" i="15"/>
  <c r="E160" i="15"/>
  <c r="D162" i="15"/>
  <c r="CD162" i="15" s="1"/>
  <c r="C162" i="15"/>
  <c r="CC162" i="15" s="1"/>
  <c r="W162" i="4"/>
  <c r="V162" i="4"/>
  <c r="U162" i="4"/>
  <c r="T162" i="4"/>
  <c r="S162" i="4"/>
  <c r="R162" i="4"/>
  <c r="Q162" i="4"/>
  <c r="P162" i="4"/>
  <c r="O162" i="4"/>
  <c r="N162" i="4"/>
  <c r="M162" i="4"/>
  <c r="L162" i="4"/>
  <c r="K162" i="4"/>
  <c r="J162" i="4"/>
  <c r="I162" i="4"/>
  <c r="H162" i="4"/>
  <c r="G162" i="4"/>
  <c r="F162" i="4"/>
  <c r="W162" i="2"/>
  <c r="V162" i="2"/>
  <c r="U162" i="2"/>
  <c r="T162" i="2"/>
  <c r="S162" i="2"/>
  <c r="R162" i="2"/>
  <c r="Q162" i="2"/>
  <c r="P162" i="2"/>
  <c r="O162" i="2"/>
  <c r="N162" i="2"/>
  <c r="M162" i="2"/>
  <c r="L162" i="2"/>
  <c r="K162" i="2"/>
  <c r="J162" i="2"/>
  <c r="I162" i="2"/>
  <c r="H162" i="2"/>
  <c r="G162" i="2"/>
  <c r="F162" i="2"/>
  <c r="E162" i="4"/>
  <c r="E162" i="2"/>
  <c r="B162" i="4"/>
  <c r="A162" i="4"/>
  <c r="B162" i="2"/>
  <c r="A162" i="2"/>
  <c r="B161" i="4"/>
  <c r="A161" i="4"/>
  <c r="B161" i="2"/>
  <c r="A161" i="2"/>
  <c r="B160" i="4"/>
  <c r="A160" i="4"/>
  <c r="B160" i="2"/>
  <c r="A160" i="2"/>
  <c r="Y162" i="2" s="1"/>
  <c r="AP15" i="2"/>
  <c r="AP7" i="2"/>
  <c r="AQ7" i="2" s="1"/>
  <c r="AR7" i="2" s="1"/>
  <c r="AS7" i="2" s="1"/>
  <c r="AT7" i="2" s="1"/>
  <c r="AU7" i="2" s="1"/>
  <c r="AV7" i="2" s="1"/>
  <c r="AW7" i="2" s="1"/>
  <c r="AX7" i="2" s="1"/>
  <c r="AY7" i="2" s="1"/>
  <c r="AZ7" i="2" s="1"/>
  <c r="BA7" i="2" s="1"/>
  <c r="C7" i="2"/>
  <c r="C7" i="4"/>
  <c r="R7" i="2"/>
  <c r="S7" i="2" s="1"/>
  <c r="T7" i="2" s="1"/>
  <c r="U7" i="2" s="1"/>
  <c r="V7" i="2" s="1"/>
  <c r="W7" i="2" s="1"/>
  <c r="X7" i="2" s="1"/>
  <c r="Y7" i="2" s="1"/>
  <c r="Z7" i="2" s="1"/>
  <c r="AA7" i="2" s="1"/>
  <c r="AB7" i="2" s="1"/>
  <c r="AC7" i="2" s="1"/>
  <c r="AD7" i="2" s="1"/>
  <c r="AE7" i="2" s="1"/>
  <c r="AF7" i="2" s="1"/>
  <c r="AG7" i="2" s="1"/>
  <c r="AH7" i="2" s="1"/>
  <c r="AI7" i="2" s="1"/>
  <c r="AJ7" i="2" s="1"/>
  <c r="AK7" i="2" s="1"/>
  <c r="AL7" i="2" s="1"/>
  <c r="AM7" i="2" s="1"/>
  <c r="AN7" i="2" s="1"/>
  <c r="BB288" i="2"/>
  <c r="BB287" i="2"/>
  <c r="BB286" i="2"/>
  <c r="BB284" i="2"/>
  <c r="BB283" i="2"/>
  <c r="BB282" i="2"/>
  <c r="BB281" i="2"/>
  <c r="F16" i="16"/>
  <c r="D16" i="16"/>
  <c r="H14" i="16"/>
  <c r="H13" i="16"/>
  <c r="H12" i="16"/>
  <c r="H11" i="16"/>
  <c r="H10" i="16"/>
  <c r="H9" i="16"/>
  <c r="H8" i="16"/>
  <c r="H7" i="16"/>
  <c r="H6" i="16"/>
  <c r="A1" i="16"/>
  <c r="AD18" i="2"/>
  <c r="AD17" i="2"/>
  <c r="AD16" i="2"/>
  <c r="AD15" i="2"/>
  <c r="AD14" i="2"/>
  <c r="AD12" i="2"/>
  <c r="AD13" i="2"/>
  <c r="AD10" i="4"/>
  <c r="AD11" i="2"/>
  <c r="AD10" i="2"/>
  <c r="AD15" i="4"/>
  <c r="AD14" i="4"/>
  <c r="AD13" i="4"/>
  <c r="AD12" i="4"/>
  <c r="AD11" i="4"/>
  <c r="X19" i="2"/>
  <c r="X19" i="4"/>
  <c r="W19" i="4"/>
  <c r="W19" i="2"/>
  <c r="V19" i="2"/>
  <c r="V19" i="4"/>
  <c r="U19" i="2"/>
  <c r="U19" i="4"/>
  <c r="T19" i="2"/>
  <c r="T19" i="4"/>
  <c r="S19" i="4"/>
  <c r="S19" i="2"/>
  <c r="R19" i="2"/>
  <c r="R19" i="4"/>
  <c r="Q19" i="4"/>
  <c r="Q19" i="2"/>
  <c r="P19" i="2"/>
  <c r="O19" i="2"/>
  <c r="P19" i="4"/>
  <c r="O19" i="4"/>
  <c r="N19" i="4"/>
  <c r="N19" i="2"/>
  <c r="M19" i="2"/>
  <c r="M19" i="4"/>
  <c r="L19" i="4"/>
  <c r="L19" i="2"/>
  <c r="K19" i="2"/>
  <c r="K19" i="4"/>
  <c r="J19" i="4"/>
  <c r="J19" i="2"/>
  <c r="I19" i="2"/>
  <c r="I19" i="4"/>
  <c r="H19" i="4"/>
  <c r="H19" i="2"/>
  <c r="G19" i="4"/>
  <c r="G19" i="2"/>
  <c r="F19" i="4"/>
  <c r="E19" i="4"/>
  <c r="F19" i="2"/>
  <c r="E19" i="2"/>
  <c r="D19" i="4"/>
  <c r="D19" i="2"/>
  <c r="C19" i="4"/>
  <c r="C19" i="2"/>
  <c r="X10" i="15"/>
  <c r="W10" i="15"/>
  <c r="V10" i="15"/>
  <c r="U10" i="15"/>
  <c r="T10" i="15"/>
  <c r="S10" i="15"/>
  <c r="R10" i="15"/>
  <c r="Q10" i="15"/>
  <c r="P10" i="15"/>
  <c r="O10" i="15"/>
  <c r="N10" i="15"/>
  <c r="M10" i="15"/>
  <c r="L10" i="15"/>
  <c r="K10" i="15"/>
  <c r="J10" i="15"/>
  <c r="I10" i="15"/>
  <c r="H10" i="15"/>
  <c r="G10" i="15"/>
  <c r="F10" i="15"/>
  <c r="E10" i="15"/>
  <c r="D10" i="15"/>
  <c r="C10" i="15"/>
  <c r="X11" i="15"/>
  <c r="W11" i="15"/>
  <c r="V11" i="15"/>
  <c r="U11" i="15"/>
  <c r="T11" i="15"/>
  <c r="S11" i="15"/>
  <c r="R11" i="15"/>
  <c r="Q11" i="15"/>
  <c r="P11" i="15"/>
  <c r="O11" i="15"/>
  <c r="N11" i="15"/>
  <c r="M11" i="15"/>
  <c r="L11" i="15"/>
  <c r="K11" i="15"/>
  <c r="J11" i="15"/>
  <c r="I11" i="15"/>
  <c r="H11" i="15"/>
  <c r="G11" i="15"/>
  <c r="F11" i="15"/>
  <c r="E11" i="15"/>
  <c r="D11" i="15"/>
  <c r="C11" i="15"/>
  <c r="X12" i="15"/>
  <c r="W12" i="15"/>
  <c r="V12" i="15"/>
  <c r="U12" i="15"/>
  <c r="T12" i="15"/>
  <c r="S12" i="15"/>
  <c r="R12" i="15"/>
  <c r="Q12" i="15"/>
  <c r="P12" i="15"/>
  <c r="O12" i="15"/>
  <c r="N12" i="15"/>
  <c r="M12" i="15"/>
  <c r="L12" i="15"/>
  <c r="K12" i="15"/>
  <c r="J12" i="15"/>
  <c r="I12" i="15"/>
  <c r="H12" i="15"/>
  <c r="G12" i="15"/>
  <c r="F12" i="15"/>
  <c r="E12" i="15"/>
  <c r="D12" i="15"/>
  <c r="C12" i="15"/>
  <c r="X13" i="15"/>
  <c r="W13" i="15"/>
  <c r="V13" i="15"/>
  <c r="U13" i="15"/>
  <c r="T13" i="15"/>
  <c r="S13" i="15"/>
  <c r="R13" i="15"/>
  <c r="Q13" i="15"/>
  <c r="P13" i="15"/>
  <c r="O13" i="15"/>
  <c r="N13" i="15"/>
  <c r="M13" i="15"/>
  <c r="L13" i="15"/>
  <c r="K13" i="15"/>
  <c r="J13" i="15"/>
  <c r="I13" i="15"/>
  <c r="H13" i="15"/>
  <c r="G13" i="15"/>
  <c r="F13" i="15"/>
  <c r="E13" i="15"/>
  <c r="D13" i="15"/>
  <c r="C13" i="15"/>
  <c r="X14" i="15"/>
  <c r="W14" i="15"/>
  <c r="V14" i="15"/>
  <c r="U14" i="15"/>
  <c r="T14" i="15"/>
  <c r="S14" i="15"/>
  <c r="R14" i="15"/>
  <c r="Q14" i="15"/>
  <c r="P14" i="15"/>
  <c r="O14" i="15"/>
  <c r="N14" i="15"/>
  <c r="M14" i="15"/>
  <c r="L14" i="15"/>
  <c r="K14" i="15"/>
  <c r="J14" i="15"/>
  <c r="I14" i="15"/>
  <c r="H14" i="15"/>
  <c r="G14" i="15"/>
  <c r="F14" i="15"/>
  <c r="E14" i="15"/>
  <c r="D14" i="15"/>
  <c r="C14" i="15"/>
  <c r="X15" i="15"/>
  <c r="W15" i="15"/>
  <c r="V15" i="15"/>
  <c r="U15" i="15"/>
  <c r="T15" i="15"/>
  <c r="S15" i="15"/>
  <c r="R15" i="15"/>
  <c r="Q15" i="15"/>
  <c r="P15" i="15"/>
  <c r="O15" i="15"/>
  <c r="N15" i="15"/>
  <c r="M15" i="15"/>
  <c r="L15" i="15"/>
  <c r="K15" i="15"/>
  <c r="J15" i="15"/>
  <c r="I15" i="15"/>
  <c r="H15" i="15"/>
  <c r="G15" i="15"/>
  <c r="F15" i="15"/>
  <c r="E15" i="15"/>
  <c r="D15" i="15"/>
  <c r="C15" i="15"/>
  <c r="X16" i="15"/>
  <c r="W16" i="15"/>
  <c r="V16" i="15"/>
  <c r="U16" i="15"/>
  <c r="T16" i="15"/>
  <c r="S16" i="15"/>
  <c r="R16" i="15"/>
  <c r="Q16" i="15"/>
  <c r="P16" i="15"/>
  <c r="O16" i="15"/>
  <c r="N16" i="15"/>
  <c r="M16" i="15"/>
  <c r="L16" i="15"/>
  <c r="K16" i="15"/>
  <c r="J16" i="15"/>
  <c r="I16" i="15"/>
  <c r="H16" i="15"/>
  <c r="G16" i="15"/>
  <c r="F16" i="15"/>
  <c r="E16" i="15"/>
  <c r="D16" i="15"/>
  <c r="C16" i="15"/>
  <c r="X17" i="15"/>
  <c r="W17" i="15"/>
  <c r="V17" i="15"/>
  <c r="U17" i="15"/>
  <c r="T17" i="15"/>
  <c r="S17" i="15"/>
  <c r="R17" i="15"/>
  <c r="Q17" i="15"/>
  <c r="P17" i="15"/>
  <c r="O17" i="15"/>
  <c r="N17" i="15"/>
  <c r="M17" i="15"/>
  <c r="L17" i="15"/>
  <c r="K17" i="15"/>
  <c r="J17" i="15"/>
  <c r="I17" i="15"/>
  <c r="H17" i="15"/>
  <c r="G17" i="15"/>
  <c r="F17" i="15"/>
  <c r="E17" i="15"/>
  <c r="D17" i="15"/>
  <c r="C17" i="15"/>
  <c r="X18" i="15"/>
  <c r="W18" i="15"/>
  <c r="V18" i="15"/>
  <c r="U18" i="15"/>
  <c r="T18" i="15"/>
  <c r="S18" i="15"/>
  <c r="R18" i="15"/>
  <c r="Q18" i="15"/>
  <c r="P18" i="15"/>
  <c r="O18" i="15"/>
  <c r="N18" i="15"/>
  <c r="M18" i="15"/>
  <c r="L18" i="15"/>
  <c r="K18" i="15"/>
  <c r="J18" i="15"/>
  <c r="I18" i="15"/>
  <c r="H18" i="15"/>
  <c r="G18" i="15"/>
  <c r="F18" i="15"/>
  <c r="E18" i="15"/>
  <c r="D18" i="15"/>
  <c r="C18" i="15"/>
  <c r="B18" i="4"/>
  <c r="A18" i="4" s="1"/>
  <c r="B17" i="4"/>
  <c r="A17" i="4" s="1"/>
  <c r="B16" i="4"/>
  <c r="A16" i="4" s="1"/>
  <c r="B15" i="4"/>
  <c r="A15" i="4" s="1"/>
  <c r="B14" i="4"/>
  <c r="A14" i="4" s="1"/>
  <c r="B13" i="4"/>
  <c r="A13" i="4" s="1"/>
  <c r="B12" i="4"/>
  <c r="A12" i="4" s="1"/>
  <c r="B11" i="4"/>
  <c r="A11" i="4" s="1"/>
  <c r="B10" i="4"/>
  <c r="A10" i="4" s="1"/>
  <c r="B18" i="2"/>
  <c r="A18" i="2" s="1"/>
  <c r="B17" i="2"/>
  <c r="A17" i="2" s="1"/>
  <c r="B16" i="2"/>
  <c r="A16" i="2" s="1"/>
  <c r="B15" i="2"/>
  <c r="A15" i="2" s="1"/>
  <c r="B14" i="2"/>
  <c r="A14" i="2" s="1"/>
  <c r="B13" i="2"/>
  <c r="A13" i="2" s="1"/>
  <c r="B12" i="2"/>
  <c r="A12" i="2" s="1"/>
  <c r="B11" i="2"/>
  <c r="A11" i="2" s="1"/>
  <c r="B10" i="2"/>
  <c r="A10" i="2" s="1"/>
  <c r="A19" i="15"/>
  <c r="A18" i="15"/>
  <c r="A17" i="15"/>
  <c r="A16" i="15"/>
  <c r="A15" i="15"/>
  <c r="A14" i="15"/>
  <c r="A13" i="15"/>
  <c r="A12" i="15"/>
  <c r="A11" i="15"/>
  <c r="A10" i="15"/>
  <c r="Y162" i="4" l="1"/>
  <c r="CH50" i="15"/>
  <c r="CH29" i="15"/>
  <c r="CH28" i="15"/>
  <c r="CH181" i="15"/>
  <c r="AO23" i="2"/>
  <c r="BA23" i="2" s="1"/>
  <c r="BC29" i="8"/>
  <c r="Y161" i="15"/>
  <c r="CF161" i="15" s="1"/>
  <c r="CH49" i="15"/>
  <c r="CH130" i="15"/>
  <c r="E259" i="2"/>
  <c r="E289" i="2"/>
  <c r="E20" i="2"/>
  <c r="G289" i="2"/>
  <c r="G20" i="2"/>
  <c r="I259" i="4"/>
  <c r="I20" i="4"/>
  <c r="I289" i="4"/>
  <c r="K259" i="4"/>
  <c r="K289" i="4"/>
  <c r="K20" i="4"/>
  <c r="M259" i="4"/>
  <c r="M20" i="4"/>
  <c r="M289" i="4"/>
  <c r="O259" i="4"/>
  <c r="O289" i="4"/>
  <c r="O20" i="4"/>
  <c r="Q259" i="2"/>
  <c r="Q20" i="2"/>
  <c r="Q289" i="2"/>
  <c r="S259" i="2"/>
  <c r="S289" i="2"/>
  <c r="S20" i="2"/>
  <c r="U259" i="4"/>
  <c r="U20" i="4"/>
  <c r="U289" i="4"/>
  <c r="W259" i="2"/>
  <c r="W289" i="2"/>
  <c r="W20" i="2"/>
  <c r="AE11" i="4"/>
  <c r="AF11" i="4" s="1"/>
  <c r="AG11" i="4" s="1"/>
  <c r="AH11" i="4" s="1"/>
  <c r="AI11" i="4" s="1"/>
  <c r="AJ11" i="4" s="1"/>
  <c r="AK11" i="4" s="1"/>
  <c r="AL11" i="4" s="1"/>
  <c r="AM11" i="4" s="1"/>
  <c r="AN11" i="4" s="1"/>
  <c r="AO11" i="4" s="1"/>
  <c r="AD281" i="4"/>
  <c r="AE15" i="4"/>
  <c r="AF15" i="4" s="1"/>
  <c r="AG15" i="4" s="1"/>
  <c r="AH15" i="4" s="1"/>
  <c r="AI15" i="4" s="1"/>
  <c r="AJ15" i="4" s="1"/>
  <c r="AK15" i="4" s="1"/>
  <c r="AL15" i="4" s="1"/>
  <c r="AM15" i="4" s="1"/>
  <c r="AN15" i="4" s="1"/>
  <c r="AO15" i="4" s="1"/>
  <c r="AD285" i="4"/>
  <c r="AE13" i="2"/>
  <c r="AF13" i="2" s="1"/>
  <c r="AG13" i="2" s="1"/>
  <c r="AH13" i="2" s="1"/>
  <c r="AI13" i="2" s="1"/>
  <c r="AJ13" i="2" s="1"/>
  <c r="AK13" i="2" s="1"/>
  <c r="AL13" i="2" s="1"/>
  <c r="AM13" i="2" s="1"/>
  <c r="AN13" i="2" s="1"/>
  <c r="AO13" i="2" s="1"/>
  <c r="AP283" i="2" s="1"/>
  <c r="AD283" i="2"/>
  <c r="AE16" i="2"/>
  <c r="AF16" i="2" s="1"/>
  <c r="AG16" i="2" s="1"/>
  <c r="AH16" i="2" s="1"/>
  <c r="AI16" i="2" s="1"/>
  <c r="AJ16" i="2" s="1"/>
  <c r="AK16" i="2" s="1"/>
  <c r="AL16" i="2" s="1"/>
  <c r="AM16" i="2" s="1"/>
  <c r="AN16" i="2" s="1"/>
  <c r="AO16" i="2" s="1"/>
  <c r="AP286" i="2" s="1"/>
  <c r="AD286" i="2"/>
  <c r="Y160" i="15"/>
  <c r="F259" i="2"/>
  <c r="F20" i="2"/>
  <c r="F289" i="2"/>
  <c r="P259" i="4"/>
  <c r="P20" i="4"/>
  <c r="P289" i="4"/>
  <c r="D289" i="2"/>
  <c r="D20" i="2"/>
  <c r="E259" i="4"/>
  <c r="E20" i="4"/>
  <c r="E289" i="4"/>
  <c r="H259" i="2"/>
  <c r="H20" i="2"/>
  <c r="H289" i="2"/>
  <c r="J259" i="2"/>
  <c r="J20" i="2"/>
  <c r="J289" i="2"/>
  <c r="L259" i="2"/>
  <c r="L20" i="2"/>
  <c r="L289" i="2"/>
  <c r="N259" i="2"/>
  <c r="N20" i="2"/>
  <c r="N289" i="2"/>
  <c r="O259" i="2"/>
  <c r="O289" i="2"/>
  <c r="O20" i="2"/>
  <c r="R259" i="4"/>
  <c r="R289" i="4"/>
  <c r="R20" i="4"/>
  <c r="T259" i="4"/>
  <c r="T20" i="4"/>
  <c r="T289" i="4"/>
  <c r="V259" i="4"/>
  <c r="V289" i="4"/>
  <c r="V20" i="4"/>
  <c r="X259" i="4"/>
  <c r="X20" i="4"/>
  <c r="X289" i="4"/>
  <c r="AD283" i="4"/>
  <c r="AE13" i="4"/>
  <c r="AF13" i="4" s="1"/>
  <c r="AG13" i="4" s="1"/>
  <c r="AH13" i="4" s="1"/>
  <c r="AI13" i="4" s="1"/>
  <c r="AJ13" i="4" s="1"/>
  <c r="AK13" i="4" s="1"/>
  <c r="AL13" i="4" s="1"/>
  <c r="AM13" i="4" s="1"/>
  <c r="AN13" i="4" s="1"/>
  <c r="AO13" i="4" s="1"/>
  <c r="AE11" i="2"/>
  <c r="AF11" i="2" s="1"/>
  <c r="AG11" i="2" s="1"/>
  <c r="AH11" i="2" s="1"/>
  <c r="AI11" i="2" s="1"/>
  <c r="AJ11" i="2" s="1"/>
  <c r="AK11" i="2" s="1"/>
  <c r="AL11" i="2" s="1"/>
  <c r="AM11" i="2" s="1"/>
  <c r="AN11" i="2" s="1"/>
  <c r="AO11" i="2" s="1"/>
  <c r="AP281" i="2" s="1"/>
  <c r="AD281" i="2"/>
  <c r="AE14" i="2"/>
  <c r="AF14" i="2" s="1"/>
  <c r="AG14" i="2" s="1"/>
  <c r="AH14" i="2" s="1"/>
  <c r="AI14" i="2" s="1"/>
  <c r="AJ14" i="2" s="1"/>
  <c r="AK14" i="2" s="1"/>
  <c r="AL14" i="2" s="1"/>
  <c r="AM14" i="2" s="1"/>
  <c r="AN14" i="2" s="1"/>
  <c r="AO14" i="2" s="1"/>
  <c r="AP284" i="2" s="1"/>
  <c r="AD284" i="2"/>
  <c r="AE18" i="2"/>
  <c r="AF18" i="2" s="1"/>
  <c r="AG18" i="2" s="1"/>
  <c r="AH18" i="2" s="1"/>
  <c r="AI18" i="2" s="1"/>
  <c r="AJ18" i="2" s="1"/>
  <c r="AK18" i="2" s="1"/>
  <c r="AL18" i="2" s="1"/>
  <c r="AM18" i="2" s="1"/>
  <c r="AN18" i="2" s="1"/>
  <c r="AO18" i="2" s="1"/>
  <c r="AD288" i="2"/>
  <c r="AQ15" i="2"/>
  <c r="AR15" i="2" s="1"/>
  <c r="AS15" i="2" s="1"/>
  <c r="AT15" i="2" s="1"/>
  <c r="AU15" i="2" s="1"/>
  <c r="AV15" i="2" s="1"/>
  <c r="AW15" i="2" s="1"/>
  <c r="AX15" i="2" s="1"/>
  <c r="AY15" i="2" s="1"/>
  <c r="AZ15" i="2" s="1"/>
  <c r="BA15" i="2" s="1"/>
  <c r="BB285" i="2" s="1"/>
  <c r="G289" i="4"/>
  <c r="G20" i="4"/>
  <c r="I259" i="2"/>
  <c r="I289" i="2"/>
  <c r="I20" i="2"/>
  <c r="K259" i="2"/>
  <c r="K289" i="2"/>
  <c r="K20" i="2"/>
  <c r="M259" i="2"/>
  <c r="M20" i="2"/>
  <c r="M289" i="2"/>
  <c r="Q259" i="4"/>
  <c r="Q20" i="4"/>
  <c r="Q289" i="4"/>
  <c r="S259" i="4"/>
  <c r="S289" i="4"/>
  <c r="S20" i="4"/>
  <c r="U259" i="2"/>
  <c r="U289" i="2"/>
  <c r="U20" i="2"/>
  <c r="W259" i="4"/>
  <c r="W289" i="4"/>
  <c r="W20" i="4"/>
  <c r="AE12" i="4"/>
  <c r="AF12" i="4" s="1"/>
  <c r="AG12" i="4" s="1"/>
  <c r="AH12" i="4" s="1"/>
  <c r="AI12" i="4" s="1"/>
  <c r="AJ12" i="4" s="1"/>
  <c r="AK12" i="4" s="1"/>
  <c r="AL12" i="4" s="1"/>
  <c r="AM12" i="4" s="1"/>
  <c r="AN12" i="4" s="1"/>
  <c r="AO12" i="4" s="1"/>
  <c r="AP13" i="4" s="1"/>
  <c r="AD282" i="4"/>
  <c r="AE10" i="2"/>
  <c r="AF10" i="2" s="1"/>
  <c r="AG10" i="2" s="1"/>
  <c r="AH10" i="2" s="1"/>
  <c r="AI10" i="2" s="1"/>
  <c r="AJ10" i="2" s="1"/>
  <c r="AK10" i="2" s="1"/>
  <c r="AL10" i="2" s="1"/>
  <c r="AM10" i="2" s="1"/>
  <c r="AN10" i="2" s="1"/>
  <c r="AO10" i="2" s="1"/>
  <c r="AD280" i="2"/>
  <c r="AE12" i="2"/>
  <c r="AF12" i="2" s="1"/>
  <c r="AG12" i="2" s="1"/>
  <c r="AH12" i="2" s="1"/>
  <c r="AI12" i="2" s="1"/>
  <c r="AJ12" i="2" s="1"/>
  <c r="AK12" i="2" s="1"/>
  <c r="AL12" i="2" s="1"/>
  <c r="AM12" i="2" s="1"/>
  <c r="AN12" i="2" s="1"/>
  <c r="AO12" i="2" s="1"/>
  <c r="AP282" i="2" s="1"/>
  <c r="AD282" i="2"/>
  <c r="AE17" i="2"/>
  <c r="AF17" i="2" s="1"/>
  <c r="AG17" i="2" s="1"/>
  <c r="AH17" i="2" s="1"/>
  <c r="AI17" i="2" s="1"/>
  <c r="AJ17" i="2" s="1"/>
  <c r="AK17" i="2" s="1"/>
  <c r="AL17" i="2" s="1"/>
  <c r="AM17" i="2" s="1"/>
  <c r="AN17" i="2" s="1"/>
  <c r="AO17" i="2" s="1"/>
  <c r="AP287" i="2" s="1"/>
  <c r="AD287" i="2"/>
  <c r="D20" i="4"/>
  <c r="D289" i="4"/>
  <c r="F259" i="4"/>
  <c r="F289" i="4"/>
  <c r="F20" i="4"/>
  <c r="H259" i="4"/>
  <c r="H20" i="4"/>
  <c r="H289" i="4"/>
  <c r="J259" i="4"/>
  <c r="J289" i="4"/>
  <c r="J20" i="4"/>
  <c r="L259" i="4"/>
  <c r="L20" i="4"/>
  <c r="L289" i="4"/>
  <c r="N259" i="4"/>
  <c r="N289" i="4"/>
  <c r="N20" i="4"/>
  <c r="P259" i="2"/>
  <c r="P20" i="2"/>
  <c r="P289" i="2"/>
  <c r="R259" i="2"/>
  <c r="R20" i="2"/>
  <c r="R289" i="2"/>
  <c r="T259" i="2"/>
  <c r="T20" i="2"/>
  <c r="T289" i="2"/>
  <c r="V259" i="2"/>
  <c r="V20" i="2"/>
  <c r="V289" i="2"/>
  <c r="X259" i="2"/>
  <c r="X20" i="2"/>
  <c r="X289" i="2"/>
  <c r="AE14" i="4"/>
  <c r="AF14" i="4" s="1"/>
  <c r="AG14" i="4" s="1"/>
  <c r="AH14" i="4" s="1"/>
  <c r="AI14" i="4" s="1"/>
  <c r="AJ14" i="4" s="1"/>
  <c r="AK14" i="4" s="1"/>
  <c r="AL14" i="4" s="1"/>
  <c r="AM14" i="4" s="1"/>
  <c r="AN14" i="4" s="1"/>
  <c r="AO14" i="4" s="1"/>
  <c r="AD284" i="4"/>
  <c r="AE10" i="4"/>
  <c r="AF10" i="4" s="1"/>
  <c r="AG10" i="4" s="1"/>
  <c r="AH10" i="4" s="1"/>
  <c r="AI10" i="4" s="1"/>
  <c r="AJ10" i="4" s="1"/>
  <c r="AK10" i="4" s="1"/>
  <c r="AL10" i="4" s="1"/>
  <c r="AM10" i="4" s="1"/>
  <c r="AN10" i="4" s="1"/>
  <c r="AO10" i="4" s="1"/>
  <c r="AP11" i="4" s="1"/>
  <c r="AD280" i="4"/>
  <c r="AE15" i="2"/>
  <c r="AF15" i="2" s="1"/>
  <c r="AG15" i="2" s="1"/>
  <c r="AH15" i="2" s="1"/>
  <c r="AI15" i="2" s="1"/>
  <c r="AJ15" i="2" s="1"/>
  <c r="AK15" i="2" s="1"/>
  <c r="AL15" i="2" s="1"/>
  <c r="AM15" i="2" s="1"/>
  <c r="AN15" i="2" s="1"/>
  <c r="AO15" i="2" s="1"/>
  <c r="AP285" i="2" s="1"/>
  <c r="AD285" i="2"/>
  <c r="AL47" i="4"/>
  <c r="AX47" i="4" s="1"/>
  <c r="BJ47" i="4" s="1"/>
  <c r="BV47" i="4" s="1"/>
  <c r="AL47" i="2"/>
  <c r="AX47" i="2" s="1"/>
  <c r="BJ47" i="2" s="1"/>
  <c r="BV47" i="2" s="1"/>
  <c r="AM47" i="4"/>
  <c r="AY47" i="4" s="1"/>
  <c r="BK47" i="4" s="1"/>
  <c r="BW47" i="4" s="1"/>
  <c r="AQ47" i="4"/>
  <c r="AE106" i="4"/>
  <c r="AU47" i="4"/>
  <c r="BG47" i="4" s="1"/>
  <c r="BS47" i="4" s="1"/>
  <c r="AI106" i="4"/>
  <c r="AM47" i="2"/>
  <c r="AY47" i="2" s="1"/>
  <c r="BK47" i="2" s="1"/>
  <c r="BW47" i="2" s="1"/>
  <c r="AQ47" i="2"/>
  <c r="AE106" i="2"/>
  <c r="AU47" i="2"/>
  <c r="BG47" i="2" s="1"/>
  <c r="BS47" i="2" s="1"/>
  <c r="BS47" i="15" s="1"/>
  <c r="AI106" i="2"/>
  <c r="AT47" i="4"/>
  <c r="BF47" i="4" s="1"/>
  <c r="BR47" i="4" s="1"/>
  <c r="AH106" i="4"/>
  <c r="AT47" i="2"/>
  <c r="BF47" i="2" s="1"/>
  <c r="BR47" i="2" s="1"/>
  <c r="BR47" i="15" s="1"/>
  <c r="AH106" i="2"/>
  <c r="AV47" i="4"/>
  <c r="BH47" i="4" s="1"/>
  <c r="BT47" i="4" s="1"/>
  <c r="AJ106" i="4"/>
  <c r="AN47" i="4"/>
  <c r="AZ47" i="4" s="1"/>
  <c r="BL47" i="4" s="1"/>
  <c r="BX47" i="4" s="1"/>
  <c r="AB106" i="4"/>
  <c r="AR47" i="4"/>
  <c r="BD47" i="4" s="1"/>
  <c r="BP47" i="4" s="1"/>
  <c r="AF106" i="4"/>
  <c r="AV47" i="2"/>
  <c r="BH47" i="2" s="1"/>
  <c r="BT47" i="2" s="1"/>
  <c r="BT47" i="15" s="1"/>
  <c r="AJ106" i="2"/>
  <c r="AN47" i="2"/>
  <c r="AZ47" i="2" s="1"/>
  <c r="BL47" i="2" s="1"/>
  <c r="BX47" i="2" s="1"/>
  <c r="AB106" i="2"/>
  <c r="AR47" i="2"/>
  <c r="BD47" i="2" s="1"/>
  <c r="BP47" i="2" s="1"/>
  <c r="BP47" i="15" s="1"/>
  <c r="AF106" i="2"/>
  <c r="AP47" i="4"/>
  <c r="BB47" i="4" s="1"/>
  <c r="BN47" i="4" s="1"/>
  <c r="AD106" i="4"/>
  <c r="AP47" i="2"/>
  <c r="BB47" i="2" s="1"/>
  <c r="BN47" i="2" s="1"/>
  <c r="AD106" i="2"/>
  <c r="AK47" i="4"/>
  <c r="AW47" i="4" s="1"/>
  <c r="BI47" i="4" s="1"/>
  <c r="BU47" i="4" s="1"/>
  <c r="AO47" i="4"/>
  <c r="BA47" i="4" s="1"/>
  <c r="BM47" i="4" s="1"/>
  <c r="AC106" i="4"/>
  <c r="AS47" i="4"/>
  <c r="BE47" i="4" s="1"/>
  <c r="BQ47" i="4" s="1"/>
  <c r="AG106" i="4"/>
  <c r="AK47" i="2"/>
  <c r="AO47" i="2"/>
  <c r="BA47" i="2" s="1"/>
  <c r="BM47" i="2" s="1"/>
  <c r="AC106" i="2"/>
  <c r="AS47" i="2"/>
  <c r="BE47" i="2" s="1"/>
  <c r="BQ47" i="2" s="1"/>
  <c r="AG106" i="2"/>
  <c r="AS20" i="8"/>
  <c r="CD173" i="15"/>
  <c r="CD176" i="15" s="1"/>
  <c r="CD183" i="15" s="1"/>
  <c r="D176" i="15"/>
  <c r="D183" i="15" s="1"/>
  <c r="CC173" i="15"/>
  <c r="CC176" i="15" s="1"/>
  <c r="CC183" i="15" s="1"/>
  <c r="C176" i="15"/>
  <c r="C183" i="15" s="1"/>
  <c r="CG160" i="15"/>
  <c r="BB7" i="2"/>
  <c r="BJ23" i="15"/>
  <c r="BV23" i="2"/>
  <c r="BV23" i="15" s="1"/>
  <c r="BB23" i="15"/>
  <c r="BN23" i="2"/>
  <c r="BN23" i="15" s="1"/>
  <c r="BF23" i="15"/>
  <c r="BR23" i="2"/>
  <c r="BR23" i="15" s="1"/>
  <c r="AX32" i="4"/>
  <c r="BJ24" i="4"/>
  <c r="BV24" i="4" s="1"/>
  <c r="AP32" i="4"/>
  <c r="BB24" i="4"/>
  <c r="BB24" i="15" s="1"/>
  <c r="BR24" i="4"/>
  <c r="BR32" i="4" s="1"/>
  <c r="BF32" i="4"/>
  <c r="BJ32" i="2"/>
  <c r="BV24" i="2"/>
  <c r="BB32" i="2"/>
  <c r="BN24" i="2"/>
  <c r="BF32" i="2"/>
  <c r="BF24" i="15"/>
  <c r="BR24" i="2"/>
  <c r="BJ32" i="4"/>
  <c r="BV26" i="4"/>
  <c r="BV26" i="2"/>
  <c r="BJ26" i="15"/>
  <c r="BN26" i="2"/>
  <c r="BN26" i="15" s="1"/>
  <c r="BB26" i="15"/>
  <c r="BR26" i="2"/>
  <c r="BR26" i="15" s="1"/>
  <c r="BF26" i="15"/>
  <c r="BV27" i="2"/>
  <c r="BV27" i="15" s="1"/>
  <c r="BJ27" i="15"/>
  <c r="BN27" i="2"/>
  <c r="BN27" i="15" s="1"/>
  <c r="BB27" i="15"/>
  <c r="BR27" i="2"/>
  <c r="BR27" i="15" s="1"/>
  <c r="BF27" i="15"/>
  <c r="BV30" i="2"/>
  <c r="BV30" i="15" s="1"/>
  <c r="BJ30" i="15"/>
  <c r="BN30" i="2"/>
  <c r="BN30" i="15" s="1"/>
  <c r="BB30" i="15"/>
  <c r="BR30" i="2"/>
  <c r="BR30" i="15" s="1"/>
  <c r="BF30" i="15"/>
  <c r="BV31" i="2"/>
  <c r="BV31" i="15" s="1"/>
  <c r="BJ31" i="15"/>
  <c r="BN31" i="2"/>
  <c r="BN31" i="15" s="1"/>
  <c r="BB31" i="15"/>
  <c r="BR31" i="2"/>
  <c r="BR31" i="15" s="1"/>
  <c r="BF31" i="15"/>
  <c r="BV33" i="2"/>
  <c r="BV33" i="15" s="1"/>
  <c r="BJ33" i="15"/>
  <c r="BN33" i="2"/>
  <c r="BN33" i="15" s="1"/>
  <c r="BB33" i="15"/>
  <c r="BR33" i="2"/>
  <c r="BR33" i="15" s="1"/>
  <c r="BF33" i="15"/>
  <c r="BV34" i="2"/>
  <c r="BV34" i="15" s="1"/>
  <c r="BJ34" i="15"/>
  <c r="BN34" i="2"/>
  <c r="BN34" i="15" s="1"/>
  <c r="BB34" i="15"/>
  <c r="BR34" i="2"/>
  <c r="BR34" i="15" s="1"/>
  <c r="BF34" i="15"/>
  <c r="BV35" i="2"/>
  <c r="BV35" i="15" s="1"/>
  <c r="BJ35" i="15"/>
  <c r="BN35" i="2"/>
  <c r="BN35" i="15" s="1"/>
  <c r="BB35" i="15"/>
  <c r="BR35" i="2"/>
  <c r="BR35" i="15" s="1"/>
  <c r="BF35" i="15"/>
  <c r="BV36" i="2"/>
  <c r="BV36" i="15" s="1"/>
  <c r="BJ36" i="15"/>
  <c r="BN36" i="2"/>
  <c r="BN36" i="15" s="1"/>
  <c r="BB36" i="15"/>
  <c r="BR36" i="2"/>
  <c r="BR36" i="15" s="1"/>
  <c r="BF36" i="15"/>
  <c r="BV37" i="2"/>
  <c r="BV37" i="15" s="1"/>
  <c r="BJ37" i="15"/>
  <c r="BN37" i="2"/>
  <c r="BN37" i="15" s="1"/>
  <c r="BB37" i="15"/>
  <c r="BR37" i="2"/>
  <c r="BR37" i="15" s="1"/>
  <c r="BF37" i="15"/>
  <c r="BJ38" i="15"/>
  <c r="BV38" i="2"/>
  <c r="BB38" i="15"/>
  <c r="BN38" i="2"/>
  <c r="BR38" i="2"/>
  <c r="BF38" i="15"/>
  <c r="BJ39" i="15"/>
  <c r="BB39" i="15"/>
  <c r="BF39" i="15"/>
  <c r="BV40" i="2"/>
  <c r="BV40" i="15" s="1"/>
  <c r="BJ40" i="15"/>
  <c r="BN40" i="2"/>
  <c r="BN40" i="15" s="1"/>
  <c r="BB40" i="15"/>
  <c r="BR40" i="2"/>
  <c r="BR40" i="15" s="1"/>
  <c r="BF40" i="15"/>
  <c r="BV41" i="2"/>
  <c r="BV41" i="15" s="1"/>
  <c r="BJ41" i="15"/>
  <c r="BN41" i="2"/>
  <c r="BN41" i="15" s="1"/>
  <c r="BB41" i="15"/>
  <c r="BR41" i="2"/>
  <c r="BR41" i="15" s="1"/>
  <c r="BF41" i="15"/>
  <c r="BV42" i="2"/>
  <c r="BV42" i="15" s="1"/>
  <c r="BJ42" i="15"/>
  <c r="BN42" i="2"/>
  <c r="BN42" i="15" s="1"/>
  <c r="BB42" i="15"/>
  <c r="BR42" i="2"/>
  <c r="BR42" i="15" s="1"/>
  <c r="BF42" i="15"/>
  <c r="BV43" i="2"/>
  <c r="BV43" i="15" s="1"/>
  <c r="BJ43" i="15"/>
  <c r="BN43" i="2"/>
  <c r="BN43" i="15" s="1"/>
  <c r="BB43" i="15"/>
  <c r="BR43" i="2"/>
  <c r="BR43" i="15" s="1"/>
  <c r="BF43" i="15"/>
  <c r="BV44" i="2"/>
  <c r="BV44" i="15" s="1"/>
  <c r="BJ44" i="15"/>
  <c r="BN44" i="2"/>
  <c r="BN44" i="15" s="1"/>
  <c r="BB44" i="15"/>
  <c r="BR44" i="2"/>
  <c r="BR44" i="15" s="1"/>
  <c r="BF44" i="15"/>
  <c r="BJ46" i="15"/>
  <c r="BJ189" i="15" s="1"/>
  <c r="BB46" i="15"/>
  <c r="BB189" i="15" s="1"/>
  <c r="BF46" i="15"/>
  <c r="BF189" i="15" s="1"/>
  <c r="BV48" i="15"/>
  <c r="BJ48" i="15"/>
  <c r="BN48" i="15"/>
  <c r="BB48" i="15"/>
  <c r="BR48" i="15"/>
  <c r="BF48" i="15"/>
  <c r="BV51" i="2"/>
  <c r="BV51" i="15" s="1"/>
  <c r="BJ51" i="15"/>
  <c r="BN51" i="2"/>
  <c r="BN51" i="15" s="1"/>
  <c r="BB51" i="15"/>
  <c r="BR51" i="2"/>
  <c r="BR51" i="15" s="1"/>
  <c r="BF51" i="15"/>
  <c r="BB269" i="2"/>
  <c r="BW23" i="2"/>
  <c r="BC23" i="15"/>
  <c r="BO23" i="2"/>
  <c r="BO23" i="15" s="1"/>
  <c r="BG23" i="15"/>
  <c r="BS23" i="2"/>
  <c r="BS23" i="15" s="1"/>
  <c r="AQ32" i="4"/>
  <c r="BC24" i="4"/>
  <c r="BC24" i="15" s="1"/>
  <c r="AU32" i="4"/>
  <c r="BG24" i="4"/>
  <c r="BG24" i="15" s="1"/>
  <c r="BK32" i="2"/>
  <c r="BW24" i="2"/>
  <c r="BC32" i="2"/>
  <c r="BO24" i="2"/>
  <c r="BG32" i="2"/>
  <c r="BS24" i="2"/>
  <c r="BW26" i="2"/>
  <c r="BO26" i="2"/>
  <c r="BO26" i="15" s="1"/>
  <c r="BC26" i="15"/>
  <c r="BS26" i="2"/>
  <c r="BS26" i="15" s="1"/>
  <c r="BG26" i="15"/>
  <c r="BW27" i="2"/>
  <c r="BO27" i="2"/>
  <c r="BO27" i="15" s="1"/>
  <c r="BC27" i="15"/>
  <c r="BS27" i="2"/>
  <c r="BS27" i="15" s="1"/>
  <c r="BG27" i="15"/>
  <c r="BW30" i="2"/>
  <c r="BO30" i="2"/>
  <c r="BO30" i="15" s="1"/>
  <c r="BC30" i="15"/>
  <c r="BS30" i="2"/>
  <c r="BS30" i="15" s="1"/>
  <c r="BG30" i="15"/>
  <c r="BW31" i="2"/>
  <c r="BO31" i="2"/>
  <c r="BO31" i="15" s="1"/>
  <c r="BC31" i="15"/>
  <c r="BS31" i="2"/>
  <c r="BS31" i="15" s="1"/>
  <c r="BG31" i="15"/>
  <c r="BW33" i="2"/>
  <c r="BO33" i="2"/>
  <c r="BO33" i="15" s="1"/>
  <c r="BC33" i="15"/>
  <c r="BS33" i="2"/>
  <c r="BS33" i="15" s="1"/>
  <c r="BG33" i="15"/>
  <c r="BW34" i="2"/>
  <c r="BO34" i="2"/>
  <c r="BO34" i="15" s="1"/>
  <c r="BC34" i="15"/>
  <c r="BS34" i="2"/>
  <c r="BS34" i="15" s="1"/>
  <c r="BG34" i="15"/>
  <c r="BW35" i="2"/>
  <c r="BO35" i="2"/>
  <c r="BO35" i="15" s="1"/>
  <c r="BC35" i="15"/>
  <c r="BS35" i="2"/>
  <c r="BS35" i="15" s="1"/>
  <c r="BG35" i="15"/>
  <c r="BW36" i="2"/>
  <c r="BO36" i="2"/>
  <c r="BO36" i="15" s="1"/>
  <c r="BC36" i="15"/>
  <c r="BS36" i="2"/>
  <c r="BS36" i="15" s="1"/>
  <c r="BG36" i="15"/>
  <c r="BW37" i="2"/>
  <c r="BO37" i="2"/>
  <c r="BO37" i="15" s="1"/>
  <c r="BC37" i="15"/>
  <c r="BS37" i="2"/>
  <c r="BS37" i="15" s="1"/>
  <c r="BG37" i="15"/>
  <c r="BO38" i="4"/>
  <c r="BS38" i="4"/>
  <c r="BW38" i="2"/>
  <c r="BC38" i="15"/>
  <c r="BO38" i="2"/>
  <c r="BG38" i="15"/>
  <c r="BS38" i="2"/>
  <c r="BC39" i="15"/>
  <c r="BG39" i="15"/>
  <c r="BW40" i="2"/>
  <c r="BO40" i="2"/>
  <c r="BO40" i="15" s="1"/>
  <c r="BC40" i="15"/>
  <c r="BS40" i="2"/>
  <c r="BS40" i="15" s="1"/>
  <c r="BG40" i="15"/>
  <c r="BW41" i="2"/>
  <c r="BO41" i="2"/>
  <c r="BO41" i="15" s="1"/>
  <c r="BC41" i="15"/>
  <c r="BS41" i="2"/>
  <c r="BS41" i="15" s="1"/>
  <c r="BG41" i="15"/>
  <c r="BW42" i="2"/>
  <c r="BO42" i="2"/>
  <c r="BO42" i="15" s="1"/>
  <c r="BC42" i="15"/>
  <c r="BS42" i="2"/>
  <c r="BS42" i="15" s="1"/>
  <c r="BG42" i="15"/>
  <c r="BW43" i="2"/>
  <c r="BO43" i="2"/>
  <c r="BO43" i="15" s="1"/>
  <c r="BC43" i="15"/>
  <c r="BS43" i="2"/>
  <c r="BS43" i="15" s="1"/>
  <c r="BG43" i="15"/>
  <c r="BW44" i="2"/>
  <c r="BO44" i="2"/>
  <c r="BO44" i="15" s="1"/>
  <c r="BC44" i="15"/>
  <c r="BS44" i="2"/>
  <c r="BS44" i="15" s="1"/>
  <c r="BG44" i="15"/>
  <c r="BC46" i="15"/>
  <c r="BC189" i="15" s="1"/>
  <c r="BG46" i="15"/>
  <c r="BG189" i="15" s="1"/>
  <c r="BW48" i="15"/>
  <c r="BK48" i="15"/>
  <c r="BO48" i="15"/>
  <c r="BC48" i="15"/>
  <c r="BS48" i="15"/>
  <c r="BG48" i="15"/>
  <c r="BW51" i="2"/>
  <c r="BO51" i="2"/>
  <c r="BO51" i="15" s="1"/>
  <c r="BC51" i="15"/>
  <c r="BS51" i="2"/>
  <c r="BS51" i="15" s="1"/>
  <c r="BG51" i="15"/>
  <c r="BH23" i="15"/>
  <c r="BT23" i="2"/>
  <c r="BT23" i="15" s="1"/>
  <c r="BL23" i="15"/>
  <c r="BX23" i="2"/>
  <c r="BX23" i="15" s="1"/>
  <c r="BD23" i="15"/>
  <c r="BP23" i="2"/>
  <c r="BP23" i="15" s="1"/>
  <c r="AV32" i="4"/>
  <c r="BH24" i="4"/>
  <c r="BH24" i="15" s="1"/>
  <c r="AZ32" i="4"/>
  <c r="BL24" i="4"/>
  <c r="AR32" i="4"/>
  <c r="BD24" i="4"/>
  <c r="BD24" i="15" s="1"/>
  <c r="BH32" i="2"/>
  <c r="BT24" i="2"/>
  <c r="BL32" i="2"/>
  <c r="BX24" i="2"/>
  <c r="BD32" i="2"/>
  <c r="BP24" i="2"/>
  <c r="BT26" i="2"/>
  <c r="BT26" i="15" s="1"/>
  <c r="BH26" i="15"/>
  <c r="BX26" i="2"/>
  <c r="BX26" i="15" s="1"/>
  <c r="BL26" i="15"/>
  <c r="BP26" i="2"/>
  <c r="BP26" i="15" s="1"/>
  <c r="BD26" i="15"/>
  <c r="BT27" i="2"/>
  <c r="BT27" i="15" s="1"/>
  <c r="BH27" i="15"/>
  <c r="BX27" i="2"/>
  <c r="BX27" i="15" s="1"/>
  <c r="BL27" i="15"/>
  <c r="BP27" i="2"/>
  <c r="BP27" i="15" s="1"/>
  <c r="BD27" i="15"/>
  <c r="BT30" i="2"/>
  <c r="BT30" i="15" s="1"/>
  <c r="BH30" i="15"/>
  <c r="BX30" i="2"/>
  <c r="BX30" i="15" s="1"/>
  <c r="BL30" i="15"/>
  <c r="BP30" i="2"/>
  <c r="BP30" i="15" s="1"/>
  <c r="BD30" i="15"/>
  <c r="BT31" i="2"/>
  <c r="BT31" i="15" s="1"/>
  <c r="BH31" i="15"/>
  <c r="BX31" i="2"/>
  <c r="BX31" i="15" s="1"/>
  <c r="BL31" i="15"/>
  <c r="BP31" i="2"/>
  <c r="BP31" i="15" s="1"/>
  <c r="BD31" i="15"/>
  <c r="BT33" i="2"/>
  <c r="BT33" i="15" s="1"/>
  <c r="BH33" i="15"/>
  <c r="BX33" i="2"/>
  <c r="BX33" i="15" s="1"/>
  <c r="BL33" i="15"/>
  <c r="BP33" i="2"/>
  <c r="BP33" i="15" s="1"/>
  <c r="BD33" i="15"/>
  <c r="BT34" i="2"/>
  <c r="BT34" i="15" s="1"/>
  <c r="BH34" i="15"/>
  <c r="BX34" i="2"/>
  <c r="BX34" i="15" s="1"/>
  <c r="BL34" i="15"/>
  <c r="BP34" i="2"/>
  <c r="BP34" i="15" s="1"/>
  <c r="BD34" i="15"/>
  <c r="BT35" i="2"/>
  <c r="BT35" i="15" s="1"/>
  <c r="BH35" i="15"/>
  <c r="BX35" i="2"/>
  <c r="BX35" i="15" s="1"/>
  <c r="BL35" i="15"/>
  <c r="BP35" i="2"/>
  <c r="BP35" i="15" s="1"/>
  <c r="BD35" i="15"/>
  <c r="BT36" i="2"/>
  <c r="BT36" i="15" s="1"/>
  <c r="BH36" i="15"/>
  <c r="BX36" i="2"/>
  <c r="BX36" i="15" s="1"/>
  <c r="BL36" i="15"/>
  <c r="BP36" i="2"/>
  <c r="BP36" i="15" s="1"/>
  <c r="BD36" i="15"/>
  <c r="BT37" i="2"/>
  <c r="BT37" i="15" s="1"/>
  <c r="BH37" i="15"/>
  <c r="BX37" i="2"/>
  <c r="BX37" i="15" s="1"/>
  <c r="BL37" i="15"/>
  <c r="BP37" i="2"/>
  <c r="BP37" i="15" s="1"/>
  <c r="BD37" i="15"/>
  <c r="BT38" i="4"/>
  <c r="BX38" i="4"/>
  <c r="BP38" i="4"/>
  <c r="BH38" i="15"/>
  <c r="BT38" i="2"/>
  <c r="BL38" i="15"/>
  <c r="BX38" i="2"/>
  <c r="BD38" i="15"/>
  <c r="BP38" i="2"/>
  <c r="BH39" i="15"/>
  <c r="BL39" i="15"/>
  <c r="BD39" i="15"/>
  <c r="BT40" i="2"/>
  <c r="BT40" i="15" s="1"/>
  <c r="BH40" i="15"/>
  <c r="BX40" i="2"/>
  <c r="BX40" i="15" s="1"/>
  <c r="BL40" i="15"/>
  <c r="BP40" i="2"/>
  <c r="BP40" i="15" s="1"/>
  <c r="BD40" i="15"/>
  <c r="BT41" i="2"/>
  <c r="BT41" i="15" s="1"/>
  <c r="BH41" i="15"/>
  <c r="BX41" i="2"/>
  <c r="BX41" i="15" s="1"/>
  <c r="BL41" i="15"/>
  <c r="BP41" i="2"/>
  <c r="BP41" i="15" s="1"/>
  <c r="BD41" i="15"/>
  <c r="BT42" i="2"/>
  <c r="BT42" i="15" s="1"/>
  <c r="BH42" i="15"/>
  <c r="BX42" i="2"/>
  <c r="BX42" i="15" s="1"/>
  <c r="BL42" i="15"/>
  <c r="BP42" i="2"/>
  <c r="BP42" i="15" s="1"/>
  <c r="BD42" i="15"/>
  <c r="BT43" i="2"/>
  <c r="BT43" i="15" s="1"/>
  <c r="BH43" i="15"/>
  <c r="BX43" i="2"/>
  <c r="BX43" i="15" s="1"/>
  <c r="BL43" i="15"/>
  <c r="BP43" i="2"/>
  <c r="BP43" i="15" s="1"/>
  <c r="BD43" i="15"/>
  <c r="BT44" i="2"/>
  <c r="BT44" i="15" s="1"/>
  <c r="BH44" i="15"/>
  <c r="BX44" i="2"/>
  <c r="BX44" i="15" s="1"/>
  <c r="BL44" i="15"/>
  <c r="BP44" i="2"/>
  <c r="BP44" i="15" s="1"/>
  <c r="BD44" i="15"/>
  <c r="BH46" i="15"/>
  <c r="BH189" i="15" s="1"/>
  <c r="BL46" i="15"/>
  <c r="BL189" i="15" s="1"/>
  <c r="BD46" i="15"/>
  <c r="BD189" i="15" s="1"/>
  <c r="BT48" i="15"/>
  <c r="BH48" i="15"/>
  <c r="BX48" i="15"/>
  <c r="BL48" i="15"/>
  <c r="BP48" i="15"/>
  <c r="BD48" i="15"/>
  <c r="BT51" i="2"/>
  <c r="BT51" i="15" s="1"/>
  <c r="BH51" i="15"/>
  <c r="BX51" i="2"/>
  <c r="BX51" i="15" s="1"/>
  <c r="BL51" i="15"/>
  <c r="BP51" i="2"/>
  <c r="BP51" i="15" s="1"/>
  <c r="BD51" i="15"/>
  <c r="BA23" i="15"/>
  <c r="BM23" i="2"/>
  <c r="BM23" i="15" s="1"/>
  <c r="BE23" i="15"/>
  <c r="BQ23" i="2"/>
  <c r="BQ23" i="15" s="1"/>
  <c r="AO32" i="4"/>
  <c r="BA24" i="4"/>
  <c r="BA24" i="15" s="1"/>
  <c r="AS32" i="4"/>
  <c r="BE24" i="4"/>
  <c r="BE24" i="15" s="1"/>
  <c r="BA32" i="2"/>
  <c r="BM24" i="2"/>
  <c r="BE32" i="2"/>
  <c r="BQ24" i="2"/>
  <c r="BM26" i="2"/>
  <c r="BM26" i="15" s="1"/>
  <c r="BA26" i="15"/>
  <c r="BQ26" i="2"/>
  <c r="BQ26" i="15" s="1"/>
  <c r="BE26" i="15"/>
  <c r="BM27" i="2"/>
  <c r="BM27" i="15" s="1"/>
  <c r="BA27" i="15"/>
  <c r="BQ27" i="2"/>
  <c r="BQ27" i="15" s="1"/>
  <c r="BE27" i="15"/>
  <c r="BM30" i="2"/>
  <c r="BM30" i="15" s="1"/>
  <c r="BA30" i="15"/>
  <c r="BQ30" i="2"/>
  <c r="BQ30" i="15" s="1"/>
  <c r="BE30" i="15"/>
  <c r="BM31" i="2"/>
  <c r="BM31" i="15" s="1"/>
  <c r="BA31" i="15"/>
  <c r="BQ31" i="2"/>
  <c r="BQ31" i="15" s="1"/>
  <c r="BE31" i="15"/>
  <c r="BM33" i="2"/>
  <c r="BM33" i="15" s="1"/>
  <c r="BA33" i="15"/>
  <c r="BQ33" i="2"/>
  <c r="BQ33" i="15" s="1"/>
  <c r="BE33" i="15"/>
  <c r="BM34" i="2"/>
  <c r="BM34" i="15" s="1"/>
  <c r="BA34" i="15"/>
  <c r="BQ34" i="2"/>
  <c r="BQ34" i="15" s="1"/>
  <c r="BE34" i="15"/>
  <c r="BM35" i="2"/>
  <c r="BM35" i="15" s="1"/>
  <c r="BA35" i="15"/>
  <c r="BQ35" i="2"/>
  <c r="BQ35" i="15" s="1"/>
  <c r="BE35" i="15"/>
  <c r="BM36" i="2"/>
  <c r="BM36" i="15" s="1"/>
  <c r="BA36" i="15"/>
  <c r="BQ36" i="2"/>
  <c r="BQ36" i="15" s="1"/>
  <c r="BE36" i="15"/>
  <c r="BM37" i="2"/>
  <c r="BM37" i="15" s="1"/>
  <c r="BA37" i="15"/>
  <c r="BQ37" i="2"/>
  <c r="BQ37" i="15" s="1"/>
  <c r="BE37" i="15"/>
  <c r="BM38" i="2"/>
  <c r="BA38" i="15"/>
  <c r="BE38" i="15"/>
  <c r="BQ38" i="2"/>
  <c r="BA39" i="15"/>
  <c r="BE39" i="15"/>
  <c r="BM40" i="2"/>
  <c r="BM40" i="15" s="1"/>
  <c r="BA40" i="15"/>
  <c r="BQ40" i="2"/>
  <c r="BQ40" i="15" s="1"/>
  <c r="BE40" i="15"/>
  <c r="BM41" i="2"/>
  <c r="BM41" i="15" s="1"/>
  <c r="BA41" i="15"/>
  <c r="BQ41" i="2"/>
  <c r="BQ41" i="15" s="1"/>
  <c r="BE41" i="15"/>
  <c r="BM42" i="2"/>
  <c r="BM42" i="15" s="1"/>
  <c r="BA42" i="15"/>
  <c r="BQ42" i="2"/>
  <c r="BQ42" i="15" s="1"/>
  <c r="BE42" i="15"/>
  <c r="BM43" i="2"/>
  <c r="BM43" i="15" s="1"/>
  <c r="BA43" i="15"/>
  <c r="BQ43" i="2"/>
  <c r="BQ43" i="15" s="1"/>
  <c r="BE43" i="15"/>
  <c r="BM44" i="2"/>
  <c r="BM44" i="15" s="1"/>
  <c r="BA44" i="15"/>
  <c r="BQ44" i="2"/>
  <c r="BQ44" i="15" s="1"/>
  <c r="BE44" i="15"/>
  <c r="BA46" i="15"/>
  <c r="BA189" i="15" s="1"/>
  <c r="BE46" i="15"/>
  <c r="BE189" i="15" s="1"/>
  <c r="BU48" i="15"/>
  <c r="BI48" i="15"/>
  <c r="BM48" i="15"/>
  <c r="BA48" i="15"/>
  <c r="BQ48" i="15"/>
  <c r="BE48" i="15"/>
  <c r="BM51" i="2"/>
  <c r="BM51" i="15" s="1"/>
  <c r="BA51" i="15"/>
  <c r="BQ51" i="2"/>
  <c r="BQ51" i="15" s="1"/>
  <c r="BE51" i="15"/>
  <c r="AZ266" i="2"/>
  <c r="BA265" i="2"/>
  <c r="S273" i="4"/>
  <c r="CE160" i="15"/>
  <c r="CE161" i="15"/>
  <c r="CH207" i="15"/>
  <c r="CH205" i="15"/>
  <c r="CH192" i="15"/>
  <c r="CH171" i="15"/>
  <c r="CH170" i="15"/>
  <c r="CH169" i="15"/>
  <c r="CH168" i="15"/>
  <c r="CH164" i="15"/>
  <c r="CH162" i="15"/>
  <c r="CH160" i="15"/>
  <c r="CH156" i="15"/>
  <c r="CH143" i="15"/>
  <c r="CH100" i="15"/>
  <c r="CH97" i="15"/>
  <c r="CH88" i="15"/>
  <c r="CH86" i="15"/>
  <c r="CH75" i="15"/>
  <c r="CH56" i="15"/>
  <c r="CH55" i="15"/>
  <c r="CH54" i="15"/>
  <c r="CH161" i="15"/>
  <c r="CH124" i="15"/>
  <c r="CH116" i="15"/>
  <c r="CH165" i="15"/>
  <c r="CH163" i="15"/>
  <c r="CH172" i="15"/>
  <c r="CH114" i="15"/>
  <c r="CH146" i="15"/>
  <c r="CH142" i="15"/>
  <c r="CI3" i="4"/>
  <c r="CI3" i="2"/>
  <c r="CG161" i="15"/>
  <c r="CI3" i="15"/>
  <c r="CH4" i="15"/>
  <c r="D7" i="2"/>
  <c r="CH4" i="4"/>
  <c r="D7" i="4"/>
  <c r="CI4" i="2"/>
  <c r="W273" i="2"/>
  <c r="AT32" i="4"/>
  <c r="AS23" i="15"/>
  <c r="U273" i="4"/>
  <c r="AO7" i="2"/>
  <c r="AO26" i="15"/>
  <c r="AS26" i="15"/>
  <c r="AO27" i="15"/>
  <c r="AS31" i="15"/>
  <c r="AO33" i="15"/>
  <c r="AO34" i="15"/>
  <c r="AS35" i="15"/>
  <c r="AO36" i="15"/>
  <c r="AO37" i="15"/>
  <c r="AO38" i="15"/>
  <c r="AS39" i="15"/>
  <c r="AS40" i="15"/>
  <c r="AO41" i="15"/>
  <c r="AO42" i="15"/>
  <c r="AS43" i="15"/>
  <c r="AO44" i="15"/>
  <c r="AW48" i="15"/>
  <c r="AS48" i="15"/>
  <c r="AO51" i="15"/>
  <c r="AP288" i="2"/>
  <c r="AX23" i="15"/>
  <c r="AP23" i="15"/>
  <c r="AT23" i="15"/>
  <c r="AX26" i="15"/>
  <c r="AP26" i="15"/>
  <c r="AT26" i="15"/>
  <c r="AX27" i="15"/>
  <c r="AP27" i="15"/>
  <c r="AT27" i="15"/>
  <c r="AX30" i="15"/>
  <c r="AP30" i="15"/>
  <c r="AT30" i="15"/>
  <c r="AX31" i="15"/>
  <c r="AP31" i="15"/>
  <c r="AT31" i="15"/>
  <c r="AX33" i="15"/>
  <c r="AP33" i="15"/>
  <c r="AT33" i="15"/>
  <c r="AX34" i="15"/>
  <c r="AP34" i="15"/>
  <c r="AT34" i="15"/>
  <c r="AX35" i="15"/>
  <c r="AP35" i="15"/>
  <c r="AT35" i="15"/>
  <c r="AX36" i="15"/>
  <c r="AP36" i="15"/>
  <c r="AT36" i="15"/>
  <c r="AX37" i="15"/>
  <c r="AP37" i="15"/>
  <c r="AT37" i="15"/>
  <c r="AX38" i="15"/>
  <c r="AP38" i="15"/>
  <c r="AT38" i="15"/>
  <c r="AX39" i="15"/>
  <c r="AP39" i="15"/>
  <c r="AT39" i="15"/>
  <c r="AX40" i="15"/>
  <c r="AP40" i="15"/>
  <c r="AT40" i="15"/>
  <c r="AX41" i="15"/>
  <c r="AP41" i="15"/>
  <c r="AT41" i="15"/>
  <c r="AX42" i="15"/>
  <c r="AP42" i="15"/>
  <c r="AT42" i="15"/>
  <c r="AX43" i="15"/>
  <c r="AP43" i="15"/>
  <c r="AT43" i="15"/>
  <c r="AX44" i="15"/>
  <c r="AP44" i="15"/>
  <c r="AT44" i="15"/>
  <c r="AX46" i="15"/>
  <c r="AX189" i="15" s="1"/>
  <c r="AP46" i="15"/>
  <c r="AP189" i="15" s="1"/>
  <c r="AT46" i="15"/>
  <c r="AT189" i="15" s="1"/>
  <c r="AX48" i="15"/>
  <c r="AP48" i="15"/>
  <c r="AT48" i="15"/>
  <c r="AX51" i="15"/>
  <c r="AP51" i="15"/>
  <c r="AT51" i="15"/>
  <c r="AS27" i="15"/>
  <c r="AS30" i="15"/>
  <c r="AO31" i="15"/>
  <c r="AS33" i="15"/>
  <c r="AS37" i="15"/>
  <c r="AS41" i="15"/>
  <c r="AS42" i="15"/>
  <c r="AO43" i="15"/>
  <c r="AS44" i="15"/>
  <c r="AO46" i="15"/>
  <c r="AO189" i="15" s="1"/>
  <c r="AO48" i="15"/>
  <c r="AS51" i="15"/>
  <c r="AQ23" i="15"/>
  <c r="AU23" i="15"/>
  <c r="AQ26" i="15"/>
  <c r="AU26" i="15"/>
  <c r="AQ27" i="15"/>
  <c r="AU27" i="15"/>
  <c r="AQ30" i="15"/>
  <c r="AU30" i="15"/>
  <c r="AQ31" i="15"/>
  <c r="AU31" i="15"/>
  <c r="AQ33" i="15"/>
  <c r="AU33" i="15"/>
  <c r="AQ34" i="15"/>
  <c r="AU34" i="15"/>
  <c r="AQ35" i="15"/>
  <c r="AU35" i="15"/>
  <c r="AQ36" i="15"/>
  <c r="AU36" i="15"/>
  <c r="AQ37" i="15"/>
  <c r="AU37" i="15"/>
  <c r="AQ38" i="15"/>
  <c r="AU38" i="15"/>
  <c r="AQ39" i="15"/>
  <c r="AU39" i="15"/>
  <c r="AQ40" i="15"/>
  <c r="AU40" i="15"/>
  <c r="AQ41" i="15"/>
  <c r="AU41" i="15"/>
  <c r="AQ42" i="15"/>
  <c r="AU42" i="15"/>
  <c r="AQ43" i="15"/>
  <c r="AU43" i="15"/>
  <c r="AQ44" i="15"/>
  <c r="AU44" i="15"/>
  <c r="AQ46" i="15"/>
  <c r="AQ189" i="15" s="1"/>
  <c r="AU46" i="15"/>
  <c r="AU189" i="15" s="1"/>
  <c r="AY48" i="15"/>
  <c r="AQ48" i="15"/>
  <c r="AU48" i="15"/>
  <c r="AQ51" i="15"/>
  <c r="AU51" i="15"/>
  <c r="AO30" i="15"/>
  <c r="AS34" i="15"/>
  <c r="AO35" i="15"/>
  <c r="AS36" i="15"/>
  <c r="AS38" i="15"/>
  <c r="AO39" i="15"/>
  <c r="AO40" i="15"/>
  <c r="AS46" i="15"/>
  <c r="AS189" i="15" s="1"/>
  <c r="AV23" i="15"/>
  <c r="AZ23" i="15"/>
  <c r="AR23" i="15"/>
  <c r="AV26" i="15"/>
  <c r="AZ26" i="15"/>
  <c r="AR26" i="15"/>
  <c r="AV27" i="15"/>
  <c r="AZ27" i="15"/>
  <c r="AR27" i="15"/>
  <c r="AV30" i="15"/>
  <c r="AZ30" i="15"/>
  <c r="AR30" i="15"/>
  <c r="AV31" i="15"/>
  <c r="AZ31" i="15"/>
  <c r="AR31" i="15"/>
  <c r="AV33" i="15"/>
  <c r="AZ33" i="15"/>
  <c r="AR33" i="15"/>
  <c r="AV34" i="15"/>
  <c r="AZ34" i="15"/>
  <c r="AR34" i="15"/>
  <c r="AV35" i="15"/>
  <c r="AZ35" i="15"/>
  <c r="AR35" i="15"/>
  <c r="AV36" i="15"/>
  <c r="AZ36" i="15"/>
  <c r="AR36" i="15"/>
  <c r="AV37" i="15"/>
  <c r="AZ37" i="15"/>
  <c r="AR37" i="15"/>
  <c r="AV38" i="15"/>
  <c r="AZ38" i="15"/>
  <c r="AR38" i="15"/>
  <c r="AV39" i="15"/>
  <c r="AZ39" i="15"/>
  <c r="AR39" i="15"/>
  <c r="AV40" i="15"/>
  <c r="AZ40" i="15"/>
  <c r="AR40" i="15"/>
  <c r="AV41" i="15"/>
  <c r="AZ41" i="15"/>
  <c r="AR41" i="15"/>
  <c r="AV42" i="15"/>
  <c r="AZ42" i="15"/>
  <c r="AR42" i="15"/>
  <c r="AV43" i="15"/>
  <c r="AZ43" i="15"/>
  <c r="AR43" i="15"/>
  <c r="AV44" i="15"/>
  <c r="AZ44" i="15"/>
  <c r="AR44" i="15"/>
  <c r="AV46" i="15"/>
  <c r="AV189" i="15" s="1"/>
  <c r="AZ46" i="15"/>
  <c r="AZ189" i="15" s="1"/>
  <c r="AR46" i="15"/>
  <c r="AR189" i="15" s="1"/>
  <c r="AV48" i="15"/>
  <c r="AZ48" i="15"/>
  <c r="AR48" i="15"/>
  <c r="AV51" i="15"/>
  <c r="AZ51" i="15"/>
  <c r="AR51" i="15"/>
  <c r="S273" i="2"/>
  <c r="AU32" i="2"/>
  <c r="AU24" i="15"/>
  <c r="AC14" i="15"/>
  <c r="AC18" i="15"/>
  <c r="AV32" i="2"/>
  <c r="AV24" i="15"/>
  <c r="AZ32" i="2"/>
  <c r="AZ24" i="15"/>
  <c r="AR32" i="2"/>
  <c r="AR24" i="15"/>
  <c r="AQ32" i="2"/>
  <c r="AQ24" i="15"/>
  <c r="AS32" i="2"/>
  <c r="AS24" i="15"/>
  <c r="AS266" i="2"/>
  <c r="AY32" i="2"/>
  <c r="AO32" i="2"/>
  <c r="AO24" i="15"/>
  <c r="AX32" i="2"/>
  <c r="AX24" i="15"/>
  <c r="AP32" i="2"/>
  <c r="AP24" i="15"/>
  <c r="AT32" i="2"/>
  <c r="AT24" i="15"/>
  <c r="AW266" i="2"/>
  <c r="U264" i="2"/>
  <c r="AA268" i="2"/>
  <c r="R273" i="4"/>
  <c r="V264" i="4"/>
  <c r="T264" i="2"/>
  <c r="Y265" i="2"/>
  <c r="X264" i="2"/>
  <c r="Z265" i="4"/>
  <c r="Y266" i="4"/>
  <c r="Y264" i="4" s="1"/>
  <c r="W273" i="4"/>
  <c r="Z267" i="2"/>
  <c r="AA267" i="2" s="1"/>
  <c r="T273" i="4"/>
  <c r="X264" i="4"/>
  <c r="AT266" i="2"/>
  <c r="AX266" i="2"/>
  <c r="AQ266" i="2"/>
  <c r="AU266" i="2"/>
  <c r="AY266" i="2"/>
  <c r="AR266" i="2"/>
  <c r="AV266" i="2"/>
  <c r="AB270" i="2"/>
  <c r="AD267" i="4"/>
  <c r="AA270" i="4"/>
  <c r="AA269" i="2"/>
  <c r="AB268" i="4"/>
  <c r="AA269" i="4"/>
  <c r="G162" i="15"/>
  <c r="I162" i="15"/>
  <c r="Q162" i="15"/>
  <c r="Y162" i="15"/>
  <c r="AK162" i="15"/>
  <c r="M162" i="15"/>
  <c r="U162" i="15"/>
  <c r="AC162" i="15"/>
  <c r="AG162" i="15"/>
  <c r="H162" i="15"/>
  <c r="L162" i="15"/>
  <c r="T162" i="15"/>
  <c r="X162" i="15"/>
  <c r="AB162" i="15"/>
  <c r="AF162" i="15"/>
  <c r="AJ162" i="15"/>
  <c r="AN162" i="15"/>
  <c r="E162" i="15"/>
  <c r="F162" i="15"/>
  <c r="J162" i="15"/>
  <c r="N162" i="15"/>
  <c r="R162" i="15"/>
  <c r="V162" i="15"/>
  <c r="Z162" i="15"/>
  <c r="AD162" i="15"/>
  <c r="AH162" i="15"/>
  <c r="AL162" i="15"/>
  <c r="K162" i="15"/>
  <c r="O162" i="15"/>
  <c r="S162" i="15"/>
  <c r="W162" i="15"/>
  <c r="AE162" i="15"/>
  <c r="AI162" i="15"/>
  <c r="AM162" i="15"/>
  <c r="P162" i="15"/>
  <c r="Y10" i="15"/>
  <c r="Y11" i="15"/>
  <c r="Y15" i="15"/>
  <c r="Y18" i="15"/>
  <c r="AD10" i="15"/>
  <c r="AD13" i="15"/>
  <c r="Y16" i="15"/>
  <c r="Y19" i="2"/>
  <c r="Y289" i="2" s="1"/>
  <c r="AD15" i="15"/>
  <c r="AD18" i="4"/>
  <c r="AE18" i="4" s="1"/>
  <c r="AF18" i="4" s="1"/>
  <c r="AG18" i="4" s="1"/>
  <c r="AH18" i="4" s="1"/>
  <c r="AI18" i="4" s="1"/>
  <c r="AJ18" i="4" s="1"/>
  <c r="AK18" i="4" s="1"/>
  <c r="AL18" i="4" s="1"/>
  <c r="AM18" i="4" s="1"/>
  <c r="AN18" i="4" s="1"/>
  <c r="AO18" i="4" s="1"/>
  <c r="Z13" i="15"/>
  <c r="Z14" i="15"/>
  <c r="Z17" i="15"/>
  <c r="AD17" i="4"/>
  <c r="AE17" i="4" s="1"/>
  <c r="AF17" i="4" s="1"/>
  <c r="AG17" i="4" s="1"/>
  <c r="AH17" i="4" s="1"/>
  <c r="AI17" i="4" s="1"/>
  <c r="AJ17" i="4" s="1"/>
  <c r="AK17" i="4" s="1"/>
  <c r="AL17" i="4" s="1"/>
  <c r="AM17" i="4" s="1"/>
  <c r="AN17" i="4" s="1"/>
  <c r="AO17" i="4" s="1"/>
  <c r="AD16" i="4"/>
  <c r="AE16" i="4" s="1"/>
  <c r="AF16" i="4" s="1"/>
  <c r="AG16" i="4" s="1"/>
  <c r="AH16" i="4" s="1"/>
  <c r="AI16" i="4" s="1"/>
  <c r="AJ16" i="4" s="1"/>
  <c r="AK16" i="4" s="1"/>
  <c r="AL16" i="4" s="1"/>
  <c r="AM16" i="4" s="1"/>
  <c r="AN16" i="4" s="1"/>
  <c r="AO16" i="4" s="1"/>
  <c r="AE11" i="15"/>
  <c r="Y12" i="15"/>
  <c r="Y13" i="15"/>
  <c r="Y17" i="15"/>
  <c r="Z19" i="2"/>
  <c r="AA17" i="15"/>
  <c r="Y19" i="4"/>
  <c r="Y14" i="15"/>
  <c r="AD12" i="15"/>
  <c r="Z18" i="15"/>
  <c r="AD11" i="15"/>
  <c r="AD14" i="15"/>
  <c r="H16" i="16"/>
  <c r="AD19" i="2"/>
  <c r="AD45" i="2" s="1"/>
  <c r="AA14" i="15"/>
  <c r="AA16" i="15"/>
  <c r="AA12" i="15"/>
  <c r="AA18" i="15"/>
  <c r="Z12" i="15"/>
  <c r="Z16" i="15"/>
  <c r="AB18" i="15"/>
  <c r="W41" i="15"/>
  <c r="B41" i="4"/>
  <c r="A41" i="4"/>
  <c r="B41" i="2"/>
  <c r="A41" i="2"/>
  <c r="AK41" i="2" s="1"/>
  <c r="AW41" i="2" s="1"/>
  <c r="BI41" i="2" s="1"/>
  <c r="BU41" i="2" s="1"/>
  <c r="AN41" i="15"/>
  <c r="AL41" i="15"/>
  <c r="AJ41" i="15"/>
  <c r="AI41" i="15"/>
  <c r="AH41" i="15"/>
  <c r="AG41" i="15"/>
  <c r="AF41" i="15"/>
  <c r="AE41" i="15"/>
  <c r="AD41" i="15"/>
  <c r="AC41" i="15"/>
  <c r="AB41" i="15"/>
  <c r="Z41" i="15"/>
  <c r="X41" i="15"/>
  <c r="V41" i="15"/>
  <c r="U41" i="15"/>
  <c r="T41" i="15"/>
  <c r="S41" i="15"/>
  <c r="R41" i="15"/>
  <c r="Q41" i="15"/>
  <c r="O41" i="15"/>
  <c r="N41" i="15"/>
  <c r="M41" i="15"/>
  <c r="L41" i="15"/>
  <c r="K41" i="15"/>
  <c r="J41" i="15"/>
  <c r="I41" i="15"/>
  <c r="H41" i="15"/>
  <c r="G41" i="15"/>
  <c r="F41" i="15"/>
  <c r="E41" i="15"/>
  <c r="B27" i="4"/>
  <c r="A27" i="4"/>
  <c r="B27" i="2"/>
  <c r="A27" i="2"/>
  <c r="AK27" i="2" s="1"/>
  <c r="AW27" i="2" s="1"/>
  <c r="BI27" i="2" s="1"/>
  <c r="BU27" i="2" s="1"/>
  <c r="Z27" i="15"/>
  <c r="X27" i="15"/>
  <c r="V27" i="15"/>
  <c r="U27" i="15"/>
  <c r="T27" i="15"/>
  <c r="S27" i="15"/>
  <c r="R27" i="15"/>
  <c r="Q27" i="15"/>
  <c r="O27" i="15"/>
  <c r="N27" i="15"/>
  <c r="M27" i="15"/>
  <c r="L27" i="15"/>
  <c r="K27" i="15"/>
  <c r="J27" i="15"/>
  <c r="I27" i="15"/>
  <c r="H27" i="15"/>
  <c r="G27" i="15"/>
  <c r="F27" i="15"/>
  <c r="E27" i="15"/>
  <c r="W170" i="2"/>
  <c r="W171" i="2" s="1"/>
  <c r="W170" i="4"/>
  <c r="W171" i="4" s="1"/>
  <c r="AK27" i="4" l="1"/>
  <c r="AW27" i="4" s="1"/>
  <c r="BI27" i="4" s="1"/>
  <c r="BU27" i="4" s="1"/>
  <c r="AM27" i="4"/>
  <c r="AY27" i="4" s="1"/>
  <c r="AO23" i="15"/>
  <c r="AO191" i="15" s="1"/>
  <c r="CI50" i="15"/>
  <c r="CI29" i="15"/>
  <c r="AA162" i="4"/>
  <c r="AA162" i="15" s="1"/>
  <c r="AA160" i="15"/>
  <c r="CF160" i="15" s="1"/>
  <c r="AK41" i="4"/>
  <c r="AW41" i="4" s="1"/>
  <c r="BI41" i="4" s="1"/>
  <c r="BU41" i="4" s="1"/>
  <c r="CI28" i="15"/>
  <c r="CI181" i="15"/>
  <c r="AE12" i="15"/>
  <c r="AX32" i="15"/>
  <c r="AQ32" i="15"/>
  <c r="AF10" i="15"/>
  <c r="AS47" i="15"/>
  <c r="BE47" i="15"/>
  <c r="BE190" i="15" s="1"/>
  <c r="AE10" i="15"/>
  <c r="AE13" i="15"/>
  <c r="AE14" i="15"/>
  <c r="AE19" i="2"/>
  <c r="AE45" i="2" s="1"/>
  <c r="BD29" i="8"/>
  <c r="AQ47" i="15"/>
  <c r="AQ190" i="15" s="1"/>
  <c r="AP15" i="4"/>
  <c r="AQ15" i="4" s="1"/>
  <c r="AR15" i="4" s="1"/>
  <c r="AS15" i="4" s="1"/>
  <c r="AT15" i="4" s="1"/>
  <c r="AU15" i="4" s="1"/>
  <c r="AV15" i="4" s="1"/>
  <c r="AW15" i="4" s="1"/>
  <c r="AX15" i="4" s="1"/>
  <c r="AY15" i="4" s="1"/>
  <c r="AZ15" i="4" s="1"/>
  <c r="BA15" i="4" s="1"/>
  <c r="AP14" i="4"/>
  <c r="AQ14" i="4" s="1"/>
  <c r="AR14" i="4" s="1"/>
  <c r="AS14" i="4" s="1"/>
  <c r="AT14" i="4" s="1"/>
  <c r="AU14" i="4" s="1"/>
  <c r="AV14" i="4" s="1"/>
  <c r="AW14" i="4" s="1"/>
  <c r="AX14" i="4" s="1"/>
  <c r="AY14" i="4" s="1"/>
  <c r="AZ14" i="4" s="1"/>
  <c r="BA14" i="4" s="1"/>
  <c r="AP12" i="4"/>
  <c r="AQ12" i="4" s="1"/>
  <c r="AR12" i="4" s="1"/>
  <c r="AS12" i="4" s="1"/>
  <c r="AT12" i="4" s="1"/>
  <c r="AU12" i="4" s="1"/>
  <c r="AV12" i="4" s="1"/>
  <c r="AW12" i="4" s="1"/>
  <c r="AX12" i="4" s="1"/>
  <c r="AY12" i="4" s="1"/>
  <c r="AZ12" i="4" s="1"/>
  <c r="BA12" i="4" s="1"/>
  <c r="CI49" i="15"/>
  <c r="CI130" i="15"/>
  <c r="AP47" i="15"/>
  <c r="AP190" i="15" s="1"/>
  <c r="AF19" i="2"/>
  <c r="AF45" i="2" s="1"/>
  <c r="AQ19" i="2"/>
  <c r="AQ45" i="2" s="1"/>
  <c r="AS32" i="15"/>
  <c r="AR47" i="15"/>
  <c r="AR190" i="15" s="1"/>
  <c r="AY47" i="15"/>
  <c r="AX47" i="15"/>
  <c r="AX190" i="15" s="1"/>
  <c r="BG47" i="15"/>
  <c r="BQ47" i="15"/>
  <c r="BU27" i="15"/>
  <c r="BU41" i="15"/>
  <c r="Y41" i="15"/>
  <c r="AK41" i="15"/>
  <c r="BI27" i="15"/>
  <c r="AW41" i="15"/>
  <c r="BI41" i="15"/>
  <c r="AP10" i="4"/>
  <c r="Y27" i="15"/>
  <c r="AW27" i="15"/>
  <c r="AE289" i="2"/>
  <c r="Y289" i="4"/>
  <c r="Y20" i="4"/>
  <c r="Y20" i="2"/>
  <c r="Z289" i="2"/>
  <c r="Z20" i="2"/>
  <c r="AZ47" i="15"/>
  <c r="AO47" i="15"/>
  <c r="AO190" i="15" s="1"/>
  <c r="BA47" i="15"/>
  <c r="BA190" i="15" s="1"/>
  <c r="BL47" i="15"/>
  <c r="BL190" i="15" s="1"/>
  <c r="AV47" i="15"/>
  <c r="AU47" i="15"/>
  <c r="AU190" i="15" s="1"/>
  <c r="AT47" i="15"/>
  <c r="AT190" i="15" s="1"/>
  <c r="AS106" i="2"/>
  <c r="BE106" i="2" s="1"/>
  <c r="BQ106" i="2" s="1"/>
  <c r="AO106" i="4"/>
  <c r="BA106" i="4" s="1"/>
  <c r="BM106" i="4" s="1"/>
  <c r="AP106" i="2"/>
  <c r="BB106" i="2" s="1"/>
  <c r="AR106" i="2"/>
  <c r="BD106" i="2" s="1"/>
  <c r="BP106" i="2" s="1"/>
  <c r="AV106" i="2"/>
  <c r="BH106" i="2" s="1"/>
  <c r="BT106" i="2" s="1"/>
  <c r="AN106" i="4"/>
  <c r="AZ106" i="4" s="1"/>
  <c r="BL106" i="4" s="1"/>
  <c r="BX106" i="4" s="1"/>
  <c r="AT106" i="2"/>
  <c r="BF106" i="2" s="1"/>
  <c r="BR106" i="2" s="1"/>
  <c r="AU106" i="2"/>
  <c r="BG106" i="2" s="1"/>
  <c r="BS106" i="2" s="1"/>
  <c r="AM106" i="2"/>
  <c r="AY106" i="2" s="1"/>
  <c r="BK106" i="2" s="1"/>
  <c r="BW106" i="2" s="1"/>
  <c r="AL106" i="2"/>
  <c r="AX106" i="2" s="1"/>
  <c r="BJ106" i="2" s="1"/>
  <c r="BV106" i="2" s="1"/>
  <c r="AZ32" i="15"/>
  <c r="AP32" i="15"/>
  <c r="BB47" i="15"/>
  <c r="BB190" i="15" s="1"/>
  <c r="BX47" i="15"/>
  <c r="BM47" i="15"/>
  <c r="BD47" i="15"/>
  <c r="BD190" i="15" s="1"/>
  <c r="BH47" i="15"/>
  <c r="BH190" i="15" s="1"/>
  <c r="BK47" i="15"/>
  <c r="BN47" i="15"/>
  <c r="BW47" i="15"/>
  <c r="BV47" i="15"/>
  <c r="AO106" i="2"/>
  <c r="BA106" i="2" s="1"/>
  <c r="BM106" i="2" s="1"/>
  <c r="AS106" i="4"/>
  <c r="BE106" i="4" s="1"/>
  <c r="BQ106" i="4" s="1"/>
  <c r="AP106" i="4"/>
  <c r="BB106" i="4" s="1"/>
  <c r="BN106" i="4" s="1"/>
  <c r="AN106" i="2"/>
  <c r="AZ106" i="2" s="1"/>
  <c r="BL106" i="2" s="1"/>
  <c r="BX106" i="2" s="1"/>
  <c r="AR106" i="4"/>
  <c r="BD106" i="4" s="1"/>
  <c r="BP106" i="4" s="1"/>
  <c r="AV106" i="4"/>
  <c r="BH106" i="4" s="1"/>
  <c r="BT106" i="4" s="1"/>
  <c r="AT106" i="4"/>
  <c r="BF106" i="4" s="1"/>
  <c r="BR106" i="4" s="1"/>
  <c r="AU106" i="4"/>
  <c r="BG106" i="4" s="1"/>
  <c r="BS106" i="4" s="1"/>
  <c r="AL106" i="4"/>
  <c r="AX106" i="4" s="1"/>
  <c r="BJ106" i="4" s="1"/>
  <c r="BV106" i="4" s="1"/>
  <c r="AT32" i="15"/>
  <c r="BF47" i="15"/>
  <c r="BF190" i="15" s="1"/>
  <c r="BJ47" i="15"/>
  <c r="BJ190" i="15" s="1"/>
  <c r="BN106" i="2"/>
  <c r="AW47" i="2"/>
  <c r="BC47" i="4"/>
  <c r="AQ106" i="4"/>
  <c r="BC47" i="2"/>
  <c r="AQ106" i="2"/>
  <c r="AT20" i="8"/>
  <c r="AO32" i="15"/>
  <c r="AR32" i="15"/>
  <c r="AV32" i="15"/>
  <c r="AU32" i="15"/>
  <c r="BJ24" i="15"/>
  <c r="BJ191" i="15" s="1"/>
  <c r="BV26" i="15"/>
  <c r="BH187" i="15"/>
  <c r="BF187" i="15"/>
  <c r="BE187" i="15"/>
  <c r="BM32" i="2"/>
  <c r="BM24" i="4"/>
  <c r="BM32" i="4" s="1"/>
  <c r="BA32" i="4"/>
  <c r="BA32" i="15" s="1"/>
  <c r="BT46" i="15"/>
  <c r="BT189" i="15" s="1"/>
  <c r="BD187" i="15"/>
  <c r="BT38" i="15"/>
  <c r="BT190" i="15" s="1"/>
  <c r="BD32" i="4"/>
  <c r="BD32" i="15" s="1"/>
  <c r="BP24" i="4"/>
  <c r="BP32" i="4" s="1"/>
  <c r="BH32" i="4"/>
  <c r="BH32" i="15" s="1"/>
  <c r="BT24" i="4"/>
  <c r="BT32" i="4" s="1"/>
  <c r="BS46" i="15"/>
  <c r="BS189" i="15" s="1"/>
  <c r="BO46" i="15"/>
  <c r="BO189" i="15" s="1"/>
  <c r="BS39" i="15"/>
  <c r="BS187" i="15" s="1"/>
  <c r="BC187" i="15"/>
  <c r="BG190" i="15"/>
  <c r="BS32" i="2"/>
  <c r="BG191" i="15"/>
  <c r="BN46" i="15"/>
  <c r="BN189" i="15" s="1"/>
  <c r="BN39" i="15"/>
  <c r="BN187" i="15" s="1"/>
  <c r="BJ187" i="15"/>
  <c r="BR38" i="15"/>
  <c r="BR190" i="15" s="1"/>
  <c r="BV38" i="15"/>
  <c r="BN32" i="2"/>
  <c r="BN24" i="4"/>
  <c r="BN32" i="4" s="1"/>
  <c r="BB32" i="4"/>
  <c r="BB32" i="15" s="1"/>
  <c r="BQ38" i="15"/>
  <c r="BM38" i="15"/>
  <c r="BQ32" i="2"/>
  <c r="BE191" i="15"/>
  <c r="BX46" i="15"/>
  <c r="BX189" i="15" s="1"/>
  <c r="BT39" i="15"/>
  <c r="BT187" i="15" s="1"/>
  <c r="BX38" i="15"/>
  <c r="BT32" i="2"/>
  <c r="BG187" i="15"/>
  <c r="BG32" i="4"/>
  <c r="BG32" i="15" s="1"/>
  <c r="BS24" i="4"/>
  <c r="BS32" i="4" s="1"/>
  <c r="BR46" i="15"/>
  <c r="BR189" i="15" s="1"/>
  <c r="BR39" i="15"/>
  <c r="BR187" i="15" s="1"/>
  <c r="BB187" i="15"/>
  <c r="BN38" i="15"/>
  <c r="BR32" i="2"/>
  <c r="BR32" i="15" s="1"/>
  <c r="BR24" i="15"/>
  <c r="BR191" i="15" s="1"/>
  <c r="BJ32" i="15"/>
  <c r="BF191" i="15"/>
  <c r="BM46" i="15"/>
  <c r="BM189" i="15" s="1"/>
  <c r="BM39" i="15"/>
  <c r="BM187" i="15" s="1"/>
  <c r="BQ24" i="4"/>
  <c r="BQ32" i="4" s="1"/>
  <c r="BE32" i="4"/>
  <c r="BE32" i="15" s="1"/>
  <c r="BP46" i="15"/>
  <c r="BP189" i="15" s="1"/>
  <c r="BX39" i="15"/>
  <c r="BX187" i="15" s="1"/>
  <c r="BP38" i="15"/>
  <c r="BP190" i="15" s="1"/>
  <c r="BX32" i="2"/>
  <c r="BL32" i="4"/>
  <c r="BL32" i="15" s="1"/>
  <c r="BX24" i="4"/>
  <c r="BX32" i="4" s="1"/>
  <c r="BO38" i="15"/>
  <c r="BW32" i="2"/>
  <c r="BC191" i="15"/>
  <c r="BC269" i="2"/>
  <c r="BV32" i="4"/>
  <c r="BA266" i="2"/>
  <c r="BB265" i="2"/>
  <c r="BQ46" i="15"/>
  <c r="BQ189" i="15" s="1"/>
  <c r="BQ39" i="15"/>
  <c r="BQ187" i="15" s="1"/>
  <c r="BA187" i="15"/>
  <c r="BA191" i="15"/>
  <c r="BP39" i="15"/>
  <c r="BP187" i="15" s="1"/>
  <c r="BL187" i="15"/>
  <c r="BP32" i="2"/>
  <c r="BL24" i="15"/>
  <c r="BL191" i="15" s="1"/>
  <c r="BD191" i="15"/>
  <c r="BH191" i="15"/>
  <c r="BO39" i="15"/>
  <c r="BO187" i="15" s="1"/>
  <c r="BS38" i="15"/>
  <c r="BS190" i="15" s="1"/>
  <c r="BO32" i="2"/>
  <c r="BC32" i="4"/>
  <c r="BC32" i="15" s="1"/>
  <c r="BO24" i="4"/>
  <c r="BO32" i="4" s="1"/>
  <c r="BV46" i="15"/>
  <c r="BV189" i="15" s="1"/>
  <c r="BV39" i="15"/>
  <c r="BV187" i="15" s="1"/>
  <c r="BF32" i="15"/>
  <c r="BV32" i="2"/>
  <c r="BV24" i="15"/>
  <c r="BB191" i="15"/>
  <c r="BC7" i="2"/>
  <c r="CH48" i="15"/>
  <c r="CI207" i="15"/>
  <c r="CI205" i="15"/>
  <c r="CI192" i="15"/>
  <c r="CI168" i="15"/>
  <c r="CI164" i="15"/>
  <c r="CI162" i="15"/>
  <c r="CI160" i="15"/>
  <c r="CI156" i="15"/>
  <c r="CI143" i="15"/>
  <c r="CI124" i="15"/>
  <c r="CI116" i="15"/>
  <c r="CI114" i="15"/>
  <c r="CI172" i="15"/>
  <c r="CI165" i="15"/>
  <c r="CI163" i="15"/>
  <c r="CI161" i="15"/>
  <c r="CI146" i="15"/>
  <c r="CI142" i="15"/>
  <c r="CI171" i="15"/>
  <c r="CI100" i="15"/>
  <c r="CI97" i="15"/>
  <c r="CI88" i="15"/>
  <c r="CI86" i="15"/>
  <c r="CI75" i="15"/>
  <c r="CI56" i="15"/>
  <c r="CI55" i="15"/>
  <c r="CI54" i="15"/>
  <c r="CI48" i="15"/>
  <c r="CI170" i="15"/>
  <c r="CI169" i="15"/>
  <c r="CF162" i="15"/>
  <c r="CE162" i="15"/>
  <c r="CJ3" i="4"/>
  <c r="CG162" i="15"/>
  <c r="CJ3" i="2"/>
  <c r="CJ3" i="15"/>
  <c r="CI4" i="4"/>
  <c r="CJ4" i="2"/>
  <c r="E7" i="2"/>
  <c r="CI4" i="15"/>
  <c r="E7" i="4"/>
  <c r="AR187" i="15"/>
  <c r="AS190" i="15"/>
  <c r="AS187" i="15"/>
  <c r="AX187" i="15"/>
  <c r="AZ191" i="15"/>
  <c r="AU187" i="15"/>
  <c r="AQ191" i="15"/>
  <c r="AS191" i="15"/>
  <c r="AP187" i="15"/>
  <c r="AX191" i="15"/>
  <c r="AZ190" i="15"/>
  <c r="AT191" i="15"/>
  <c r="AU191" i="15"/>
  <c r="AR191" i="15"/>
  <c r="AV191" i="15"/>
  <c r="AZ187" i="15"/>
  <c r="AV190" i="15"/>
  <c r="AO187" i="15"/>
  <c r="AQ187" i="15"/>
  <c r="AP191" i="15"/>
  <c r="AV187" i="15"/>
  <c r="AT187" i="15"/>
  <c r="AB268" i="2"/>
  <c r="Z265" i="2"/>
  <c r="Y266" i="2"/>
  <c r="AA265" i="4"/>
  <c r="Z266" i="4"/>
  <c r="AB269" i="4"/>
  <c r="AB270" i="4"/>
  <c r="AB267" i="2"/>
  <c r="AC270" i="2"/>
  <c r="AC268" i="4"/>
  <c r="AB269" i="2"/>
  <c r="AE267" i="4"/>
  <c r="P27" i="15"/>
  <c r="CE27" i="15" s="1"/>
  <c r="P41" i="15"/>
  <c r="CE41" i="15" s="1"/>
  <c r="AD18" i="15"/>
  <c r="AR19" i="2"/>
  <c r="AG19" i="2"/>
  <c r="AP12" i="15"/>
  <c r="AP15" i="15"/>
  <c r="AC17" i="15"/>
  <c r="AD17" i="15"/>
  <c r="Z10" i="15"/>
  <c r="Z15" i="15"/>
  <c r="AA15" i="15"/>
  <c r="AA10" i="15"/>
  <c r="AA19" i="4"/>
  <c r="AB14" i="15"/>
  <c r="AC10" i="15"/>
  <c r="Z19" i="4"/>
  <c r="AB12" i="15"/>
  <c r="AC12" i="15"/>
  <c r="AF12" i="15"/>
  <c r="AB15" i="15"/>
  <c r="AC15" i="15"/>
  <c r="AF14" i="15"/>
  <c r="AE18" i="15"/>
  <c r="Z11" i="15"/>
  <c r="AB10" i="15"/>
  <c r="AB17" i="15"/>
  <c r="AB16" i="15"/>
  <c r="AC16" i="15"/>
  <c r="AE15" i="15"/>
  <c r="AD16" i="15"/>
  <c r="AA13" i="15"/>
  <c r="AD19" i="4"/>
  <c r="AD45" i="4" s="1"/>
  <c r="AF11" i="15"/>
  <c r="AE17" i="15"/>
  <c r="AG10" i="15"/>
  <c r="W27" i="15"/>
  <c r="BK27" i="4" l="1"/>
  <c r="AY27" i="15"/>
  <c r="CH27" i="15"/>
  <c r="AM41" i="4"/>
  <c r="AA41" i="15"/>
  <c r="CF41" i="15" s="1"/>
  <c r="CJ50" i="15"/>
  <c r="CJ29" i="15"/>
  <c r="AE20" i="2"/>
  <c r="BM190" i="15"/>
  <c r="AP14" i="15"/>
  <c r="CJ28" i="15"/>
  <c r="CJ181" i="15"/>
  <c r="AF20" i="2"/>
  <c r="AF289" i="2"/>
  <c r="BE29" i="8"/>
  <c r="BV32" i="15"/>
  <c r="BQ190" i="15"/>
  <c r="CJ49" i="15"/>
  <c r="CJ130" i="15"/>
  <c r="AR289" i="2"/>
  <c r="AR20" i="2"/>
  <c r="AG45" i="2"/>
  <c r="AG20" i="2"/>
  <c r="AG289" i="2"/>
  <c r="AA20" i="4"/>
  <c r="AA289" i="4"/>
  <c r="Z289" i="4"/>
  <c r="Z20" i="4"/>
  <c r="BX190" i="15"/>
  <c r="BT24" i="15"/>
  <c r="BT191" i="15" s="1"/>
  <c r="BT32" i="15"/>
  <c r="BV190" i="15"/>
  <c r="AF13" i="15"/>
  <c r="BN190" i="15"/>
  <c r="BC106" i="2"/>
  <c r="BO47" i="2"/>
  <c r="BC47" i="15"/>
  <c r="BO47" i="4"/>
  <c r="BO106" i="4" s="1"/>
  <c r="BC106" i="4"/>
  <c r="BN32" i="15"/>
  <c r="BI47" i="2"/>
  <c r="AW47" i="15"/>
  <c r="AU20" i="8"/>
  <c r="BV191" i="15"/>
  <c r="BX24" i="15"/>
  <c r="BX191" i="15" s="1"/>
  <c r="BN24" i="15"/>
  <c r="BN191" i="15" s="1"/>
  <c r="BM24" i="15"/>
  <c r="BM191" i="15" s="1"/>
  <c r="BD269" i="2"/>
  <c r="BQ24" i="15"/>
  <c r="BX32" i="15"/>
  <c r="BQ32" i="15"/>
  <c r="BM32" i="15"/>
  <c r="BP24" i="15"/>
  <c r="BS24" i="15"/>
  <c r="BO32" i="15"/>
  <c r="BD7" i="2"/>
  <c r="BO24" i="15"/>
  <c r="BP32" i="15"/>
  <c r="BB266" i="2"/>
  <c r="BC265" i="2"/>
  <c r="BS32" i="15"/>
  <c r="CJ207" i="15"/>
  <c r="CJ205" i="15"/>
  <c r="CJ192" i="15"/>
  <c r="CJ172" i="15"/>
  <c r="CJ171" i="15"/>
  <c r="CJ170" i="15"/>
  <c r="CJ169" i="15"/>
  <c r="CJ168" i="15"/>
  <c r="CJ165" i="15"/>
  <c r="CJ164" i="15"/>
  <c r="CJ163" i="15"/>
  <c r="CJ162" i="15"/>
  <c r="CJ161" i="15"/>
  <c r="CJ160" i="15"/>
  <c r="CJ156" i="15"/>
  <c r="CJ146" i="15"/>
  <c r="CJ143" i="15"/>
  <c r="CJ142" i="15"/>
  <c r="CJ124" i="15"/>
  <c r="CJ116" i="15"/>
  <c r="CJ114" i="15"/>
  <c r="CJ100" i="15"/>
  <c r="CJ97" i="15"/>
  <c r="CJ88" i="15"/>
  <c r="CJ86" i="15"/>
  <c r="CJ75" i="15"/>
  <c r="CJ56" i="15"/>
  <c r="CJ55" i="15"/>
  <c r="CJ54" i="15"/>
  <c r="CJ48" i="15"/>
  <c r="CJ4" i="15"/>
  <c r="CJ4" i="4"/>
  <c r="Z264" i="4"/>
  <c r="AQ52" i="2"/>
  <c r="AC268" i="2"/>
  <c r="Y264" i="2"/>
  <c r="AA265" i="2"/>
  <c r="Z266" i="2"/>
  <c r="AA266" i="4"/>
  <c r="AA264" i="4" s="1"/>
  <c r="AB265" i="4"/>
  <c r="AD270" i="2"/>
  <c r="AC269" i="4"/>
  <c r="AF267" i="4"/>
  <c r="AC269" i="2"/>
  <c r="AD268" i="4"/>
  <c r="AC267" i="2"/>
  <c r="AC270" i="4"/>
  <c r="AR45" i="2"/>
  <c r="AC27" i="15"/>
  <c r="AB27" i="15"/>
  <c r="AA27" i="15"/>
  <c r="AS19" i="2"/>
  <c r="AH19" i="2"/>
  <c r="AQ12" i="15"/>
  <c r="AQ14" i="15"/>
  <c r="AQ15" i="15"/>
  <c r="AF18" i="15"/>
  <c r="AF17" i="15"/>
  <c r="AB19" i="4"/>
  <c r="AB13" i="15"/>
  <c r="AF15" i="15"/>
  <c r="AG13" i="15"/>
  <c r="AE16" i="15"/>
  <c r="AF19" i="4"/>
  <c r="AE19" i="4"/>
  <c r="AE289" i="4" s="1"/>
  <c r="AG11" i="15"/>
  <c r="AA11" i="15"/>
  <c r="AA19" i="2"/>
  <c r="AG14" i="15"/>
  <c r="AG12" i="15"/>
  <c r="AH10" i="15"/>
  <c r="V170" i="4"/>
  <c r="V171" i="4" s="1"/>
  <c r="V170" i="2"/>
  <c r="V171" i="2" s="1"/>
  <c r="AY41" i="4" l="1"/>
  <c r="AM41" i="15"/>
  <c r="CG41" i="15" s="1"/>
  <c r="BW27" i="4"/>
  <c r="BW27" i="15" s="1"/>
  <c r="CJ27" i="15" s="1"/>
  <c r="BK27" i="15"/>
  <c r="CI27" i="15" s="1"/>
  <c r="BF29" i="8"/>
  <c r="AF289" i="4"/>
  <c r="AS20" i="2"/>
  <c r="AS289" i="2"/>
  <c r="AH45" i="2"/>
  <c r="AH20" i="2"/>
  <c r="AH289" i="2"/>
  <c r="AE45" i="4"/>
  <c r="AE20" i="4"/>
  <c r="AF45" i="4"/>
  <c r="AF20" i="4"/>
  <c r="AA20" i="2"/>
  <c r="AA289" i="2"/>
  <c r="AB45" i="4"/>
  <c r="AB20" i="4"/>
  <c r="AB289" i="4"/>
  <c r="CH47" i="15"/>
  <c r="BC190" i="15"/>
  <c r="BU47" i="2"/>
  <c r="BU47" i="15" s="1"/>
  <c r="BI47" i="15"/>
  <c r="BO47" i="15"/>
  <c r="BO106" i="2"/>
  <c r="AV20" i="8"/>
  <c r="BE7" i="2"/>
  <c r="BE269" i="2"/>
  <c r="BO191" i="15"/>
  <c r="BS191" i="15"/>
  <c r="BC266" i="2"/>
  <c r="BD265" i="2"/>
  <c r="BQ191" i="15"/>
  <c r="BP191" i="15"/>
  <c r="AR52" i="2"/>
  <c r="AQ53" i="2"/>
  <c r="AD268" i="2"/>
  <c r="AB265" i="2"/>
  <c r="AA266" i="2"/>
  <c r="AA264" i="2" s="1"/>
  <c r="Z264" i="2"/>
  <c r="AB266" i="4"/>
  <c r="AB264" i="4" s="1"/>
  <c r="AC265" i="4"/>
  <c r="AD270" i="4"/>
  <c r="AD269" i="4"/>
  <c r="AE268" i="4"/>
  <c r="AG267" i="4"/>
  <c r="AE270" i="2"/>
  <c r="AS45" i="2"/>
  <c r="AD27" i="15"/>
  <c r="AT19" i="2"/>
  <c r="AI19" i="2"/>
  <c r="AR12" i="15"/>
  <c r="AR15" i="15"/>
  <c r="AR14" i="15"/>
  <c r="AH12" i="15"/>
  <c r="AG17" i="15"/>
  <c r="AG15" i="15"/>
  <c r="AH14" i="15"/>
  <c r="AB11" i="15"/>
  <c r="AB19" i="2"/>
  <c r="AH13" i="15"/>
  <c r="AH11" i="15"/>
  <c r="AF16" i="15"/>
  <c r="AG19" i="4"/>
  <c r="AG289" i="4" s="1"/>
  <c r="AC13" i="15"/>
  <c r="AC19" i="4"/>
  <c r="AD289" i="4" s="1"/>
  <c r="AG18" i="15"/>
  <c r="AI10" i="15"/>
  <c r="U170" i="4"/>
  <c r="U171" i="4" s="1"/>
  <c r="U170" i="2"/>
  <c r="U171" i="2" s="1"/>
  <c r="B80" i="4"/>
  <c r="A80" i="4"/>
  <c r="B80" i="2"/>
  <c r="A80" i="2"/>
  <c r="A34" i="4"/>
  <c r="A34" i="2"/>
  <c r="AK34" i="2" s="1"/>
  <c r="AW34" i="2" s="1"/>
  <c r="X80" i="15"/>
  <c r="S80" i="15"/>
  <c r="R80" i="15"/>
  <c r="Q80" i="15"/>
  <c r="O80" i="15"/>
  <c r="N80" i="15"/>
  <c r="M80" i="15"/>
  <c r="L80" i="15"/>
  <c r="K80" i="15"/>
  <c r="J80" i="15"/>
  <c r="I80" i="15"/>
  <c r="H80" i="15"/>
  <c r="G80" i="15"/>
  <c r="F80" i="15"/>
  <c r="E80" i="15"/>
  <c r="AN34" i="15"/>
  <c r="AL34" i="15"/>
  <c r="AJ34" i="15"/>
  <c r="AI34" i="15"/>
  <c r="AH34" i="15"/>
  <c r="AG34" i="15"/>
  <c r="AF34" i="15"/>
  <c r="AE34" i="15"/>
  <c r="AD34" i="15"/>
  <c r="AC34" i="15"/>
  <c r="AB34" i="15"/>
  <c r="Z34" i="15"/>
  <c r="X34" i="15"/>
  <c r="S34" i="15"/>
  <c r="R34" i="15"/>
  <c r="Q34" i="15"/>
  <c r="O34" i="15"/>
  <c r="N34" i="15"/>
  <c r="M34" i="15"/>
  <c r="L34" i="15"/>
  <c r="K34" i="15"/>
  <c r="J34" i="15"/>
  <c r="I34" i="15"/>
  <c r="H34" i="15"/>
  <c r="G34" i="15"/>
  <c r="F34" i="15"/>
  <c r="E34" i="15"/>
  <c r="B34" i="2"/>
  <c r="B34" i="4"/>
  <c r="AK34" i="4" l="1"/>
  <c r="AW34" i="4" s="1"/>
  <c r="BI34" i="4" s="1"/>
  <c r="BU34" i="4" s="1"/>
  <c r="BK41" i="4"/>
  <c r="AY41" i="15"/>
  <c r="CH41" i="15" s="1"/>
  <c r="BG29" i="8"/>
  <c r="Y34" i="15"/>
  <c r="BI34" i="2"/>
  <c r="AK34" i="15"/>
  <c r="AT289" i="2"/>
  <c r="AT20" i="2"/>
  <c r="AI45" i="2"/>
  <c r="AI20" i="2"/>
  <c r="AI289" i="2"/>
  <c r="AG45" i="4"/>
  <c r="AG20" i="4"/>
  <c r="AC45" i="4"/>
  <c r="AC20" i="4"/>
  <c r="AC289" i="4"/>
  <c r="AD20" i="4"/>
  <c r="AB45" i="2"/>
  <c r="AB20" i="2"/>
  <c r="AB289" i="2"/>
  <c r="BO190" i="15"/>
  <c r="CJ47" i="15"/>
  <c r="CI47" i="15"/>
  <c r="AW20" i="8"/>
  <c r="BE265" i="2"/>
  <c r="BD266" i="2"/>
  <c r="BF269" i="2"/>
  <c r="BF7" i="2"/>
  <c r="AR53" i="2"/>
  <c r="AS52" i="2"/>
  <c r="AE268" i="2"/>
  <c r="AC265" i="2"/>
  <c r="AB266" i="2"/>
  <c r="AC266" i="4"/>
  <c r="AC264" i="4" s="1"/>
  <c r="AD265" i="4"/>
  <c r="AF270" i="2"/>
  <c r="AF268" i="4"/>
  <c r="AE269" i="4"/>
  <c r="AE270" i="4"/>
  <c r="AH267" i="4"/>
  <c r="AE267" i="2"/>
  <c r="AE269" i="2"/>
  <c r="AT45" i="2"/>
  <c r="AE27" i="15"/>
  <c r="AF27" i="15"/>
  <c r="P80" i="15"/>
  <c r="CE80" i="15" s="1"/>
  <c r="P34" i="15"/>
  <c r="CE34" i="15" s="1"/>
  <c r="AU19" i="2"/>
  <c r="AJ19" i="2"/>
  <c r="AS14" i="15"/>
  <c r="AS12" i="15"/>
  <c r="AS15" i="15"/>
  <c r="AG16" i="15"/>
  <c r="AH19" i="4"/>
  <c r="AH289" i="4" s="1"/>
  <c r="AC11" i="15"/>
  <c r="AC19" i="2"/>
  <c r="AD289" i="2" s="1"/>
  <c r="AH17" i="15"/>
  <c r="AH18" i="15"/>
  <c r="AI13" i="15"/>
  <c r="AH15" i="15"/>
  <c r="AI12" i="15"/>
  <c r="AI11" i="15"/>
  <c r="AI14" i="15"/>
  <c r="T34" i="15"/>
  <c r="V34" i="15"/>
  <c r="T80" i="15"/>
  <c r="AW34" i="15" l="1"/>
  <c r="BW41" i="4"/>
  <c r="BW41" i="15" s="1"/>
  <c r="CJ41" i="15" s="1"/>
  <c r="BK41" i="15"/>
  <c r="CI41" i="15" s="1"/>
  <c r="AM34" i="4"/>
  <c r="AA34" i="15"/>
  <c r="BH29" i="8"/>
  <c r="BU34" i="2"/>
  <c r="BU34" i="15" s="1"/>
  <c r="BI34" i="15"/>
  <c r="AU289" i="2"/>
  <c r="AU20" i="2"/>
  <c r="AJ45" i="2"/>
  <c r="AJ20" i="2"/>
  <c r="AJ289" i="2"/>
  <c r="AH45" i="4"/>
  <c r="AH20" i="4"/>
  <c r="AC45" i="2"/>
  <c r="AC289" i="2"/>
  <c r="AD20" i="2"/>
  <c r="AC20" i="2"/>
  <c r="AX20" i="8"/>
  <c r="BG7" i="2"/>
  <c r="BG269" i="2"/>
  <c r="BF265" i="2"/>
  <c r="BE266" i="2"/>
  <c r="AS53" i="2"/>
  <c r="AT52" i="2"/>
  <c r="AF268" i="2"/>
  <c r="AB264" i="2"/>
  <c r="AD265" i="2"/>
  <c r="AC266" i="2"/>
  <c r="AD266" i="4"/>
  <c r="AE265" i="4"/>
  <c r="AF269" i="4"/>
  <c r="AF270" i="4"/>
  <c r="AF269" i="2"/>
  <c r="AG268" i="4"/>
  <c r="AG270" i="2"/>
  <c r="AF267" i="2"/>
  <c r="AI267" i="4"/>
  <c r="AU45" i="2"/>
  <c r="AH27" i="15"/>
  <c r="AG27" i="15"/>
  <c r="AV19" i="2"/>
  <c r="AK19" i="2"/>
  <c r="AJ10" i="15"/>
  <c r="AT15" i="15"/>
  <c r="AT12" i="15"/>
  <c r="AT14" i="15"/>
  <c r="AI15" i="15"/>
  <c r="AJ13" i="15"/>
  <c r="AI17" i="15"/>
  <c r="AH16" i="15"/>
  <c r="AI18" i="15"/>
  <c r="AJ11" i="15"/>
  <c r="AJ14" i="15"/>
  <c r="AJ12" i="15"/>
  <c r="U34" i="15"/>
  <c r="U80" i="15"/>
  <c r="V80" i="15"/>
  <c r="W34" i="15"/>
  <c r="W80" i="15"/>
  <c r="AY34" i="4" l="1"/>
  <c r="AM34" i="15"/>
  <c r="CG34" i="15" s="1"/>
  <c r="BI29" i="8"/>
  <c r="AV289" i="2"/>
  <c r="AV20" i="2"/>
  <c r="AK45" i="2"/>
  <c r="AK289" i="2"/>
  <c r="AK20" i="2"/>
  <c r="AY20" i="8"/>
  <c r="CF34" i="15"/>
  <c r="BH269" i="2"/>
  <c r="BG265" i="2"/>
  <c r="BF266" i="2"/>
  <c r="BH7" i="2"/>
  <c r="AT53" i="2"/>
  <c r="AU52" i="2"/>
  <c r="AD264" i="4"/>
  <c r="AG268" i="2"/>
  <c r="AD266" i="2"/>
  <c r="AE265" i="2"/>
  <c r="AC264" i="2"/>
  <c r="AE266" i="4"/>
  <c r="AE264" i="4" s="1"/>
  <c r="AF265" i="4"/>
  <c r="AJ267" i="4"/>
  <c r="AG270" i="4"/>
  <c r="AG267" i="2"/>
  <c r="AH270" i="2"/>
  <c r="AG269" i="2"/>
  <c r="AH268" i="4"/>
  <c r="AG269" i="4"/>
  <c r="AV45" i="2"/>
  <c r="AI27" i="15"/>
  <c r="AJ27" i="15"/>
  <c r="AW19" i="2"/>
  <c r="AL19" i="2"/>
  <c r="AK10" i="15"/>
  <c r="AU12" i="15"/>
  <c r="AU14" i="15"/>
  <c r="AU15" i="15"/>
  <c r="AK11" i="15"/>
  <c r="AI16" i="15"/>
  <c r="AJ19" i="4"/>
  <c r="AI19" i="4"/>
  <c r="AI289" i="4" s="1"/>
  <c r="AK14" i="15"/>
  <c r="AJ18" i="15"/>
  <c r="AJ17" i="15"/>
  <c r="AK12" i="15"/>
  <c r="AK13" i="15"/>
  <c r="AJ15" i="15"/>
  <c r="AL10" i="15"/>
  <c r="T170" i="4"/>
  <c r="T171" i="4" s="1"/>
  <c r="T170" i="2"/>
  <c r="T171" i="2" s="1"/>
  <c r="S47" i="15"/>
  <c r="B47" i="4"/>
  <c r="B47" i="2"/>
  <c r="AN47" i="15"/>
  <c r="AM47" i="15"/>
  <c r="AL47" i="15"/>
  <c r="AK47" i="15"/>
  <c r="AJ47" i="15"/>
  <c r="AI47" i="15"/>
  <c r="AH47" i="15"/>
  <c r="AG47" i="15"/>
  <c r="AF47" i="15"/>
  <c r="AE47" i="15"/>
  <c r="AD47" i="15"/>
  <c r="AC47" i="15"/>
  <c r="AB47" i="15"/>
  <c r="AA47" i="15"/>
  <c r="Z47" i="15"/>
  <c r="Y47" i="15"/>
  <c r="X47" i="15"/>
  <c r="W47" i="15"/>
  <c r="V47" i="15"/>
  <c r="U47" i="15"/>
  <c r="T47" i="15"/>
  <c r="R47" i="15"/>
  <c r="Q47" i="15"/>
  <c r="P47" i="15"/>
  <c r="O47" i="15"/>
  <c r="N47" i="15"/>
  <c r="M47" i="15"/>
  <c r="L47" i="15"/>
  <c r="K47" i="15"/>
  <c r="J47" i="15"/>
  <c r="I47" i="15"/>
  <c r="H47" i="15"/>
  <c r="G47" i="15"/>
  <c r="F47" i="15"/>
  <c r="E47" i="15"/>
  <c r="BK34" i="4" l="1"/>
  <c r="AY34" i="15"/>
  <c r="CH34" i="15" s="1"/>
  <c r="BJ29" i="8"/>
  <c r="AW289" i="2"/>
  <c r="AW20" i="2"/>
  <c r="AJ289" i="4"/>
  <c r="AL45" i="2"/>
  <c r="AL289" i="2"/>
  <c r="AL20" i="2"/>
  <c r="AJ45" i="4"/>
  <c r="AJ20" i="4"/>
  <c r="AI45" i="4"/>
  <c r="AI20" i="4"/>
  <c r="AZ20" i="8"/>
  <c r="BI269" i="2"/>
  <c r="BH265" i="2"/>
  <c r="BG266" i="2"/>
  <c r="BI7" i="2"/>
  <c r="CE47" i="15"/>
  <c r="CF47" i="15"/>
  <c r="CG47" i="15"/>
  <c r="AD264" i="2"/>
  <c r="AV52" i="2"/>
  <c r="AU53" i="2"/>
  <c r="AH268" i="2"/>
  <c r="AE266" i="2"/>
  <c r="AF265" i="2"/>
  <c r="AF266" i="4"/>
  <c r="AG265" i="4"/>
  <c r="AH269" i="4"/>
  <c r="AH267" i="2"/>
  <c r="AH269" i="2"/>
  <c r="AI270" i="2"/>
  <c r="AI268" i="4"/>
  <c r="AH270" i="4"/>
  <c r="AK267" i="4"/>
  <c r="AW45" i="2"/>
  <c r="AK27" i="15"/>
  <c r="AX19" i="2"/>
  <c r="AM19" i="2"/>
  <c r="AV15" i="15"/>
  <c r="AV14" i="15"/>
  <c r="AV12" i="15"/>
  <c r="AL14" i="15"/>
  <c r="AK17" i="15"/>
  <c r="AL13" i="15"/>
  <c r="AK18" i="15"/>
  <c r="AL11" i="15"/>
  <c r="AK19" i="4"/>
  <c r="AK289" i="4" s="1"/>
  <c r="AJ16" i="15"/>
  <c r="AK15" i="15"/>
  <c r="AL12" i="15"/>
  <c r="AM10" i="15"/>
  <c r="S170" i="4"/>
  <c r="S171" i="4" s="1"/>
  <c r="S170" i="2"/>
  <c r="S171" i="2" s="1"/>
  <c r="BW34" i="4" l="1"/>
  <c r="BW34" i="15" s="1"/>
  <c r="CJ34" i="15" s="1"/>
  <c r="BK34" i="15"/>
  <c r="CI34" i="15" s="1"/>
  <c r="BK29" i="8"/>
  <c r="AX289" i="2"/>
  <c r="AX20" i="2"/>
  <c r="AM45" i="2"/>
  <c r="AM20" i="2"/>
  <c r="AM289" i="2"/>
  <c r="AK45" i="4"/>
  <c r="AK20" i="4"/>
  <c r="BA20" i="8"/>
  <c r="BH266" i="2"/>
  <c r="BI265" i="2"/>
  <c r="BJ7" i="2"/>
  <c r="BJ269" i="2"/>
  <c r="AV53" i="2"/>
  <c r="AF264" i="4"/>
  <c r="AE264" i="2"/>
  <c r="AI268" i="2"/>
  <c r="AF266" i="2"/>
  <c r="AG265" i="2"/>
  <c r="AG266" i="4"/>
  <c r="AH265" i="4"/>
  <c r="AI269" i="2"/>
  <c r="AI270" i="4"/>
  <c r="AJ270" i="2"/>
  <c r="AI269" i="4"/>
  <c r="AL267" i="4"/>
  <c r="AJ268" i="4"/>
  <c r="AI267" i="2"/>
  <c r="AX45" i="2"/>
  <c r="AY19" i="2"/>
  <c r="AN19" i="2"/>
  <c r="AW12" i="15"/>
  <c r="AW14" i="15"/>
  <c r="AW15" i="15"/>
  <c r="AL15" i="15"/>
  <c r="AM12" i="15"/>
  <c r="AL17" i="15"/>
  <c r="AK16" i="15"/>
  <c r="AL19" i="4"/>
  <c r="AL289" i="4" s="1"/>
  <c r="AL18" i="15"/>
  <c r="AM11" i="15"/>
  <c r="AM13" i="15"/>
  <c r="AM14" i="15"/>
  <c r="AN10" i="15"/>
  <c r="R170" i="4"/>
  <c r="R171" i="4" s="1"/>
  <c r="R169" i="15"/>
  <c r="R207" i="15" s="1"/>
  <c r="AN245" i="15"/>
  <c r="AM245" i="15"/>
  <c r="AL245" i="15"/>
  <c r="AK245" i="15"/>
  <c r="AJ245" i="15"/>
  <c r="AI245" i="15"/>
  <c r="AH245" i="15"/>
  <c r="AG245" i="15"/>
  <c r="AF245" i="15"/>
  <c r="AE245" i="15"/>
  <c r="AD245" i="15"/>
  <c r="AC245" i="15"/>
  <c r="AB245" i="15"/>
  <c r="AA245" i="15"/>
  <c r="Z245" i="15"/>
  <c r="Y245" i="15"/>
  <c r="X245" i="15"/>
  <c r="W245" i="15"/>
  <c r="V245" i="15"/>
  <c r="U245" i="15"/>
  <c r="T245" i="15"/>
  <c r="S245" i="15"/>
  <c r="R245" i="15"/>
  <c r="Q245" i="15"/>
  <c r="P245" i="15"/>
  <c r="O245" i="15"/>
  <c r="N245" i="15"/>
  <c r="M245" i="15"/>
  <c r="L245" i="15"/>
  <c r="K245" i="15"/>
  <c r="J245" i="15"/>
  <c r="I245" i="15"/>
  <c r="H245" i="15"/>
  <c r="G245" i="15"/>
  <c r="F245" i="15"/>
  <c r="E245" i="15"/>
  <c r="A245" i="15"/>
  <c r="A245" i="4" s="1"/>
  <c r="AN169" i="15"/>
  <c r="AN207" i="15" s="1"/>
  <c r="AM169" i="15"/>
  <c r="AM207" i="15" s="1"/>
  <c r="AL169" i="15"/>
  <c r="AL207" i="15" s="1"/>
  <c r="AK169" i="15"/>
  <c r="AK207" i="15" s="1"/>
  <c r="AJ169" i="15"/>
  <c r="AJ207" i="15" s="1"/>
  <c r="AI169" i="15"/>
  <c r="AI207" i="15" s="1"/>
  <c r="AH169" i="15"/>
  <c r="AH207" i="15" s="1"/>
  <c r="AG169" i="15"/>
  <c r="AG207" i="15" s="1"/>
  <c r="AF169" i="15"/>
  <c r="AF207" i="15" s="1"/>
  <c r="AE169" i="15"/>
  <c r="AE207" i="15" s="1"/>
  <c r="AD169" i="15"/>
  <c r="AD207" i="15" s="1"/>
  <c r="AC169" i="15"/>
  <c r="AB169" i="15"/>
  <c r="AB207" i="15" s="1"/>
  <c r="AA169" i="15"/>
  <c r="AA207" i="15" s="1"/>
  <c r="Z169" i="15"/>
  <c r="Z207" i="15" s="1"/>
  <c r="Y169" i="15"/>
  <c r="Y207" i="15" s="1"/>
  <c r="X169" i="15"/>
  <c r="X207" i="15" s="1"/>
  <c r="W169" i="15"/>
  <c r="W207" i="15" s="1"/>
  <c r="V169" i="15"/>
  <c r="V207" i="15" s="1"/>
  <c r="U169" i="15"/>
  <c r="U207" i="15" s="1"/>
  <c r="T169" i="15"/>
  <c r="T207" i="15" s="1"/>
  <c r="S169" i="15"/>
  <c r="S207" i="15" s="1"/>
  <c r="P169" i="15"/>
  <c r="P207" i="15" s="1"/>
  <c r="O169" i="15"/>
  <c r="O207" i="15" s="1"/>
  <c r="N169" i="15"/>
  <c r="N207" i="15" s="1"/>
  <c r="M169" i="15"/>
  <c r="M207" i="15" s="1"/>
  <c r="L169" i="15"/>
  <c r="L207" i="15" s="1"/>
  <c r="K169" i="15"/>
  <c r="K207" i="15" s="1"/>
  <c r="J169" i="15"/>
  <c r="J207" i="15" s="1"/>
  <c r="I169" i="15"/>
  <c r="I207" i="15" s="1"/>
  <c r="H169" i="15"/>
  <c r="H207" i="15" s="1"/>
  <c r="G169" i="15"/>
  <c r="G207" i="15" s="1"/>
  <c r="F169" i="15"/>
  <c r="F207" i="15" s="1"/>
  <c r="E169"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P168" i="15"/>
  <c r="O168" i="15"/>
  <c r="N168" i="15"/>
  <c r="M168" i="15"/>
  <c r="L168" i="15"/>
  <c r="K168" i="15"/>
  <c r="J168" i="15"/>
  <c r="I168" i="15"/>
  <c r="H168" i="15"/>
  <c r="G168" i="15"/>
  <c r="F168" i="15"/>
  <c r="E168" i="15"/>
  <c r="D170" i="15"/>
  <c r="C170" i="15"/>
  <c r="AN170" i="4"/>
  <c r="AN171" i="4" s="1"/>
  <c r="AM170" i="4"/>
  <c r="AM171" i="4" s="1"/>
  <c r="AL170" i="4"/>
  <c r="AL171" i="4" s="1"/>
  <c r="AK170" i="4"/>
  <c r="AK171" i="4" s="1"/>
  <c r="AJ170" i="4"/>
  <c r="AJ171" i="4" s="1"/>
  <c r="AI170" i="4"/>
  <c r="AI171" i="4" s="1"/>
  <c r="AH170" i="4"/>
  <c r="AH171" i="4" s="1"/>
  <c r="AG170" i="4"/>
  <c r="AG171" i="4" s="1"/>
  <c r="AF170" i="4"/>
  <c r="AF171" i="4" s="1"/>
  <c r="AE170" i="4"/>
  <c r="AE171" i="4" s="1"/>
  <c r="AD170" i="4"/>
  <c r="AD171" i="4" s="1"/>
  <c r="AC170" i="4"/>
  <c r="AC171" i="4" s="1"/>
  <c r="AB170" i="4"/>
  <c r="AB171" i="4" s="1"/>
  <c r="AA170" i="4"/>
  <c r="AA171" i="4" s="1"/>
  <c r="Z170" i="4"/>
  <c r="Z171" i="4" s="1"/>
  <c r="Y170" i="4"/>
  <c r="Y171" i="4" s="1"/>
  <c r="X170" i="4"/>
  <c r="X171" i="4" s="1"/>
  <c r="Q170" i="4"/>
  <c r="Q171" i="4" s="1"/>
  <c r="P170" i="4"/>
  <c r="P171" i="4" s="1"/>
  <c r="O170" i="4"/>
  <c r="O171" i="4" s="1"/>
  <c r="N170" i="4"/>
  <c r="N171" i="4" s="1"/>
  <c r="M170" i="4"/>
  <c r="M171" i="4" s="1"/>
  <c r="L170" i="4"/>
  <c r="L171" i="4" s="1"/>
  <c r="K170" i="4"/>
  <c r="K171" i="4" s="1"/>
  <c r="J170" i="4"/>
  <c r="J171" i="4" s="1"/>
  <c r="I170" i="4"/>
  <c r="I171" i="4" s="1"/>
  <c r="H170" i="4"/>
  <c r="H171" i="4" s="1"/>
  <c r="G170" i="4"/>
  <c r="G171" i="4" s="1"/>
  <c r="F170" i="4"/>
  <c r="F171" i="4" s="1"/>
  <c r="AN170" i="2"/>
  <c r="AN171" i="2" s="1"/>
  <c r="AM170" i="2"/>
  <c r="AL170" i="2"/>
  <c r="AK170" i="2"/>
  <c r="AK171" i="2" s="1"/>
  <c r="AJ170" i="2"/>
  <c r="AJ171" i="2" s="1"/>
  <c r="AI170" i="2"/>
  <c r="AH170" i="2"/>
  <c r="AG170" i="2"/>
  <c r="AG171" i="2" s="1"/>
  <c r="AF170" i="2"/>
  <c r="AF171" i="2" s="1"/>
  <c r="AE170" i="2"/>
  <c r="AD170" i="2"/>
  <c r="AC170" i="2"/>
  <c r="AC171" i="2" s="1"/>
  <c r="AB170" i="2"/>
  <c r="AB171" i="2" s="1"/>
  <c r="AA170" i="2"/>
  <c r="Z170" i="2"/>
  <c r="Y170" i="2"/>
  <c r="Y171" i="2" s="1"/>
  <c r="X170" i="2"/>
  <c r="X171" i="2" s="1"/>
  <c r="W170" i="15"/>
  <c r="S170" i="15"/>
  <c r="P170" i="2"/>
  <c r="P171" i="2" s="1"/>
  <c r="O170" i="2"/>
  <c r="N170" i="2"/>
  <c r="M170" i="2"/>
  <c r="M171" i="2" s="1"/>
  <c r="L170" i="2"/>
  <c r="L171" i="2" s="1"/>
  <c r="K170" i="2"/>
  <c r="J170" i="2"/>
  <c r="I170" i="2"/>
  <c r="I171" i="2" s="1"/>
  <c r="H170" i="2"/>
  <c r="H171" i="2" s="1"/>
  <c r="G170" i="2"/>
  <c r="F170" i="2"/>
  <c r="E170" i="4"/>
  <c r="E171" i="4" s="1"/>
  <c r="E170" i="2"/>
  <c r="B167" i="4"/>
  <c r="B167" i="2"/>
  <c r="B166" i="4"/>
  <c r="B166" i="2"/>
  <c r="BL29" i="8" l="1"/>
  <c r="AP280" i="4"/>
  <c r="AQ10" i="4"/>
  <c r="AR10" i="4" s="1"/>
  <c r="AS10" i="4" s="1"/>
  <c r="AT10" i="4" s="1"/>
  <c r="AU10" i="4" s="1"/>
  <c r="AV10" i="4" s="1"/>
  <c r="AW10" i="4" s="1"/>
  <c r="AX10" i="4" s="1"/>
  <c r="AY10" i="4" s="1"/>
  <c r="AZ10" i="4" s="1"/>
  <c r="BA10" i="4" s="1"/>
  <c r="AY289" i="2"/>
  <c r="AY20" i="2"/>
  <c r="AO19" i="2"/>
  <c r="AO45" i="2" s="1"/>
  <c r="AP280" i="2"/>
  <c r="AN45" i="2"/>
  <c r="AN289" i="2"/>
  <c r="AN20" i="2"/>
  <c r="AL45" i="4"/>
  <c r="AL20" i="4"/>
  <c r="BB20" i="8"/>
  <c r="AZ19" i="2"/>
  <c r="BB280" i="2"/>
  <c r="BI266" i="2"/>
  <c r="BJ265" i="2"/>
  <c r="BK7" i="2"/>
  <c r="CG168" i="15"/>
  <c r="BK269" i="2"/>
  <c r="D171" i="15"/>
  <c r="CD171" i="15" s="1"/>
  <c r="CD170" i="15"/>
  <c r="AC207" i="15"/>
  <c r="CG207" i="15" s="1"/>
  <c r="CG169" i="15"/>
  <c r="E207" i="15"/>
  <c r="CE207" i="15" s="1"/>
  <c r="CE169" i="15"/>
  <c r="C171" i="15"/>
  <c r="CC171" i="15" s="1"/>
  <c r="CC170" i="15"/>
  <c r="CE168" i="15"/>
  <c r="AG264" i="4"/>
  <c r="AX52" i="2"/>
  <c r="AF264" i="2"/>
  <c r="AJ268" i="2"/>
  <c r="AG266" i="2"/>
  <c r="AH265" i="2"/>
  <c r="AH266" i="4"/>
  <c r="AI265" i="4"/>
  <c r="AM267" i="4"/>
  <c r="AJ267" i="2"/>
  <c r="AK268" i="4"/>
  <c r="AJ270" i="4"/>
  <c r="AJ269" i="4"/>
  <c r="AK270" i="2"/>
  <c r="AJ269" i="2"/>
  <c r="AY45" i="2"/>
  <c r="AL27" i="15"/>
  <c r="AM27" i="15"/>
  <c r="AN14" i="15"/>
  <c r="AN11" i="15"/>
  <c r="AN12" i="15"/>
  <c r="AN13" i="15"/>
  <c r="AX15" i="15"/>
  <c r="AX14" i="15"/>
  <c r="AX12" i="15"/>
  <c r="I171" i="15"/>
  <c r="M171" i="15"/>
  <c r="AA170" i="15"/>
  <c r="F170" i="15"/>
  <c r="J170" i="15"/>
  <c r="N170" i="15"/>
  <c r="AM18" i="15"/>
  <c r="AM17" i="15"/>
  <c r="AL16" i="15"/>
  <c r="AM15" i="15"/>
  <c r="AM19" i="4"/>
  <c r="AM289" i="4" s="1"/>
  <c r="AE170" i="15"/>
  <c r="AI170" i="15"/>
  <c r="AM170" i="15"/>
  <c r="A245" i="2"/>
  <c r="K170" i="15"/>
  <c r="U171" i="15"/>
  <c r="Y171" i="15"/>
  <c r="AC171" i="15"/>
  <c r="AG171" i="15"/>
  <c r="AK171" i="15"/>
  <c r="E170" i="15"/>
  <c r="V170" i="15"/>
  <c r="Z170" i="15"/>
  <c r="AD170" i="15"/>
  <c r="AH170" i="15"/>
  <c r="AL170" i="15"/>
  <c r="AE171" i="2"/>
  <c r="AE171" i="15" s="1"/>
  <c r="AM171" i="2"/>
  <c r="AM171" i="15" s="1"/>
  <c r="G170" i="15"/>
  <c r="G171" i="2"/>
  <c r="G171" i="15" s="1"/>
  <c r="O170" i="15"/>
  <c r="O171" i="2"/>
  <c r="O171" i="15" s="1"/>
  <c r="W171" i="15"/>
  <c r="Q169" i="15"/>
  <c r="Q170" i="2"/>
  <c r="Q171" i="2" s="1"/>
  <c r="Q171" i="15" s="1"/>
  <c r="R170" i="2"/>
  <c r="R170" i="15" s="1"/>
  <c r="Q168" i="15"/>
  <c r="CF168" i="15" s="1"/>
  <c r="K171" i="2"/>
  <c r="K171" i="15" s="1"/>
  <c r="S171" i="15"/>
  <c r="AA171" i="2"/>
  <c r="AA171" i="15" s="1"/>
  <c r="AI171" i="2"/>
  <c r="AI171" i="15" s="1"/>
  <c r="H171" i="15"/>
  <c r="L171" i="15"/>
  <c r="P171" i="15"/>
  <c r="T171" i="15"/>
  <c r="X171" i="15"/>
  <c r="AB171" i="15"/>
  <c r="AF171" i="15"/>
  <c r="AJ171" i="15"/>
  <c r="AN171" i="15"/>
  <c r="F171" i="2"/>
  <c r="F171" i="15" s="1"/>
  <c r="N171" i="2"/>
  <c r="N171" i="15" s="1"/>
  <c r="V171" i="15"/>
  <c r="AD171" i="2"/>
  <c r="AD171" i="15" s="1"/>
  <c r="AL171" i="2"/>
  <c r="AL171" i="15" s="1"/>
  <c r="J171" i="2"/>
  <c r="J171" i="15" s="1"/>
  <c r="Z171" i="2"/>
  <c r="Z171" i="15" s="1"/>
  <c r="AH171" i="2"/>
  <c r="AH171" i="15" s="1"/>
  <c r="H170" i="15"/>
  <c r="L170" i="15"/>
  <c r="P170" i="15"/>
  <c r="T170" i="15"/>
  <c r="X170" i="15"/>
  <c r="AB170" i="15"/>
  <c r="AF170" i="15"/>
  <c r="AJ170" i="15"/>
  <c r="AN170" i="15"/>
  <c r="E171" i="2"/>
  <c r="E171" i="15" s="1"/>
  <c r="I170" i="15"/>
  <c r="M170" i="15"/>
  <c r="U170" i="15"/>
  <c r="Y170" i="15"/>
  <c r="AC170" i="15"/>
  <c r="AG170" i="15"/>
  <c r="AK170" i="15"/>
  <c r="BM29" i="8" l="1"/>
  <c r="AZ45" i="2"/>
  <c r="AZ289" i="2"/>
  <c r="AZ20" i="2"/>
  <c r="AO12" i="15"/>
  <c r="AP282" i="4"/>
  <c r="AO14" i="15"/>
  <c r="AP284" i="4"/>
  <c r="AO289" i="2"/>
  <c r="AO20" i="2"/>
  <c r="AM45" i="4"/>
  <c r="AM20" i="4"/>
  <c r="BC20" i="8"/>
  <c r="BJ266" i="2"/>
  <c r="BK265" i="2"/>
  <c r="BL269" i="2"/>
  <c r="BA19" i="2"/>
  <c r="BL7" i="2"/>
  <c r="CG170" i="15"/>
  <c r="CE171" i="15"/>
  <c r="CG171" i="15"/>
  <c r="Q207" i="15"/>
  <c r="CF207" i="15" s="1"/>
  <c r="CF169" i="15"/>
  <c r="CE170" i="15"/>
  <c r="AO52" i="2"/>
  <c r="AZ52" i="2"/>
  <c r="AX53" i="2"/>
  <c r="AH264" i="4"/>
  <c r="AY52" i="2"/>
  <c r="AG264" i="2"/>
  <c r="AK268" i="2"/>
  <c r="AH266" i="2"/>
  <c r="AH264" i="2" s="1"/>
  <c r="AI265" i="2"/>
  <c r="AI266" i="4"/>
  <c r="AJ265" i="4"/>
  <c r="AK269" i="4"/>
  <c r="AK269" i="2"/>
  <c r="AL268" i="4"/>
  <c r="AK267" i="2"/>
  <c r="AK270" i="4"/>
  <c r="AN267" i="4"/>
  <c r="AL270" i="2"/>
  <c r="AN27" i="15"/>
  <c r="AN18" i="15"/>
  <c r="AO13" i="15"/>
  <c r="AO11" i="15"/>
  <c r="AN15" i="15"/>
  <c r="AN17" i="15"/>
  <c r="AO10" i="15"/>
  <c r="AY14" i="15"/>
  <c r="AY12" i="15"/>
  <c r="AY15" i="15"/>
  <c r="AM16" i="15"/>
  <c r="R171" i="2"/>
  <c r="R171" i="15" s="1"/>
  <c r="CF171" i="15" s="1"/>
  <c r="Q170" i="15"/>
  <c r="CF170" i="15" s="1"/>
  <c r="AC59" i="8"/>
  <c r="AD59" i="8" s="1"/>
  <c r="AE59" i="8" s="1"/>
  <c r="AF59" i="8" s="1"/>
  <c r="AG59" i="8" s="1"/>
  <c r="AH59" i="8" s="1"/>
  <c r="AI59" i="8" s="1"/>
  <c r="AJ59" i="8" s="1"/>
  <c r="AK59" i="8" s="1"/>
  <c r="AL59" i="8" s="1"/>
  <c r="AM59" i="8" s="1"/>
  <c r="AN59" i="8" s="1"/>
  <c r="AO59" i="8" s="1"/>
  <c r="AP59" i="8" s="1"/>
  <c r="AQ59" i="8" s="1"/>
  <c r="AR59" i="8" s="1"/>
  <c r="AS59" i="8" s="1"/>
  <c r="AT59" i="8" s="1"/>
  <c r="AU59" i="8" s="1"/>
  <c r="AV59" i="8" s="1"/>
  <c r="AW59" i="8" s="1"/>
  <c r="AX59" i="8" s="1"/>
  <c r="AY59" i="8" s="1"/>
  <c r="AZ59" i="8" s="1"/>
  <c r="BA59" i="8" s="1"/>
  <c r="BB59" i="8" s="1"/>
  <c r="BC59" i="8" s="1"/>
  <c r="BD59" i="8" s="1"/>
  <c r="BE59" i="8" s="1"/>
  <c r="BF59" i="8" s="1"/>
  <c r="BG59" i="8" s="1"/>
  <c r="BH59" i="8" s="1"/>
  <c r="BI59" i="8" s="1"/>
  <c r="BJ59" i="8" s="1"/>
  <c r="BK59" i="8" s="1"/>
  <c r="BL59" i="8" s="1"/>
  <c r="BM59" i="8" s="1"/>
  <c r="BN59" i="8" s="1"/>
  <c r="BO59" i="8" s="1"/>
  <c r="BP59" i="8" s="1"/>
  <c r="BQ59" i="8" s="1"/>
  <c r="BR59" i="8" s="1"/>
  <c r="BS59" i="8" s="1"/>
  <c r="BT59" i="8" s="1"/>
  <c r="BU59" i="8" s="1"/>
  <c r="BV59" i="8" s="1"/>
  <c r="BW59" i="8" s="1"/>
  <c r="BX59" i="8" s="1"/>
  <c r="BY59" i="8" s="1"/>
  <c r="AC22" i="8"/>
  <c r="AD22" i="8" s="1"/>
  <c r="AE22" i="8" s="1"/>
  <c r="AF22" i="8" s="1"/>
  <c r="AG22" i="8" s="1"/>
  <c r="AH22" i="8" s="1"/>
  <c r="AI22" i="8" s="1"/>
  <c r="AJ22" i="8" s="1"/>
  <c r="AK22" i="8" s="1"/>
  <c r="AL22" i="8" s="1"/>
  <c r="AM22" i="8" s="1"/>
  <c r="AN22" i="8" s="1"/>
  <c r="AO22" i="8" s="1"/>
  <c r="AP22" i="8" s="1"/>
  <c r="AQ22" i="8" s="1"/>
  <c r="AR22" i="8" s="1"/>
  <c r="AS22" i="8" s="1"/>
  <c r="AT22" i="8" s="1"/>
  <c r="AU22" i="8" s="1"/>
  <c r="AV22" i="8" s="1"/>
  <c r="AW22" i="8" s="1"/>
  <c r="AX22" i="8" s="1"/>
  <c r="AY22" i="8" s="1"/>
  <c r="AZ22" i="8" s="1"/>
  <c r="BA22" i="8" s="1"/>
  <c r="BB22" i="8" s="1"/>
  <c r="BC22" i="8" s="1"/>
  <c r="BD22" i="8" s="1"/>
  <c r="BE22" i="8" s="1"/>
  <c r="BF22" i="8" s="1"/>
  <c r="BG22" i="8" s="1"/>
  <c r="BH22" i="8" s="1"/>
  <c r="BI22" i="8" s="1"/>
  <c r="BJ22" i="8" s="1"/>
  <c r="BK22" i="8" s="1"/>
  <c r="BL22" i="8" s="1"/>
  <c r="BM22" i="8" s="1"/>
  <c r="BN22" i="8" s="1"/>
  <c r="BO22" i="8" s="1"/>
  <c r="BP22" i="8" s="1"/>
  <c r="BQ22" i="8" s="1"/>
  <c r="BR22" i="8" s="1"/>
  <c r="BS22" i="8" s="1"/>
  <c r="BT22" i="8" s="1"/>
  <c r="BU22" i="8" s="1"/>
  <c r="BV22" i="8" s="1"/>
  <c r="BW22" i="8" s="1"/>
  <c r="BX22" i="8" s="1"/>
  <c r="BY22" i="8" s="1"/>
  <c r="AC17" i="8"/>
  <c r="AD17" i="8" s="1"/>
  <c r="AE17" i="8" s="1"/>
  <c r="AF17" i="8" s="1"/>
  <c r="AG17" i="8" s="1"/>
  <c r="AH17" i="8" s="1"/>
  <c r="AI17" i="8" s="1"/>
  <c r="AJ17" i="8" s="1"/>
  <c r="AK17" i="8" s="1"/>
  <c r="AL17" i="8" s="1"/>
  <c r="AM17" i="8" s="1"/>
  <c r="AN17" i="8" s="1"/>
  <c r="AO17" i="8" s="1"/>
  <c r="AP17" i="8" s="1"/>
  <c r="BN29" i="8" l="1"/>
  <c r="AP281" i="4"/>
  <c r="AQ11" i="4"/>
  <c r="AR11" i="4" s="1"/>
  <c r="AS11" i="4" s="1"/>
  <c r="AT11" i="4" s="1"/>
  <c r="AU11" i="4" s="1"/>
  <c r="AV11" i="4" s="1"/>
  <c r="AW11" i="4" s="1"/>
  <c r="AX11" i="4" s="1"/>
  <c r="AY11" i="4" s="1"/>
  <c r="AZ11" i="4" s="1"/>
  <c r="BA11" i="4" s="1"/>
  <c r="AP283" i="4"/>
  <c r="AQ13" i="4"/>
  <c r="AR13" i="4" s="1"/>
  <c r="AS13" i="4" s="1"/>
  <c r="AT13" i="4" s="1"/>
  <c r="AU13" i="4" s="1"/>
  <c r="AV13" i="4" s="1"/>
  <c r="AW13" i="4" s="1"/>
  <c r="AX13" i="4" s="1"/>
  <c r="AY13" i="4" s="1"/>
  <c r="AZ13" i="4" s="1"/>
  <c r="BA13" i="4" s="1"/>
  <c r="BA289" i="2"/>
  <c r="BA20" i="2"/>
  <c r="AO15" i="15"/>
  <c r="AP285" i="4"/>
  <c r="AQ17" i="8"/>
  <c r="AP18" i="8"/>
  <c r="BD20" i="8"/>
  <c r="BN285" i="2"/>
  <c r="BN287" i="2"/>
  <c r="BL265" i="2"/>
  <c r="BK266" i="2"/>
  <c r="BN288" i="2"/>
  <c r="BB19" i="2"/>
  <c r="BB289" i="2" s="1"/>
  <c r="BN282" i="2"/>
  <c r="BM269" i="2"/>
  <c r="AZ15" i="15"/>
  <c r="AZ12" i="15"/>
  <c r="BB13" i="4"/>
  <c r="BC13" i="4" s="1"/>
  <c r="BD13" i="4" s="1"/>
  <c r="BE13" i="4" s="1"/>
  <c r="BF13" i="4" s="1"/>
  <c r="BG13" i="4" s="1"/>
  <c r="BH13" i="4" s="1"/>
  <c r="BI13" i="4" s="1"/>
  <c r="BJ13" i="4" s="1"/>
  <c r="BK13" i="4" s="1"/>
  <c r="BL13" i="4" s="1"/>
  <c r="BM13" i="4" s="1"/>
  <c r="BN283" i="2"/>
  <c r="BM7" i="2"/>
  <c r="BN286" i="2"/>
  <c r="BA45" i="2"/>
  <c r="BN284" i="2"/>
  <c r="BN281" i="2"/>
  <c r="AZ14" i="15"/>
  <c r="BB15" i="4"/>
  <c r="BC15" i="4" s="1"/>
  <c r="BD15" i="4" s="1"/>
  <c r="BE15" i="4" s="1"/>
  <c r="BF15" i="4" s="1"/>
  <c r="BG15" i="4" s="1"/>
  <c r="BH15" i="4" s="1"/>
  <c r="BI15" i="4" s="1"/>
  <c r="BJ15" i="4" s="1"/>
  <c r="BK15" i="4" s="1"/>
  <c r="BL15" i="4" s="1"/>
  <c r="BM15" i="4" s="1"/>
  <c r="CF27" i="15"/>
  <c r="CG27" i="15"/>
  <c r="AP16" i="4"/>
  <c r="AQ16" i="4" s="1"/>
  <c r="AR16" i="4" s="1"/>
  <c r="AS16" i="4" s="1"/>
  <c r="AT16" i="4" s="1"/>
  <c r="AU16" i="4" s="1"/>
  <c r="AV16" i="4" s="1"/>
  <c r="AW16" i="4" s="1"/>
  <c r="AX16" i="4" s="1"/>
  <c r="AY16" i="4" s="1"/>
  <c r="AZ16" i="4" s="1"/>
  <c r="BA16" i="4" s="1"/>
  <c r="AI264" i="4"/>
  <c r="AY53" i="2"/>
  <c r="AZ53" i="2"/>
  <c r="AO53" i="2"/>
  <c r="AL268" i="2"/>
  <c r="AI266" i="2"/>
  <c r="AJ265" i="2"/>
  <c r="AJ266" i="4"/>
  <c r="AJ264" i="4" s="1"/>
  <c r="AK265" i="4"/>
  <c r="AM270" i="2"/>
  <c r="AL269" i="2"/>
  <c r="AL269" i="4"/>
  <c r="AO267" i="4"/>
  <c r="AP267" i="4" s="1"/>
  <c r="AQ267" i="4" s="1"/>
  <c r="AR267" i="4" s="1"/>
  <c r="AS267" i="4" s="1"/>
  <c r="AT267" i="4" s="1"/>
  <c r="AU267" i="4" s="1"/>
  <c r="AV267" i="4" s="1"/>
  <c r="AW267" i="4" s="1"/>
  <c r="AX267" i="4" s="1"/>
  <c r="AY267" i="4" s="1"/>
  <c r="AZ267" i="4" s="1"/>
  <c r="BA267" i="4" s="1"/>
  <c r="AL270" i="4"/>
  <c r="AL267" i="2"/>
  <c r="AM268" i="4"/>
  <c r="AP11" i="15"/>
  <c r="AP13" i="15"/>
  <c r="AP18" i="4"/>
  <c r="AQ18" i="4" s="1"/>
  <c r="AR18" i="4" s="1"/>
  <c r="AS18" i="4" s="1"/>
  <c r="AT18" i="4" s="1"/>
  <c r="AU18" i="4" s="1"/>
  <c r="AV18" i="4" s="1"/>
  <c r="AW18" i="4" s="1"/>
  <c r="AX18" i="4" s="1"/>
  <c r="AY18" i="4" s="1"/>
  <c r="AZ18" i="4" s="1"/>
  <c r="BA18" i="4" s="1"/>
  <c r="AO18" i="15"/>
  <c r="AP17" i="4"/>
  <c r="AQ17" i="4" s="1"/>
  <c r="AR17" i="4" s="1"/>
  <c r="AS17" i="4" s="1"/>
  <c r="AT17" i="4" s="1"/>
  <c r="AU17" i="4" s="1"/>
  <c r="AV17" i="4" s="1"/>
  <c r="AW17" i="4" s="1"/>
  <c r="AX17" i="4" s="1"/>
  <c r="AY17" i="4" s="1"/>
  <c r="AZ17" i="4" s="1"/>
  <c r="BA17" i="4" s="1"/>
  <c r="AO17" i="15"/>
  <c r="AP19" i="2"/>
  <c r="AP10" i="15"/>
  <c r="AN16" i="15"/>
  <c r="AN19" i="4"/>
  <c r="AN289" i="4" s="1"/>
  <c r="X73" i="8"/>
  <c r="X68" i="8"/>
  <c r="X60" i="8"/>
  <c r="X49" i="8"/>
  <c r="X42" i="8"/>
  <c r="X26" i="8"/>
  <c r="X18" i="8"/>
  <c r="X14" i="8"/>
  <c r="W60" i="8"/>
  <c r="W49" i="8"/>
  <c r="W42" i="8"/>
  <c r="W26" i="8"/>
  <c r="W73" i="8"/>
  <c r="W68" i="8"/>
  <c r="W18" i="8"/>
  <c r="V73" i="8"/>
  <c r="BB20" i="2" l="1"/>
  <c r="BO29" i="8"/>
  <c r="AT155" i="2"/>
  <c r="AP155" i="2"/>
  <c r="AR155" i="2"/>
  <c r="AY155" i="2"/>
  <c r="AQ155" i="2"/>
  <c r="AX155" i="2"/>
  <c r="AZ155" i="2"/>
  <c r="AV155" i="2"/>
  <c r="AS155" i="2"/>
  <c r="AU155" i="2"/>
  <c r="AO155" i="2"/>
  <c r="AW155" i="2"/>
  <c r="AQ20" i="2"/>
  <c r="AQ289" i="2"/>
  <c r="AP289" i="2"/>
  <c r="AP20" i="2"/>
  <c r="BB285" i="4"/>
  <c r="AN45" i="4"/>
  <c r="AN20" i="4"/>
  <c r="AP45" i="2"/>
  <c r="AP52" i="2" s="1"/>
  <c r="BE20" i="8"/>
  <c r="AR17" i="8"/>
  <c r="AQ18" i="8"/>
  <c r="BB267" i="4"/>
  <c r="BA14" i="15"/>
  <c r="BN7" i="2"/>
  <c r="BN269" i="2"/>
  <c r="BB45" i="2"/>
  <c r="BA15" i="15"/>
  <c r="BM265" i="2"/>
  <c r="BL266" i="2"/>
  <c r="BA52" i="2"/>
  <c r="BA12" i="15"/>
  <c r="BC19" i="2"/>
  <c r="AO16" i="15"/>
  <c r="AO19" i="4"/>
  <c r="AO289" i="4" s="1"/>
  <c r="AM268" i="2"/>
  <c r="AJ266" i="2"/>
  <c r="AK265" i="2"/>
  <c r="AI264" i="2"/>
  <c r="AK266" i="4"/>
  <c r="AK264" i="4" s="1"/>
  <c r="AL265" i="4"/>
  <c r="AN268" i="4"/>
  <c r="AM270" i="4"/>
  <c r="AM269" i="4"/>
  <c r="AN270" i="2"/>
  <c r="AM267" i="2"/>
  <c r="AM269" i="2"/>
  <c r="AP19" i="4"/>
  <c r="AP16" i="15"/>
  <c r="AP18" i="15"/>
  <c r="AQ13" i="15"/>
  <c r="AP17" i="15"/>
  <c r="AQ11" i="15"/>
  <c r="AQ10" i="15"/>
  <c r="X27" i="8"/>
  <c r="X61" i="8"/>
  <c r="X69" i="8" s="1"/>
  <c r="X74" i="8" s="1"/>
  <c r="W14" i="8"/>
  <c r="W27" i="8" s="1"/>
  <c r="V60" i="8"/>
  <c r="W61" i="8"/>
  <c r="W69" i="8" s="1"/>
  <c r="W74" i="8" s="1"/>
  <c r="U60" i="8"/>
  <c r="U68" i="8"/>
  <c r="U73" i="8"/>
  <c r="V42" i="8"/>
  <c r="V49" i="8"/>
  <c r="V68" i="8"/>
  <c r="U42" i="8"/>
  <c r="U18" i="8"/>
  <c r="U49" i="8"/>
  <c r="U61" i="8" s="1"/>
  <c r="U14" i="8"/>
  <c r="U26" i="8"/>
  <c r="V14" i="8"/>
  <c r="V18" i="8"/>
  <c r="V26" i="8"/>
  <c r="BP29" i="8" l="1"/>
  <c r="BE155" i="2"/>
  <c r="AS155" i="15"/>
  <c r="AY155" i="15"/>
  <c r="BK155" i="2"/>
  <c r="AO155" i="15"/>
  <c r="BA155" i="2"/>
  <c r="BL155" i="2"/>
  <c r="AZ155" i="15"/>
  <c r="BD155" i="2"/>
  <c r="AR155" i="15"/>
  <c r="AQ155" i="15"/>
  <c r="BC155" i="2"/>
  <c r="BI155" i="2"/>
  <c r="AW155" i="15"/>
  <c r="AV155" i="15"/>
  <c r="BH155" i="2"/>
  <c r="BG155" i="2"/>
  <c r="AU155" i="15"/>
  <c r="AX155" i="15"/>
  <c r="BJ155" i="2"/>
  <c r="BB155" i="2"/>
  <c r="AP155" i="15"/>
  <c r="BF155" i="2"/>
  <c r="AT155" i="15"/>
  <c r="BC289" i="2"/>
  <c r="BC20" i="2"/>
  <c r="AP289" i="4"/>
  <c r="AP19" i="15"/>
  <c r="AP20" i="4"/>
  <c r="AO45" i="4"/>
  <c r="AO52" i="4" s="1"/>
  <c r="AO53" i="4" s="1"/>
  <c r="AO53" i="15" s="1"/>
  <c r="AO20" i="4"/>
  <c r="X82" i="8"/>
  <c r="BF20" i="8"/>
  <c r="V61" i="8"/>
  <c r="W82" i="8" s="1"/>
  <c r="AS17" i="8"/>
  <c r="AR18" i="8"/>
  <c r="BC45" i="2"/>
  <c r="BA53" i="2"/>
  <c r="BN265" i="2"/>
  <c r="BM266" i="2"/>
  <c r="BO269" i="2"/>
  <c r="BC267" i="4"/>
  <c r="BD19" i="2"/>
  <c r="BB15" i="15"/>
  <c r="BB52" i="2"/>
  <c r="BO7" i="2"/>
  <c r="AO19" i="15"/>
  <c r="AP53" i="2"/>
  <c r="AJ264" i="2"/>
  <c r="AN268" i="2"/>
  <c r="AK266" i="2"/>
  <c r="AK264" i="2" s="1"/>
  <c r="AL265" i="2"/>
  <c r="AL266" i="4"/>
  <c r="AM265" i="4"/>
  <c r="AO270" i="2"/>
  <c r="AP270" i="2" s="1"/>
  <c r="AQ270" i="2" s="1"/>
  <c r="AR270" i="2" s="1"/>
  <c r="AS270" i="2" s="1"/>
  <c r="AT270" i="2" s="1"/>
  <c r="AU270" i="2" s="1"/>
  <c r="AV270" i="2" s="1"/>
  <c r="AW270" i="2" s="1"/>
  <c r="AX270" i="2" s="1"/>
  <c r="AY270" i="2" s="1"/>
  <c r="AZ270" i="2" s="1"/>
  <c r="BA270" i="2" s="1"/>
  <c r="AN269" i="2"/>
  <c r="AN270" i="4"/>
  <c r="AO268" i="4"/>
  <c r="AP268" i="4" s="1"/>
  <c r="AQ268" i="4" s="1"/>
  <c r="AR268" i="4" s="1"/>
  <c r="AS268" i="4" s="1"/>
  <c r="AT268" i="4" s="1"/>
  <c r="AU268" i="4" s="1"/>
  <c r="AV268" i="4" s="1"/>
  <c r="AW268" i="4" s="1"/>
  <c r="AX268" i="4" s="1"/>
  <c r="AY268" i="4" s="1"/>
  <c r="AZ268" i="4" s="1"/>
  <c r="BA268" i="4" s="1"/>
  <c r="BB268" i="4" s="1"/>
  <c r="AN267" i="2"/>
  <c r="AN269" i="4"/>
  <c r="AP45" i="4"/>
  <c r="AR11" i="15"/>
  <c r="AR13" i="15"/>
  <c r="AQ16" i="15"/>
  <c r="AQ18" i="15"/>
  <c r="AQ19" i="4"/>
  <c r="AQ289" i="4" s="1"/>
  <c r="AQ17" i="15"/>
  <c r="AR10" i="15"/>
  <c r="U69" i="8"/>
  <c r="U74" i="8" s="1"/>
  <c r="U27" i="8"/>
  <c r="V27" i="8"/>
  <c r="T73" i="8"/>
  <c r="T68" i="8"/>
  <c r="T60" i="8"/>
  <c r="T49" i="8"/>
  <c r="T42" i="8"/>
  <c r="T26" i="8"/>
  <c r="T18" i="8"/>
  <c r="T14" i="8"/>
  <c r="R68" i="8"/>
  <c r="Q68" i="8"/>
  <c r="P68" i="8"/>
  <c r="O68" i="8"/>
  <c r="N68" i="8"/>
  <c r="M68" i="8"/>
  <c r="L68" i="8"/>
  <c r="K68" i="8"/>
  <c r="J68" i="8"/>
  <c r="I68" i="8"/>
  <c r="H68" i="8"/>
  <c r="G68" i="8"/>
  <c r="F68" i="8"/>
  <c r="E68" i="8"/>
  <c r="D68" i="8"/>
  <c r="BQ29" i="8" l="1"/>
  <c r="V69" i="8"/>
  <c r="V74" i="8" s="1"/>
  <c r="V82" i="8"/>
  <c r="BJ155" i="15"/>
  <c r="BV155" i="2"/>
  <c r="BV155" i="15" s="1"/>
  <c r="BT155" i="2"/>
  <c r="BT155" i="15" s="1"/>
  <c r="BH155" i="15"/>
  <c r="BD155" i="15"/>
  <c r="BP155" i="2"/>
  <c r="BP155" i="15" s="1"/>
  <c r="BQ155" i="2"/>
  <c r="BQ155" i="15" s="1"/>
  <c r="BE155" i="15"/>
  <c r="BF155" i="15"/>
  <c r="BR155" i="2"/>
  <c r="BR155" i="15" s="1"/>
  <c r="BO155" i="2"/>
  <c r="BO155" i="15" s="1"/>
  <c r="BC155" i="15"/>
  <c r="BK155" i="15"/>
  <c r="BW155" i="2"/>
  <c r="BW155" i="15" s="1"/>
  <c r="CH155" i="15"/>
  <c r="BX155" i="2"/>
  <c r="BX155" i="15" s="1"/>
  <c r="BL155" i="15"/>
  <c r="BN155" i="2"/>
  <c r="BN155" i="15" s="1"/>
  <c r="BB155" i="15"/>
  <c r="BS155" i="2"/>
  <c r="BS155" i="15" s="1"/>
  <c r="BG155" i="15"/>
  <c r="BU155" i="2"/>
  <c r="BU155" i="15" s="1"/>
  <c r="BI155" i="15"/>
  <c r="BM155" i="2"/>
  <c r="BM155" i="15" s="1"/>
  <c r="BA155" i="15"/>
  <c r="BD20" i="2"/>
  <c r="BD289" i="2"/>
  <c r="AO52" i="15"/>
  <c r="AO45" i="15"/>
  <c r="AO188" i="15" s="1"/>
  <c r="AQ45" i="4"/>
  <c r="AQ52" i="4" s="1"/>
  <c r="AQ20" i="4"/>
  <c r="AP20" i="15"/>
  <c r="BG20" i="8"/>
  <c r="AS18" i="8"/>
  <c r="AT17" i="8"/>
  <c r="BN266" i="2"/>
  <c r="BO265" i="2"/>
  <c r="BC52" i="2"/>
  <c r="BP7" i="2"/>
  <c r="BD45" i="2"/>
  <c r="BD267" i="4"/>
  <c r="BB270" i="2"/>
  <c r="BB53" i="2"/>
  <c r="BC15" i="15"/>
  <c r="BE19" i="2"/>
  <c r="BC268" i="4"/>
  <c r="BP269" i="2"/>
  <c r="AP52" i="4"/>
  <c r="AP45" i="15"/>
  <c r="AP188" i="15" s="1"/>
  <c r="AP193" i="15" s="1"/>
  <c r="AO268" i="2"/>
  <c r="AL264" i="4"/>
  <c r="AL266" i="2"/>
  <c r="AM265" i="2"/>
  <c r="AM266" i="4"/>
  <c r="AN265" i="4"/>
  <c r="AO269" i="2"/>
  <c r="AO269" i="4"/>
  <c r="AP269" i="4" s="1"/>
  <c r="AQ269" i="4" s="1"/>
  <c r="AR269" i="4" s="1"/>
  <c r="AS269" i="4" s="1"/>
  <c r="AT269" i="4" s="1"/>
  <c r="AU269" i="4" s="1"/>
  <c r="AV269" i="4" s="1"/>
  <c r="AW269" i="4" s="1"/>
  <c r="AX269" i="4" s="1"/>
  <c r="AY269" i="4" s="1"/>
  <c r="AZ269" i="4" s="1"/>
  <c r="BA269" i="4" s="1"/>
  <c r="AO267" i="2"/>
  <c r="AQ267" i="2" s="1"/>
  <c r="AR267" i="2" s="1"/>
  <c r="AS267" i="2" s="1"/>
  <c r="AT267" i="2" s="1"/>
  <c r="AU267" i="2" s="1"/>
  <c r="AV267" i="2" s="1"/>
  <c r="AW267" i="2" s="1"/>
  <c r="AX267" i="2" s="1"/>
  <c r="AY267" i="2" s="1"/>
  <c r="AZ267" i="2" s="1"/>
  <c r="BA267" i="2" s="1"/>
  <c r="AO270" i="4"/>
  <c r="AP270" i="4" s="1"/>
  <c r="AQ270" i="4" s="1"/>
  <c r="AR270" i="4" s="1"/>
  <c r="AS270" i="4" s="1"/>
  <c r="AT270" i="4" s="1"/>
  <c r="AU270" i="4" s="1"/>
  <c r="AV270" i="4" s="1"/>
  <c r="AW270" i="4" s="1"/>
  <c r="AX270" i="4" s="1"/>
  <c r="AY270" i="4" s="1"/>
  <c r="AZ270" i="4" s="1"/>
  <c r="BA270" i="4" s="1"/>
  <c r="AR19" i="4"/>
  <c r="AR289" i="4" s="1"/>
  <c r="AR18" i="15"/>
  <c r="AR16" i="15"/>
  <c r="AQ19" i="15"/>
  <c r="AQ20" i="15" s="1"/>
  <c r="AS11" i="15"/>
  <c r="AS13" i="15"/>
  <c r="AR17" i="15"/>
  <c r="AS10" i="15"/>
  <c r="T27" i="8"/>
  <c r="T61" i="8"/>
  <c r="T69" i="8" s="1"/>
  <c r="T74" i="8" s="1"/>
  <c r="T79" i="8" s="1"/>
  <c r="S68" i="8"/>
  <c r="BR29" i="8" l="1"/>
  <c r="CI155" i="15"/>
  <c r="CJ155" i="15"/>
  <c r="BE20" i="2"/>
  <c r="BE289" i="2"/>
  <c r="AQ45" i="15"/>
  <c r="AQ188" i="15" s="1"/>
  <c r="AQ193" i="15" s="1"/>
  <c r="AR45" i="4"/>
  <c r="AR52" i="4" s="1"/>
  <c r="AR20" i="4"/>
  <c r="AU17" i="8"/>
  <c r="AT18" i="8"/>
  <c r="U82" i="8"/>
  <c r="BH20" i="8"/>
  <c r="BB267" i="2"/>
  <c r="BF19" i="2"/>
  <c r="BD15" i="15"/>
  <c r="BC270" i="2"/>
  <c r="BQ7" i="2"/>
  <c r="BE45" i="2"/>
  <c r="BC53" i="2"/>
  <c r="BO266" i="2"/>
  <c r="BP265" i="2"/>
  <c r="BQ269" i="2"/>
  <c r="BD268" i="4"/>
  <c r="BD52" i="2"/>
  <c r="BB269" i="4"/>
  <c r="BB270" i="4"/>
  <c r="BE267" i="4"/>
  <c r="AO193" i="15"/>
  <c r="AM264" i="4"/>
  <c r="AP53" i="4"/>
  <c r="AP53" i="15" s="1"/>
  <c r="AP52" i="15"/>
  <c r="AQ53" i="4"/>
  <c r="AQ53" i="15" s="1"/>
  <c r="AQ52" i="15"/>
  <c r="AP268" i="2"/>
  <c r="AM266" i="2"/>
  <c r="AN265" i="2"/>
  <c r="AL264" i="2"/>
  <c r="AN266" i="4"/>
  <c r="AN264" i="4" s="1"/>
  <c r="AO265" i="4"/>
  <c r="AR19" i="15"/>
  <c r="AR20" i="15" s="1"/>
  <c r="AS18" i="15"/>
  <c r="AT13" i="15"/>
  <c r="AS16" i="15"/>
  <c r="AT11" i="15"/>
  <c r="AS17" i="15"/>
  <c r="AS19" i="4"/>
  <c r="AS289" i="4" s="1"/>
  <c r="AT10" i="15"/>
  <c r="J4" i="14"/>
  <c r="BS29" i="8" l="1"/>
  <c r="BF289" i="2"/>
  <c r="BF20" i="2"/>
  <c r="AR45" i="15"/>
  <c r="AR188" i="15" s="1"/>
  <c r="AS45" i="4"/>
  <c r="AS52" i="4" s="1"/>
  <c r="AS20" i="4"/>
  <c r="BI20" i="8"/>
  <c r="AV17" i="8"/>
  <c r="AU18" i="8"/>
  <c r="BF267" i="4"/>
  <c r="BC269" i="4"/>
  <c r="BE268" i="4"/>
  <c r="BD270" i="2"/>
  <c r="BF45" i="2"/>
  <c r="BC267" i="2"/>
  <c r="BQ265" i="2"/>
  <c r="BP266" i="2"/>
  <c r="BC270" i="4"/>
  <c r="BD53" i="2"/>
  <c r="BR269" i="2"/>
  <c r="BE52" i="2"/>
  <c r="BR7" i="2"/>
  <c r="BE15" i="15"/>
  <c r="BG19" i="2"/>
  <c r="AR53" i="4"/>
  <c r="AR53" i="15" s="1"/>
  <c r="AR52" i="15"/>
  <c r="AM264" i="2"/>
  <c r="AQ268" i="2"/>
  <c r="AN266" i="2"/>
  <c r="AO265" i="2"/>
  <c r="AO266" i="4"/>
  <c r="AP265" i="4"/>
  <c r="AP264" i="2"/>
  <c r="AT19" i="4"/>
  <c r="AT289" i="4" s="1"/>
  <c r="AU13" i="15"/>
  <c r="AT16" i="15"/>
  <c r="AS19" i="15"/>
  <c r="AS20" i="15" s="1"/>
  <c r="AU11" i="15"/>
  <c r="AT18" i="15"/>
  <c r="AT17" i="15"/>
  <c r="AU10" i="15"/>
  <c r="AC23" i="8"/>
  <c r="AD23" i="8" s="1"/>
  <c r="AE23" i="8" s="1"/>
  <c r="AF23" i="8" s="1"/>
  <c r="AG23" i="8" s="1"/>
  <c r="AH23" i="8" s="1"/>
  <c r="AI23" i="8" s="1"/>
  <c r="AJ23" i="8" s="1"/>
  <c r="AK23" i="8" s="1"/>
  <c r="AL23" i="8" s="1"/>
  <c r="AM23" i="8" s="1"/>
  <c r="AN23" i="8" s="1"/>
  <c r="AO23" i="8" s="1"/>
  <c r="AP23" i="8" s="1"/>
  <c r="AQ23" i="8" s="1"/>
  <c r="AR23" i="8" s="1"/>
  <c r="AS23" i="8" s="1"/>
  <c r="AT23" i="8" s="1"/>
  <c r="AU23" i="8" s="1"/>
  <c r="AV23" i="8" s="1"/>
  <c r="AW23" i="8" s="1"/>
  <c r="AX23" i="8" s="1"/>
  <c r="AY23" i="8" s="1"/>
  <c r="AZ23" i="8" s="1"/>
  <c r="BA23" i="8" s="1"/>
  <c r="BB23" i="8" s="1"/>
  <c r="BC23" i="8" s="1"/>
  <c r="BD23" i="8" s="1"/>
  <c r="BE23" i="8" s="1"/>
  <c r="BF23" i="8" s="1"/>
  <c r="BG23" i="8" s="1"/>
  <c r="BH23" i="8" s="1"/>
  <c r="BI23" i="8" s="1"/>
  <c r="BJ23" i="8" s="1"/>
  <c r="BK23" i="8" s="1"/>
  <c r="BL23" i="8" s="1"/>
  <c r="BM23" i="8" s="1"/>
  <c r="BN23" i="8" s="1"/>
  <c r="BO23" i="8" s="1"/>
  <c r="BP23" i="8" s="1"/>
  <c r="BQ23" i="8" s="1"/>
  <c r="BR23" i="8" s="1"/>
  <c r="BS23" i="8" s="1"/>
  <c r="BT23" i="8" s="1"/>
  <c r="BU23" i="8" s="1"/>
  <c r="BV23" i="8" s="1"/>
  <c r="BW23" i="8" s="1"/>
  <c r="BX23" i="8" s="1"/>
  <c r="BY23" i="8" s="1"/>
  <c r="AC53" i="8"/>
  <c r="AD53" i="8" s="1"/>
  <c r="AE53" i="8" s="1"/>
  <c r="AF53" i="8" s="1"/>
  <c r="AG53" i="8" s="1"/>
  <c r="AH53" i="8" s="1"/>
  <c r="AI53" i="8" s="1"/>
  <c r="AJ53" i="8" s="1"/>
  <c r="AK53" i="8" s="1"/>
  <c r="AL53" i="8" s="1"/>
  <c r="AM53" i="8" s="1"/>
  <c r="AN53" i="8" s="1"/>
  <c r="AO53" i="8" s="1"/>
  <c r="AP53" i="8" s="1"/>
  <c r="AQ53" i="8" s="1"/>
  <c r="AR53" i="8" s="1"/>
  <c r="AS53" i="8" s="1"/>
  <c r="AT53" i="8" s="1"/>
  <c r="AU53" i="8" s="1"/>
  <c r="AV53" i="8" s="1"/>
  <c r="AW53" i="8" s="1"/>
  <c r="AX53" i="8" s="1"/>
  <c r="AY53" i="8" s="1"/>
  <c r="AZ53" i="8" s="1"/>
  <c r="BA53" i="8" s="1"/>
  <c r="BB53" i="8" s="1"/>
  <c r="BC53" i="8" s="1"/>
  <c r="BD53" i="8" s="1"/>
  <c r="BE53" i="8" s="1"/>
  <c r="BF53" i="8" s="1"/>
  <c r="BG53" i="8" s="1"/>
  <c r="BH53" i="8" s="1"/>
  <c r="BI53" i="8" s="1"/>
  <c r="BJ53" i="8" s="1"/>
  <c r="BK53" i="8" s="1"/>
  <c r="BL53" i="8" s="1"/>
  <c r="BM53" i="8" s="1"/>
  <c r="BN53" i="8" s="1"/>
  <c r="BO53" i="8" s="1"/>
  <c r="BP53" i="8" s="1"/>
  <c r="BQ53" i="8" s="1"/>
  <c r="BR53" i="8" s="1"/>
  <c r="BS53" i="8" s="1"/>
  <c r="BT53" i="8" s="1"/>
  <c r="BU53" i="8" s="1"/>
  <c r="BV53" i="8" s="1"/>
  <c r="BW53" i="8" s="1"/>
  <c r="BX53" i="8" s="1"/>
  <c r="BY53" i="8" s="1"/>
  <c r="R60" i="8"/>
  <c r="B33" i="4"/>
  <c r="A33" i="4"/>
  <c r="B33" i="2"/>
  <c r="A33" i="2"/>
  <c r="AK33" i="2" s="1"/>
  <c r="AW33" i="2" s="1"/>
  <c r="AN33" i="15"/>
  <c r="AL33" i="15"/>
  <c r="AJ33" i="15"/>
  <c r="AI33" i="15"/>
  <c r="AH33" i="15"/>
  <c r="AG33" i="15"/>
  <c r="AF33" i="15"/>
  <c r="AE33" i="15"/>
  <c r="AD33" i="15"/>
  <c r="AC33" i="15"/>
  <c r="AB33" i="15"/>
  <c r="Z33" i="15"/>
  <c r="X33" i="15"/>
  <c r="O33" i="15"/>
  <c r="N33" i="15"/>
  <c r="M33" i="15"/>
  <c r="L33" i="15"/>
  <c r="K33" i="15"/>
  <c r="J33" i="15"/>
  <c r="I33" i="15"/>
  <c r="H33" i="15"/>
  <c r="G33" i="15"/>
  <c r="F33" i="15"/>
  <c r="E33" i="15"/>
  <c r="B67" i="4"/>
  <c r="A67" i="4"/>
  <c r="B67" i="2"/>
  <c r="A67" i="2"/>
  <c r="X67" i="15"/>
  <c r="O67" i="15"/>
  <c r="N67" i="15"/>
  <c r="M67" i="15"/>
  <c r="L67" i="15"/>
  <c r="K67" i="15"/>
  <c r="J67" i="15"/>
  <c r="I67" i="15"/>
  <c r="H67" i="15"/>
  <c r="G67" i="15"/>
  <c r="F67" i="15"/>
  <c r="E67" i="15"/>
  <c r="AN37" i="15"/>
  <c r="AL37" i="15"/>
  <c r="AJ37" i="15"/>
  <c r="AI37" i="15"/>
  <c r="AH37" i="15"/>
  <c r="AG37" i="15"/>
  <c r="AF37" i="15"/>
  <c r="AE37" i="15"/>
  <c r="AD37" i="15"/>
  <c r="AC37" i="15"/>
  <c r="AB37" i="15"/>
  <c r="Z37" i="15"/>
  <c r="X37" i="15"/>
  <c r="O37" i="15"/>
  <c r="N37" i="15"/>
  <c r="M37" i="15"/>
  <c r="L37" i="15"/>
  <c r="K37" i="15"/>
  <c r="J37" i="15"/>
  <c r="I37" i="15"/>
  <c r="H37" i="15"/>
  <c r="G37" i="15"/>
  <c r="F37" i="15"/>
  <c r="E37" i="15"/>
  <c r="B37" i="4"/>
  <c r="A37" i="4"/>
  <c r="B37" i="2"/>
  <c r="A37" i="2"/>
  <c r="AK33" i="4" l="1"/>
  <c r="AW33" i="4" s="1"/>
  <c r="BI33" i="4" s="1"/>
  <c r="BU33" i="4" s="1"/>
  <c r="AK37" i="4"/>
  <c r="AW37" i="4" s="1"/>
  <c r="BI37" i="4" s="1"/>
  <c r="BU37" i="4" s="1"/>
  <c r="BT29" i="8"/>
  <c r="P37" i="15"/>
  <c r="Y33" i="15"/>
  <c r="AK33" i="15"/>
  <c r="BI33" i="2"/>
  <c r="AW33" i="15"/>
  <c r="BG289" i="2"/>
  <c r="BG20" i="2"/>
  <c r="AS45" i="15"/>
  <c r="AS188" i="15" s="1"/>
  <c r="AS193" i="15" s="1"/>
  <c r="AT45" i="4"/>
  <c r="AT52" i="4" s="1"/>
  <c r="AT20" i="4"/>
  <c r="AW17" i="8"/>
  <c r="AV18" i="8"/>
  <c r="BJ20" i="8"/>
  <c r="BG45" i="2"/>
  <c r="BS7" i="2"/>
  <c r="BD270" i="4"/>
  <c r="BF52" i="2"/>
  <c r="BH19" i="2"/>
  <c r="BF268" i="4"/>
  <c r="BD269" i="4"/>
  <c r="BF15" i="15"/>
  <c r="BD267" i="2"/>
  <c r="BE270" i="2"/>
  <c r="BG267" i="4"/>
  <c r="BE53" i="2"/>
  <c r="BS269" i="2"/>
  <c r="BR265" i="2"/>
  <c r="BQ266" i="2"/>
  <c r="CE37" i="15"/>
  <c r="AR193" i="15"/>
  <c r="AS53" i="4"/>
  <c r="AS53" i="15" s="1"/>
  <c r="AS52" i="15"/>
  <c r="AO264" i="4"/>
  <c r="AN264" i="2"/>
  <c r="AR268" i="2"/>
  <c r="AO266" i="2"/>
  <c r="AQ265" i="4"/>
  <c r="AP266" i="4"/>
  <c r="AP264" i="4" s="1"/>
  <c r="AQ264" i="2"/>
  <c r="AT19" i="15"/>
  <c r="AT20" i="15" s="1"/>
  <c r="P67" i="15"/>
  <c r="CE67" i="15" s="1"/>
  <c r="P33" i="15"/>
  <c r="CE33" i="15" s="1"/>
  <c r="AU16" i="15"/>
  <c r="AU17" i="15"/>
  <c r="AU18" i="15"/>
  <c r="AV11" i="15"/>
  <c r="AU19" i="4"/>
  <c r="AU289" i="4" s="1"/>
  <c r="AV13" i="15"/>
  <c r="AV10" i="15"/>
  <c r="S37" i="15"/>
  <c r="S33" i="15"/>
  <c r="R67" i="15"/>
  <c r="AM37" i="4" l="1"/>
  <c r="AA37" i="15"/>
  <c r="AM33" i="4"/>
  <c r="AA33" i="15"/>
  <c r="BU29" i="8"/>
  <c r="AK37" i="2"/>
  <c r="Y37" i="15"/>
  <c r="BI33" i="15"/>
  <c r="BU33" i="2"/>
  <c r="BU33" i="15" s="1"/>
  <c r="BH20" i="2"/>
  <c r="BH289" i="2"/>
  <c r="AT45" i="15"/>
  <c r="AT188" i="15" s="1"/>
  <c r="AT193" i="15" s="1"/>
  <c r="AU45" i="4"/>
  <c r="AU45" i="15" s="1"/>
  <c r="AU20" i="4"/>
  <c r="BK20" i="8"/>
  <c r="AX17" i="8"/>
  <c r="AW18" i="8"/>
  <c r="BS265" i="2"/>
  <c r="BR266" i="2"/>
  <c r="BE267" i="2"/>
  <c r="BG15" i="15"/>
  <c r="BG268" i="4"/>
  <c r="BE270" i="4"/>
  <c r="BH267" i="4"/>
  <c r="BF270" i="2"/>
  <c r="BH45" i="2"/>
  <c r="BE269" i="4"/>
  <c r="BI19" i="2"/>
  <c r="BF53" i="2"/>
  <c r="BT269" i="2"/>
  <c r="BT7" i="2"/>
  <c r="BG52" i="2"/>
  <c r="AT53" i="4"/>
  <c r="AT53" i="15" s="1"/>
  <c r="AT52" i="15"/>
  <c r="AS268" i="2"/>
  <c r="AO264" i="2"/>
  <c r="AR265" i="4"/>
  <c r="AQ266" i="4"/>
  <c r="AQ264" i="4" s="1"/>
  <c r="AR264" i="2"/>
  <c r="AU19" i="15"/>
  <c r="AU20" i="15" s="1"/>
  <c r="AV17" i="15"/>
  <c r="AW11" i="15"/>
  <c r="AV18" i="15"/>
  <c r="AV19" i="4"/>
  <c r="AV289" i="4" s="1"/>
  <c r="AW13" i="15"/>
  <c r="AV16" i="15"/>
  <c r="AW10" i="15"/>
  <c r="U33" i="15"/>
  <c r="V33" i="15"/>
  <c r="V67" i="15"/>
  <c r="V37" i="15"/>
  <c r="U37" i="15"/>
  <c r="R33" i="15"/>
  <c r="W33" i="15"/>
  <c r="W67" i="15"/>
  <c r="W37" i="15"/>
  <c r="U67" i="15"/>
  <c r="T33" i="15"/>
  <c r="T67" i="15"/>
  <c r="T37" i="15"/>
  <c r="Q33" i="15"/>
  <c r="Q67" i="15"/>
  <c r="Q37" i="15"/>
  <c r="R37" i="15"/>
  <c r="S67" i="15"/>
  <c r="Q42" i="8"/>
  <c r="AY37" i="4" l="1"/>
  <c r="AM37" i="15"/>
  <c r="AY33" i="4"/>
  <c r="AM33" i="15"/>
  <c r="CG33" i="15" s="1"/>
  <c r="BV29" i="8"/>
  <c r="AW37" i="2"/>
  <c r="AK37" i="15"/>
  <c r="CG37" i="15" s="1"/>
  <c r="AU52" i="4"/>
  <c r="AU53" i="4" s="1"/>
  <c r="AU53" i="15" s="1"/>
  <c r="BI20" i="2"/>
  <c r="BI289" i="2"/>
  <c r="AV45" i="4"/>
  <c r="AV45" i="15" s="1"/>
  <c r="AV188" i="15" s="1"/>
  <c r="AV193" i="15" s="1"/>
  <c r="AV20" i="4"/>
  <c r="BB10" i="4"/>
  <c r="BB11" i="4"/>
  <c r="BC11" i="4" s="1"/>
  <c r="BD11" i="4" s="1"/>
  <c r="BE11" i="4" s="1"/>
  <c r="BF11" i="4" s="1"/>
  <c r="BG11" i="4" s="1"/>
  <c r="BH11" i="4" s="1"/>
  <c r="BI11" i="4" s="1"/>
  <c r="BJ11" i="4" s="1"/>
  <c r="BK11" i="4" s="1"/>
  <c r="BL11" i="4" s="1"/>
  <c r="BM11" i="4" s="1"/>
  <c r="AX18" i="8"/>
  <c r="AY17" i="8"/>
  <c r="BL20" i="8"/>
  <c r="BU269" i="2"/>
  <c r="CF37" i="15"/>
  <c r="BU7" i="2"/>
  <c r="BF269" i="4"/>
  <c r="BG270" i="2"/>
  <c r="BJ19" i="2"/>
  <c r="BF270" i="4"/>
  <c r="BH15" i="15"/>
  <c r="BA10" i="15"/>
  <c r="BG53" i="2"/>
  <c r="BH268" i="4"/>
  <c r="BI45" i="2"/>
  <c r="BH52" i="2"/>
  <c r="BI267" i="4"/>
  <c r="BF267" i="2"/>
  <c r="BT265" i="2"/>
  <c r="BS266" i="2"/>
  <c r="CF33" i="15"/>
  <c r="AU188" i="15"/>
  <c r="AT268" i="2"/>
  <c r="AS265" i="4"/>
  <c r="AR266" i="4"/>
  <c r="AR264" i="4" s="1"/>
  <c r="AS264" i="2"/>
  <c r="AW19" i="4"/>
  <c r="AV19" i="15"/>
  <c r="AV20" i="15" s="1"/>
  <c r="AX13" i="15"/>
  <c r="AW17" i="15"/>
  <c r="AW16" i="15"/>
  <c r="AW18" i="15"/>
  <c r="AX11" i="15"/>
  <c r="AX10" i="15"/>
  <c r="AC21" i="8"/>
  <c r="AD21" i="8" s="1"/>
  <c r="AE21" i="8" s="1"/>
  <c r="AF21" i="8" s="1"/>
  <c r="AG21" i="8" s="1"/>
  <c r="AH21" i="8" s="1"/>
  <c r="AI21" i="8" s="1"/>
  <c r="AJ21" i="8" s="1"/>
  <c r="AK21" i="8" s="1"/>
  <c r="AL21" i="8" s="1"/>
  <c r="AM21" i="8" s="1"/>
  <c r="AN21" i="8" s="1"/>
  <c r="AO21" i="8" s="1"/>
  <c r="AP21" i="8" s="1"/>
  <c r="BK37" i="4" l="1"/>
  <c r="AY37" i="15"/>
  <c r="BK33" i="4"/>
  <c r="AY33" i="15"/>
  <c r="CH33" i="15" s="1"/>
  <c r="BW29" i="8"/>
  <c r="BI37" i="2"/>
  <c r="AW37" i="15"/>
  <c r="CH37" i="15" s="1"/>
  <c r="AU52" i="15"/>
  <c r="BB280" i="4"/>
  <c r="BC10" i="4"/>
  <c r="BD10" i="4" s="1"/>
  <c r="BE10" i="4" s="1"/>
  <c r="BF10" i="4" s="1"/>
  <c r="BG10" i="4" s="1"/>
  <c r="BH10" i="4" s="1"/>
  <c r="BI10" i="4" s="1"/>
  <c r="BJ10" i="4" s="1"/>
  <c r="BK10" i="4" s="1"/>
  <c r="BL10" i="4" s="1"/>
  <c r="BM10" i="4" s="1"/>
  <c r="BJ289" i="2"/>
  <c r="BJ20" i="2"/>
  <c r="AW20" i="4"/>
  <c r="AW289" i="4"/>
  <c r="AV52" i="4"/>
  <c r="AV53" i="4" s="1"/>
  <c r="AV53" i="15" s="1"/>
  <c r="BM20" i="8"/>
  <c r="AQ21" i="8"/>
  <c r="AP26" i="8"/>
  <c r="AZ17" i="8"/>
  <c r="AY18" i="8"/>
  <c r="BG267" i="2"/>
  <c r="BG270" i="4"/>
  <c r="BV7" i="2"/>
  <c r="BV269" i="2"/>
  <c r="BJ45" i="2"/>
  <c r="BG269" i="4"/>
  <c r="BU265" i="2"/>
  <c r="BT266" i="2"/>
  <c r="BJ267" i="4"/>
  <c r="BI15" i="15"/>
  <c r="BK19" i="2"/>
  <c r="BH53" i="2"/>
  <c r="BI268" i="4"/>
  <c r="BB10" i="15"/>
  <c r="BH270" i="2"/>
  <c r="AU193" i="15"/>
  <c r="AU268" i="2"/>
  <c r="AT265" i="4"/>
  <c r="AS266" i="4"/>
  <c r="AS264" i="4" s="1"/>
  <c r="AT264" i="2"/>
  <c r="AW45" i="4"/>
  <c r="AW19" i="15"/>
  <c r="AW20" i="15" s="1"/>
  <c r="AX19" i="4"/>
  <c r="AX17" i="15"/>
  <c r="AX16" i="15"/>
  <c r="AY13" i="15"/>
  <c r="BB12" i="4"/>
  <c r="AY11" i="15"/>
  <c r="AX18" i="15"/>
  <c r="AY10" i="15"/>
  <c r="AN165" i="15"/>
  <c r="AM165" i="15"/>
  <c r="AL165" i="15"/>
  <c r="AK165" i="15"/>
  <c r="AJ165" i="15"/>
  <c r="AI165" i="15"/>
  <c r="AH165" i="15"/>
  <c r="AG165" i="15"/>
  <c r="AF165" i="15"/>
  <c r="AE165" i="15"/>
  <c r="AD165" i="15"/>
  <c r="O165" i="15"/>
  <c r="N165" i="15"/>
  <c r="M165" i="15"/>
  <c r="L165" i="15"/>
  <c r="K165" i="15"/>
  <c r="J165" i="15"/>
  <c r="I165" i="15"/>
  <c r="H165" i="15"/>
  <c r="G165" i="15"/>
  <c r="F165" i="15"/>
  <c r="E165" i="15"/>
  <c r="AN164" i="15"/>
  <c r="AM164" i="15"/>
  <c r="AL164" i="15"/>
  <c r="AK164" i="15"/>
  <c r="AJ164" i="15"/>
  <c r="AI164" i="15"/>
  <c r="AH164" i="15"/>
  <c r="AG164" i="15"/>
  <c r="AF164" i="15"/>
  <c r="AE164" i="15"/>
  <c r="AD164" i="15"/>
  <c r="O164" i="15"/>
  <c r="N164" i="15"/>
  <c r="M164" i="15"/>
  <c r="L164" i="15"/>
  <c r="K164" i="15"/>
  <c r="J164" i="15"/>
  <c r="I164" i="15"/>
  <c r="H164" i="15"/>
  <c r="G164" i="15"/>
  <c r="F164" i="15"/>
  <c r="E164" i="15"/>
  <c r="B165" i="4"/>
  <c r="A165" i="4"/>
  <c r="B165" i="2"/>
  <c r="A165" i="2"/>
  <c r="B164" i="4"/>
  <c r="A164" i="4"/>
  <c r="B164" i="2"/>
  <c r="A164" i="2"/>
  <c r="B111" i="4"/>
  <c r="A111" i="4"/>
  <c r="B111" i="2"/>
  <c r="A111" i="2"/>
  <c r="N111" i="15"/>
  <c r="M111" i="15"/>
  <c r="L111" i="15"/>
  <c r="K111" i="15"/>
  <c r="J111" i="15"/>
  <c r="I111" i="15"/>
  <c r="H111" i="15"/>
  <c r="G111" i="15"/>
  <c r="F111" i="15"/>
  <c r="E111" i="15"/>
  <c r="M157" i="2"/>
  <c r="M158" i="2" s="1"/>
  <c r="M157" i="4"/>
  <c r="M158" i="4" s="1"/>
  <c r="M140" i="2"/>
  <c r="M140" i="4"/>
  <c r="M123" i="2"/>
  <c r="M123" i="4"/>
  <c r="M113" i="2"/>
  <c r="M113" i="4"/>
  <c r="M99" i="2"/>
  <c r="M99" i="4"/>
  <c r="M96" i="2"/>
  <c r="M96" i="4"/>
  <c r="M85" i="2"/>
  <c r="M85" i="4"/>
  <c r="M74" i="2"/>
  <c r="M74" i="4"/>
  <c r="M32" i="2"/>
  <c r="M52" i="2" s="1"/>
  <c r="M53" i="2" s="1"/>
  <c r="M32" i="4"/>
  <c r="M52" i="4" s="1"/>
  <c r="M53" i="4" s="1"/>
  <c r="B108" i="2"/>
  <c r="A108" i="2"/>
  <c r="B108" i="4"/>
  <c r="A108" i="4"/>
  <c r="M108" i="15"/>
  <c r="L108" i="15"/>
  <c r="K108" i="15"/>
  <c r="J108" i="15"/>
  <c r="I108" i="15"/>
  <c r="H108" i="15"/>
  <c r="G108" i="15"/>
  <c r="F108" i="15"/>
  <c r="E108" i="15"/>
  <c r="L85" i="2"/>
  <c r="K85" i="2"/>
  <c r="I85" i="2"/>
  <c r="H85" i="2"/>
  <c r="G85" i="2"/>
  <c r="F85" i="2"/>
  <c r="L85" i="4"/>
  <c r="K85" i="4"/>
  <c r="I85" i="4"/>
  <c r="H85" i="4"/>
  <c r="G85" i="4"/>
  <c r="F85" i="4"/>
  <c r="E85" i="2"/>
  <c r="E85" i="4"/>
  <c r="M84" i="15"/>
  <c r="L84" i="15"/>
  <c r="K84" i="15"/>
  <c r="J84" i="15"/>
  <c r="I84" i="15"/>
  <c r="H84" i="15"/>
  <c r="G84" i="15"/>
  <c r="F84" i="15"/>
  <c r="E84" i="15"/>
  <c r="A84" i="4"/>
  <c r="A84" i="2"/>
  <c r="B84" i="2"/>
  <c r="B84" i="4"/>
  <c r="BW33" i="4" l="1"/>
  <c r="BW33" i="15" s="1"/>
  <c r="CJ33" i="15" s="1"/>
  <c r="BK33" i="15"/>
  <c r="CI33" i="15" s="1"/>
  <c r="BW37" i="4"/>
  <c r="BW37" i="15" s="1"/>
  <c r="BK37" i="15"/>
  <c r="BX29" i="8"/>
  <c r="P111" i="15"/>
  <c r="P164" i="15"/>
  <c r="CE164" i="15" s="1"/>
  <c r="P165" i="15"/>
  <c r="CE165" i="15" s="1"/>
  <c r="BI37" i="15"/>
  <c r="BU37" i="2"/>
  <c r="BU37" i="15" s="1"/>
  <c r="CJ37" i="15" s="1"/>
  <c r="BB282" i="4"/>
  <c r="BC12" i="4"/>
  <c r="BD12" i="4" s="1"/>
  <c r="BE12" i="4" s="1"/>
  <c r="BF12" i="4" s="1"/>
  <c r="BG12" i="4" s="1"/>
  <c r="BH12" i="4" s="1"/>
  <c r="BI12" i="4" s="1"/>
  <c r="BJ12" i="4" s="1"/>
  <c r="BK12" i="4" s="1"/>
  <c r="BL12" i="4" s="1"/>
  <c r="BM12" i="4" s="1"/>
  <c r="BK289" i="2"/>
  <c r="BK20" i="2"/>
  <c r="AX20" i="4"/>
  <c r="AX289" i="4"/>
  <c r="BB281" i="4"/>
  <c r="AV52" i="15"/>
  <c r="BB12" i="15"/>
  <c r="AR21" i="8"/>
  <c r="AQ26" i="8"/>
  <c r="BN20" i="8"/>
  <c r="AZ18" i="8"/>
  <c r="BA17" i="8"/>
  <c r="BA11" i="15"/>
  <c r="BC10" i="15"/>
  <c r="BN280" i="2"/>
  <c r="BL19" i="2"/>
  <c r="AZ13" i="15"/>
  <c r="BI270" i="2"/>
  <c r="BK267" i="4"/>
  <c r="BU266" i="2"/>
  <c r="BV265" i="2"/>
  <c r="BH269" i="4"/>
  <c r="BJ52" i="2"/>
  <c r="BW7" i="2"/>
  <c r="BJ268" i="4"/>
  <c r="BH267" i="2"/>
  <c r="BK45" i="2"/>
  <c r="BJ15" i="15"/>
  <c r="BW269" i="2"/>
  <c r="BH270" i="4"/>
  <c r="AW45" i="15"/>
  <c r="AW188" i="15" s="1"/>
  <c r="AV268" i="2"/>
  <c r="AU265" i="4"/>
  <c r="AT266" i="4"/>
  <c r="AT264" i="4" s="1"/>
  <c r="AU264" i="2"/>
  <c r="AX45" i="4"/>
  <c r="AX19" i="15"/>
  <c r="AX20" i="15" s="1"/>
  <c r="AY19" i="4"/>
  <c r="P108" i="15"/>
  <c r="AY17" i="15"/>
  <c r="AY18" i="15"/>
  <c r="AZ11" i="15"/>
  <c r="AY16" i="15"/>
  <c r="P84" i="15"/>
  <c r="AZ10" i="15"/>
  <c r="S164" i="15"/>
  <c r="R164" i="15"/>
  <c r="W111" i="15"/>
  <c r="AC164" i="15"/>
  <c r="CG164" i="15" s="1"/>
  <c r="AA165" i="15"/>
  <c r="AC165" i="15"/>
  <c r="CG165" i="15" s="1"/>
  <c r="AB165" i="15"/>
  <c r="Q108" i="15"/>
  <c r="O111" i="15"/>
  <c r="CE111" i="15" s="1"/>
  <c r="O108" i="15"/>
  <c r="M141" i="4"/>
  <c r="M166" i="4" s="1"/>
  <c r="M141" i="2"/>
  <c r="M166" i="2" s="1"/>
  <c r="N108" i="15"/>
  <c r="N84" i="15"/>
  <c r="B32" i="4"/>
  <c r="L32" i="4"/>
  <c r="K32" i="4"/>
  <c r="J32" i="4"/>
  <c r="I32" i="4"/>
  <c r="N42" i="8"/>
  <c r="N26" i="8"/>
  <c r="M26" i="15"/>
  <c r="B26" i="4"/>
  <c r="A26" i="4"/>
  <c r="B26" i="2"/>
  <c r="A26" i="2"/>
  <c r="AK26" i="2" s="1"/>
  <c r="AW26" i="2" s="1"/>
  <c r="AN26" i="15"/>
  <c r="AL26" i="15"/>
  <c r="AJ26" i="15"/>
  <c r="AI26" i="15"/>
  <c r="AH26" i="15"/>
  <c r="AG26" i="15"/>
  <c r="AF26" i="15"/>
  <c r="AE26" i="15"/>
  <c r="AD26" i="15"/>
  <c r="L26" i="15"/>
  <c r="K26" i="15"/>
  <c r="J26" i="15"/>
  <c r="I26" i="15"/>
  <c r="H26" i="15"/>
  <c r="G26" i="15"/>
  <c r="F26" i="15"/>
  <c r="E26" i="15"/>
  <c r="AK26" i="4" l="1"/>
  <c r="AW26" i="4" s="1"/>
  <c r="BI26" i="4" s="1"/>
  <c r="BU26" i="4" s="1"/>
  <c r="AM26" i="4"/>
  <c r="CI37" i="15"/>
  <c r="BY29" i="8"/>
  <c r="AK26" i="15"/>
  <c r="BI26" i="2"/>
  <c r="AW26" i="15"/>
  <c r="BL20" i="2"/>
  <c r="BL289" i="2"/>
  <c r="AY20" i="4"/>
  <c r="AY289" i="4"/>
  <c r="BB14" i="4"/>
  <c r="BB283" i="4"/>
  <c r="BC12" i="15"/>
  <c r="BB17" i="8"/>
  <c r="BA18" i="8"/>
  <c r="AS21" i="8"/>
  <c r="AR26" i="8"/>
  <c r="BO20" i="8"/>
  <c r="CE108" i="15"/>
  <c r="BK52" i="2"/>
  <c r="BK268" i="4"/>
  <c r="BL45" i="2"/>
  <c r="AZ17" i="15"/>
  <c r="BB17" i="4"/>
  <c r="BC17" i="4" s="1"/>
  <c r="BD17" i="4" s="1"/>
  <c r="BE17" i="4" s="1"/>
  <c r="BF17" i="4" s="1"/>
  <c r="BG17" i="4" s="1"/>
  <c r="BH17" i="4" s="1"/>
  <c r="BI17" i="4" s="1"/>
  <c r="BJ17" i="4" s="1"/>
  <c r="BK17" i="4" s="1"/>
  <c r="BL17" i="4" s="1"/>
  <c r="BM17" i="4" s="1"/>
  <c r="BX7" i="2"/>
  <c r="BI269" i="4"/>
  <c r="BM19" i="2"/>
  <c r="AZ18" i="15"/>
  <c r="BB18" i="4"/>
  <c r="BC18" i="4" s="1"/>
  <c r="BD18" i="4" s="1"/>
  <c r="BE18" i="4" s="1"/>
  <c r="BF18" i="4" s="1"/>
  <c r="BG18" i="4" s="1"/>
  <c r="BH18" i="4" s="1"/>
  <c r="BI18" i="4" s="1"/>
  <c r="BJ18" i="4" s="1"/>
  <c r="BK18" i="4" s="1"/>
  <c r="BL18" i="4" s="1"/>
  <c r="BM18" i="4" s="1"/>
  <c r="BK15" i="15"/>
  <c r="BJ53" i="2"/>
  <c r="BV266" i="2"/>
  <c r="BW265" i="2"/>
  <c r="BL267" i="4"/>
  <c r="BA13" i="15"/>
  <c r="AZ16" i="15"/>
  <c r="BB16" i="4"/>
  <c r="BC16" i="4" s="1"/>
  <c r="BD16" i="4" s="1"/>
  <c r="BE16" i="4" s="1"/>
  <c r="BF16" i="4" s="1"/>
  <c r="BG16" i="4" s="1"/>
  <c r="BH16" i="4" s="1"/>
  <c r="BI16" i="4" s="1"/>
  <c r="BJ16" i="4" s="1"/>
  <c r="BK16" i="4" s="1"/>
  <c r="BL16" i="4" s="1"/>
  <c r="BM16" i="4" s="1"/>
  <c r="BI270" i="4"/>
  <c r="BX269" i="2"/>
  <c r="BI267" i="2"/>
  <c r="BJ270" i="2"/>
  <c r="BD10" i="15"/>
  <c r="BB11" i="15"/>
  <c r="AX52" i="4"/>
  <c r="AX45" i="15"/>
  <c r="AX188" i="15" s="1"/>
  <c r="AX193" i="15" s="1"/>
  <c r="AW268" i="2"/>
  <c r="AV265" i="4"/>
  <c r="AU266" i="4"/>
  <c r="AU264" i="4" s="1"/>
  <c r="AV264" i="2"/>
  <c r="AY45" i="4"/>
  <c r="AY19" i="15"/>
  <c r="AY20" i="15" s="1"/>
  <c r="P26" i="15"/>
  <c r="AZ19" i="4"/>
  <c r="X111" i="15"/>
  <c r="Y164" i="15"/>
  <c r="R111" i="15"/>
  <c r="X165" i="15"/>
  <c r="W164" i="15"/>
  <c r="W165" i="15"/>
  <c r="Q164" i="15"/>
  <c r="R165" i="15"/>
  <c r="Q84" i="15"/>
  <c r="S165" i="15"/>
  <c r="T165" i="15"/>
  <c r="V165" i="15"/>
  <c r="T164" i="15"/>
  <c r="U165" i="15"/>
  <c r="U164" i="15"/>
  <c r="AA164" i="15"/>
  <c r="V164" i="15"/>
  <c r="Q111" i="15"/>
  <c r="AB164" i="15"/>
  <c r="T111" i="15"/>
  <c r="Y165" i="15"/>
  <c r="V111" i="15"/>
  <c r="X164" i="15"/>
  <c r="U111" i="15"/>
  <c r="Z165" i="15"/>
  <c r="Q165" i="15"/>
  <c r="Z164" i="15"/>
  <c r="S111" i="15"/>
  <c r="AC26" i="15"/>
  <c r="M167" i="4"/>
  <c r="M174" i="4" s="1"/>
  <c r="M167" i="2"/>
  <c r="M174" i="2" s="1"/>
  <c r="O26" i="15"/>
  <c r="O84" i="15"/>
  <c r="N26" i="15"/>
  <c r="B79" i="4"/>
  <c r="A79" i="4"/>
  <c r="B79" i="2"/>
  <c r="A79" i="2"/>
  <c r="L72" i="15"/>
  <c r="K72" i="15"/>
  <c r="J72" i="15"/>
  <c r="I72" i="15"/>
  <c r="H72" i="15"/>
  <c r="G72" i="15"/>
  <c r="F72" i="15"/>
  <c r="E72" i="15"/>
  <c r="L79" i="15"/>
  <c r="K79" i="15"/>
  <c r="J79" i="15"/>
  <c r="I79" i="15"/>
  <c r="H79" i="15"/>
  <c r="G79" i="15"/>
  <c r="F79" i="15"/>
  <c r="E79" i="15"/>
  <c r="B72" i="4"/>
  <c r="A72" i="4"/>
  <c r="B72" i="2"/>
  <c r="A72" i="2"/>
  <c r="B43" i="4"/>
  <c r="A30" i="4"/>
  <c r="A43" i="4"/>
  <c r="A30" i="2"/>
  <c r="AK30" i="2" s="1"/>
  <c r="AW30" i="2" s="1"/>
  <c r="A31" i="2"/>
  <c r="AK31" i="2" s="1"/>
  <c r="AW31" i="2" s="1"/>
  <c r="A43" i="2"/>
  <c r="AK43" i="2" s="1"/>
  <c r="AW43" i="2" s="1"/>
  <c r="AN43" i="15"/>
  <c r="AL43" i="15"/>
  <c r="L43" i="15"/>
  <c r="K43" i="15"/>
  <c r="J43" i="15"/>
  <c r="I43" i="15"/>
  <c r="H43" i="15"/>
  <c r="G43" i="15"/>
  <c r="F43" i="15"/>
  <c r="E43" i="15"/>
  <c r="B43" i="2"/>
  <c r="L30" i="15"/>
  <c r="K30" i="15"/>
  <c r="J30" i="15"/>
  <c r="I30" i="15"/>
  <c r="H30" i="15"/>
  <c r="G30" i="15"/>
  <c r="F30" i="15"/>
  <c r="E30" i="15"/>
  <c r="B30" i="2"/>
  <c r="B30" i="4"/>
  <c r="AK43" i="4" l="1"/>
  <c r="AW43" i="4" s="1"/>
  <c r="BI43" i="4" s="1"/>
  <c r="BU43" i="4" s="1"/>
  <c r="AM43" i="4"/>
  <c r="AK30" i="4"/>
  <c r="AW30" i="4" s="1"/>
  <c r="BI30" i="4" s="1"/>
  <c r="BU30" i="4" s="1"/>
  <c r="AM30" i="4"/>
  <c r="AY30" i="4" s="1"/>
  <c r="AY26" i="4"/>
  <c r="AM26" i="15"/>
  <c r="CG26" i="15"/>
  <c r="BI31" i="2"/>
  <c r="BI30" i="2"/>
  <c r="BI26" i="15"/>
  <c r="BU26" i="2"/>
  <c r="BU26" i="15" s="1"/>
  <c r="AK43" i="15"/>
  <c r="BI43" i="2"/>
  <c r="AW43" i="15"/>
  <c r="BB284" i="4"/>
  <c r="BC14" i="4"/>
  <c r="BD14" i="4" s="1"/>
  <c r="BE14" i="4" s="1"/>
  <c r="BF14" i="4" s="1"/>
  <c r="BG14" i="4" s="1"/>
  <c r="BH14" i="4" s="1"/>
  <c r="BI14" i="4" s="1"/>
  <c r="BJ14" i="4" s="1"/>
  <c r="BK14" i="4" s="1"/>
  <c r="BL14" i="4" s="1"/>
  <c r="BM14" i="4" s="1"/>
  <c r="BM289" i="2"/>
  <c r="BM20" i="2"/>
  <c r="BB14" i="15"/>
  <c r="AZ20" i="4"/>
  <c r="AZ289" i="4"/>
  <c r="BD12" i="15"/>
  <c r="AT21" i="8"/>
  <c r="AS26" i="8"/>
  <c r="BP20" i="8"/>
  <c r="BB18" i="8"/>
  <c r="BC17" i="8"/>
  <c r="CE26" i="15"/>
  <c r="CF165" i="15"/>
  <c r="BE10" i="15"/>
  <c r="BJ270" i="4"/>
  <c r="BB13" i="15"/>
  <c r="BL15" i="15"/>
  <c r="BM45" i="2"/>
  <c r="BL52" i="2"/>
  <c r="BA16" i="15"/>
  <c r="BA19" i="4"/>
  <c r="BM267" i="4"/>
  <c r="BA18" i="15"/>
  <c r="BC11" i="15"/>
  <c r="BJ267" i="2"/>
  <c r="BJ269" i="4"/>
  <c r="BL268" i="4"/>
  <c r="BK53" i="2"/>
  <c r="BK270" i="2"/>
  <c r="BW266" i="2"/>
  <c r="BX265" i="2"/>
  <c r="BN19" i="2"/>
  <c r="BN20" i="2" s="1"/>
  <c r="BA17" i="15"/>
  <c r="CF164" i="15"/>
  <c r="AY45" i="15"/>
  <c r="AY188" i="15" s="1"/>
  <c r="AX53" i="4"/>
  <c r="AX53" i="15" s="1"/>
  <c r="AX52" i="15"/>
  <c r="AX268" i="2"/>
  <c r="AW265" i="4"/>
  <c r="AV266" i="4"/>
  <c r="AV264" i="4" s="1"/>
  <c r="AW264" i="2"/>
  <c r="AZ45" i="4"/>
  <c r="AZ19" i="15"/>
  <c r="AZ20" i="15" s="1"/>
  <c r="P72" i="15"/>
  <c r="P79" i="15"/>
  <c r="P43" i="15"/>
  <c r="R26" i="15"/>
  <c r="S26" i="15"/>
  <c r="U26" i="15"/>
  <c r="AA26" i="15"/>
  <c r="W26" i="15"/>
  <c r="V26" i="15"/>
  <c r="AB26" i="15"/>
  <c r="Y26" i="15"/>
  <c r="Z26" i="15"/>
  <c r="Q26" i="15"/>
  <c r="T26" i="15"/>
  <c r="X26" i="15"/>
  <c r="V43" i="15"/>
  <c r="O43" i="15"/>
  <c r="O72" i="15"/>
  <c r="O79" i="15"/>
  <c r="N43" i="15"/>
  <c r="N72" i="15"/>
  <c r="M79" i="15"/>
  <c r="N79" i="15"/>
  <c r="M72" i="15"/>
  <c r="M43" i="15"/>
  <c r="N30" i="15"/>
  <c r="P30" i="15"/>
  <c r="AW30" i="15" l="1"/>
  <c r="BK26" i="4"/>
  <c r="AY26" i="15"/>
  <c r="CH26" i="15" s="1"/>
  <c r="AY43" i="4"/>
  <c r="AM43" i="15"/>
  <c r="BK30" i="4"/>
  <c r="AY30" i="15"/>
  <c r="BN289" i="2"/>
  <c r="BU43" i="2"/>
  <c r="BU43" i="15" s="1"/>
  <c r="BI43" i="15"/>
  <c r="BI30" i="15"/>
  <c r="BU30" i="2"/>
  <c r="BU30" i="15" s="1"/>
  <c r="BU31" i="2"/>
  <c r="BC14" i="15"/>
  <c r="BA20" i="4"/>
  <c r="BA289" i="4"/>
  <c r="BD14" i="15"/>
  <c r="BE12" i="15"/>
  <c r="BD17" i="8"/>
  <c r="BC18" i="8"/>
  <c r="BQ20" i="8"/>
  <c r="AU21" i="8"/>
  <c r="AT26" i="8"/>
  <c r="CE79" i="15"/>
  <c r="CE72" i="15"/>
  <c r="BN45" i="2"/>
  <c r="BL270" i="2"/>
  <c r="BM268" i="4"/>
  <c r="BB16" i="15"/>
  <c r="BB19" i="4"/>
  <c r="BM15" i="15"/>
  <c r="BC13" i="15"/>
  <c r="BO19" i="2"/>
  <c r="BX266" i="2"/>
  <c r="BK269" i="4"/>
  <c r="BD11" i="15"/>
  <c r="BN267" i="4"/>
  <c r="BB17" i="15"/>
  <c r="BK267" i="2"/>
  <c r="BA45" i="4"/>
  <c r="BA19" i="15"/>
  <c r="BA20" i="15" s="1"/>
  <c r="BL53" i="2"/>
  <c r="BM52" i="2"/>
  <c r="BK270" i="4"/>
  <c r="BB18" i="15"/>
  <c r="BF10" i="15"/>
  <c r="CE43" i="15"/>
  <c r="CF26" i="15"/>
  <c r="AZ52" i="4"/>
  <c r="AZ45" i="15"/>
  <c r="AY268" i="2"/>
  <c r="AX265" i="4"/>
  <c r="AW266" i="4"/>
  <c r="AW264" i="4" s="1"/>
  <c r="AX264" i="2"/>
  <c r="S79" i="15"/>
  <c r="AI30" i="15"/>
  <c r="AB43" i="15"/>
  <c r="AG43" i="15"/>
  <c r="U72" i="15"/>
  <c r="Q43" i="15"/>
  <c r="Q79" i="15"/>
  <c r="X72" i="15"/>
  <c r="AA43" i="15"/>
  <c r="AJ30" i="15"/>
  <c r="AH43" i="15"/>
  <c r="Y43" i="15"/>
  <c r="T72" i="15"/>
  <c r="V79" i="15"/>
  <c r="X79" i="15"/>
  <c r="AJ43" i="15"/>
  <c r="AH30" i="15"/>
  <c r="S72" i="15"/>
  <c r="S43" i="15"/>
  <c r="R72" i="15"/>
  <c r="AF43" i="15"/>
  <c r="V30" i="15"/>
  <c r="AF30" i="15"/>
  <c r="W72" i="15"/>
  <c r="AE30" i="15"/>
  <c r="X30" i="15"/>
  <c r="V72" i="15"/>
  <c r="T43" i="15"/>
  <c r="T30" i="15"/>
  <c r="AC43" i="15"/>
  <c r="R79" i="15"/>
  <c r="AD30" i="15"/>
  <c r="AI43" i="15"/>
  <c r="AE43" i="15"/>
  <c r="T79" i="15"/>
  <c r="U43" i="15"/>
  <c r="Q30" i="15"/>
  <c r="R30" i="15"/>
  <c r="U79" i="15"/>
  <c r="Q72" i="15"/>
  <c r="AC30" i="15"/>
  <c r="W79" i="15"/>
  <c r="Z43" i="15"/>
  <c r="W30" i="15"/>
  <c r="AG30" i="15"/>
  <c r="AN30" i="15"/>
  <c r="AD43" i="15"/>
  <c r="AB30" i="15"/>
  <c r="W43" i="15"/>
  <c r="X43" i="15"/>
  <c r="U30" i="15"/>
  <c r="R43" i="15"/>
  <c r="S30" i="15"/>
  <c r="AL30" i="15"/>
  <c r="Z30" i="15"/>
  <c r="O30" i="15"/>
  <c r="AM30" i="15"/>
  <c r="AA30" i="15"/>
  <c r="M30" i="15"/>
  <c r="Y30" i="15"/>
  <c r="AK30" i="15"/>
  <c r="BW26" i="4" l="1"/>
  <c r="BW26" i="15" s="1"/>
  <c r="CJ26" i="15" s="1"/>
  <c r="BK26" i="15"/>
  <c r="CI26" i="15" s="1"/>
  <c r="BW30" i="4"/>
  <c r="BW30" i="15" s="1"/>
  <c r="CJ30" i="15" s="1"/>
  <c r="BK30" i="15"/>
  <c r="CI30" i="15" s="1"/>
  <c r="BK43" i="4"/>
  <c r="AY43" i="15"/>
  <c r="CH43" i="15" s="1"/>
  <c r="CH30" i="15"/>
  <c r="BO289" i="2"/>
  <c r="BO20" i="2"/>
  <c r="BB20" i="4"/>
  <c r="BB289" i="4"/>
  <c r="BF12" i="15"/>
  <c r="BE14" i="15"/>
  <c r="BR20" i="8"/>
  <c r="AV21" i="8"/>
  <c r="AU26" i="8"/>
  <c r="BE17" i="8"/>
  <c r="BD18" i="8"/>
  <c r="BE11" i="15"/>
  <c r="BD13" i="15"/>
  <c r="BM270" i="2"/>
  <c r="BC18" i="15"/>
  <c r="BL270" i="4"/>
  <c r="BC17" i="15"/>
  <c r="BL269" i="4"/>
  <c r="BC16" i="15"/>
  <c r="BC19" i="4"/>
  <c r="BM53" i="2"/>
  <c r="BL267" i="2"/>
  <c r="BP19" i="2"/>
  <c r="BG10" i="15"/>
  <c r="BA52" i="4"/>
  <c r="BA45" i="15"/>
  <c r="BO267" i="4"/>
  <c r="BO45" i="2"/>
  <c r="BB45" i="4"/>
  <c r="BB19" i="15"/>
  <c r="BB20" i="15" s="1"/>
  <c r="BN268" i="4"/>
  <c r="BN52" i="2"/>
  <c r="CE30" i="15"/>
  <c r="CG43" i="15"/>
  <c r="CF43" i="15"/>
  <c r="CG30" i="15"/>
  <c r="CF30" i="15"/>
  <c r="AZ188" i="15"/>
  <c r="CH45" i="15"/>
  <c r="AZ53" i="4"/>
  <c r="AZ53" i="15" s="1"/>
  <c r="AZ52" i="15"/>
  <c r="AZ268" i="2"/>
  <c r="BA268" i="2" s="1"/>
  <c r="AY265" i="4"/>
  <c r="AX266" i="4"/>
  <c r="AY264" i="2"/>
  <c r="BW43" i="4" l="1"/>
  <c r="BW43" i="15" s="1"/>
  <c r="CJ43" i="15" s="1"/>
  <c r="BK43" i="15"/>
  <c r="CI43" i="15" s="1"/>
  <c r="BP289" i="2"/>
  <c r="BP20" i="2"/>
  <c r="BC20" i="4"/>
  <c r="BC289" i="4"/>
  <c r="BF14" i="15"/>
  <c r="BG12" i="15"/>
  <c r="BE18" i="8"/>
  <c r="BF17" i="8"/>
  <c r="AW21" i="8"/>
  <c r="AV26" i="8"/>
  <c r="BS20" i="8"/>
  <c r="BO268" i="4"/>
  <c r="BO52" i="2"/>
  <c r="BA53" i="4"/>
  <c r="BA53" i="15" s="1"/>
  <c r="BA52" i="15"/>
  <c r="BH10" i="15"/>
  <c r="BB268" i="2"/>
  <c r="BA264" i="2"/>
  <c r="BN53" i="2"/>
  <c r="BQ19" i="2"/>
  <c r="BC45" i="4"/>
  <c r="BC19" i="15"/>
  <c r="BC20" i="15" s="1"/>
  <c r="BM270" i="4"/>
  <c r="BN270" i="2"/>
  <c r="BB52" i="4"/>
  <c r="BB45" i="15"/>
  <c r="BP267" i="4"/>
  <c r="BP45" i="2"/>
  <c r="BM267" i="2"/>
  <c r="BM269" i="4"/>
  <c r="BD17" i="15"/>
  <c r="BF11" i="15"/>
  <c r="BA188" i="15"/>
  <c r="BD16" i="15"/>
  <c r="BD19" i="4"/>
  <c r="BD18" i="15"/>
  <c r="BE13" i="15"/>
  <c r="AZ193" i="15"/>
  <c r="CH188" i="15"/>
  <c r="AX264" i="4"/>
  <c r="AZ265" i="4"/>
  <c r="BA265" i="4" s="1"/>
  <c r="AY266" i="4"/>
  <c r="AY264" i="4" s="1"/>
  <c r="AZ264" i="2"/>
  <c r="F34" i="11"/>
  <c r="F33" i="11"/>
  <c r="BQ20" i="2" l="1"/>
  <c r="BQ289" i="2"/>
  <c r="BD20" i="4"/>
  <c r="BD289" i="4"/>
  <c r="BH12" i="15"/>
  <c r="BG14" i="15"/>
  <c r="BT20" i="8"/>
  <c r="AX21" i="8"/>
  <c r="AW26" i="8"/>
  <c r="BG17" i="8"/>
  <c r="BF18" i="8"/>
  <c r="BE18" i="15"/>
  <c r="BN267" i="2"/>
  <c r="BN270" i="4"/>
  <c r="BA266" i="4"/>
  <c r="BA264" i="4" s="1"/>
  <c r="BF13" i="15"/>
  <c r="BE16" i="15"/>
  <c r="BE17" i="15"/>
  <c r="BB188" i="15"/>
  <c r="BB193" i="15" s="1"/>
  <c r="BO270" i="2"/>
  <c r="BC52" i="4"/>
  <c r="BC45" i="15"/>
  <c r="BC268" i="2"/>
  <c r="BB264" i="2"/>
  <c r="BI10" i="15"/>
  <c r="BQ45" i="2"/>
  <c r="BB53" i="4"/>
  <c r="BB53" i="15" s="1"/>
  <c r="BB52" i="15"/>
  <c r="BD45" i="4"/>
  <c r="BD19" i="15"/>
  <c r="BD20" i="15" s="1"/>
  <c r="BG11" i="15"/>
  <c r="BN269" i="4"/>
  <c r="BQ267" i="4"/>
  <c r="BR19" i="2"/>
  <c r="BP268" i="4"/>
  <c r="BA193" i="15"/>
  <c r="BP52" i="2"/>
  <c r="BO53" i="2"/>
  <c r="BE19" i="4"/>
  <c r="AZ266" i="4"/>
  <c r="AC52" i="8"/>
  <c r="BR20" i="2" l="1"/>
  <c r="BR289" i="2"/>
  <c r="BE20" i="4"/>
  <c r="BE289" i="4"/>
  <c r="BH14" i="15"/>
  <c r="BI12" i="15"/>
  <c r="BU20" i="8"/>
  <c r="BH17" i="8"/>
  <c r="BG18" i="8"/>
  <c r="AY21" i="8"/>
  <c r="AX26" i="8"/>
  <c r="BF19" i="4"/>
  <c r="BF289" i="4" s="1"/>
  <c r="BE45" i="4"/>
  <c r="BE19" i="15"/>
  <c r="BE20" i="15" s="1"/>
  <c r="BQ268" i="4"/>
  <c r="BS19" i="2"/>
  <c r="BJ10" i="15"/>
  <c r="BC188" i="15"/>
  <c r="BF17" i="15"/>
  <c r="BR45" i="2"/>
  <c r="BH11" i="15"/>
  <c r="BC53" i="4"/>
  <c r="BC53" i="15" s="1"/>
  <c r="BC52" i="15"/>
  <c r="BG13" i="15"/>
  <c r="BO267" i="2"/>
  <c r="BC265" i="4"/>
  <c r="BB266" i="4"/>
  <c r="BO270" i="4"/>
  <c r="BO269" i="4"/>
  <c r="BP53" i="2"/>
  <c r="BR267" i="4"/>
  <c r="BD52" i="4"/>
  <c r="BD45" i="15"/>
  <c r="BQ52" i="2"/>
  <c r="BD268" i="2"/>
  <c r="BC264" i="2"/>
  <c r="BP270" i="2"/>
  <c r="BF16" i="15"/>
  <c r="BF18" i="15"/>
  <c r="AZ264" i="4"/>
  <c r="AD52" i="8"/>
  <c r="O26" i="8"/>
  <c r="P60" i="8"/>
  <c r="O60" i="8"/>
  <c r="N60" i="8"/>
  <c r="Y49" i="8"/>
  <c r="S49" i="8"/>
  <c r="R49" i="8"/>
  <c r="Q49" i="8"/>
  <c r="P49" i="8"/>
  <c r="O49" i="8"/>
  <c r="N49" i="8"/>
  <c r="AO18" i="8"/>
  <c r="AN18" i="8"/>
  <c r="AM18" i="8"/>
  <c r="AL18" i="8"/>
  <c r="AK18" i="8"/>
  <c r="AJ18" i="8"/>
  <c r="AI18" i="8"/>
  <c r="AH18" i="8"/>
  <c r="AG18" i="8"/>
  <c r="AF18" i="8"/>
  <c r="AE18" i="8"/>
  <c r="AD18" i="8"/>
  <c r="AB18" i="8"/>
  <c r="AA18" i="8"/>
  <c r="Z18" i="8"/>
  <c r="Y18" i="8"/>
  <c r="S18" i="8"/>
  <c r="R18" i="8"/>
  <c r="P18" i="8"/>
  <c r="O18" i="8"/>
  <c r="N18" i="8"/>
  <c r="L157" i="2"/>
  <c r="L158" i="2" s="1"/>
  <c r="K157" i="2"/>
  <c r="K158" i="2" s="1"/>
  <c r="J157" i="2"/>
  <c r="J158" i="2" s="1"/>
  <c r="I157" i="2"/>
  <c r="I158" i="2" s="1"/>
  <c r="H157" i="2"/>
  <c r="H158" i="2" s="1"/>
  <c r="G157" i="2"/>
  <c r="G158" i="2" s="1"/>
  <c r="F157" i="2"/>
  <c r="F158" i="2" s="1"/>
  <c r="E157" i="2"/>
  <c r="E158" i="2" s="1"/>
  <c r="D157" i="2"/>
  <c r="L157" i="4"/>
  <c r="L158" i="4" s="1"/>
  <c r="K157" i="4"/>
  <c r="K158" i="4" s="1"/>
  <c r="J157" i="4"/>
  <c r="J158" i="4" s="1"/>
  <c r="I157" i="4"/>
  <c r="I158" i="4" s="1"/>
  <c r="H157" i="4"/>
  <c r="H158" i="4" s="1"/>
  <c r="G157" i="4"/>
  <c r="G158" i="4" s="1"/>
  <c r="F157" i="4"/>
  <c r="F158" i="4" s="1"/>
  <c r="E157" i="4"/>
  <c r="E158" i="4" s="1"/>
  <c r="D157" i="4"/>
  <c r="C157" i="2"/>
  <c r="C157" i="4"/>
  <c r="L140" i="2"/>
  <c r="K140" i="2"/>
  <c r="H140" i="2"/>
  <c r="F140" i="2"/>
  <c r="E140" i="2"/>
  <c r="D140" i="2"/>
  <c r="L140" i="4"/>
  <c r="K140" i="4"/>
  <c r="H140" i="4"/>
  <c r="F140" i="4"/>
  <c r="E140" i="4"/>
  <c r="D140" i="4"/>
  <c r="C140" i="2"/>
  <c r="C140" i="4"/>
  <c r="L123" i="2"/>
  <c r="K123" i="2"/>
  <c r="J123" i="2"/>
  <c r="I123" i="2"/>
  <c r="H123" i="2"/>
  <c r="G123" i="2"/>
  <c r="F123" i="2"/>
  <c r="E123" i="2"/>
  <c r="D123" i="2"/>
  <c r="L123" i="4"/>
  <c r="K123" i="4"/>
  <c r="J123" i="4"/>
  <c r="I123" i="4"/>
  <c r="H123" i="4"/>
  <c r="G123" i="4"/>
  <c r="F123" i="4"/>
  <c r="E123" i="4"/>
  <c r="D123" i="4"/>
  <c r="C123" i="2"/>
  <c r="C123" i="4"/>
  <c r="L113" i="2"/>
  <c r="K113" i="2"/>
  <c r="J113" i="2"/>
  <c r="I113" i="2"/>
  <c r="G113" i="2"/>
  <c r="F113" i="2"/>
  <c r="E113" i="2"/>
  <c r="D113" i="2"/>
  <c r="L113" i="4"/>
  <c r="K113" i="4"/>
  <c r="J113" i="4"/>
  <c r="I113" i="4"/>
  <c r="H113" i="4"/>
  <c r="G113" i="4"/>
  <c r="F113" i="4"/>
  <c r="E113" i="4"/>
  <c r="D113" i="4"/>
  <c r="C113" i="2"/>
  <c r="C113" i="4"/>
  <c r="L99" i="2"/>
  <c r="K99" i="2"/>
  <c r="J99" i="2"/>
  <c r="H99" i="2"/>
  <c r="G99" i="2"/>
  <c r="F99" i="2"/>
  <c r="E99" i="2"/>
  <c r="D99" i="2"/>
  <c r="L99" i="4"/>
  <c r="K99" i="4"/>
  <c r="J99" i="4"/>
  <c r="I99" i="4"/>
  <c r="H99" i="4"/>
  <c r="G99" i="4"/>
  <c r="F99" i="4"/>
  <c r="E99" i="4"/>
  <c r="D99" i="4"/>
  <c r="C99" i="2"/>
  <c r="C99" i="4"/>
  <c r="L96" i="2"/>
  <c r="K96" i="2"/>
  <c r="J96" i="2"/>
  <c r="I96" i="2"/>
  <c r="H96" i="2"/>
  <c r="G96" i="2"/>
  <c r="F96" i="2"/>
  <c r="E96" i="2"/>
  <c r="D96" i="2"/>
  <c r="L96" i="4"/>
  <c r="K96" i="4"/>
  <c r="J96" i="4"/>
  <c r="I96" i="4"/>
  <c r="H96" i="4"/>
  <c r="G96" i="4"/>
  <c r="F96" i="4"/>
  <c r="E96" i="4"/>
  <c r="D96" i="4"/>
  <c r="C96" i="2"/>
  <c r="C96" i="4"/>
  <c r="D85" i="2"/>
  <c r="D85" i="4"/>
  <c r="C85" i="2"/>
  <c r="C85" i="4"/>
  <c r="L74" i="2"/>
  <c r="I74" i="2"/>
  <c r="G74" i="2"/>
  <c r="F74" i="2"/>
  <c r="E74" i="2"/>
  <c r="D74" i="2"/>
  <c r="L74" i="4"/>
  <c r="I74" i="4"/>
  <c r="G74" i="4"/>
  <c r="F74" i="4"/>
  <c r="E74" i="4"/>
  <c r="D74" i="4"/>
  <c r="C74" i="2"/>
  <c r="C74" i="4"/>
  <c r="L32" i="2"/>
  <c r="L52" i="2" s="1"/>
  <c r="L53" i="2" s="1"/>
  <c r="K32" i="2"/>
  <c r="J32" i="2"/>
  <c r="J52" i="2" s="1"/>
  <c r="J53" i="2" s="1"/>
  <c r="I32" i="2"/>
  <c r="I52" i="2" s="1"/>
  <c r="I53" i="2" s="1"/>
  <c r="H32" i="2"/>
  <c r="H52" i="2" s="1"/>
  <c r="H53" i="2" s="1"/>
  <c r="G32" i="2"/>
  <c r="F32" i="2"/>
  <c r="F52" i="2" s="1"/>
  <c r="F53" i="2" s="1"/>
  <c r="E32" i="2"/>
  <c r="E52" i="2" s="1"/>
  <c r="E53" i="2" s="1"/>
  <c r="D32" i="2"/>
  <c r="L52" i="4"/>
  <c r="L53" i="4" s="1"/>
  <c r="H32" i="4"/>
  <c r="H52" i="4" s="1"/>
  <c r="H53" i="4" s="1"/>
  <c r="G32" i="4"/>
  <c r="F32" i="4"/>
  <c r="F52" i="4" s="1"/>
  <c r="F53" i="4" s="1"/>
  <c r="E32" i="4"/>
  <c r="E52" i="4" s="1"/>
  <c r="E53" i="4" s="1"/>
  <c r="D32" i="4"/>
  <c r="C32" i="2"/>
  <c r="C32" i="4"/>
  <c r="D206" i="15"/>
  <c r="CD206" i="15" s="1"/>
  <c r="D198" i="15"/>
  <c r="CD198" i="15" s="1"/>
  <c r="D196" i="15"/>
  <c r="CD196" i="15" s="1"/>
  <c r="D189" i="15"/>
  <c r="CD189" i="15" s="1"/>
  <c r="D188" i="15"/>
  <c r="CD188" i="15" s="1"/>
  <c r="C206" i="15"/>
  <c r="CC206" i="15" s="1"/>
  <c r="C198" i="15"/>
  <c r="CC198" i="15" s="1"/>
  <c r="C196" i="15"/>
  <c r="CC196" i="15" s="1"/>
  <c r="C189" i="15"/>
  <c r="CC189" i="15" s="1"/>
  <c r="C188" i="15"/>
  <c r="CC188" i="15" s="1"/>
  <c r="C190" i="15"/>
  <c r="CC190" i="15" s="1"/>
  <c r="BF45" i="4" l="1"/>
  <c r="BF52" i="4" s="1"/>
  <c r="BS289" i="2"/>
  <c r="BS20" i="2"/>
  <c r="BF19" i="15"/>
  <c r="BF20" i="15" s="1"/>
  <c r="BF20" i="4"/>
  <c r="BJ12" i="15"/>
  <c r="BI14" i="15"/>
  <c r="BI17" i="8"/>
  <c r="BH18" i="8"/>
  <c r="AZ21" i="8"/>
  <c r="AY26" i="8"/>
  <c r="BV20" i="8"/>
  <c r="BG18" i="15"/>
  <c r="BQ53" i="2"/>
  <c r="BS267" i="4"/>
  <c r="BH13" i="15"/>
  <c r="BK10" i="15"/>
  <c r="BT19" i="2"/>
  <c r="BP270" i="4"/>
  <c r="BC266" i="4"/>
  <c r="BD265" i="4"/>
  <c r="BI11" i="15"/>
  <c r="BC193" i="15"/>
  <c r="BE52" i="4"/>
  <c r="BE45" i="15"/>
  <c r="BG16" i="15"/>
  <c r="BG19" i="4"/>
  <c r="BD188" i="15"/>
  <c r="BD193" i="15" s="1"/>
  <c r="BB264" i="4"/>
  <c r="BP267" i="2"/>
  <c r="BG17" i="15"/>
  <c r="BR268" i="4"/>
  <c r="BQ270" i="2"/>
  <c r="BE268" i="2"/>
  <c r="BD264" i="2"/>
  <c r="BD53" i="4"/>
  <c r="BD53" i="15" s="1"/>
  <c r="BD52" i="15"/>
  <c r="BP269" i="4"/>
  <c r="BR52" i="2"/>
  <c r="BS45" i="2"/>
  <c r="D52" i="2"/>
  <c r="C52" i="2"/>
  <c r="C53" i="2" s="1"/>
  <c r="D158" i="4"/>
  <c r="C52" i="4"/>
  <c r="C53" i="4" s="1"/>
  <c r="D52" i="4"/>
  <c r="D158" i="2"/>
  <c r="C158" i="4"/>
  <c r="AE52" i="8"/>
  <c r="P61" i="8"/>
  <c r="C141" i="4"/>
  <c r="F141" i="4"/>
  <c r="D141" i="4"/>
  <c r="D141" i="2"/>
  <c r="C141" i="2"/>
  <c r="E141" i="2"/>
  <c r="E166" i="2" s="1"/>
  <c r="R108" i="15"/>
  <c r="R84" i="15"/>
  <c r="F141" i="2"/>
  <c r="F166" i="2" s="1"/>
  <c r="E141" i="4"/>
  <c r="E166" i="4" s="1"/>
  <c r="O61" i="8"/>
  <c r="E32" i="15"/>
  <c r="L141" i="4"/>
  <c r="L166" i="4" s="1"/>
  <c r="L141" i="2"/>
  <c r="L166" i="2" s="1"/>
  <c r="N61" i="8"/>
  <c r="C74" i="15"/>
  <c r="CC74" i="15" s="1"/>
  <c r="C140" i="15"/>
  <c r="CC140" i="15" s="1"/>
  <c r="D74" i="15"/>
  <c r="CD74" i="15" s="1"/>
  <c r="D140" i="15"/>
  <c r="CD140" i="15" s="1"/>
  <c r="Q60" i="8"/>
  <c r="Q61" i="8" s="1"/>
  <c r="R61" i="8"/>
  <c r="S60" i="8"/>
  <c r="S61" i="8" s="1"/>
  <c r="AO26" i="8"/>
  <c r="S26" i="8"/>
  <c r="Q26" i="8"/>
  <c r="P26" i="8"/>
  <c r="D202" i="15"/>
  <c r="CD202" i="15" s="1"/>
  <c r="D200" i="15"/>
  <c r="CD200" i="15" s="1"/>
  <c r="D204" i="15"/>
  <c r="CD204" i="15" s="1"/>
  <c r="D113" i="15"/>
  <c r="CD113" i="15" s="1"/>
  <c r="D203" i="15"/>
  <c r="CD203" i="15" s="1"/>
  <c r="D96" i="15"/>
  <c r="CD96" i="15" s="1"/>
  <c r="D157" i="15"/>
  <c r="D85" i="15"/>
  <c r="CD85" i="15" s="1"/>
  <c r="D201" i="15"/>
  <c r="CD201" i="15" s="1"/>
  <c r="D123" i="15"/>
  <c r="CD123" i="15" s="1"/>
  <c r="D197" i="15"/>
  <c r="CD197" i="15" s="1"/>
  <c r="D195" i="15"/>
  <c r="CD195" i="15" s="1"/>
  <c r="D194" i="15"/>
  <c r="CD194" i="15" s="1"/>
  <c r="D208" i="15"/>
  <c r="CD208" i="15" s="1"/>
  <c r="D199" i="15"/>
  <c r="CD199" i="15" s="1"/>
  <c r="D190" i="15"/>
  <c r="CD190" i="15" s="1"/>
  <c r="D187" i="15"/>
  <c r="CD187" i="15" s="1"/>
  <c r="D52" i="15"/>
  <c r="C52" i="15"/>
  <c r="C204" i="15"/>
  <c r="CC204" i="15" s="1"/>
  <c r="C208" i="15"/>
  <c r="CC208" i="15" s="1"/>
  <c r="C200" i="15"/>
  <c r="CC200" i="15" s="1"/>
  <c r="C202" i="15"/>
  <c r="CC202" i="15" s="1"/>
  <c r="C203" i="15"/>
  <c r="CC203" i="15" s="1"/>
  <c r="C197" i="15"/>
  <c r="CC197" i="15" s="1"/>
  <c r="C191" i="15"/>
  <c r="CC191" i="15" s="1"/>
  <c r="C85" i="15"/>
  <c r="CC85" i="15" s="1"/>
  <c r="C123" i="15"/>
  <c r="CC123" i="15" s="1"/>
  <c r="C96" i="15"/>
  <c r="CC96" i="15" s="1"/>
  <c r="C113" i="15"/>
  <c r="CC113" i="15" s="1"/>
  <c r="C157" i="15"/>
  <c r="C201" i="15"/>
  <c r="CC201" i="15" s="1"/>
  <c r="C194" i="15"/>
  <c r="CC194" i="15" s="1"/>
  <c r="C195" i="15"/>
  <c r="CC195" i="15" s="1"/>
  <c r="C199" i="15"/>
  <c r="CC199" i="15" s="1"/>
  <c r="C158" i="2"/>
  <c r="T82" i="8" l="1"/>
  <c r="BF45" i="15"/>
  <c r="BF188" i="15" s="1"/>
  <c r="BF193" i="15" s="1"/>
  <c r="BT20" i="2"/>
  <c r="BT289" i="2"/>
  <c r="BG20" i="4"/>
  <c r="BG289" i="4"/>
  <c r="BJ14" i="15"/>
  <c r="BK12" i="15"/>
  <c r="BA21" i="8"/>
  <c r="AZ26" i="8"/>
  <c r="BI18" i="8"/>
  <c r="BJ17" i="8"/>
  <c r="BW20" i="8"/>
  <c r="BR53" i="2"/>
  <c r="BF268" i="2"/>
  <c r="BE264" i="2"/>
  <c r="BS268" i="4"/>
  <c r="BH17" i="15"/>
  <c r="BF53" i="4"/>
  <c r="BF53" i="15" s="1"/>
  <c r="BF52" i="15"/>
  <c r="BJ11" i="15"/>
  <c r="BU19" i="2"/>
  <c r="BI13" i="15"/>
  <c r="BQ269" i="4"/>
  <c r="BH16" i="15"/>
  <c r="BD266" i="4"/>
  <c r="BD264" i="4" s="1"/>
  <c r="BE265" i="4"/>
  <c r="BT45" i="2"/>
  <c r="BL10" i="15"/>
  <c r="BS52" i="2"/>
  <c r="BH19" i="4"/>
  <c r="BR270" i="2"/>
  <c r="BE188" i="15"/>
  <c r="BQ270" i="4"/>
  <c r="BQ267" i="2"/>
  <c r="BG45" i="4"/>
  <c r="BG19" i="15"/>
  <c r="BG20" i="15" s="1"/>
  <c r="BE53" i="4"/>
  <c r="BE53" i="15" s="1"/>
  <c r="BE52" i="15"/>
  <c r="BC264" i="4"/>
  <c r="BT267" i="4"/>
  <c r="BH18" i="15"/>
  <c r="D53" i="15"/>
  <c r="CD53" i="15" s="1"/>
  <c r="CD52" i="15"/>
  <c r="D53" i="4"/>
  <c r="C166" i="4"/>
  <c r="C167" i="4" s="1"/>
  <c r="D166" i="2"/>
  <c r="D53" i="2"/>
  <c r="C158" i="15"/>
  <c r="CC158" i="15" s="1"/>
  <c r="CC157" i="15"/>
  <c r="C53" i="15"/>
  <c r="CC53" i="15" s="1"/>
  <c r="CC52" i="15"/>
  <c r="D158" i="15"/>
  <c r="CD158" i="15" s="1"/>
  <c r="CD157" i="15"/>
  <c r="D166" i="4"/>
  <c r="C166" i="2"/>
  <c r="F166" i="4"/>
  <c r="F167" i="4" s="1"/>
  <c r="F174" i="4" s="1"/>
  <c r="AF52" i="8"/>
  <c r="N69" i="8"/>
  <c r="S84" i="15"/>
  <c r="E167" i="2"/>
  <c r="E174" i="2" s="1"/>
  <c r="L167" i="4"/>
  <c r="L174" i="4" s="1"/>
  <c r="F167" i="2"/>
  <c r="F174" i="2" s="1"/>
  <c r="L167" i="2"/>
  <c r="L174" i="2" s="1"/>
  <c r="E167" i="4"/>
  <c r="E174" i="4" s="1"/>
  <c r="S108" i="15"/>
  <c r="AB26" i="8"/>
  <c r="Y26" i="8"/>
  <c r="AI26" i="8"/>
  <c r="AJ26" i="8"/>
  <c r="AE26" i="8"/>
  <c r="AK26" i="8"/>
  <c r="AC26" i="8"/>
  <c r="AA26" i="8"/>
  <c r="AD26" i="8"/>
  <c r="AF26" i="8"/>
  <c r="AM26" i="8"/>
  <c r="Z26" i="8"/>
  <c r="AG26" i="8"/>
  <c r="AL26" i="8"/>
  <c r="AH26" i="8"/>
  <c r="R26" i="8"/>
  <c r="S82" i="8" s="1"/>
  <c r="AN26" i="8"/>
  <c r="D141" i="15"/>
  <c r="CD141" i="15" s="1"/>
  <c r="D210" i="15"/>
  <c r="CD210" i="15" s="1"/>
  <c r="C193" i="15"/>
  <c r="CC193" i="15" s="1"/>
  <c r="C141" i="15"/>
  <c r="C210" i="15"/>
  <c r="CC210" i="15" s="1"/>
  <c r="BU20" i="2" l="1"/>
  <c r="BU289" i="2"/>
  <c r="BH20" i="4"/>
  <c r="BH289" i="4"/>
  <c r="BL12" i="15"/>
  <c r="BN11" i="4"/>
  <c r="BO11" i="4" s="1"/>
  <c r="BP11" i="4" s="1"/>
  <c r="BQ11" i="4" s="1"/>
  <c r="BR11" i="4" s="1"/>
  <c r="BS11" i="4" s="1"/>
  <c r="BT11" i="4" s="1"/>
  <c r="BU11" i="4" s="1"/>
  <c r="BV11" i="4" s="1"/>
  <c r="BW11" i="4" s="1"/>
  <c r="BX11" i="4" s="1"/>
  <c r="BN10" i="4"/>
  <c r="BK14" i="15"/>
  <c r="BJ18" i="8"/>
  <c r="BK17" i="8"/>
  <c r="BX20" i="8"/>
  <c r="BB21" i="8"/>
  <c r="BA26" i="8"/>
  <c r="BI19" i="4"/>
  <c r="BI289" i="4" s="1"/>
  <c r="BI18" i="15"/>
  <c r="BR270" i="4"/>
  <c r="BS53" i="2"/>
  <c r="BM10" i="15"/>
  <c r="BU45" i="2"/>
  <c r="BT268" i="4"/>
  <c r="D167" i="2"/>
  <c r="D174" i="2" s="1"/>
  <c r="BF265" i="4"/>
  <c r="BE266" i="4"/>
  <c r="BE264" i="4" s="1"/>
  <c r="BR269" i="4"/>
  <c r="BV19" i="2"/>
  <c r="BU267" i="4"/>
  <c r="BR267" i="2"/>
  <c r="BS270" i="2"/>
  <c r="BK11" i="15"/>
  <c r="BI17" i="15"/>
  <c r="BG52" i="4"/>
  <c r="BG45" i="15"/>
  <c r="BE193" i="15"/>
  <c r="BH45" i="4"/>
  <c r="BH19" i="15"/>
  <c r="BH20" i="15" s="1"/>
  <c r="BT52" i="2"/>
  <c r="BI16" i="15"/>
  <c r="BJ13" i="15"/>
  <c r="BG268" i="2"/>
  <c r="BF264" i="2"/>
  <c r="C174" i="4"/>
  <c r="C166" i="15"/>
  <c r="CC166" i="15" s="1"/>
  <c r="CC141" i="15"/>
  <c r="C167" i="2"/>
  <c r="D167" i="4"/>
  <c r="AG52" i="8"/>
  <c r="D166" i="15"/>
  <c r="T108" i="15"/>
  <c r="T84" i="15"/>
  <c r="C211" i="15"/>
  <c r="C214" i="15" s="1"/>
  <c r="C219" i="15" s="1"/>
  <c r="C220" i="15" s="1"/>
  <c r="D19" i="15"/>
  <c r="C19" i="15"/>
  <c r="C251" i="15"/>
  <c r="D251" i="15" s="1"/>
  <c r="E251" i="15" s="1"/>
  <c r="F251" i="15" s="1"/>
  <c r="G251" i="15" s="1"/>
  <c r="H251" i="15" s="1"/>
  <c r="I251" i="15" s="1"/>
  <c r="J251" i="15" s="1"/>
  <c r="K251" i="15" s="1"/>
  <c r="L251" i="15" s="1"/>
  <c r="M251" i="15" s="1"/>
  <c r="N251" i="15" s="1"/>
  <c r="O251" i="15" s="1"/>
  <c r="P251" i="15" s="1"/>
  <c r="Q251" i="15" s="1"/>
  <c r="R251" i="15" s="1"/>
  <c r="S251" i="15" s="1"/>
  <c r="T251" i="15" s="1"/>
  <c r="U251" i="15" s="1"/>
  <c r="V251" i="15" s="1"/>
  <c r="W251" i="15" s="1"/>
  <c r="X251" i="15" s="1"/>
  <c r="Y251" i="15" s="1"/>
  <c r="Z251" i="15" s="1"/>
  <c r="AA251" i="15" s="1"/>
  <c r="AB251" i="15" s="1"/>
  <c r="AC251" i="15" s="1"/>
  <c r="AD251" i="15" s="1"/>
  <c r="AE251" i="15" s="1"/>
  <c r="AF251" i="15" s="1"/>
  <c r="AG251" i="15" s="1"/>
  <c r="AH251" i="15" s="1"/>
  <c r="AI251" i="15" s="1"/>
  <c r="AJ251" i="15" s="1"/>
  <c r="AK251" i="15" s="1"/>
  <c r="AL251" i="15" s="1"/>
  <c r="AM251" i="15" s="1"/>
  <c r="AN251" i="15" s="1"/>
  <c r="AO251" i="15" s="1"/>
  <c r="AP251" i="15" s="1"/>
  <c r="AQ251" i="15" s="1"/>
  <c r="AR251" i="15" s="1"/>
  <c r="AS251" i="15" s="1"/>
  <c r="AT251" i="15" s="1"/>
  <c r="AU251" i="15" s="1"/>
  <c r="AV251" i="15" s="1"/>
  <c r="AW251" i="15" s="1"/>
  <c r="AX251" i="15" s="1"/>
  <c r="AY251" i="15" s="1"/>
  <c r="AZ251" i="15" s="1"/>
  <c r="BA251" i="15" s="1"/>
  <c r="BB251" i="15" s="1"/>
  <c r="BC251" i="15" s="1"/>
  <c r="BD251" i="15" s="1"/>
  <c r="BE251" i="15" s="1"/>
  <c r="BF251" i="15" s="1"/>
  <c r="BG251" i="15" s="1"/>
  <c r="BH251" i="15" s="1"/>
  <c r="BI251" i="15" s="1"/>
  <c r="BJ251" i="15" s="1"/>
  <c r="BK251" i="15" s="1"/>
  <c r="BL251" i="15" s="1"/>
  <c r="BM251" i="15" s="1"/>
  <c r="BN251" i="15" s="1"/>
  <c r="BO251" i="15" s="1"/>
  <c r="BP251" i="15" s="1"/>
  <c r="BQ251" i="15" s="1"/>
  <c r="BR251" i="15" s="1"/>
  <c r="BS251" i="15" s="1"/>
  <c r="BT251" i="15" s="1"/>
  <c r="BU251" i="15" s="1"/>
  <c r="BV251" i="15" s="1"/>
  <c r="BW251" i="15" s="1"/>
  <c r="BX251" i="15" s="1"/>
  <c r="BY251" i="15" s="1"/>
  <c r="BZ251" i="15" s="1"/>
  <c r="CA251" i="15" s="1"/>
  <c r="CB251" i="15" s="1"/>
  <c r="CC251" i="15" s="1"/>
  <c r="E4" i="2"/>
  <c r="E4" i="4"/>
  <c r="E4" i="15"/>
  <c r="D2" i="2"/>
  <c r="D2" i="4"/>
  <c r="D2" i="15"/>
  <c r="C2" i="2"/>
  <c r="C2" i="4"/>
  <c r="C2" i="15"/>
  <c r="M60" i="8"/>
  <c r="L60" i="8"/>
  <c r="K60" i="8"/>
  <c r="J60" i="8"/>
  <c r="I60" i="8"/>
  <c r="H60" i="8"/>
  <c r="G60" i="8"/>
  <c r="F60" i="8"/>
  <c r="E60" i="8"/>
  <c r="D60" i="8"/>
  <c r="M73" i="8"/>
  <c r="M18" i="8"/>
  <c r="M14" i="8"/>
  <c r="L18" i="8"/>
  <c r="K18" i="8"/>
  <c r="J18" i="8"/>
  <c r="I73" i="8"/>
  <c r="I14" i="8"/>
  <c r="H18" i="8"/>
  <c r="D20" i="15" l="1"/>
  <c r="BN280" i="4"/>
  <c r="BO10" i="4"/>
  <c r="BP10" i="4" s="1"/>
  <c r="BQ10" i="4" s="1"/>
  <c r="BR10" i="4" s="1"/>
  <c r="BS10" i="4" s="1"/>
  <c r="BT10" i="4" s="1"/>
  <c r="BU10" i="4" s="1"/>
  <c r="BV10" i="4" s="1"/>
  <c r="BW10" i="4" s="1"/>
  <c r="BX10" i="4" s="1"/>
  <c r="BV289" i="2"/>
  <c r="BV20" i="2"/>
  <c r="BI45" i="4"/>
  <c r="BI45" i="15" s="1"/>
  <c r="BI20" i="4"/>
  <c r="BN13" i="4"/>
  <c r="BO13" i="4" s="1"/>
  <c r="BP13" i="4" s="1"/>
  <c r="BQ13" i="4" s="1"/>
  <c r="BR13" i="4" s="1"/>
  <c r="BS13" i="4" s="1"/>
  <c r="BT13" i="4" s="1"/>
  <c r="BU13" i="4" s="1"/>
  <c r="BV13" i="4" s="1"/>
  <c r="BW13" i="4" s="1"/>
  <c r="BX13" i="4" s="1"/>
  <c r="BM12" i="15"/>
  <c r="BL14" i="15"/>
  <c r="BY20" i="8"/>
  <c r="BC21" i="8"/>
  <c r="BB26" i="8"/>
  <c r="BL17" i="8"/>
  <c r="BK18" i="8"/>
  <c r="D47" i="14"/>
  <c r="D46" i="14"/>
  <c r="D45" i="14"/>
  <c r="D18" i="14"/>
  <c r="D36" i="14"/>
  <c r="D17" i="14"/>
  <c r="D15" i="14"/>
  <c r="D16" i="14"/>
  <c r="D35" i="14"/>
  <c r="D26" i="14"/>
  <c r="D28" i="14"/>
  <c r="D27" i="14"/>
  <c r="D30" i="14"/>
  <c r="D34" i="14"/>
  <c r="D29" i="14"/>
  <c r="D24" i="14"/>
  <c r="D32" i="14"/>
  <c r="D25" i="14"/>
  <c r="D31" i="14"/>
  <c r="D19" i="14"/>
  <c r="D37" i="14"/>
  <c r="D33" i="14"/>
  <c r="CD251" i="15"/>
  <c r="BI19" i="15"/>
  <c r="BI20" i="15" s="1"/>
  <c r="C167" i="15"/>
  <c r="CC167" i="15" s="1"/>
  <c r="BH268" i="2"/>
  <c r="BG264" i="2"/>
  <c r="BJ16" i="15"/>
  <c r="BG188" i="15"/>
  <c r="BT270" i="2"/>
  <c r="BW19" i="2"/>
  <c r="BS270" i="4"/>
  <c r="BJ18" i="15"/>
  <c r="BH52" i="4"/>
  <c r="BH45" i="15"/>
  <c r="BG53" i="4"/>
  <c r="BG53" i="15" s="1"/>
  <c r="BG52" i="15"/>
  <c r="BV267" i="4"/>
  <c r="BJ19" i="4"/>
  <c r="BK13" i="15"/>
  <c r="BT53" i="2"/>
  <c r="BN12" i="4"/>
  <c r="BL11" i="15"/>
  <c r="BS269" i="4"/>
  <c r="BF266" i="4"/>
  <c r="BF264" i="4" s="1"/>
  <c r="BG265" i="4"/>
  <c r="BU268" i="4"/>
  <c r="BJ17" i="15"/>
  <c r="BS267" i="2"/>
  <c r="BV45" i="2"/>
  <c r="BN10" i="15"/>
  <c r="D167" i="15"/>
  <c r="CD166" i="15"/>
  <c r="D174" i="4"/>
  <c r="C174" i="2"/>
  <c r="C212" i="15"/>
  <c r="CC211" i="15"/>
  <c r="AH52" i="8"/>
  <c r="D7" i="15"/>
  <c r="C7" i="15"/>
  <c r="U84" i="15"/>
  <c r="U108" i="15"/>
  <c r="D191" i="15"/>
  <c r="CD191" i="15" s="1"/>
  <c r="F19" i="14" s="1"/>
  <c r="G49" i="8"/>
  <c r="K49" i="8"/>
  <c r="I18" i="8"/>
  <c r="L49" i="8"/>
  <c r="H14" i="8"/>
  <c r="H73" i="8"/>
  <c r="J49" i="8"/>
  <c r="L14" i="8"/>
  <c r="G14" i="8"/>
  <c r="G18" i="8"/>
  <c r="G73" i="8"/>
  <c r="I49" i="8"/>
  <c r="K14" i="8"/>
  <c r="K73" i="8"/>
  <c r="L26" i="8"/>
  <c r="L73" i="8"/>
  <c r="M26" i="8"/>
  <c r="M27" i="8" s="1"/>
  <c r="H49" i="8"/>
  <c r="J14" i="8"/>
  <c r="J73" i="8"/>
  <c r="M42" i="8"/>
  <c r="M49" i="8"/>
  <c r="L42" i="8"/>
  <c r="I26" i="8"/>
  <c r="H26" i="8"/>
  <c r="G26" i="8"/>
  <c r="H42" i="8"/>
  <c r="J42" i="8"/>
  <c r="K26" i="8"/>
  <c r="G42" i="8"/>
  <c r="I42" i="8"/>
  <c r="J26" i="8"/>
  <c r="K42" i="8"/>
  <c r="BN282" i="4" l="1"/>
  <c r="BO12" i="4"/>
  <c r="BP12" i="4" s="1"/>
  <c r="BQ12" i="4" s="1"/>
  <c r="BR12" i="4" s="1"/>
  <c r="BS12" i="4" s="1"/>
  <c r="BT12" i="4" s="1"/>
  <c r="BU12" i="4" s="1"/>
  <c r="BV12" i="4" s="1"/>
  <c r="BW12" i="4" s="1"/>
  <c r="BX12" i="4" s="1"/>
  <c r="BW289" i="2"/>
  <c r="BW20" i="2"/>
  <c r="BJ20" i="4"/>
  <c r="BJ289" i="4"/>
  <c r="BN281" i="4"/>
  <c r="C174" i="15"/>
  <c r="BN15" i="4"/>
  <c r="BM14" i="15"/>
  <c r="BN12" i="15"/>
  <c r="BD21" i="8"/>
  <c r="BC26" i="8"/>
  <c r="BM17" i="8"/>
  <c r="BL18" i="8"/>
  <c r="F46" i="14"/>
  <c r="F36" i="14"/>
  <c r="F45" i="14"/>
  <c r="F47" i="14"/>
  <c r="F15" i="14"/>
  <c r="F35" i="14"/>
  <c r="F28" i="14"/>
  <c r="F17" i="14"/>
  <c r="F26" i="14"/>
  <c r="F27" i="14"/>
  <c r="F18" i="14"/>
  <c r="F32" i="14"/>
  <c r="F34" i="14"/>
  <c r="F37" i="14"/>
  <c r="F24" i="14"/>
  <c r="F16" i="14"/>
  <c r="F30" i="14"/>
  <c r="F31" i="14"/>
  <c r="F25" i="14"/>
  <c r="F29" i="14"/>
  <c r="F33" i="14"/>
  <c r="CC212" i="15"/>
  <c r="CC214" i="15"/>
  <c r="CC219" i="15" s="1"/>
  <c r="CC220" i="15" s="1"/>
  <c r="CE251" i="15"/>
  <c r="H36" i="14" s="1"/>
  <c r="T36" i="14" s="1"/>
  <c r="BI188" i="15"/>
  <c r="BV52" i="2"/>
  <c r="BM11" i="15"/>
  <c r="BN14" i="4"/>
  <c r="BL13" i="15"/>
  <c r="BH188" i="15"/>
  <c r="BH193" i="15" s="1"/>
  <c r="BW45" i="2"/>
  <c r="BK17" i="15"/>
  <c r="BV268" i="4"/>
  <c r="BJ45" i="4"/>
  <c r="BJ19" i="15"/>
  <c r="BJ20" i="15" s="1"/>
  <c r="BW267" i="4"/>
  <c r="BH53" i="4"/>
  <c r="BH53" i="15" s="1"/>
  <c r="BH52" i="15"/>
  <c r="BT270" i="4"/>
  <c r="BX19" i="2"/>
  <c r="BU270" i="2"/>
  <c r="BG193" i="15"/>
  <c r="BO10" i="15"/>
  <c r="BT267" i="2"/>
  <c r="BG266" i="4"/>
  <c r="BG264" i="4" s="1"/>
  <c r="BH265" i="4"/>
  <c r="BI268" i="2"/>
  <c r="BH264" i="2"/>
  <c r="BT269" i="4"/>
  <c r="BK18" i="15"/>
  <c r="BK16" i="15"/>
  <c r="BK19" i="4"/>
  <c r="D174" i="15"/>
  <c r="CD167" i="15"/>
  <c r="CD174" i="15" s="1"/>
  <c r="AI52" i="8"/>
  <c r="L27" i="8"/>
  <c r="J27" i="8"/>
  <c r="H27" i="8"/>
  <c r="K27" i="8"/>
  <c r="G27" i="8"/>
  <c r="I27" i="8"/>
  <c r="V108" i="15"/>
  <c r="V84" i="15"/>
  <c r="W84" i="15"/>
  <c r="D193" i="15"/>
  <c r="BN285" i="4" l="1"/>
  <c r="BO15" i="4"/>
  <c r="BP15" i="4" s="1"/>
  <c r="BQ15" i="4" s="1"/>
  <c r="BR15" i="4" s="1"/>
  <c r="BS15" i="4" s="1"/>
  <c r="BT15" i="4" s="1"/>
  <c r="BU15" i="4" s="1"/>
  <c r="BV15" i="4" s="1"/>
  <c r="BW15" i="4" s="1"/>
  <c r="BX15" i="4" s="1"/>
  <c r="BN284" i="4"/>
  <c r="BO14" i="4"/>
  <c r="BP14" i="4" s="1"/>
  <c r="BQ14" i="4" s="1"/>
  <c r="BR14" i="4" s="1"/>
  <c r="BS14" i="4" s="1"/>
  <c r="BT14" i="4" s="1"/>
  <c r="BU14" i="4" s="1"/>
  <c r="BV14" i="4" s="1"/>
  <c r="BW14" i="4" s="1"/>
  <c r="BX14" i="4" s="1"/>
  <c r="BX289" i="2"/>
  <c r="BX20" i="2"/>
  <c r="BY289" i="2"/>
  <c r="BN283" i="4"/>
  <c r="BK20" i="4"/>
  <c r="BK289" i="4"/>
  <c r="BN15" i="15"/>
  <c r="BN14" i="15"/>
  <c r="BO12" i="15"/>
  <c r="BM18" i="8"/>
  <c r="BN17" i="8"/>
  <c r="BE21" i="8"/>
  <c r="BD26" i="8"/>
  <c r="CF251" i="15"/>
  <c r="J36" i="14" s="1"/>
  <c r="V36" i="14" s="1"/>
  <c r="BL19" i="4"/>
  <c r="BL289" i="4" s="1"/>
  <c r="BL18" i="15"/>
  <c r="BI265" i="4"/>
  <c r="BH266" i="4"/>
  <c r="BH264" i="4" s="1"/>
  <c r="BW268" i="4"/>
  <c r="BW52" i="2"/>
  <c r="BM13" i="15"/>
  <c r="BV53" i="2"/>
  <c r="BL16" i="15"/>
  <c r="BU267" i="2"/>
  <c r="BP10" i="15"/>
  <c r="BV270" i="2"/>
  <c r="BU270" i="4"/>
  <c r="BX267" i="4"/>
  <c r="BU269" i="4"/>
  <c r="BL17" i="15"/>
  <c r="BK45" i="4"/>
  <c r="BK19" i="15"/>
  <c r="BK20" i="15" s="1"/>
  <c r="BJ268" i="2"/>
  <c r="BI264" i="2"/>
  <c r="BX45" i="2"/>
  <c r="BJ52" i="4"/>
  <c r="BJ45" i="15"/>
  <c r="BN11" i="15"/>
  <c r="D211" i="15"/>
  <c r="D214" i="15" s="1"/>
  <c r="D219" i="15" s="1"/>
  <c r="D220" i="15" s="1"/>
  <c r="CD193" i="15"/>
  <c r="AJ52" i="8"/>
  <c r="W108" i="15"/>
  <c r="BL45" i="4" l="1"/>
  <c r="BL45" i="15" s="1"/>
  <c r="BL20" i="4"/>
  <c r="BO15" i="15"/>
  <c r="BO14" i="15"/>
  <c r="BP12" i="15"/>
  <c r="BF21" i="8"/>
  <c r="BE26" i="8"/>
  <c r="BO17" i="8"/>
  <c r="BN18" i="8"/>
  <c r="BL19" i="15"/>
  <c r="BL20" i="15" s="1"/>
  <c r="CG251" i="15"/>
  <c r="L36" i="14" s="1"/>
  <c r="X36" i="14" s="1"/>
  <c r="BM19" i="4"/>
  <c r="BM289" i="4" s="1"/>
  <c r="BO11" i="15"/>
  <c r="BX52" i="2"/>
  <c r="BK268" i="2"/>
  <c r="BJ264" i="2"/>
  <c r="BQ10" i="15"/>
  <c r="BW53" i="2"/>
  <c r="BJ188" i="15"/>
  <c r="BV269" i="4"/>
  <c r="BJ53" i="4"/>
  <c r="BJ53" i="15" s="1"/>
  <c r="BJ52" i="15"/>
  <c r="BK45" i="15"/>
  <c r="BW270" i="2"/>
  <c r="BX268" i="4"/>
  <c r="BN17" i="4"/>
  <c r="BO17" i="4" s="1"/>
  <c r="BP17" i="4" s="1"/>
  <c r="BQ17" i="4" s="1"/>
  <c r="BR17" i="4" s="1"/>
  <c r="BS17" i="4" s="1"/>
  <c r="BT17" i="4" s="1"/>
  <c r="BU17" i="4" s="1"/>
  <c r="BV17" i="4" s="1"/>
  <c r="BW17" i="4" s="1"/>
  <c r="BX17" i="4" s="1"/>
  <c r="BM17" i="15"/>
  <c r="BV270" i="4"/>
  <c r="BV267" i="2"/>
  <c r="BN16" i="4"/>
  <c r="BO16" i="4" s="1"/>
  <c r="BP16" i="4" s="1"/>
  <c r="BQ16" i="4" s="1"/>
  <c r="BR16" i="4" s="1"/>
  <c r="BS16" i="4" s="1"/>
  <c r="BT16" i="4" s="1"/>
  <c r="BU16" i="4" s="1"/>
  <c r="BV16" i="4" s="1"/>
  <c r="BW16" i="4" s="1"/>
  <c r="BX16" i="4" s="1"/>
  <c r="BM16" i="15"/>
  <c r="BN13" i="15"/>
  <c r="BJ265" i="4"/>
  <c r="BI266" i="4"/>
  <c r="BI264" i="4" s="1"/>
  <c r="BN18" i="4"/>
  <c r="BO18" i="4" s="1"/>
  <c r="BP18" i="4" s="1"/>
  <c r="BQ18" i="4" s="1"/>
  <c r="BR18" i="4" s="1"/>
  <c r="BS18" i="4" s="1"/>
  <c r="BT18" i="4" s="1"/>
  <c r="BU18" i="4" s="1"/>
  <c r="BV18" i="4" s="1"/>
  <c r="BW18" i="4" s="1"/>
  <c r="BX18" i="4" s="1"/>
  <c r="BM18" i="15"/>
  <c r="D212" i="15"/>
  <c r="CD211" i="15"/>
  <c r="AK52" i="8"/>
  <c r="X108" i="15"/>
  <c r="X84" i="15"/>
  <c r="Y60" i="8"/>
  <c r="Y61" i="8" s="1"/>
  <c r="Y82" i="8" s="1"/>
  <c r="BL52" i="4" l="1"/>
  <c r="BL52" i="15" s="1"/>
  <c r="BM19" i="15"/>
  <c r="BM20" i="15" s="1"/>
  <c r="BM20" i="4"/>
  <c r="BP15" i="15"/>
  <c r="BP14" i="15"/>
  <c r="BQ12" i="15"/>
  <c r="BP17" i="8"/>
  <c r="BO18" i="8"/>
  <c r="BG21" i="8"/>
  <c r="BF26" i="8"/>
  <c r="CD212" i="15"/>
  <c r="CD214" i="15"/>
  <c r="CD219" i="15" s="1"/>
  <c r="CD220" i="15" s="1"/>
  <c r="BM45" i="4"/>
  <c r="BM52" i="4" s="1"/>
  <c r="CH251" i="15"/>
  <c r="BN18" i="15"/>
  <c r="BN16" i="15"/>
  <c r="BN19" i="4"/>
  <c r="BK188" i="15"/>
  <c r="BW270" i="4"/>
  <c r="BW269" i="4"/>
  <c r="BO13" i="15"/>
  <c r="BJ193" i="15"/>
  <c r="BR10" i="15"/>
  <c r="BL268" i="2"/>
  <c r="BK264" i="2"/>
  <c r="BK265" i="4"/>
  <c r="BJ266" i="4"/>
  <c r="BW267" i="2"/>
  <c r="BN17" i="15"/>
  <c r="BX270" i="2"/>
  <c r="BL188" i="15"/>
  <c r="BL193" i="15" s="1"/>
  <c r="BX53" i="2"/>
  <c r="BP11" i="15"/>
  <c r="Z85" i="4"/>
  <c r="Y72" i="15"/>
  <c r="Y79" i="15"/>
  <c r="Z99" i="4"/>
  <c r="Z113" i="4"/>
  <c r="Y111" i="15"/>
  <c r="Y80" i="15"/>
  <c r="AL52" i="8"/>
  <c r="Y108" i="15"/>
  <c r="Y84" i="15"/>
  <c r="BL53" i="4" l="1"/>
  <c r="BL53" i="15" s="1"/>
  <c r="BN20" i="4"/>
  <c r="BN289" i="4"/>
  <c r="BQ15" i="15"/>
  <c r="BQ14" i="15"/>
  <c r="BR12" i="15"/>
  <c r="BM45" i="15"/>
  <c r="BM188" i="15" s="1"/>
  <c r="BP18" i="8"/>
  <c r="BQ17" i="8"/>
  <c r="BH21" i="8"/>
  <c r="BG26" i="8"/>
  <c r="N36" i="14"/>
  <c r="Z36" i="14" s="1"/>
  <c r="N15" i="14"/>
  <c r="Z15" i="14" s="1"/>
  <c r="CI251" i="15"/>
  <c r="BM268" i="2"/>
  <c r="BL264" i="2"/>
  <c r="BS10" i="15"/>
  <c r="BX269" i="4"/>
  <c r="BX270" i="4"/>
  <c r="BO16" i="15"/>
  <c r="BP13" i="15"/>
  <c r="BX267" i="2"/>
  <c r="BK266" i="4"/>
  <c r="BK264" i="4" s="1"/>
  <c r="BL265" i="4"/>
  <c r="BN45" i="4"/>
  <c r="BN19" i="15"/>
  <c r="BN20" i="15" s="1"/>
  <c r="BO18" i="15"/>
  <c r="BQ11" i="15"/>
  <c r="BM53" i="4"/>
  <c r="BM53" i="15" s="1"/>
  <c r="BM52" i="15"/>
  <c r="BO17" i="15"/>
  <c r="BJ264" i="4"/>
  <c r="BO19" i="4"/>
  <c r="Z79" i="15"/>
  <c r="Z72" i="15"/>
  <c r="Z80" i="15"/>
  <c r="Z99" i="2"/>
  <c r="Z85" i="2"/>
  <c r="Z113" i="2"/>
  <c r="AB94" i="4"/>
  <c r="AB137" i="4"/>
  <c r="AB136" i="4"/>
  <c r="AB135" i="4"/>
  <c r="AB134" i="4"/>
  <c r="AB122" i="4"/>
  <c r="AB121" i="4"/>
  <c r="AB112" i="4"/>
  <c r="AB133" i="4"/>
  <c r="AB132" i="4"/>
  <c r="AB138" i="4"/>
  <c r="AB111" i="4"/>
  <c r="AB110" i="4"/>
  <c r="AB84" i="4"/>
  <c r="AB80" i="4"/>
  <c r="AB59" i="4"/>
  <c r="AB103" i="4"/>
  <c r="AB102" i="4"/>
  <c r="AB131" i="4"/>
  <c r="AB128" i="4"/>
  <c r="AB127" i="4"/>
  <c r="AB109" i="4"/>
  <c r="AB108" i="4"/>
  <c r="AB83" i="4"/>
  <c r="AB79" i="4"/>
  <c r="AB78" i="4"/>
  <c r="AB126" i="4"/>
  <c r="AB82" i="4"/>
  <c r="AB69" i="4"/>
  <c r="AB101" i="4"/>
  <c r="AB95" i="4"/>
  <c r="AB159" i="4"/>
  <c r="AB81" i="4"/>
  <c r="AB125" i="4"/>
  <c r="AB107" i="4"/>
  <c r="AB77" i="4"/>
  <c r="AB105" i="4"/>
  <c r="AB98" i="4"/>
  <c r="AB72" i="4"/>
  <c r="AB70" i="4"/>
  <c r="AB68" i="4"/>
  <c r="AB104" i="4"/>
  <c r="AB76" i="4"/>
  <c r="AB71" i="4"/>
  <c r="Z111" i="15"/>
  <c r="AM52" i="8"/>
  <c r="Z108" i="15"/>
  <c r="Z84" i="15"/>
  <c r="AC129" i="4"/>
  <c r="BO20" i="4" l="1"/>
  <c r="BO289" i="4"/>
  <c r="BR15" i="15"/>
  <c r="BR14" i="15"/>
  <c r="BS12" i="15"/>
  <c r="BR17" i="8"/>
  <c r="BQ18" i="8"/>
  <c r="BI21" i="8"/>
  <c r="BH26" i="8"/>
  <c r="P36" i="14"/>
  <c r="AB36" i="14" s="1"/>
  <c r="CJ251" i="15"/>
  <c r="BQ13" i="15"/>
  <c r="BT10" i="15"/>
  <c r="BR11" i="15"/>
  <c r="BN52" i="4"/>
  <c r="BN45" i="15"/>
  <c r="BL266" i="4"/>
  <c r="BL264" i="4" s="1"/>
  <c r="BM265" i="4"/>
  <c r="BM193" i="15"/>
  <c r="BP16" i="15"/>
  <c r="BP17" i="15"/>
  <c r="BP19" i="4"/>
  <c r="BN268" i="2"/>
  <c r="BM264" i="2"/>
  <c r="BO45" i="4"/>
  <c r="BO19" i="15"/>
  <c r="BO20" i="15" s="1"/>
  <c r="BP18" i="15"/>
  <c r="AB85" i="4"/>
  <c r="AA85" i="2"/>
  <c r="AA79" i="15"/>
  <c r="AA111" i="15"/>
  <c r="AC133" i="4"/>
  <c r="AC132" i="4"/>
  <c r="AC103" i="4"/>
  <c r="AC102" i="4"/>
  <c r="AC159" i="4"/>
  <c r="AC131" i="4"/>
  <c r="AC128" i="4"/>
  <c r="AC127" i="4"/>
  <c r="AC137" i="4"/>
  <c r="AC136" i="4"/>
  <c r="AC135" i="4"/>
  <c r="AC134" i="4"/>
  <c r="AC109" i="4"/>
  <c r="AC108" i="4"/>
  <c r="AC83" i="4"/>
  <c r="AC79" i="4"/>
  <c r="AC78" i="4"/>
  <c r="AC101" i="4"/>
  <c r="AC95" i="4"/>
  <c r="AC126" i="4"/>
  <c r="AC125" i="4"/>
  <c r="AC107" i="4"/>
  <c r="AC82" i="4"/>
  <c r="AC77" i="4"/>
  <c r="AC122" i="4"/>
  <c r="AC112" i="4"/>
  <c r="AC81" i="4"/>
  <c r="AC111" i="4"/>
  <c r="AC110" i="4"/>
  <c r="AC80" i="4"/>
  <c r="AC121" i="4"/>
  <c r="AC105" i="4"/>
  <c r="AC104" i="4"/>
  <c r="AC98" i="4"/>
  <c r="AC76" i="4"/>
  <c r="AC73" i="4"/>
  <c r="AC72" i="4"/>
  <c r="AC71" i="4"/>
  <c r="AC70" i="4"/>
  <c r="AC69" i="4"/>
  <c r="AC68" i="4"/>
  <c r="AC94" i="4"/>
  <c r="AC84" i="4"/>
  <c r="AC59" i="4"/>
  <c r="AC138" i="4"/>
  <c r="AB99" i="4"/>
  <c r="AA80" i="15"/>
  <c r="AA72" i="15"/>
  <c r="AA99" i="2"/>
  <c r="AB94" i="2"/>
  <c r="AB137" i="2"/>
  <c r="AB136" i="2"/>
  <c r="AB135" i="2"/>
  <c r="AB134" i="2"/>
  <c r="AB122" i="2"/>
  <c r="AB121" i="2"/>
  <c r="AB112" i="2"/>
  <c r="AB133" i="2"/>
  <c r="AB132" i="2"/>
  <c r="AB101" i="2"/>
  <c r="AB95" i="2"/>
  <c r="AB126" i="2"/>
  <c r="AB125" i="2"/>
  <c r="AB111" i="2"/>
  <c r="AB110" i="2"/>
  <c r="AB84" i="2"/>
  <c r="AB80" i="2"/>
  <c r="AB59" i="2"/>
  <c r="AB159" i="2"/>
  <c r="AB109" i="2"/>
  <c r="AB108" i="2"/>
  <c r="AB83" i="2"/>
  <c r="AB79" i="2"/>
  <c r="AB78" i="2"/>
  <c r="AB103" i="2"/>
  <c r="AB107" i="2"/>
  <c r="AB77" i="2"/>
  <c r="AB131" i="2"/>
  <c r="AB105" i="2"/>
  <c r="AB104" i="2"/>
  <c r="AB98" i="2"/>
  <c r="AB76" i="2"/>
  <c r="AB72" i="2"/>
  <c r="AB71" i="2"/>
  <c r="AB70" i="2"/>
  <c r="AB69" i="2"/>
  <c r="AB68" i="2"/>
  <c r="AB102" i="2"/>
  <c r="AB138" i="2"/>
  <c r="AB82" i="2"/>
  <c r="AB81" i="2"/>
  <c r="AB128" i="2"/>
  <c r="AB113" i="4"/>
  <c r="AA113" i="2"/>
  <c r="AN52" i="8"/>
  <c r="AA108" i="15"/>
  <c r="AA84" i="15"/>
  <c r="AD129" i="4"/>
  <c r="F73" i="8"/>
  <c r="F49" i="8"/>
  <c r="F42" i="8"/>
  <c r="F26" i="8"/>
  <c r="F18" i="8"/>
  <c r="F14" i="8"/>
  <c r="F5" i="8"/>
  <c r="BP20" i="4" l="1"/>
  <c r="BP289" i="4"/>
  <c r="BS15" i="15"/>
  <c r="BS14" i="15"/>
  <c r="BT12" i="15"/>
  <c r="BJ21" i="8"/>
  <c r="BI26" i="8"/>
  <c r="BR18" i="8"/>
  <c r="BS17" i="8"/>
  <c r="R36" i="14"/>
  <c r="AD36" i="14" s="1"/>
  <c r="BQ18" i="15"/>
  <c r="BO268" i="2"/>
  <c r="BN264" i="2"/>
  <c r="BP45" i="4"/>
  <c r="BP19" i="15"/>
  <c r="BP20" i="15" s="1"/>
  <c r="BN188" i="15"/>
  <c r="BS11" i="15"/>
  <c r="BQ16" i="15"/>
  <c r="BQ19" i="4"/>
  <c r="BN53" i="4"/>
  <c r="BN53" i="15" s="1"/>
  <c r="BN52" i="15"/>
  <c r="BR13" i="15"/>
  <c r="BO52" i="4"/>
  <c r="BO45" i="15"/>
  <c r="BQ17" i="15"/>
  <c r="BN265" i="4"/>
  <c r="BM266" i="4"/>
  <c r="BM264" i="4" s="1"/>
  <c r="BU10" i="15"/>
  <c r="AB72" i="15"/>
  <c r="AC99" i="4"/>
  <c r="AD103" i="4"/>
  <c r="AD102" i="4"/>
  <c r="AD159" i="4"/>
  <c r="AD131" i="4"/>
  <c r="AD128" i="4"/>
  <c r="AD127" i="4"/>
  <c r="AD101" i="4"/>
  <c r="AD95" i="4"/>
  <c r="AD138" i="4"/>
  <c r="AD126" i="4"/>
  <c r="AD125" i="4"/>
  <c r="AD133" i="4"/>
  <c r="AD132" i="4"/>
  <c r="AD107" i="4"/>
  <c r="AD82" i="4"/>
  <c r="AD77" i="4"/>
  <c r="AD94" i="4"/>
  <c r="AD122" i="4"/>
  <c r="AD121" i="4"/>
  <c r="AD112" i="4"/>
  <c r="AD105" i="4"/>
  <c r="AD104" i="4"/>
  <c r="AD98" i="4"/>
  <c r="AD81" i="4"/>
  <c r="AD76" i="4"/>
  <c r="AD73" i="4"/>
  <c r="AD72" i="4"/>
  <c r="AD71" i="4"/>
  <c r="AD70" i="4"/>
  <c r="AD69" i="4"/>
  <c r="AD68" i="4"/>
  <c r="AD111" i="4"/>
  <c r="AD110" i="4"/>
  <c r="AD80" i="4"/>
  <c r="AD137" i="4"/>
  <c r="AD135" i="4"/>
  <c r="AD109" i="4"/>
  <c r="AD108" i="4"/>
  <c r="AD79" i="4"/>
  <c r="AD78" i="4"/>
  <c r="AD84" i="4"/>
  <c r="AD59" i="4"/>
  <c r="AD136" i="4"/>
  <c r="AD134" i="4"/>
  <c r="AD83" i="4"/>
  <c r="AB85" i="2"/>
  <c r="AB111" i="15"/>
  <c r="AB113" i="2"/>
  <c r="AC113" i="4"/>
  <c r="AC133" i="2"/>
  <c r="AC132" i="2"/>
  <c r="AO132" i="2" s="1"/>
  <c r="AC103" i="2"/>
  <c r="AC102" i="2"/>
  <c r="AC159" i="2"/>
  <c r="AC131" i="2"/>
  <c r="AC128" i="2"/>
  <c r="AO128" i="2" s="1"/>
  <c r="AC94" i="2"/>
  <c r="AC122" i="2"/>
  <c r="AC121" i="2"/>
  <c r="AC112" i="2"/>
  <c r="AC109" i="2"/>
  <c r="AC108" i="2"/>
  <c r="AC83" i="2"/>
  <c r="AO83" i="2" s="1"/>
  <c r="AC79" i="2"/>
  <c r="AO79" i="2" s="1"/>
  <c r="AC78" i="2"/>
  <c r="AO78" i="2" s="1"/>
  <c r="AC138" i="2"/>
  <c r="AO138" i="2" s="1"/>
  <c r="AC107" i="2"/>
  <c r="AC82" i="2"/>
  <c r="AO82" i="2" s="1"/>
  <c r="AC77" i="2"/>
  <c r="AO77" i="2" s="1"/>
  <c r="AC101" i="2"/>
  <c r="AC95" i="2"/>
  <c r="AC137" i="2"/>
  <c r="AO137" i="2" s="1"/>
  <c r="AC135" i="2"/>
  <c r="AO135" i="2" s="1"/>
  <c r="AC105" i="2"/>
  <c r="AC104" i="2"/>
  <c r="AC98" i="2"/>
  <c r="AC76" i="2"/>
  <c r="AO76" i="2" s="1"/>
  <c r="AC73" i="2"/>
  <c r="AO73" i="2" s="1"/>
  <c r="AC72" i="2"/>
  <c r="AO72" i="2" s="1"/>
  <c r="AC71" i="2"/>
  <c r="AO71" i="2" s="1"/>
  <c r="AC70" i="2"/>
  <c r="AC69" i="2"/>
  <c r="AO69" i="2" s="1"/>
  <c r="AC68" i="2"/>
  <c r="AO68" i="2" s="1"/>
  <c r="AC125" i="2"/>
  <c r="AC84" i="2"/>
  <c r="AO84" i="2" s="1"/>
  <c r="AC59" i="2"/>
  <c r="AC136" i="2"/>
  <c r="AO136" i="2" s="1"/>
  <c r="AC134" i="2"/>
  <c r="AO134" i="2" s="1"/>
  <c r="AC81" i="2"/>
  <c r="AO81" i="2" s="1"/>
  <c r="AC126" i="2"/>
  <c r="AO126" i="2" s="1"/>
  <c r="AC111" i="2"/>
  <c r="AC110" i="2"/>
  <c r="AC80" i="2"/>
  <c r="AO80" i="2" s="1"/>
  <c r="AB99" i="2"/>
  <c r="AB80" i="15"/>
  <c r="AC85" i="4"/>
  <c r="AB79" i="15"/>
  <c r="AO52" i="8"/>
  <c r="AP52" i="8" s="1"/>
  <c r="AQ52" i="8" s="1"/>
  <c r="AR52" i="8" s="1"/>
  <c r="AS52" i="8" s="1"/>
  <c r="AT52" i="8" s="1"/>
  <c r="AU52" i="8" s="1"/>
  <c r="AV52" i="8" s="1"/>
  <c r="AW52" i="8" s="1"/>
  <c r="AX52" i="8" s="1"/>
  <c r="AY52" i="8" s="1"/>
  <c r="AZ52" i="8" s="1"/>
  <c r="BA52" i="8" s="1"/>
  <c r="BB52" i="8" s="1"/>
  <c r="BC52" i="8" s="1"/>
  <c r="BD52" i="8" s="1"/>
  <c r="BE52" i="8" s="1"/>
  <c r="BF52" i="8" s="1"/>
  <c r="BG52" i="8" s="1"/>
  <c r="BH52" i="8" s="1"/>
  <c r="BI52" i="8" s="1"/>
  <c r="BJ52" i="8" s="1"/>
  <c r="BK52" i="8" s="1"/>
  <c r="BL52" i="8" s="1"/>
  <c r="BM52" i="8" s="1"/>
  <c r="BN52" i="8" s="1"/>
  <c r="BO52" i="8" s="1"/>
  <c r="BP52" i="8" s="1"/>
  <c r="BQ52" i="8" s="1"/>
  <c r="BR52" i="8" s="1"/>
  <c r="BS52" i="8" s="1"/>
  <c r="BT52" i="8" s="1"/>
  <c r="BU52" i="8" s="1"/>
  <c r="BV52" i="8" s="1"/>
  <c r="BW52" i="8" s="1"/>
  <c r="BX52" i="8" s="1"/>
  <c r="BY52" i="8" s="1"/>
  <c r="F4" i="8"/>
  <c r="F27" i="8"/>
  <c r="AE129" i="4"/>
  <c r="AB108" i="15"/>
  <c r="AB84" i="15"/>
  <c r="E73" i="8"/>
  <c r="E49" i="8"/>
  <c r="E42" i="8"/>
  <c r="E38" i="8"/>
  <c r="E26" i="8"/>
  <c r="E18" i="8"/>
  <c r="E14" i="8"/>
  <c r="D49" i="8"/>
  <c r="D14" i="8"/>
  <c r="D42" i="8"/>
  <c r="D38" i="8"/>
  <c r="D73" i="8"/>
  <c r="D26" i="8"/>
  <c r="D18" i="8"/>
  <c r="G5" i="8"/>
  <c r="J135" i="2"/>
  <c r="I135" i="2"/>
  <c r="J132" i="2"/>
  <c r="I132" i="2"/>
  <c r="I131" i="2"/>
  <c r="J132" i="4"/>
  <c r="J140" i="4" s="1"/>
  <c r="I132" i="4"/>
  <c r="I131" i="4"/>
  <c r="I98" i="2"/>
  <c r="J83" i="4"/>
  <c r="J83" i="2"/>
  <c r="J81" i="2"/>
  <c r="I73" i="15"/>
  <c r="K62" i="4"/>
  <c r="K74" i="4" s="1"/>
  <c r="K141" i="4" s="1"/>
  <c r="K166" i="4" s="1"/>
  <c r="J62" i="4"/>
  <c r="K62" i="2"/>
  <c r="K74" i="2" s="1"/>
  <c r="K141" i="2" s="1"/>
  <c r="K166" i="2" s="1"/>
  <c r="J62" i="2"/>
  <c r="J57" i="4"/>
  <c r="J57" i="2"/>
  <c r="K23" i="2"/>
  <c r="K173" i="2" s="1"/>
  <c r="K176" i="2" s="1"/>
  <c r="K23" i="4"/>
  <c r="J39" i="4"/>
  <c r="H71" i="4"/>
  <c r="H173" i="4" s="1"/>
  <c r="H176" i="4" s="1"/>
  <c r="H71" i="2"/>
  <c r="G131" i="4"/>
  <c r="G131" i="2"/>
  <c r="G45" i="2"/>
  <c r="I46" i="4"/>
  <c r="G46" i="4"/>
  <c r="BQ20" i="4" l="1"/>
  <c r="BQ289" i="4"/>
  <c r="BT15" i="15"/>
  <c r="BT14" i="15"/>
  <c r="BU12" i="15"/>
  <c r="BK21" i="8"/>
  <c r="BJ26" i="8"/>
  <c r="BT17" i="8"/>
  <c r="BS18" i="8"/>
  <c r="BV10" i="15"/>
  <c r="BO53" i="4"/>
  <c r="BO53" i="15" s="1"/>
  <c r="BO52" i="15"/>
  <c r="BR16" i="15"/>
  <c r="BR19" i="4"/>
  <c r="BT11" i="15"/>
  <c r="BP52" i="4"/>
  <c r="BP45" i="15"/>
  <c r="BR18" i="15"/>
  <c r="BR17" i="15"/>
  <c r="BQ45" i="4"/>
  <c r="BQ19" i="15"/>
  <c r="BQ20" i="15" s="1"/>
  <c r="BO265" i="4"/>
  <c r="BN266" i="4"/>
  <c r="BN264" i="4" s="1"/>
  <c r="BO188" i="15"/>
  <c r="BO193" i="15" s="1"/>
  <c r="BS13" i="15"/>
  <c r="BN193" i="15"/>
  <c r="BP268" i="2"/>
  <c r="BO264" i="2"/>
  <c r="I173" i="4"/>
  <c r="I176" i="4" s="1"/>
  <c r="AC108" i="15"/>
  <c r="AC84" i="15"/>
  <c r="AD99" i="4"/>
  <c r="AC72" i="15"/>
  <c r="AC79" i="15"/>
  <c r="AC113" i="2"/>
  <c r="AC111" i="15"/>
  <c r="AC80" i="15"/>
  <c r="AC85" i="2"/>
  <c r="AD85" i="4"/>
  <c r="AD113" i="4"/>
  <c r="AD103" i="2"/>
  <c r="AD102" i="2"/>
  <c r="AD159" i="2"/>
  <c r="AD131" i="2"/>
  <c r="AD128" i="2"/>
  <c r="AP128" i="2" s="1"/>
  <c r="AD101" i="2"/>
  <c r="AD95" i="2"/>
  <c r="AD138" i="2"/>
  <c r="AP138" i="2" s="1"/>
  <c r="AD126" i="2"/>
  <c r="AP126" i="2" s="1"/>
  <c r="AD125" i="2"/>
  <c r="AD107" i="2"/>
  <c r="AD82" i="2"/>
  <c r="AP82" i="2" s="1"/>
  <c r="AD77" i="2"/>
  <c r="AP77" i="2" s="1"/>
  <c r="AD137" i="2"/>
  <c r="AP137" i="2" s="1"/>
  <c r="AD136" i="2"/>
  <c r="AP136" i="2" s="1"/>
  <c r="AD135" i="2"/>
  <c r="AP135" i="2" s="1"/>
  <c r="AD134" i="2"/>
  <c r="AP134" i="2" s="1"/>
  <c r="AD105" i="2"/>
  <c r="AD104" i="2"/>
  <c r="AD98" i="2"/>
  <c r="AD81" i="2"/>
  <c r="AP81" i="2" s="1"/>
  <c r="AD76" i="2"/>
  <c r="AP76" i="2" s="1"/>
  <c r="AD73" i="2"/>
  <c r="AP73" i="2" s="1"/>
  <c r="AD72" i="2"/>
  <c r="AP72" i="2" s="1"/>
  <c r="AD71" i="2"/>
  <c r="AP71" i="2" s="1"/>
  <c r="AD70" i="2"/>
  <c r="AD69" i="2"/>
  <c r="AP69" i="2" s="1"/>
  <c r="AD68" i="2"/>
  <c r="AP68" i="2" s="1"/>
  <c r="AD133" i="2"/>
  <c r="AD84" i="2"/>
  <c r="AP84" i="2" s="1"/>
  <c r="AD59" i="2"/>
  <c r="AD121" i="2"/>
  <c r="AD83" i="2"/>
  <c r="AP83" i="2" s="1"/>
  <c r="AD94" i="2"/>
  <c r="AD132" i="2"/>
  <c r="AP132" i="2" s="1"/>
  <c r="AD111" i="2"/>
  <c r="AD110" i="2"/>
  <c r="AD80" i="2"/>
  <c r="AP80" i="2" s="1"/>
  <c r="AD112" i="2"/>
  <c r="AD108" i="2"/>
  <c r="AD79" i="2"/>
  <c r="AP79" i="2" s="1"/>
  <c r="AD122" i="2"/>
  <c r="AD109" i="2"/>
  <c r="AD78" i="2"/>
  <c r="AP78" i="2" s="1"/>
  <c r="AE101" i="4"/>
  <c r="AE95" i="4"/>
  <c r="AE138" i="4"/>
  <c r="AE126" i="4"/>
  <c r="AE125" i="4"/>
  <c r="AE94" i="4"/>
  <c r="AE137" i="4"/>
  <c r="AE136" i="4"/>
  <c r="AE135" i="4"/>
  <c r="AE134" i="4"/>
  <c r="AE122" i="4"/>
  <c r="AE121" i="4"/>
  <c r="AE112" i="4"/>
  <c r="AE103" i="4"/>
  <c r="AE102" i="4"/>
  <c r="AE131" i="4"/>
  <c r="AE128" i="4"/>
  <c r="AE127" i="4"/>
  <c r="AE105" i="4"/>
  <c r="AE104" i="4"/>
  <c r="AE98" i="4"/>
  <c r="AE81" i="4"/>
  <c r="AE76" i="4"/>
  <c r="AE72" i="4"/>
  <c r="AE71" i="4"/>
  <c r="AE70" i="4"/>
  <c r="AE69" i="4"/>
  <c r="AE68" i="4"/>
  <c r="AE111" i="4"/>
  <c r="AE110" i="4"/>
  <c r="AE84" i="4"/>
  <c r="AE80" i="4"/>
  <c r="AE59" i="4"/>
  <c r="AE159" i="4"/>
  <c r="AE109" i="4"/>
  <c r="AE108" i="4"/>
  <c r="AE79" i="4"/>
  <c r="AE78" i="4"/>
  <c r="AE133" i="4"/>
  <c r="AE107" i="4"/>
  <c r="AE77" i="4"/>
  <c r="AE83" i="4"/>
  <c r="AE82" i="4"/>
  <c r="AE132" i="4"/>
  <c r="AC99" i="2"/>
  <c r="K173" i="4"/>
  <c r="K176" i="4" s="1"/>
  <c r="J173" i="4"/>
  <c r="J176" i="4" s="1"/>
  <c r="I173" i="2"/>
  <c r="I176" i="2" s="1"/>
  <c r="G259" i="2"/>
  <c r="I140" i="4"/>
  <c r="I141" i="4" s="1"/>
  <c r="I166" i="4" s="1"/>
  <c r="G52" i="2"/>
  <c r="G53" i="2" s="1"/>
  <c r="E83" i="8"/>
  <c r="D27" i="8"/>
  <c r="D43" i="8" s="1"/>
  <c r="E27" i="8"/>
  <c r="E43" i="8" s="1"/>
  <c r="E78" i="8" s="1"/>
  <c r="I140" i="2"/>
  <c r="G132" i="4"/>
  <c r="H74" i="4"/>
  <c r="H141" i="4" s="1"/>
  <c r="H166" i="4" s="1"/>
  <c r="J140" i="2"/>
  <c r="G45" i="4"/>
  <c r="G132" i="2"/>
  <c r="G173" i="2" s="1"/>
  <c r="G176" i="2" s="1"/>
  <c r="J52" i="4"/>
  <c r="J53" i="4" s="1"/>
  <c r="J74" i="4"/>
  <c r="J85" i="4"/>
  <c r="K52" i="4"/>
  <c r="K53" i="4" s="1"/>
  <c r="K167" i="4" s="1"/>
  <c r="I99" i="2"/>
  <c r="I52" i="4"/>
  <c r="I53" i="4" s="1"/>
  <c r="H74" i="2"/>
  <c r="K52" i="2"/>
  <c r="K53" i="2" s="1"/>
  <c r="K167" i="2" s="1"/>
  <c r="K174" i="2" s="1"/>
  <c r="J85" i="2"/>
  <c r="AF129" i="4"/>
  <c r="G4" i="8"/>
  <c r="H5" i="8"/>
  <c r="K46" i="15"/>
  <c r="J46" i="15"/>
  <c r="I46" i="15"/>
  <c r="H46" i="15"/>
  <c r="G46" i="15"/>
  <c r="F46" i="15"/>
  <c r="E46" i="15"/>
  <c r="B46" i="2"/>
  <c r="B46" i="4"/>
  <c r="A46" i="2"/>
  <c r="AK46" i="2" s="1"/>
  <c r="AW46" i="2" s="1"/>
  <c r="A46" i="4"/>
  <c r="AK46" i="4" l="1"/>
  <c r="AW46" i="4" s="1"/>
  <c r="BI46" i="4" s="1"/>
  <c r="BU46" i="4" s="1"/>
  <c r="AM46" i="4"/>
  <c r="AY46" i="4" s="1"/>
  <c r="BI46" i="2"/>
  <c r="AW46" i="15"/>
  <c r="BR20" i="4"/>
  <c r="BR289" i="4"/>
  <c r="BU15" i="15"/>
  <c r="BU14" i="15"/>
  <c r="BV12" i="15"/>
  <c r="BT18" i="8"/>
  <c r="BU17" i="8"/>
  <c r="BL21" i="8"/>
  <c r="BK26" i="8"/>
  <c r="BR45" i="4"/>
  <c r="BR19" i="15"/>
  <c r="BR20" i="15" s="1"/>
  <c r="BW10" i="15"/>
  <c r="BQ268" i="2"/>
  <c r="BP264" i="2"/>
  <c r="BT13" i="15"/>
  <c r="BS17" i="15"/>
  <c r="BS18" i="15"/>
  <c r="BP188" i="15"/>
  <c r="BP193" i="15" s="1"/>
  <c r="BS16" i="15"/>
  <c r="BS19" i="4"/>
  <c r="BO266" i="4"/>
  <c r="BP265" i="4"/>
  <c r="BQ52" i="4"/>
  <c r="BQ45" i="15"/>
  <c r="BP53" i="4"/>
  <c r="BP53" i="15" s="1"/>
  <c r="BP52" i="15"/>
  <c r="BU11" i="15"/>
  <c r="AD84" i="15"/>
  <c r="AD108" i="15"/>
  <c r="AD111" i="15"/>
  <c r="AD72" i="15"/>
  <c r="AD99" i="2"/>
  <c r="AF94" i="4"/>
  <c r="AF137" i="4"/>
  <c r="AF136" i="4"/>
  <c r="AF135" i="4"/>
  <c r="AF134" i="4"/>
  <c r="AF122" i="4"/>
  <c r="AF121" i="4"/>
  <c r="AF112" i="4"/>
  <c r="AF133" i="4"/>
  <c r="AF132" i="4"/>
  <c r="AF101" i="4"/>
  <c r="AF95" i="4"/>
  <c r="AF126" i="4"/>
  <c r="AF125" i="4"/>
  <c r="AF111" i="4"/>
  <c r="AF110" i="4"/>
  <c r="AF84" i="4"/>
  <c r="AF80" i="4"/>
  <c r="AF59" i="4"/>
  <c r="AF159" i="4"/>
  <c r="AF109" i="4"/>
  <c r="AF108" i="4"/>
  <c r="AF83" i="4"/>
  <c r="AF79" i="4"/>
  <c r="AF78" i="4"/>
  <c r="AF103" i="4"/>
  <c r="AF107" i="4"/>
  <c r="AF77" i="4"/>
  <c r="AF131" i="4"/>
  <c r="AF127" i="4"/>
  <c r="AF105" i="4"/>
  <c r="AF104" i="4"/>
  <c r="AF98" i="4"/>
  <c r="AF76" i="4"/>
  <c r="AF73" i="4"/>
  <c r="AF72" i="4"/>
  <c r="AF71" i="4"/>
  <c r="AF70" i="4"/>
  <c r="AF69" i="4"/>
  <c r="AF68" i="4"/>
  <c r="AF102" i="4"/>
  <c r="AF138" i="4"/>
  <c r="AF82" i="4"/>
  <c r="AF128" i="4"/>
  <c r="AF81" i="4"/>
  <c r="AE85" i="4"/>
  <c r="AD113" i="2"/>
  <c r="AE101" i="2"/>
  <c r="AE95" i="2"/>
  <c r="AE138" i="2"/>
  <c r="AQ138" i="2" s="1"/>
  <c r="AE126" i="2"/>
  <c r="AQ126" i="2" s="1"/>
  <c r="AE125" i="2"/>
  <c r="AE94" i="2"/>
  <c r="AE137" i="2"/>
  <c r="AQ137" i="2" s="1"/>
  <c r="AE136" i="2"/>
  <c r="AQ136" i="2" s="1"/>
  <c r="AE135" i="2"/>
  <c r="AQ135" i="2" s="1"/>
  <c r="AE134" i="2"/>
  <c r="AQ134" i="2" s="1"/>
  <c r="AE122" i="2"/>
  <c r="AE121" i="2"/>
  <c r="AE112" i="2"/>
  <c r="AE159" i="2"/>
  <c r="AE105" i="2"/>
  <c r="AE104" i="2"/>
  <c r="AE98" i="2"/>
  <c r="AE81" i="2"/>
  <c r="AQ81" i="2" s="1"/>
  <c r="AE76" i="2"/>
  <c r="AQ76" i="2" s="1"/>
  <c r="AE72" i="2"/>
  <c r="AQ72" i="2" s="1"/>
  <c r="AE71" i="2"/>
  <c r="AQ71" i="2" s="1"/>
  <c r="AE70" i="2"/>
  <c r="AE69" i="2"/>
  <c r="AQ69" i="2" s="1"/>
  <c r="AE68" i="2"/>
  <c r="AQ68" i="2" s="1"/>
  <c r="AE133" i="2"/>
  <c r="AE132" i="2"/>
  <c r="AQ132" i="2" s="1"/>
  <c r="AE111" i="2"/>
  <c r="AE110" i="2"/>
  <c r="AE84" i="2"/>
  <c r="AQ84" i="2" s="1"/>
  <c r="AE80" i="2"/>
  <c r="AQ80" i="2" s="1"/>
  <c r="AE59" i="2"/>
  <c r="AE131" i="2"/>
  <c r="AE83" i="2"/>
  <c r="AQ83" i="2" s="1"/>
  <c r="AE102" i="2"/>
  <c r="AE82" i="2"/>
  <c r="AQ82" i="2" s="1"/>
  <c r="AE128" i="2"/>
  <c r="AQ128" i="2" s="1"/>
  <c r="AE109" i="2"/>
  <c r="AE108" i="2"/>
  <c r="AE79" i="2"/>
  <c r="AQ79" i="2" s="1"/>
  <c r="AE78" i="2"/>
  <c r="AQ78" i="2" s="1"/>
  <c r="AE103" i="2"/>
  <c r="AE107" i="2"/>
  <c r="AE77" i="2"/>
  <c r="AQ77" i="2" s="1"/>
  <c r="AE99" i="4"/>
  <c r="AD80" i="15"/>
  <c r="AE113" i="4"/>
  <c r="AD79" i="15"/>
  <c r="AD85" i="2"/>
  <c r="G259" i="4"/>
  <c r="G173" i="4"/>
  <c r="G176" i="4" s="1"/>
  <c r="P46" i="15"/>
  <c r="P189" i="15" s="1"/>
  <c r="K174" i="4"/>
  <c r="I167" i="4"/>
  <c r="I174" i="4" s="1"/>
  <c r="I141" i="2"/>
  <c r="H167" i="4"/>
  <c r="H174" i="4" s="1"/>
  <c r="D78" i="8"/>
  <c r="G140" i="2"/>
  <c r="G141" i="2" s="1"/>
  <c r="G166" i="2" s="1"/>
  <c r="J141" i="4"/>
  <c r="AG129" i="4"/>
  <c r="G140" i="4"/>
  <c r="G141" i="4" s="1"/>
  <c r="G166" i="4" s="1"/>
  <c r="G52" i="4"/>
  <c r="G53" i="4" s="1"/>
  <c r="G53" i="15" s="1"/>
  <c r="N46" i="15"/>
  <c r="N189" i="15" s="1"/>
  <c r="M46" i="15"/>
  <c r="M189" i="15" s="1"/>
  <c r="H4" i="8"/>
  <c r="I5" i="8"/>
  <c r="AN3" i="2"/>
  <c r="AM3" i="2"/>
  <c r="AL3" i="2"/>
  <c r="AK3" i="2"/>
  <c r="AJ3" i="2"/>
  <c r="AI3" i="2"/>
  <c r="AH3" i="2"/>
  <c r="AG3" i="2"/>
  <c r="AF3" i="2"/>
  <c r="AE3" i="2"/>
  <c r="AD3" i="2"/>
  <c r="AC3" i="2"/>
  <c r="AB3" i="2"/>
  <c r="AA3" i="2"/>
  <c r="Z3" i="2"/>
  <c r="Y3" i="2"/>
  <c r="X3" i="2"/>
  <c r="W3" i="2"/>
  <c r="V3" i="2"/>
  <c r="U3" i="2"/>
  <c r="T3" i="2"/>
  <c r="S3" i="2"/>
  <c r="R3" i="2"/>
  <c r="Q3" i="2"/>
  <c r="P3" i="2"/>
  <c r="O3" i="2"/>
  <c r="N3" i="2"/>
  <c r="M3" i="2"/>
  <c r="L3" i="2"/>
  <c r="K3" i="2"/>
  <c r="J3" i="2"/>
  <c r="I3" i="2"/>
  <c r="H3" i="2"/>
  <c r="G3" i="2"/>
  <c r="F3" i="2"/>
  <c r="AN3" i="4"/>
  <c r="AM3" i="4"/>
  <c r="AL3" i="4"/>
  <c r="AK3" i="4"/>
  <c r="AJ3" i="4"/>
  <c r="AI3" i="4"/>
  <c r="AH3" i="4"/>
  <c r="AG3" i="4"/>
  <c r="AF3" i="4"/>
  <c r="AE3" i="4"/>
  <c r="AD3" i="4"/>
  <c r="AC3" i="4"/>
  <c r="AB3" i="4"/>
  <c r="AA3" i="4"/>
  <c r="Z3" i="4"/>
  <c r="Y3" i="4"/>
  <c r="X3" i="4"/>
  <c r="W3" i="4"/>
  <c r="V3" i="4"/>
  <c r="U3" i="4"/>
  <c r="T3" i="4"/>
  <c r="S3" i="4"/>
  <c r="R3" i="4"/>
  <c r="Q3" i="4"/>
  <c r="P3" i="4"/>
  <c r="O3" i="4"/>
  <c r="N3" i="4"/>
  <c r="M3" i="4"/>
  <c r="L3" i="4"/>
  <c r="K3" i="4"/>
  <c r="J3" i="4"/>
  <c r="I3" i="4"/>
  <c r="H3" i="4"/>
  <c r="G3" i="4"/>
  <c r="F3" i="4"/>
  <c r="E3" i="2"/>
  <c r="E3" i="4"/>
  <c r="B251" i="2"/>
  <c r="C251" i="2" s="1"/>
  <c r="D251" i="2" s="1"/>
  <c r="E251" i="2" s="1"/>
  <c r="F251" i="2" s="1"/>
  <c r="G251" i="2" s="1"/>
  <c r="H251" i="2" s="1"/>
  <c r="I251" i="2" s="1"/>
  <c r="J251" i="2" s="1"/>
  <c r="K251" i="2" s="1"/>
  <c r="L251" i="2" s="1"/>
  <c r="M251" i="2" s="1"/>
  <c r="N251" i="2" s="1"/>
  <c r="O251" i="2" s="1"/>
  <c r="P251" i="2" s="1"/>
  <c r="Q251" i="2" s="1"/>
  <c r="R251" i="2" s="1"/>
  <c r="S251" i="2" s="1"/>
  <c r="T251" i="2" s="1"/>
  <c r="U251" i="2" s="1"/>
  <c r="V251" i="2" s="1"/>
  <c r="W251" i="2" s="1"/>
  <c r="X251" i="2" s="1"/>
  <c r="Y251" i="2" s="1"/>
  <c r="Z251" i="2" s="1"/>
  <c r="AA251" i="2" s="1"/>
  <c r="AB251" i="2" s="1"/>
  <c r="AC251" i="2" s="1"/>
  <c r="AD251" i="2" s="1"/>
  <c r="AE251" i="2" s="1"/>
  <c r="AF251" i="2" s="1"/>
  <c r="AG251" i="2" s="1"/>
  <c r="AH251" i="2" s="1"/>
  <c r="AI251" i="2" s="1"/>
  <c r="AJ251" i="2" s="1"/>
  <c r="AK251" i="2" s="1"/>
  <c r="AL251" i="2" s="1"/>
  <c r="AM251" i="2" s="1"/>
  <c r="AN251" i="2" s="1"/>
  <c r="AO251" i="2" s="1"/>
  <c r="AP251" i="2" s="1"/>
  <c r="AQ251" i="2" s="1"/>
  <c r="AR251" i="2" s="1"/>
  <c r="AS251" i="2" s="1"/>
  <c r="AT251" i="2" s="1"/>
  <c r="AU251" i="2" s="1"/>
  <c r="AV251" i="2" s="1"/>
  <c r="AW251" i="2" s="1"/>
  <c r="AX251" i="2" s="1"/>
  <c r="AY251" i="2" s="1"/>
  <c r="AZ251" i="2" s="1"/>
  <c r="BA251" i="2" s="1"/>
  <c r="BB251" i="2" s="1"/>
  <c r="BC251" i="2" s="1"/>
  <c r="BD251" i="2" s="1"/>
  <c r="BE251" i="2" s="1"/>
  <c r="BF251" i="2" s="1"/>
  <c r="BG251" i="2" s="1"/>
  <c r="BH251" i="2" s="1"/>
  <c r="BI251" i="2" s="1"/>
  <c r="BJ251" i="2" s="1"/>
  <c r="BK251" i="2" s="1"/>
  <c r="BL251" i="2" s="1"/>
  <c r="BM251" i="2" s="1"/>
  <c r="BN251" i="2" s="1"/>
  <c r="BO251" i="2" s="1"/>
  <c r="BP251" i="2" s="1"/>
  <c r="BQ251" i="2" s="1"/>
  <c r="BR251" i="2" s="1"/>
  <c r="BS251" i="2" s="1"/>
  <c r="BT251" i="2" s="1"/>
  <c r="BU251" i="2" s="1"/>
  <c r="BV251" i="2" s="1"/>
  <c r="BW251" i="2" s="1"/>
  <c r="BX251" i="2" s="1"/>
  <c r="BY251" i="2" s="1"/>
  <c r="BZ251" i="2" s="1"/>
  <c r="CA251" i="2" s="1"/>
  <c r="CB251" i="2" s="1"/>
  <c r="CC251" i="2" s="1"/>
  <c r="CD251" i="2" s="1"/>
  <c r="CE251" i="2" s="1"/>
  <c r="CF251" i="2" s="1"/>
  <c r="CG251" i="2" s="1"/>
  <c r="CH251" i="2" s="1"/>
  <c r="CI251" i="2" s="1"/>
  <c r="CJ251" i="2" s="1"/>
  <c r="B251" i="4"/>
  <c r="C251" i="4" s="1"/>
  <c r="D251" i="4" s="1"/>
  <c r="E251" i="4" s="1"/>
  <c r="F251" i="4" s="1"/>
  <c r="G251" i="4" s="1"/>
  <c r="H251" i="4" s="1"/>
  <c r="I251" i="4" s="1"/>
  <c r="J251" i="4" s="1"/>
  <c r="K251" i="4" s="1"/>
  <c r="L251" i="4" s="1"/>
  <c r="M251" i="4" s="1"/>
  <c r="N251" i="4" s="1"/>
  <c r="O251" i="4" s="1"/>
  <c r="P251" i="4" s="1"/>
  <c r="Q251" i="4" s="1"/>
  <c r="R251" i="4" s="1"/>
  <c r="S251" i="4" s="1"/>
  <c r="T251" i="4" s="1"/>
  <c r="U251" i="4" s="1"/>
  <c r="V251" i="4" s="1"/>
  <c r="W251" i="4" s="1"/>
  <c r="X251" i="4" s="1"/>
  <c r="Y251" i="4" s="1"/>
  <c r="Z251" i="4" s="1"/>
  <c r="AA251" i="4" s="1"/>
  <c r="AB251" i="4" s="1"/>
  <c r="AC251" i="4" s="1"/>
  <c r="AD251" i="4" s="1"/>
  <c r="AE251" i="4" s="1"/>
  <c r="AF251" i="4" s="1"/>
  <c r="AG251" i="4" s="1"/>
  <c r="AH251" i="4" s="1"/>
  <c r="AI251" i="4" s="1"/>
  <c r="AJ251" i="4" s="1"/>
  <c r="AK251" i="4" s="1"/>
  <c r="AL251" i="4" s="1"/>
  <c r="AM251" i="4" s="1"/>
  <c r="AN251" i="4" s="1"/>
  <c r="AO251" i="4" s="1"/>
  <c r="AP251" i="4" s="1"/>
  <c r="AQ251" i="4" s="1"/>
  <c r="AR251" i="4" s="1"/>
  <c r="AS251" i="4" s="1"/>
  <c r="AT251" i="4" s="1"/>
  <c r="AU251" i="4" s="1"/>
  <c r="AV251" i="4" s="1"/>
  <c r="AW251" i="4" s="1"/>
  <c r="AX251" i="4" s="1"/>
  <c r="AY251" i="4" s="1"/>
  <c r="AZ251" i="4" s="1"/>
  <c r="BA251" i="4" s="1"/>
  <c r="BB251" i="4" s="1"/>
  <c r="BC251" i="4" s="1"/>
  <c r="BD251" i="4" s="1"/>
  <c r="BE251" i="4" s="1"/>
  <c r="BF251" i="4" s="1"/>
  <c r="BG251" i="4" s="1"/>
  <c r="BH251" i="4" s="1"/>
  <c r="BI251" i="4" s="1"/>
  <c r="BJ251" i="4" s="1"/>
  <c r="BK251" i="4" s="1"/>
  <c r="BL251" i="4" s="1"/>
  <c r="BM251" i="4" s="1"/>
  <c r="BN251" i="4" s="1"/>
  <c r="BO251" i="4" s="1"/>
  <c r="BP251" i="4" s="1"/>
  <c r="BQ251" i="4" s="1"/>
  <c r="BR251" i="4" s="1"/>
  <c r="BS251" i="4" s="1"/>
  <c r="BT251" i="4" s="1"/>
  <c r="BU251" i="4" s="1"/>
  <c r="BV251" i="4" s="1"/>
  <c r="BW251" i="4" s="1"/>
  <c r="BX251" i="4" s="1"/>
  <c r="BY251" i="4" s="1"/>
  <c r="BZ251" i="4" s="1"/>
  <c r="CA251" i="4" s="1"/>
  <c r="CB251" i="4" s="1"/>
  <c r="CC251" i="4" s="1"/>
  <c r="CD251" i="4" s="1"/>
  <c r="CE251" i="4" s="1"/>
  <c r="CF251" i="4" s="1"/>
  <c r="CG251" i="4" s="1"/>
  <c r="CH251" i="4" s="1"/>
  <c r="CI251" i="4" s="1"/>
  <c r="CJ251" i="4" s="1"/>
  <c r="A167" i="2"/>
  <c r="A166" i="2"/>
  <c r="A163" i="2"/>
  <c r="A159" i="2"/>
  <c r="A158" i="2"/>
  <c r="A157" i="2"/>
  <c r="A156" i="2"/>
  <c r="A154" i="2"/>
  <c r="A153" i="2"/>
  <c r="A152" i="2"/>
  <c r="A151" i="2"/>
  <c r="A150" i="2"/>
  <c r="A149" i="2"/>
  <c r="A148" i="2"/>
  <c r="A147" i="2"/>
  <c r="A146" i="2"/>
  <c r="A145" i="2"/>
  <c r="A144" i="2"/>
  <c r="A143" i="2"/>
  <c r="A142" i="2"/>
  <c r="A141" i="2"/>
  <c r="A140" i="2"/>
  <c r="A139" i="2"/>
  <c r="A138" i="2"/>
  <c r="A137" i="2"/>
  <c r="A136" i="2"/>
  <c r="A135" i="2"/>
  <c r="A134" i="2"/>
  <c r="A133" i="2"/>
  <c r="A132" i="2"/>
  <c r="A131" i="2"/>
  <c r="A129" i="2"/>
  <c r="A128" i="2"/>
  <c r="A127" i="2"/>
  <c r="A126" i="2"/>
  <c r="A125" i="2"/>
  <c r="A124" i="2"/>
  <c r="A123" i="2"/>
  <c r="A122" i="2"/>
  <c r="A121" i="2"/>
  <c r="A120" i="2"/>
  <c r="A119" i="2"/>
  <c r="A118" i="2"/>
  <c r="A117" i="2"/>
  <c r="A116" i="2"/>
  <c r="A115" i="2"/>
  <c r="A114" i="2"/>
  <c r="A113" i="2"/>
  <c r="A112" i="2"/>
  <c r="A110" i="2"/>
  <c r="A109" i="2"/>
  <c r="A107" i="2"/>
  <c r="A106" i="2"/>
  <c r="AK106" i="2" s="1"/>
  <c r="AW106" i="2" s="1"/>
  <c r="BI106" i="2" s="1"/>
  <c r="BU106" i="2" s="1"/>
  <c r="A105" i="2"/>
  <c r="A104" i="2"/>
  <c r="A103" i="2"/>
  <c r="A102" i="2"/>
  <c r="A101" i="2"/>
  <c r="A100" i="2"/>
  <c r="A99" i="2"/>
  <c r="A98" i="2"/>
  <c r="A97" i="2"/>
  <c r="A96" i="2"/>
  <c r="A95" i="2"/>
  <c r="A94" i="2"/>
  <c r="A93" i="2"/>
  <c r="A92" i="2"/>
  <c r="A91" i="2"/>
  <c r="A90" i="2"/>
  <c r="A89" i="2"/>
  <c r="A88" i="2"/>
  <c r="A87" i="2"/>
  <c r="A86" i="2"/>
  <c r="A85" i="2"/>
  <c r="A83" i="2"/>
  <c r="A82" i="2"/>
  <c r="A81" i="2"/>
  <c r="A78" i="2"/>
  <c r="A77" i="2"/>
  <c r="A76" i="2"/>
  <c r="A75" i="2"/>
  <c r="A74" i="2"/>
  <c r="A73" i="2"/>
  <c r="A71" i="2"/>
  <c r="A70" i="2"/>
  <c r="A69" i="2"/>
  <c r="A68" i="2"/>
  <c r="A66" i="2"/>
  <c r="A65" i="2"/>
  <c r="A64" i="2"/>
  <c r="A63" i="2"/>
  <c r="A62" i="2"/>
  <c r="A61" i="2"/>
  <c r="A60" i="2"/>
  <c r="A59" i="2"/>
  <c r="A58" i="2"/>
  <c r="A57" i="2"/>
  <c r="A56" i="2"/>
  <c r="A55" i="2"/>
  <c r="A54" i="2"/>
  <c r="A53" i="2"/>
  <c r="A52" i="2"/>
  <c r="A51" i="2"/>
  <c r="AK51" i="2" s="1"/>
  <c r="AW51" i="2" s="1"/>
  <c r="A48" i="2"/>
  <c r="A45" i="2"/>
  <c r="A44" i="2"/>
  <c r="AK44" i="2" s="1"/>
  <c r="AW44" i="2" s="1"/>
  <c r="A42" i="2"/>
  <c r="AK42" i="2" s="1"/>
  <c r="AW42" i="2" s="1"/>
  <c r="A40" i="2"/>
  <c r="A39" i="2"/>
  <c r="AK39" i="2" s="1"/>
  <c r="AW39" i="2" s="1"/>
  <c r="A38" i="2"/>
  <c r="AK38" i="2" s="1"/>
  <c r="AW38" i="2" s="1"/>
  <c r="A36" i="2"/>
  <c r="AK36" i="2" s="1"/>
  <c r="AW36" i="2" s="1"/>
  <c r="A35" i="2"/>
  <c r="AK35" i="2" s="1"/>
  <c r="AW35" i="2" s="1"/>
  <c r="A32" i="2"/>
  <c r="A24" i="2"/>
  <c r="A23" i="2"/>
  <c r="A167" i="4"/>
  <c r="A166" i="4"/>
  <c r="A163" i="4"/>
  <c r="A159" i="4"/>
  <c r="A158" i="4"/>
  <c r="A157" i="4"/>
  <c r="A156" i="4"/>
  <c r="A154" i="4"/>
  <c r="A153" i="4"/>
  <c r="A152" i="4"/>
  <c r="A151" i="4"/>
  <c r="A150" i="4"/>
  <c r="A149" i="4"/>
  <c r="A148" i="4"/>
  <c r="A147" i="4"/>
  <c r="A146" i="4"/>
  <c r="A145" i="4"/>
  <c r="A144" i="4"/>
  <c r="A143" i="4"/>
  <c r="A142" i="4"/>
  <c r="A141" i="4"/>
  <c r="A140" i="4"/>
  <c r="A139" i="4"/>
  <c r="AB139" i="4" s="1"/>
  <c r="AC139" i="4" s="1"/>
  <c r="AD139" i="4" s="1"/>
  <c r="AE139" i="4" s="1"/>
  <c r="AF139" i="4" s="1"/>
  <c r="AG139" i="4" s="1"/>
  <c r="AH139" i="4" s="1"/>
  <c r="AI139" i="4" s="1"/>
  <c r="AJ139" i="4" s="1"/>
  <c r="AK139" i="4" s="1"/>
  <c r="AL139" i="4" s="1"/>
  <c r="AM139" i="4" s="1"/>
  <c r="AN139" i="4" s="1"/>
  <c r="AO139" i="4" s="1"/>
  <c r="AP139" i="4" s="1"/>
  <c r="AQ139" i="4" s="1"/>
  <c r="AR139" i="4" s="1"/>
  <c r="AS139" i="4" s="1"/>
  <c r="AT139" i="4" s="1"/>
  <c r="AU139" i="4" s="1"/>
  <c r="AV139" i="4" s="1"/>
  <c r="AW139" i="4" s="1"/>
  <c r="AX139" i="4" s="1"/>
  <c r="AY139" i="4" s="1"/>
  <c r="AZ139" i="4" s="1"/>
  <c r="BA139" i="4" s="1"/>
  <c r="BB139" i="4" s="1"/>
  <c r="BC139" i="4" s="1"/>
  <c r="BD139" i="4" s="1"/>
  <c r="BE139" i="4" s="1"/>
  <c r="BF139" i="4" s="1"/>
  <c r="BG139" i="4" s="1"/>
  <c r="BH139" i="4" s="1"/>
  <c r="BI139" i="4" s="1"/>
  <c r="BJ139" i="4" s="1"/>
  <c r="BK139" i="4" s="1"/>
  <c r="BL139" i="4" s="1"/>
  <c r="BM139" i="4" s="1"/>
  <c r="BN139" i="4" s="1"/>
  <c r="BO139" i="4" s="1"/>
  <c r="BP139" i="4" s="1"/>
  <c r="BQ139" i="4" s="1"/>
  <c r="BR139" i="4" s="1"/>
  <c r="BS139" i="4" s="1"/>
  <c r="BT139" i="4" s="1"/>
  <c r="BU139" i="4" s="1"/>
  <c r="BV139" i="4" s="1"/>
  <c r="BW139" i="4" s="1"/>
  <c r="BX139" i="4" s="1"/>
  <c r="A138" i="4"/>
  <c r="A137" i="4"/>
  <c r="A136" i="4"/>
  <c r="A135" i="4"/>
  <c r="A134" i="4"/>
  <c r="A133" i="4"/>
  <c r="A132" i="4"/>
  <c r="A131" i="4"/>
  <c r="A129" i="4"/>
  <c r="A128" i="4"/>
  <c r="A127" i="4"/>
  <c r="A126" i="4"/>
  <c r="A125" i="4"/>
  <c r="A124" i="4"/>
  <c r="A123" i="4"/>
  <c r="A122" i="4"/>
  <c r="A121" i="4"/>
  <c r="A120" i="4"/>
  <c r="A119" i="4"/>
  <c r="A118" i="4"/>
  <c r="A117" i="4"/>
  <c r="A116" i="4"/>
  <c r="A115" i="4"/>
  <c r="A114" i="4"/>
  <c r="A113" i="4"/>
  <c r="A112" i="4"/>
  <c r="A110" i="4"/>
  <c r="A109" i="4"/>
  <c r="A107" i="4"/>
  <c r="A106" i="4"/>
  <c r="A105" i="4"/>
  <c r="A104" i="4"/>
  <c r="A103" i="4"/>
  <c r="A102" i="4"/>
  <c r="A101" i="4"/>
  <c r="A100" i="4"/>
  <c r="A99" i="4"/>
  <c r="A98" i="4"/>
  <c r="A97" i="4"/>
  <c r="A96" i="4"/>
  <c r="A95" i="4"/>
  <c r="A94" i="4"/>
  <c r="A93" i="4"/>
  <c r="A92" i="4"/>
  <c r="A91" i="4"/>
  <c r="A90" i="4"/>
  <c r="A89" i="4"/>
  <c r="A88" i="4"/>
  <c r="A87" i="4"/>
  <c r="A86" i="4"/>
  <c r="A85" i="4"/>
  <c r="A83" i="4"/>
  <c r="A82" i="4"/>
  <c r="A81" i="4"/>
  <c r="A78" i="4"/>
  <c r="A77" i="4"/>
  <c r="A76" i="4"/>
  <c r="A75" i="4"/>
  <c r="AA85" i="4" s="1"/>
  <c r="A74" i="4"/>
  <c r="A73" i="4"/>
  <c r="A71" i="4"/>
  <c r="A70" i="4"/>
  <c r="A69" i="4"/>
  <c r="A68" i="4"/>
  <c r="A66" i="4"/>
  <c r="A65" i="4"/>
  <c r="A64" i="4"/>
  <c r="A63" i="4"/>
  <c r="A62" i="4"/>
  <c r="A61" i="4"/>
  <c r="A60" i="4"/>
  <c r="A59" i="4"/>
  <c r="A58" i="4"/>
  <c r="A57" i="4"/>
  <c r="A56" i="4"/>
  <c r="A55" i="4"/>
  <c r="A54" i="4"/>
  <c r="A53" i="4"/>
  <c r="A52" i="4"/>
  <c r="A51" i="4"/>
  <c r="A48" i="4"/>
  <c r="A45" i="4"/>
  <c r="A44" i="4"/>
  <c r="AM44" i="4" s="1"/>
  <c r="AY44" i="4" s="1"/>
  <c r="A42" i="4"/>
  <c r="A40" i="4"/>
  <c r="A39" i="4"/>
  <c r="A38" i="4"/>
  <c r="A36" i="4"/>
  <c r="A35" i="4"/>
  <c r="A32" i="4"/>
  <c r="A31" i="4"/>
  <c r="A24" i="4"/>
  <c r="A23" i="4"/>
  <c r="A22" i="2"/>
  <c r="A22" i="4"/>
  <c r="A224" i="2"/>
  <c r="A224" i="4"/>
  <c r="A202" i="2"/>
  <c r="A201" i="2"/>
  <c r="A200" i="2"/>
  <c r="A199" i="2"/>
  <c r="A198" i="2"/>
  <c r="A197" i="2"/>
  <c r="A196" i="2"/>
  <c r="A195" i="2"/>
  <c r="A194" i="2"/>
  <c r="A202" i="4"/>
  <c r="A201" i="4"/>
  <c r="A200" i="4"/>
  <c r="A199" i="4"/>
  <c r="A198" i="4"/>
  <c r="A197" i="4"/>
  <c r="A196" i="4"/>
  <c r="A195" i="4"/>
  <c r="A194" i="4"/>
  <c r="A191" i="2"/>
  <c r="A191" i="4"/>
  <c r="A190" i="2"/>
  <c r="A190" i="4"/>
  <c r="A189" i="2"/>
  <c r="A189" i="4"/>
  <c r="A188" i="2"/>
  <c r="A188" i="4"/>
  <c r="A187" i="2"/>
  <c r="A187" i="4"/>
  <c r="B163" i="2"/>
  <c r="B159" i="2"/>
  <c r="B158" i="2"/>
  <c r="B157" i="2"/>
  <c r="B156" i="2"/>
  <c r="B154" i="2"/>
  <c r="B153" i="2"/>
  <c r="B152" i="2"/>
  <c r="B151" i="2"/>
  <c r="B150" i="2"/>
  <c r="B149" i="2"/>
  <c r="B148" i="2"/>
  <c r="B147" i="2"/>
  <c r="B146" i="2"/>
  <c r="B145" i="2"/>
  <c r="B144" i="2"/>
  <c r="B143" i="2"/>
  <c r="B142" i="2"/>
  <c r="B141" i="2"/>
  <c r="B140" i="2"/>
  <c r="B139" i="2"/>
  <c r="B138" i="2"/>
  <c r="B137" i="2"/>
  <c r="B136" i="2"/>
  <c r="B135" i="2"/>
  <c r="B134" i="2"/>
  <c r="B133" i="2"/>
  <c r="B132" i="2"/>
  <c r="B131" i="2"/>
  <c r="B129" i="2"/>
  <c r="B128" i="2"/>
  <c r="B127" i="2"/>
  <c r="B126" i="2"/>
  <c r="B125" i="2"/>
  <c r="B124" i="2"/>
  <c r="B123" i="2"/>
  <c r="B122" i="2"/>
  <c r="B121" i="2"/>
  <c r="B120" i="2"/>
  <c r="B119" i="2"/>
  <c r="B118" i="2"/>
  <c r="B117" i="2"/>
  <c r="B116" i="2"/>
  <c r="B115" i="2"/>
  <c r="B114" i="2"/>
  <c r="B113" i="2"/>
  <c r="B112" i="2"/>
  <c r="B110" i="2"/>
  <c r="B109" i="2"/>
  <c r="B107" i="2"/>
  <c r="B106" i="2"/>
  <c r="B105" i="2"/>
  <c r="B104" i="2"/>
  <c r="B103" i="2"/>
  <c r="B102" i="2"/>
  <c r="B101" i="2"/>
  <c r="B100" i="2"/>
  <c r="B99" i="2"/>
  <c r="B98" i="2"/>
  <c r="B97" i="2"/>
  <c r="B96" i="2"/>
  <c r="B95" i="2"/>
  <c r="B94" i="2"/>
  <c r="B93" i="2"/>
  <c r="B92" i="2"/>
  <c r="B91" i="2"/>
  <c r="B90" i="2"/>
  <c r="B89" i="2"/>
  <c r="B88" i="2"/>
  <c r="B87" i="2"/>
  <c r="B86" i="2"/>
  <c r="B85" i="2"/>
  <c r="B83" i="2"/>
  <c r="B82" i="2"/>
  <c r="B81" i="2"/>
  <c r="B78" i="2"/>
  <c r="B77" i="2"/>
  <c r="B76" i="2"/>
  <c r="B75" i="2"/>
  <c r="B74" i="2"/>
  <c r="B73" i="2"/>
  <c r="B71" i="2"/>
  <c r="B70" i="2"/>
  <c r="B69" i="2"/>
  <c r="B68" i="2"/>
  <c r="B66" i="2"/>
  <c r="B65" i="2"/>
  <c r="B64" i="2"/>
  <c r="B63" i="2"/>
  <c r="B62" i="2"/>
  <c r="B61" i="2"/>
  <c r="B60" i="2"/>
  <c r="B59" i="2"/>
  <c r="B58" i="2"/>
  <c r="B57" i="2"/>
  <c r="B56" i="2"/>
  <c r="B55" i="2"/>
  <c r="B54" i="2"/>
  <c r="B53" i="2"/>
  <c r="B52" i="2"/>
  <c r="B51" i="2"/>
  <c r="B48" i="2"/>
  <c r="B45" i="2"/>
  <c r="B44" i="2"/>
  <c r="B42" i="2"/>
  <c r="B40" i="2"/>
  <c r="B39" i="2"/>
  <c r="B38" i="2"/>
  <c r="B36" i="2"/>
  <c r="B35" i="2"/>
  <c r="B32" i="2"/>
  <c r="B31" i="2"/>
  <c r="B24" i="2"/>
  <c r="B23" i="2"/>
  <c r="B163" i="4"/>
  <c r="B159" i="4"/>
  <c r="B158" i="4"/>
  <c r="B157" i="4"/>
  <c r="B156" i="4"/>
  <c r="B154" i="4"/>
  <c r="B153" i="4"/>
  <c r="B152" i="4"/>
  <c r="B151" i="4"/>
  <c r="B150" i="4"/>
  <c r="B149" i="4"/>
  <c r="B148" i="4"/>
  <c r="B147" i="4"/>
  <c r="B146" i="4"/>
  <c r="B145" i="4"/>
  <c r="B144" i="4"/>
  <c r="B143" i="4"/>
  <c r="B142" i="4"/>
  <c r="B141" i="4"/>
  <c r="B140" i="4"/>
  <c r="B139" i="4"/>
  <c r="B138" i="4"/>
  <c r="B137" i="4"/>
  <c r="B136" i="4"/>
  <c r="B135" i="4"/>
  <c r="B134" i="4"/>
  <c r="B133" i="4"/>
  <c r="B132" i="4"/>
  <c r="B131" i="4"/>
  <c r="B129" i="4"/>
  <c r="B128" i="4"/>
  <c r="B127" i="4"/>
  <c r="B126" i="4"/>
  <c r="B125" i="4"/>
  <c r="B124" i="4"/>
  <c r="B123" i="4"/>
  <c r="B122" i="4"/>
  <c r="B121" i="4"/>
  <c r="B120" i="4"/>
  <c r="B119" i="4"/>
  <c r="B118" i="4"/>
  <c r="B117" i="4"/>
  <c r="B116" i="4"/>
  <c r="B115" i="4"/>
  <c r="B114" i="4"/>
  <c r="B113" i="4"/>
  <c r="B112" i="4"/>
  <c r="B110" i="4"/>
  <c r="B109" i="4"/>
  <c r="B107" i="4"/>
  <c r="B106" i="4"/>
  <c r="B105" i="4"/>
  <c r="B104" i="4"/>
  <c r="B103" i="4"/>
  <c r="B102" i="4"/>
  <c r="B101" i="4"/>
  <c r="B100" i="4"/>
  <c r="B99" i="4"/>
  <c r="B98" i="4"/>
  <c r="B97" i="4"/>
  <c r="B96" i="4"/>
  <c r="B95" i="4"/>
  <c r="B94" i="4"/>
  <c r="B93" i="4"/>
  <c r="B92" i="4"/>
  <c r="B91" i="4"/>
  <c r="B90" i="4"/>
  <c r="B89" i="4"/>
  <c r="B88" i="4"/>
  <c r="B87" i="4"/>
  <c r="B86" i="4"/>
  <c r="B85" i="4"/>
  <c r="B83" i="4"/>
  <c r="B82" i="4"/>
  <c r="B81" i="4"/>
  <c r="B78" i="4"/>
  <c r="B77" i="4"/>
  <c r="B76" i="4"/>
  <c r="B75" i="4"/>
  <c r="B74" i="4"/>
  <c r="B73" i="4"/>
  <c r="B71" i="4"/>
  <c r="B70" i="4"/>
  <c r="B69" i="4"/>
  <c r="B68" i="4"/>
  <c r="B66" i="4"/>
  <c r="B65" i="4"/>
  <c r="B64" i="4"/>
  <c r="B63" i="4"/>
  <c r="B62" i="4"/>
  <c r="B61" i="4"/>
  <c r="B60" i="4"/>
  <c r="B59" i="4"/>
  <c r="B58" i="4"/>
  <c r="B57" i="4"/>
  <c r="B56" i="4"/>
  <c r="B55" i="4"/>
  <c r="B54" i="4"/>
  <c r="B53" i="4"/>
  <c r="B52" i="4"/>
  <c r="B51" i="4"/>
  <c r="B48" i="4"/>
  <c r="B45" i="4"/>
  <c r="B44" i="4"/>
  <c r="B42" i="4"/>
  <c r="B40" i="4"/>
  <c r="B39" i="4"/>
  <c r="B38" i="4"/>
  <c r="B36" i="4"/>
  <c r="B35" i="4"/>
  <c r="B31" i="4"/>
  <c r="B24" i="4"/>
  <c r="B23" i="4"/>
  <c r="B19" i="2"/>
  <c r="A19" i="2" s="1"/>
  <c r="B19" i="4"/>
  <c r="A19" i="4" s="1"/>
  <c r="B7" i="2"/>
  <c r="B7" i="4"/>
  <c r="AN246" i="15"/>
  <c r="AM246" i="15"/>
  <c r="AL246" i="15"/>
  <c r="AK246" i="15"/>
  <c r="AJ246" i="15"/>
  <c r="AI246" i="15"/>
  <c r="AH246" i="15"/>
  <c r="AG246" i="15"/>
  <c r="AF246" i="15"/>
  <c r="AE246" i="15"/>
  <c r="AD246" i="15"/>
  <c r="AC246" i="15"/>
  <c r="AB246" i="15"/>
  <c r="AA246" i="15"/>
  <c r="Z246" i="15"/>
  <c r="Y246" i="15"/>
  <c r="X246" i="15"/>
  <c r="W246" i="15"/>
  <c r="V246" i="15"/>
  <c r="U246" i="15"/>
  <c r="T246" i="15"/>
  <c r="S246" i="15"/>
  <c r="R246" i="15"/>
  <c r="Q246" i="15"/>
  <c r="P246" i="15"/>
  <c r="O246" i="15"/>
  <c r="N246" i="15"/>
  <c r="M246" i="15"/>
  <c r="L246" i="15"/>
  <c r="K246" i="15"/>
  <c r="J246" i="15"/>
  <c r="I246" i="15"/>
  <c r="H246" i="15"/>
  <c r="G246" i="15"/>
  <c r="F246" i="15"/>
  <c r="E246" i="15"/>
  <c r="AN244" i="15"/>
  <c r="AM244" i="15"/>
  <c r="AL244" i="15"/>
  <c r="AK244" i="15"/>
  <c r="AJ244" i="15"/>
  <c r="AI244" i="15"/>
  <c r="AH244" i="15"/>
  <c r="AG244" i="15"/>
  <c r="AF244" i="15"/>
  <c r="AE244" i="15"/>
  <c r="AD244" i="15"/>
  <c r="AC244" i="15"/>
  <c r="AB244" i="15"/>
  <c r="AA244" i="15"/>
  <c r="Z244" i="15"/>
  <c r="Y244" i="15"/>
  <c r="X244" i="15"/>
  <c r="W244" i="15"/>
  <c r="V244" i="15"/>
  <c r="U244" i="15"/>
  <c r="T244" i="15"/>
  <c r="S244" i="15"/>
  <c r="R244" i="15"/>
  <c r="Q244" i="15"/>
  <c r="P244" i="15"/>
  <c r="O244" i="15"/>
  <c r="N244" i="15"/>
  <c r="M244" i="15"/>
  <c r="L244" i="15"/>
  <c r="K244" i="15"/>
  <c r="J244" i="15"/>
  <c r="I244" i="15"/>
  <c r="H244" i="15"/>
  <c r="G244" i="15"/>
  <c r="F244" i="15"/>
  <c r="E244" i="15"/>
  <c r="AN243" i="15"/>
  <c r="AM243" i="15"/>
  <c r="AL243" i="15"/>
  <c r="AK243" i="15"/>
  <c r="AJ243" i="15"/>
  <c r="AI243" i="15"/>
  <c r="AH243" i="15"/>
  <c r="AG243" i="15"/>
  <c r="AF243" i="15"/>
  <c r="AE243" i="15"/>
  <c r="AD243" i="15"/>
  <c r="AC243" i="15"/>
  <c r="AB243" i="15"/>
  <c r="AA243" i="15"/>
  <c r="Z243" i="15"/>
  <c r="Y243" i="15"/>
  <c r="X243" i="15"/>
  <c r="W243" i="15"/>
  <c r="V243" i="15"/>
  <c r="U243" i="15"/>
  <c r="T243" i="15"/>
  <c r="S243" i="15"/>
  <c r="R243" i="15"/>
  <c r="Q243" i="15"/>
  <c r="P243" i="15"/>
  <c r="O243" i="15"/>
  <c r="N243" i="15"/>
  <c r="M243" i="15"/>
  <c r="L243" i="15"/>
  <c r="K243" i="15"/>
  <c r="J243" i="15"/>
  <c r="I243" i="15"/>
  <c r="H243" i="15"/>
  <c r="G243" i="15"/>
  <c r="F243" i="15"/>
  <c r="E243" i="15"/>
  <c r="AN242" i="15"/>
  <c r="AM242" i="15"/>
  <c r="AL242" i="15"/>
  <c r="AK242" i="15"/>
  <c r="AJ242" i="15"/>
  <c r="AI242" i="15"/>
  <c r="AH242" i="15"/>
  <c r="AG242" i="15"/>
  <c r="AF242" i="15"/>
  <c r="AE242" i="15"/>
  <c r="AD242" i="15"/>
  <c r="AC242" i="15"/>
  <c r="AB242" i="15"/>
  <c r="AA242" i="15"/>
  <c r="Z242" i="15"/>
  <c r="Y242" i="15"/>
  <c r="X242" i="15"/>
  <c r="W242" i="15"/>
  <c r="V242" i="15"/>
  <c r="U242" i="15"/>
  <c r="T242" i="15"/>
  <c r="S242" i="15"/>
  <c r="R242" i="15"/>
  <c r="Q242" i="15"/>
  <c r="P242" i="15"/>
  <c r="O242" i="15"/>
  <c r="N242" i="15"/>
  <c r="M242" i="15"/>
  <c r="L242" i="15"/>
  <c r="K242" i="15"/>
  <c r="J242" i="15"/>
  <c r="I242" i="15"/>
  <c r="H242" i="15"/>
  <c r="G242" i="15"/>
  <c r="F242" i="15"/>
  <c r="E242" i="15"/>
  <c r="AN241" i="15"/>
  <c r="AM241" i="15"/>
  <c r="AL241" i="15"/>
  <c r="AK241" i="15"/>
  <c r="AJ241" i="15"/>
  <c r="AI241" i="15"/>
  <c r="AH241" i="15"/>
  <c r="AG241" i="15"/>
  <c r="AF241" i="15"/>
  <c r="AE241" i="15"/>
  <c r="AD241" i="15"/>
  <c r="AC241" i="15"/>
  <c r="AB241" i="15"/>
  <c r="AA241" i="15"/>
  <c r="Z241" i="15"/>
  <c r="Y241" i="15"/>
  <c r="X241" i="15"/>
  <c r="W241" i="15"/>
  <c r="V241" i="15"/>
  <c r="U241" i="15"/>
  <c r="T241" i="15"/>
  <c r="S241" i="15"/>
  <c r="R241" i="15"/>
  <c r="Q241" i="15"/>
  <c r="P241" i="15"/>
  <c r="O241" i="15"/>
  <c r="N241" i="15"/>
  <c r="M241" i="15"/>
  <c r="L241" i="15"/>
  <c r="K241" i="15"/>
  <c r="J241" i="15"/>
  <c r="I241" i="15"/>
  <c r="H241" i="15"/>
  <c r="G241" i="15"/>
  <c r="F241" i="15"/>
  <c r="E241" i="15"/>
  <c r="AN240" i="15"/>
  <c r="AM240" i="15"/>
  <c r="AL240" i="15"/>
  <c r="AK240" i="15"/>
  <c r="AJ240" i="15"/>
  <c r="AI240" i="15"/>
  <c r="AH240" i="15"/>
  <c r="AG240" i="15"/>
  <c r="AF240" i="15"/>
  <c r="AE240" i="15"/>
  <c r="AD240" i="15"/>
  <c r="AC240" i="15"/>
  <c r="AB240" i="15"/>
  <c r="AA240" i="15"/>
  <c r="Z240" i="15"/>
  <c r="Y240" i="15"/>
  <c r="X240" i="15"/>
  <c r="W240" i="15"/>
  <c r="V240" i="15"/>
  <c r="U240" i="15"/>
  <c r="T240" i="15"/>
  <c r="S240" i="15"/>
  <c r="R240" i="15"/>
  <c r="Q240" i="15"/>
  <c r="P240" i="15"/>
  <c r="O240" i="15"/>
  <c r="N240" i="15"/>
  <c r="M240" i="15"/>
  <c r="L240" i="15"/>
  <c r="K240" i="15"/>
  <c r="J240" i="15"/>
  <c r="I240" i="15"/>
  <c r="H240" i="15"/>
  <c r="G240" i="15"/>
  <c r="F240" i="15"/>
  <c r="E240" i="15"/>
  <c r="AN239" i="15"/>
  <c r="AM239" i="15"/>
  <c r="AL239" i="15"/>
  <c r="AK239" i="15"/>
  <c r="AJ239" i="15"/>
  <c r="AI239" i="15"/>
  <c r="AH239" i="15"/>
  <c r="AG239" i="15"/>
  <c r="AF239" i="15"/>
  <c r="AE239" i="15"/>
  <c r="AD239" i="15"/>
  <c r="AC239" i="15"/>
  <c r="AB239" i="15"/>
  <c r="AA239" i="15"/>
  <c r="Z239" i="15"/>
  <c r="Y239" i="15"/>
  <c r="X239" i="15"/>
  <c r="W239" i="15"/>
  <c r="V239" i="15"/>
  <c r="U239" i="15"/>
  <c r="T239" i="15"/>
  <c r="S239" i="15"/>
  <c r="R239" i="15"/>
  <c r="Q239" i="15"/>
  <c r="P239" i="15"/>
  <c r="O239" i="15"/>
  <c r="N239" i="15"/>
  <c r="M239" i="15"/>
  <c r="L239" i="15"/>
  <c r="K239" i="15"/>
  <c r="J239" i="15"/>
  <c r="I239" i="15"/>
  <c r="H239" i="15"/>
  <c r="G239" i="15"/>
  <c r="F239" i="15"/>
  <c r="E239" i="15"/>
  <c r="AN238" i="15"/>
  <c r="AM238" i="15"/>
  <c r="AL238" i="15"/>
  <c r="AK238" i="15"/>
  <c r="AJ238" i="15"/>
  <c r="AI238" i="15"/>
  <c r="AH238" i="15"/>
  <c r="AG238" i="15"/>
  <c r="AF238" i="15"/>
  <c r="AE238" i="15"/>
  <c r="AD238" i="15"/>
  <c r="AC238" i="15"/>
  <c r="AB238" i="15"/>
  <c r="AA238" i="15"/>
  <c r="Z238" i="15"/>
  <c r="Y238" i="15"/>
  <c r="X238" i="15"/>
  <c r="W238" i="15"/>
  <c r="V238" i="15"/>
  <c r="U238" i="15"/>
  <c r="T238" i="15"/>
  <c r="S238" i="15"/>
  <c r="R238" i="15"/>
  <c r="Q238" i="15"/>
  <c r="P238" i="15"/>
  <c r="O238" i="15"/>
  <c r="N238" i="15"/>
  <c r="M238" i="15"/>
  <c r="L238" i="15"/>
  <c r="K238" i="15"/>
  <c r="J238" i="15"/>
  <c r="I238" i="15"/>
  <c r="H238" i="15"/>
  <c r="G238" i="15"/>
  <c r="F238" i="15"/>
  <c r="E238" i="15"/>
  <c r="AN237" i="15"/>
  <c r="AM237" i="15"/>
  <c r="AL237" i="15"/>
  <c r="AK237" i="15"/>
  <c r="AJ237" i="15"/>
  <c r="AI237" i="15"/>
  <c r="AH237" i="15"/>
  <c r="AG237" i="15"/>
  <c r="AF237" i="15"/>
  <c r="AE237" i="15"/>
  <c r="AD237" i="15"/>
  <c r="AC237" i="15"/>
  <c r="AB237" i="15"/>
  <c r="AA237" i="15"/>
  <c r="Z237" i="15"/>
  <c r="Y237" i="15"/>
  <c r="X237" i="15"/>
  <c r="W237" i="15"/>
  <c r="V237" i="15"/>
  <c r="U237" i="15"/>
  <c r="T237" i="15"/>
  <c r="S237" i="15"/>
  <c r="R237" i="15"/>
  <c r="Q237" i="15"/>
  <c r="P237" i="15"/>
  <c r="O237" i="15"/>
  <c r="N237" i="15"/>
  <c r="M237" i="15"/>
  <c r="L237" i="15"/>
  <c r="K237" i="15"/>
  <c r="J237" i="15"/>
  <c r="I237" i="15"/>
  <c r="H237" i="15"/>
  <c r="G237" i="15"/>
  <c r="F237" i="15"/>
  <c r="E237" i="15"/>
  <c r="AN236" i="15"/>
  <c r="AM236" i="15"/>
  <c r="AL236" i="15"/>
  <c r="AK236" i="15"/>
  <c r="AJ236" i="15"/>
  <c r="AI236" i="15"/>
  <c r="AH236" i="15"/>
  <c r="AG236" i="15"/>
  <c r="AF236" i="15"/>
  <c r="AE236" i="15"/>
  <c r="AD236" i="15"/>
  <c r="AC236" i="15"/>
  <c r="AB236" i="15"/>
  <c r="AA236" i="15"/>
  <c r="Z236" i="15"/>
  <c r="Y236" i="15"/>
  <c r="X236" i="15"/>
  <c r="W236" i="15"/>
  <c r="V236" i="15"/>
  <c r="U236" i="15"/>
  <c r="T236" i="15"/>
  <c r="S236" i="15"/>
  <c r="R236" i="15"/>
  <c r="Q236" i="15"/>
  <c r="P236" i="15"/>
  <c r="O236" i="15"/>
  <c r="N236" i="15"/>
  <c r="M236" i="15"/>
  <c r="L236" i="15"/>
  <c r="K236" i="15"/>
  <c r="J236" i="15"/>
  <c r="I236" i="15"/>
  <c r="H236" i="15"/>
  <c r="G236" i="15"/>
  <c r="F236" i="15"/>
  <c r="E236" i="15"/>
  <c r="AN235" i="15"/>
  <c r="AM235" i="15"/>
  <c r="AL235" i="15"/>
  <c r="AK235" i="15"/>
  <c r="AJ235" i="15"/>
  <c r="AI235" i="15"/>
  <c r="AH235" i="15"/>
  <c r="AG235" i="15"/>
  <c r="AF235" i="15"/>
  <c r="AE235" i="15"/>
  <c r="AD235" i="15"/>
  <c r="AC235" i="15"/>
  <c r="AB235" i="15"/>
  <c r="AA235" i="15"/>
  <c r="Z235" i="15"/>
  <c r="Y235" i="15"/>
  <c r="X235" i="15"/>
  <c r="W235" i="15"/>
  <c r="V235" i="15"/>
  <c r="U235" i="15"/>
  <c r="T235" i="15"/>
  <c r="S235" i="15"/>
  <c r="R235" i="15"/>
  <c r="Q235" i="15"/>
  <c r="P235" i="15"/>
  <c r="O235" i="15"/>
  <c r="N235" i="15"/>
  <c r="M235" i="15"/>
  <c r="L235" i="15"/>
  <c r="K235" i="15"/>
  <c r="J235" i="15"/>
  <c r="I235" i="15"/>
  <c r="H235" i="15"/>
  <c r="G235" i="15"/>
  <c r="F235" i="15"/>
  <c r="E235" i="15"/>
  <c r="AN234" i="15"/>
  <c r="AM234" i="15"/>
  <c r="AL234" i="15"/>
  <c r="AK234" i="15"/>
  <c r="AJ234" i="15"/>
  <c r="AI234" i="15"/>
  <c r="AH234" i="15"/>
  <c r="AG234" i="15"/>
  <c r="AF234" i="15"/>
  <c r="AE234" i="15"/>
  <c r="AD234" i="15"/>
  <c r="AC234" i="15"/>
  <c r="AB234" i="15"/>
  <c r="AA234" i="15"/>
  <c r="Z234" i="15"/>
  <c r="Y234" i="15"/>
  <c r="X234" i="15"/>
  <c r="W234" i="15"/>
  <c r="V234" i="15"/>
  <c r="U234" i="15"/>
  <c r="T234" i="15"/>
  <c r="S234" i="15"/>
  <c r="R234" i="15"/>
  <c r="Q234" i="15"/>
  <c r="P234" i="15"/>
  <c r="O234" i="15"/>
  <c r="N234" i="15"/>
  <c r="M234" i="15"/>
  <c r="L234" i="15"/>
  <c r="K234" i="15"/>
  <c r="J234" i="15"/>
  <c r="I234" i="15"/>
  <c r="H234" i="15"/>
  <c r="G234" i="15"/>
  <c r="F234" i="15"/>
  <c r="E234" i="15"/>
  <c r="AN233" i="15"/>
  <c r="AM233" i="15"/>
  <c r="AL233" i="15"/>
  <c r="AK233" i="15"/>
  <c r="AJ233" i="15"/>
  <c r="AI233" i="15"/>
  <c r="AH233" i="15"/>
  <c r="AG233" i="15"/>
  <c r="AF233" i="15"/>
  <c r="AE233" i="15"/>
  <c r="AD233" i="15"/>
  <c r="AC233" i="15"/>
  <c r="AB233" i="15"/>
  <c r="AA233" i="15"/>
  <c r="Z233" i="15"/>
  <c r="Y233" i="15"/>
  <c r="X233" i="15"/>
  <c r="W233" i="15"/>
  <c r="V233" i="15"/>
  <c r="U233" i="15"/>
  <c r="T233" i="15"/>
  <c r="S233" i="15"/>
  <c r="R233" i="15"/>
  <c r="Q233" i="15"/>
  <c r="P233" i="15"/>
  <c r="O233" i="15"/>
  <c r="N233" i="15"/>
  <c r="M233" i="15"/>
  <c r="L233" i="15"/>
  <c r="K233" i="15"/>
  <c r="J233" i="15"/>
  <c r="I233" i="15"/>
  <c r="H233" i="15"/>
  <c r="G233" i="15"/>
  <c r="F233" i="15"/>
  <c r="E233" i="15"/>
  <c r="AN232" i="15"/>
  <c r="AN248" i="15" s="1"/>
  <c r="AM232" i="15"/>
  <c r="AM248" i="15" s="1"/>
  <c r="AL232" i="15"/>
  <c r="AK232" i="15"/>
  <c r="AK248" i="15" s="1"/>
  <c r="AJ232" i="15"/>
  <c r="AJ248" i="15" s="1"/>
  <c r="AI232" i="15"/>
  <c r="AH232" i="15"/>
  <c r="AG232" i="15"/>
  <c r="AG248" i="15" s="1"/>
  <c r="AF232" i="15"/>
  <c r="AE232" i="15"/>
  <c r="AD232" i="15"/>
  <c r="AC232" i="15"/>
  <c r="AC248" i="15" s="1"/>
  <c r="AB232" i="15"/>
  <c r="AA232" i="15"/>
  <c r="AA248" i="15" s="1"/>
  <c r="Z232" i="15"/>
  <c r="Y232" i="15"/>
  <c r="Y248" i="15" s="1"/>
  <c r="X232" i="15"/>
  <c r="W232" i="15"/>
  <c r="V232" i="15"/>
  <c r="U232" i="15"/>
  <c r="T232" i="15"/>
  <c r="S232" i="15"/>
  <c r="R232" i="15"/>
  <c r="Q232" i="15"/>
  <c r="Q248" i="15" s="1"/>
  <c r="P232" i="15"/>
  <c r="P248" i="15" s="1"/>
  <c r="O232" i="15"/>
  <c r="N232" i="15"/>
  <c r="N248" i="15" s="1"/>
  <c r="M232" i="15"/>
  <c r="M248" i="15" s="1"/>
  <c r="L232" i="15"/>
  <c r="L248" i="15" s="1"/>
  <c r="K232" i="15"/>
  <c r="J232" i="15"/>
  <c r="I232" i="15"/>
  <c r="I248" i="15" s="1"/>
  <c r="H232" i="15"/>
  <c r="H248" i="15" s="1"/>
  <c r="G232" i="15"/>
  <c r="F232" i="15"/>
  <c r="E232" i="15"/>
  <c r="AN229" i="15"/>
  <c r="AM229" i="15"/>
  <c r="AL229" i="15"/>
  <c r="AK229" i="15"/>
  <c r="AJ229" i="15"/>
  <c r="AI229" i="15"/>
  <c r="AH229" i="15"/>
  <c r="AG229" i="15"/>
  <c r="AF229" i="15"/>
  <c r="AE229" i="15"/>
  <c r="AD229" i="15"/>
  <c r="AC229" i="15"/>
  <c r="AB229" i="15"/>
  <c r="AA229" i="15"/>
  <c r="Z229" i="15"/>
  <c r="Y229" i="15"/>
  <c r="X229" i="15"/>
  <c r="W229" i="15"/>
  <c r="V229" i="15"/>
  <c r="U229" i="15"/>
  <c r="T229" i="15"/>
  <c r="S229" i="15"/>
  <c r="R229" i="15"/>
  <c r="Q229" i="15"/>
  <c r="P229" i="15"/>
  <c r="O229" i="15"/>
  <c r="N229" i="15"/>
  <c r="M229" i="15"/>
  <c r="L229" i="15"/>
  <c r="K229" i="15"/>
  <c r="J229" i="15"/>
  <c r="I229" i="15"/>
  <c r="H229" i="15"/>
  <c r="G229" i="15"/>
  <c r="F229" i="15"/>
  <c r="E229" i="15"/>
  <c r="AN228" i="15"/>
  <c r="AM228" i="15"/>
  <c r="AL228" i="15"/>
  <c r="AK228" i="15"/>
  <c r="AJ228" i="15"/>
  <c r="AI228" i="15"/>
  <c r="AH228" i="15"/>
  <c r="AG228" i="15"/>
  <c r="AF228" i="15"/>
  <c r="AE228" i="15"/>
  <c r="AD228" i="15"/>
  <c r="AC228" i="15"/>
  <c r="AB228" i="15"/>
  <c r="AA228" i="15"/>
  <c r="Z228" i="15"/>
  <c r="Y228" i="15"/>
  <c r="X228" i="15"/>
  <c r="W228" i="15"/>
  <c r="V228" i="15"/>
  <c r="U228" i="15"/>
  <c r="T228" i="15"/>
  <c r="S228" i="15"/>
  <c r="R228" i="15"/>
  <c r="Q228" i="15"/>
  <c r="P228" i="15"/>
  <c r="O228" i="15"/>
  <c r="N228" i="15"/>
  <c r="M228" i="15"/>
  <c r="L228" i="15"/>
  <c r="K228" i="15"/>
  <c r="J228" i="15"/>
  <c r="I228" i="15"/>
  <c r="H228" i="15"/>
  <c r="G228" i="15"/>
  <c r="F228" i="15"/>
  <c r="E228" i="15"/>
  <c r="AN227" i="15"/>
  <c r="AM227" i="15"/>
  <c r="AL227" i="15"/>
  <c r="AK227" i="15"/>
  <c r="AJ227" i="15"/>
  <c r="AI227" i="15"/>
  <c r="AH227" i="15"/>
  <c r="AG227" i="15"/>
  <c r="AF227" i="15"/>
  <c r="AE227" i="15"/>
  <c r="AD227" i="15"/>
  <c r="AC227" i="15"/>
  <c r="AB227" i="15"/>
  <c r="AA227" i="15"/>
  <c r="Z227" i="15"/>
  <c r="Y227" i="15"/>
  <c r="X227" i="15"/>
  <c r="W227" i="15"/>
  <c r="V227" i="15"/>
  <c r="U227" i="15"/>
  <c r="T227" i="15"/>
  <c r="S227" i="15"/>
  <c r="R227" i="15"/>
  <c r="Q227" i="15"/>
  <c r="P227" i="15"/>
  <c r="O227" i="15"/>
  <c r="N227" i="15"/>
  <c r="M227" i="15"/>
  <c r="L227" i="15"/>
  <c r="K227" i="15"/>
  <c r="J227" i="15"/>
  <c r="I227" i="15"/>
  <c r="H227" i="15"/>
  <c r="G227" i="15"/>
  <c r="F227" i="15"/>
  <c r="E227" i="15"/>
  <c r="AN226" i="15"/>
  <c r="AM226" i="15"/>
  <c r="AL226" i="15"/>
  <c r="AK226" i="15"/>
  <c r="AJ226" i="15"/>
  <c r="AI226" i="15"/>
  <c r="AH226" i="15"/>
  <c r="AG226" i="15"/>
  <c r="AF226" i="15"/>
  <c r="AE226" i="15"/>
  <c r="AD226" i="15"/>
  <c r="AC226" i="15"/>
  <c r="Q226" i="15"/>
  <c r="P226" i="15"/>
  <c r="O226" i="15"/>
  <c r="N226" i="15"/>
  <c r="M226" i="15"/>
  <c r="L226" i="15"/>
  <c r="K226" i="15"/>
  <c r="J226" i="15"/>
  <c r="I226" i="15"/>
  <c r="H226" i="15"/>
  <c r="G226" i="15"/>
  <c r="F226" i="15"/>
  <c r="E226" i="15"/>
  <c r="AN225" i="15"/>
  <c r="AM225" i="15"/>
  <c r="AL225" i="15"/>
  <c r="AK225" i="15"/>
  <c r="AJ225" i="15"/>
  <c r="AI225" i="15"/>
  <c r="AH225" i="15"/>
  <c r="AG225" i="15"/>
  <c r="AF225" i="15"/>
  <c r="AE225" i="15"/>
  <c r="AD225" i="15"/>
  <c r="AC225" i="15"/>
  <c r="AB225" i="15"/>
  <c r="AA225" i="15"/>
  <c r="Z225" i="15"/>
  <c r="Y225" i="15"/>
  <c r="X225" i="15"/>
  <c r="W225" i="15"/>
  <c r="V225" i="15"/>
  <c r="U225" i="15"/>
  <c r="T225" i="15"/>
  <c r="S225" i="15"/>
  <c r="R225" i="15"/>
  <c r="Q225" i="15"/>
  <c r="P225" i="15"/>
  <c r="O225" i="15"/>
  <c r="N225" i="15"/>
  <c r="M225" i="15"/>
  <c r="L225" i="15"/>
  <c r="K225" i="15"/>
  <c r="J225" i="15"/>
  <c r="I225" i="15"/>
  <c r="H225" i="15"/>
  <c r="G225" i="15"/>
  <c r="F225" i="15"/>
  <c r="E225" i="15"/>
  <c r="E223" i="15"/>
  <c r="E224" i="15"/>
  <c r="K167" i="15"/>
  <c r="F167" i="15"/>
  <c r="E167" i="15"/>
  <c r="K166" i="15"/>
  <c r="F166" i="15"/>
  <c r="E166" i="15"/>
  <c r="K163" i="15"/>
  <c r="J163" i="15"/>
  <c r="I163" i="15"/>
  <c r="H163" i="15"/>
  <c r="G163" i="15"/>
  <c r="F163" i="15"/>
  <c r="E163" i="15"/>
  <c r="K159" i="15"/>
  <c r="J159" i="15"/>
  <c r="I159" i="15"/>
  <c r="H159" i="15"/>
  <c r="G159" i="15"/>
  <c r="F159" i="15"/>
  <c r="E159" i="15"/>
  <c r="K158" i="15"/>
  <c r="J158" i="15"/>
  <c r="I158" i="15"/>
  <c r="H158" i="15"/>
  <c r="G158" i="15"/>
  <c r="F158" i="15"/>
  <c r="E158" i="15"/>
  <c r="K157" i="15"/>
  <c r="J157" i="15"/>
  <c r="I157" i="15"/>
  <c r="H157" i="15"/>
  <c r="G157" i="15"/>
  <c r="F157" i="15"/>
  <c r="E157" i="15"/>
  <c r="K156" i="15"/>
  <c r="J156" i="15"/>
  <c r="I156" i="15"/>
  <c r="H156" i="15"/>
  <c r="G156" i="15"/>
  <c r="F156" i="15"/>
  <c r="E156" i="15"/>
  <c r="K154" i="15"/>
  <c r="J154" i="15"/>
  <c r="I154" i="15"/>
  <c r="H154" i="15"/>
  <c r="G154" i="15"/>
  <c r="F154" i="15"/>
  <c r="E154" i="15"/>
  <c r="K153" i="15"/>
  <c r="J153" i="15"/>
  <c r="I153" i="15"/>
  <c r="H153" i="15"/>
  <c r="G153" i="15"/>
  <c r="F153" i="15"/>
  <c r="E153" i="15"/>
  <c r="K152" i="15"/>
  <c r="J152" i="15"/>
  <c r="I152" i="15"/>
  <c r="H152" i="15"/>
  <c r="G152" i="15"/>
  <c r="F152" i="15"/>
  <c r="E152" i="15"/>
  <c r="K151" i="15"/>
  <c r="J151" i="15"/>
  <c r="I151" i="15"/>
  <c r="H151" i="15"/>
  <c r="G151" i="15"/>
  <c r="F151" i="15"/>
  <c r="E151" i="15"/>
  <c r="K150" i="15"/>
  <c r="J150" i="15"/>
  <c r="I150" i="15"/>
  <c r="H150" i="15"/>
  <c r="G150" i="15"/>
  <c r="F150" i="15"/>
  <c r="E150" i="15"/>
  <c r="K149" i="15"/>
  <c r="J149" i="15"/>
  <c r="I149" i="15"/>
  <c r="H149" i="15"/>
  <c r="G149" i="15"/>
  <c r="F149" i="15"/>
  <c r="E149" i="15"/>
  <c r="K148" i="15"/>
  <c r="J148" i="15"/>
  <c r="I148" i="15"/>
  <c r="H148" i="15"/>
  <c r="G148" i="15"/>
  <c r="F148" i="15"/>
  <c r="E148" i="15"/>
  <c r="K147" i="15"/>
  <c r="J147" i="15"/>
  <c r="I147" i="15"/>
  <c r="H147" i="15"/>
  <c r="G147" i="15"/>
  <c r="F147" i="15"/>
  <c r="E147" i="15"/>
  <c r="K146" i="15"/>
  <c r="J146" i="15"/>
  <c r="I146" i="15"/>
  <c r="H146" i="15"/>
  <c r="G146" i="15"/>
  <c r="F146" i="15"/>
  <c r="E146" i="15"/>
  <c r="K145" i="15"/>
  <c r="J145" i="15"/>
  <c r="I145" i="15"/>
  <c r="H145" i="15"/>
  <c r="G145" i="15"/>
  <c r="F145" i="15"/>
  <c r="E145" i="15"/>
  <c r="K144" i="15"/>
  <c r="J144" i="15"/>
  <c r="I144" i="15"/>
  <c r="H144" i="15"/>
  <c r="G144" i="15"/>
  <c r="F144" i="15"/>
  <c r="E144" i="15"/>
  <c r="K143" i="15"/>
  <c r="J143" i="15"/>
  <c r="I143" i="15"/>
  <c r="H143" i="15"/>
  <c r="G143" i="15"/>
  <c r="F143" i="15"/>
  <c r="E143" i="15"/>
  <c r="K142" i="15"/>
  <c r="J142" i="15"/>
  <c r="I142" i="15"/>
  <c r="H142" i="15"/>
  <c r="G142" i="15"/>
  <c r="F142" i="15"/>
  <c r="E142" i="15"/>
  <c r="K141" i="15"/>
  <c r="F141" i="15"/>
  <c r="E141" i="15"/>
  <c r="K140" i="15"/>
  <c r="J140" i="15"/>
  <c r="I140" i="15"/>
  <c r="H140" i="15"/>
  <c r="F140" i="15"/>
  <c r="E140" i="15"/>
  <c r="K139" i="15"/>
  <c r="J8" i="10" s="1"/>
  <c r="J139" i="15"/>
  <c r="I8" i="10" s="1"/>
  <c r="I139" i="15"/>
  <c r="H8" i="10" s="1"/>
  <c r="H139" i="15"/>
  <c r="G8" i="10" s="1"/>
  <c r="G139" i="15"/>
  <c r="F8" i="10" s="1"/>
  <c r="F139" i="15"/>
  <c r="E8" i="10" s="1"/>
  <c r="E139" i="15"/>
  <c r="K138" i="15"/>
  <c r="J138" i="15"/>
  <c r="I138" i="15"/>
  <c r="H138" i="15"/>
  <c r="G138" i="15"/>
  <c r="F138" i="15"/>
  <c r="E138" i="15"/>
  <c r="K137" i="15"/>
  <c r="J137" i="15"/>
  <c r="I137" i="15"/>
  <c r="H137" i="15"/>
  <c r="G137" i="15"/>
  <c r="F137" i="15"/>
  <c r="E137" i="15"/>
  <c r="K136" i="15"/>
  <c r="J136" i="15"/>
  <c r="I136" i="15"/>
  <c r="H136" i="15"/>
  <c r="G136" i="15"/>
  <c r="F136" i="15"/>
  <c r="E136" i="15"/>
  <c r="K135" i="15"/>
  <c r="K198" i="15" s="1"/>
  <c r="J135" i="15"/>
  <c r="J198" i="15" s="1"/>
  <c r="I135" i="15"/>
  <c r="H135" i="15"/>
  <c r="H198" i="15" s="1"/>
  <c r="G135" i="15"/>
  <c r="G198" i="15" s="1"/>
  <c r="F135" i="15"/>
  <c r="F198" i="15" s="1"/>
  <c r="E135" i="15"/>
  <c r="K134" i="15"/>
  <c r="J134" i="15"/>
  <c r="I134" i="15"/>
  <c r="H134" i="15"/>
  <c r="G134" i="15"/>
  <c r="F134" i="15"/>
  <c r="E134" i="15"/>
  <c r="K133" i="15"/>
  <c r="J133" i="15"/>
  <c r="I133" i="15"/>
  <c r="H133" i="15"/>
  <c r="G133" i="15"/>
  <c r="F133" i="15"/>
  <c r="E133" i="15"/>
  <c r="K132" i="15"/>
  <c r="J132" i="15"/>
  <c r="I132" i="15"/>
  <c r="H132" i="15"/>
  <c r="G132" i="15"/>
  <c r="F132" i="15"/>
  <c r="E132" i="15"/>
  <c r="K131" i="15"/>
  <c r="J131" i="15"/>
  <c r="I131" i="15"/>
  <c r="H131" i="15"/>
  <c r="G131" i="15"/>
  <c r="F131" i="15"/>
  <c r="E131" i="15"/>
  <c r="K129" i="15"/>
  <c r="K196" i="15" s="1"/>
  <c r="J129" i="15"/>
  <c r="J196" i="15" s="1"/>
  <c r="I129" i="15"/>
  <c r="H129" i="15"/>
  <c r="H196" i="15" s="1"/>
  <c r="G129" i="15"/>
  <c r="G196" i="15" s="1"/>
  <c r="F129" i="15"/>
  <c r="F196" i="15" s="1"/>
  <c r="E129" i="15"/>
  <c r="K128" i="15"/>
  <c r="J128" i="15"/>
  <c r="I128" i="15"/>
  <c r="H128" i="15"/>
  <c r="G128" i="15"/>
  <c r="F128" i="15"/>
  <c r="E128" i="15"/>
  <c r="K127" i="15"/>
  <c r="J127" i="15"/>
  <c r="I127" i="15"/>
  <c r="H127" i="15"/>
  <c r="G127" i="15"/>
  <c r="F127" i="15"/>
  <c r="E127" i="15"/>
  <c r="K126" i="15"/>
  <c r="J126" i="15"/>
  <c r="I126" i="15"/>
  <c r="H126" i="15"/>
  <c r="G126" i="15"/>
  <c r="F126" i="15"/>
  <c r="E126" i="15"/>
  <c r="K125" i="15"/>
  <c r="J125" i="15"/>
  <c r="I125" i="15"/>
  <c r="H125" i="15"/>
  <c r="G125" i="15"/>
  <c r="F125" i="15"/>
  <c r="E125" i="15"/>
  <c r="K124" i="15"/>
  <c r="J124" i="15"/>
  <c r="I124" i="15"/>
  <c r="H124" i="15"/>
  <c r="G124" i="15"/>
  <c r="F124" i="15"/>
  <c r="E124" i="15"/>
  <c r="K123" i="15"/>
  <c r="J123" i="15"/>
  <c r="I123" i="15"/>
  <c r="H123" i="15"/>
  <c r="G123" i="15"/>
  <c r="F123" i="15"/>
  <c r="E123" i="15"/>
  <c r="K122" i="15"/>
  <c r="J122" i="15"/>
  <c r="I122" i="15"/>
  <c r="H122" i="15"/>
  <c r="G122" i="15"/>
  <c r="F122" i="15"/>
  <c r="E122" i="15"/>
  <c r="K121" i="15"/>
  <c r="J121" i="15"/>
  <c r="I121" i="15"/>
  <c r="H121" i="15"/>
  <c r="G121" i="15"/>
  <c r="F121" i="15"/>
  <c r="E121" i="15"/>
  <c r="K120" i="15"/>
  <c r="J120" i="15"/>
  <c r="I120" i="15"/>
  <c r="H120" i="15"/>
  <c r="G120" i="15"/>
  <c r="F120" i="15"/>
  <c r="E120" i="15"/>
  <c r="K119" i="15"/>
  <c r="J119" i="15"/>
  <c r="I119" i="15"/>
  <c r="H119" i="15"/>
  <c r="G119" i="15"/>
  <c r="F119" i="15"/>
  <c r="E119" i="15"/>
  <c r="K118" i="15"/>
  <c r="J118" i="15"/>
  <c r="I118" i="15"/>
  <c r="H118" i="15"/>
  <c r="G118" i="15"/>
  <c r="F118" i="15"/>
  <c r="E118" i="15"/>
  <c r="K117" i="15"/>
  <c r="J117" i="15"/>
  <c r="I117" i="15"/>
  <c r="H117" i="15"/>
  <c r="G117" i="15"/>
  <c r="F117" i="15"/>
  <c r="E117" i="15"/>
  <c r="K116" i="15"/>
  <c r="J116" i="15"/>
  <c r="I116" i="15"/>
  <c r="H116" i="15"/>
  <c r="G116" i="15"/>
  <c r="F116" i="15"/>
  <c r="E116" i="15"/>
  <c r="K115" i="15"/>
  <c r="J115" i="15"/>
  <c r="I115" i="15"/>
  <c r="H115" i="15"/>
  <c r="G115" i="15"/>
  <c r="F115" i="15"/>
  <c r="E115" i="15"/>
  <c r="K114" i="15"/>
  <c r="J114" i="15"/>
  <c r="I114" i="15"/>
  <c r="H114" i="15"/>
  <c r="G114" i="15"/>
  <c r="F114" i="15"/>
  <c r="E114" i="15"/>
  <c r="K113" i="15"/>
  <c r="J113" i="15"/>
  <c r="I113" i="15"/>
  <c r="G113" i="15"/>
  <c r="F113" i="15"/>
  <c r="E113" i="15"/>
  <c r="K112" i="15"/>
  <c r="J112" i="15"/>
  <c r="I112" i="15"/>
  <c r="H112" i="15"/>
  <c r="G112" i="15"/>
  <c r="F112" i="15"/>
  <c r="E112" i="15"/>
  <c r="K110" i="15"/>
  <c r="J110" i="15"/>
  <c r="I110" i="15"/>
  <c r="H110" i="15"/>
  <c r="G110" i="15"/>
  <c r="F110" i="15"/>
  <c r="E110" i="15"/>
  <c r="K109" i="15"/>
  <c r="J109" i="15"/>
  <c r="I109" i="15"/>
  <c r="H109" i="15"/>
  <c r="G109" i="15"/>
  <c r="F109" i="15"/>
  <c r="E109" i="15"/>
  <c r="K107" i="15"/>
  <c r="J107" i="15"/>
  <c r="I107" i="15"/>
  <c r="G107" i="15"/>
  <c r="F107" i="15"/>
  <c r="E107" i="15"/>
  <c r="K106" i="15"/>
  <c r="J106" i="15"/>
  <c r="I106" i="15"/>
  <c r="H106" i="15"/>
  <c r="G106" i="15"/>
  <c r="F106" i="15"/>
  <c r="E106" i="15"/>
  <c r="K105" i="15"/>
  <c r="J105" i="15"/>
  <c r="I105" i="15"/>
  <c r="H105" i="15"/>
  <c r="G105" i="15"/>
  <c r="F105" i="15"/>
  <c r="E105" i="15"/>
  <c r="K104" i="15"/>
  <c r="J104" i="15"/>
  <c r="I104" i="15"/>
  <c r="H104" i="15"/>
  <c r="G104" i="15"/>
  <c r="F104" i="15"/>
  <c r="E104" i="15"/>
  <c r="K103" i="15"/>
  <c r="J103" i="15"/>
  <c r="I103" i="15"/>
  <c r="H103" i="15"/>
  <c r="G103" i="15"/>
  <c r="F103" i="15"/>
  <c r="E103" i="15"/>
  <c r="K102" i="15"/>
  <c r="J102" i="15"/>
  <c r="I102" i="15"/>
  <c r="H102" i="15"/>
  <c r="G102" i="15"/>
  <c r="F102" i="15"/>
  <c r="E102" i="15"/>
  <c r="K101" i="15"/>
  <c r="J101" i="15"/>
  <c r="I101" i="15"/>
  <c r="H101" i="15"/>
  <c r="G101" i="15"/>
  <c r="F101" i="15"/>
  <c r="E101" i="15"/>
  <c r="K100" i="15"/>
  <c r="J100" i="15"/>
  <c r="I100" i="15"/>
  <c r="H100" i="15"/>
  <c r="G100" i="15"/>
  <c r="F100" i="15"/>
  <c r="E100" i="15"/>
  <c r="K99" i="15"/>
  <c r="J99" i="15"/>
  <c r="I99" i="15"/>
  <c r="H99" i="15"/>
  <c r="G99" i="15"/>
  <c r="F99" i="15"/>
  <c r="E99" i="15"/>
  <c r="K98" i="15"/>
  <c r="J98" i="15"/>
  <c r="I98" i="15"/>
  <c r="H98" i="15"/>
  <c r="G98" i="15"/>
  <c r="F98" i="15"/>
  <c r="E98" i="15"/>
  <c r="K97" i="15"/>
  <c r="J97" i="15"/>
  <c r="I97" i="15"/>
  <c r="H97" i="15"/>
  <c r="G97" i="15"/>
  <c r="F97" i="15"/>
  <c r="E97" i="15"/>
  <c r="K96" i="15"/>
  <c r="I96" i="15"/>
  <c r="H96" i="15"/>
  <c r="G96" i="15"/>
  <c r="F96" i="15"/>
  <c r="E96" i="15"/>
  <c r="K95" i="15"/>
  <c r="J95" i="15"/>
  <c r="I95" i="15"/>
  <c r="H95" i="15"/>
  <c r="G95" i="15"/>
  <c r="F95" i="15"/>
  <c r="E95" i="15"/>
  <c r="K94" i="15"/>
  <c r="J94" i="15"/>
  <c r="I94" i="15"/>
  <c r="H94" i="15"/>
  <c r="G94" i="15"/>
  <c r="F94" i="15"/>
  <c r="E94" i="15"/>
  <c r="K93" i="15"/>
  <c r="I93" i="15"/>
  <c r="H93" i="15"/>
  <c r="G93" i="15"/>
  <c r="F93" i="15"/>
  <c r="E93" i="15"/>
  <c r="K92" i="15"/>
  <c r="J92" i="15"/>
  <c r="I92" i="15"/>
  <c r="H92" i="15"/>
  <c r="G92" i="15"/>
  <c r="F92" i="15"/>
  <c r="E92" i="15"/>
  <c r="K91" i="15"/>
  <c r="J91" i="15"/>
  <c r="I91" i="15"/>
  <c r="H91" i="15"/>
  <c r="G91" i="15"/>
  <c r="F91" i="15"/>
  <c r="E91" i="15"/>
  <c r="K90" i="15"/>
  <c r="J90" i="15"/>
  <c r="I90" i="15"/>
  <c r="H90" i="15"/>
  <c r="G90" i="15"/>
  <c r="F90" i="15"/>
  <c r="E90" i="15"/>
  <c r="K89" i="15"/>
  <c r="J89" i="15"/>
  <c r="I89" i="15"/>
  <c r="H89" i="15"/>
  <c r="G89" i="15"/>
  <c r="F89" i="15"/>
  <c r="E89" i="15"/>
  <c r="K88" i="15"/>
  <c r="J88" i="15"/>
  <c r="I88" i="15"/>
  <c r="H88" i="15"/>
  <c r="G88" i="15"/>
  <c r="F88" i="15"/>
  <c r="E88" i="15"/>
  <c r="K87" i="15"/>
  <c r="J87" i="15"/>
  <c r="I87" i="15"/>
  <c r="H87" i="15"/>
  <c r="G87" i="15"/>
  <c r="F87" i="15"/>
  <c r="E87" i="15"/>
  <c r="K86" i="15"/>
  <c r="J86" i="15"/>
  <c r="I86" i="15"/>
  <c r="H86" i="15"/>
  <c r="G86" i="15"/>
  <c r="F86" i="15"/>
  <c r="E86" i="15"/>
  <c r="K85" i="15"/>
  <c r="J85" i="15"/>
  <c r="I85" i="15"/>
  <c r="H85" i="15"/>
  <c r="G85" i="15"/>
  <c r="F85" i="15"/>
  <c r="E85" i="15"/>
  <c r="K83" i="15"/>
  <c r="J83" i="15"/>
  <c r="I83" i="15"/>
  <c r="H83" i="15"/>
  <c r="G83" i="15"/>
  <c r="F83" i="15"/>
  <c r="E83" i="15"/>
  <c r="K82" i="15"/>
  <c r="J82" i="15"/>
  <c r="I82" i="15"/>
  <c r="H82" i="15"/>
  <c r="G82" i="15"/>
  <c r="F82" i="15"/>
  <c r="E82" i="15"/>
  <c r="K81" i="15"/>
  <c r="J81" i="15"/>
  <c r="I81" i="15"/>
  <c r="H81" i="15"/>
  <c r="G81" i="15"/>
  <c r="F81" i="15"/>
  <c r="E81" i="15"/>
  <c r="K78" i="15"/>
  <c r="J78" i="15"/>
  <c r="I78" i="15"/>
  <c r="H78" i="15"/>
  <c r="G78" i="15"/>
  <c r="F78" i="15"/>
  <c r="E78" i="15"/>
  <c r="K77" i="15"/>
  <c r="J77" i="15"/>
  <c r="I77" i="15"/>
  <c r="H77" i="15"/>
  <c r="G77" i="15"/>
  <c r="F77" i="15"/>
  <c r="E77" i="15"/>
  <c r="K76" i="15"/>
  <c r="J76" i="15"/>
  <c r="I76" i="15"/>
  <c r="H76" i="15"/>
  <c r="G76" i="15"/>
  <c r="F76" i="15"/>
  <c r="E76" i="15"/>
  <c r="K75" i="15"/>
  <c r="J75" i="15"/>
  <c r="I75" i="15"/>
  <c r="H75" i="15"/>
  <c r="G75" i="15"/>
  <c r="F75" i="15"/>
  <c r="E75" i="15"/>
  <c r="K74" i="15"/>
  <c r="I74" i="15"/>
  <c r="H74" i="15"/>
  <c r="G74" i="15"/>
  <c r="F74" i="15"/>
  <c r="E74" i="15"/>
  <c r="K73" i="15"/>
  <c r="H73" i="15"/>
  <c r="G73" i="15"/>
  <c r="F73" i="15"/>
  <c r="E73" i="15"/>
  <c r="K71" i="15"/>
  <c r="J71" i="15"/>
  <c r="I71" i="15"/>
  <c r="H71" i="15"/>
  <c r="G71" i="15"/>
  <c r="F71" i="15"/>
  <c r="E71" i="15"/>
  <c r="K70" i="15"/>
  <c r="J70" i="15"/>
  <c r="I70" i="15"/>
  <c r="H70" i="15"/>
  <c r="G70" i="15"/>
  <c r="F70" i="15"/>
  <c r="E70" i="15"/>
  <c r="K69" i="15"/>
  <c r="J69" i="15"/>
  <c r="I69" i="15"/>
  <c r="H69" i="15"/>
  <c r="G69" i="15"/>
  <c r="F69" i="15"/>
  <c r="E69" i="15"/>
  <c r="K68" i="15"/>
  <c r="J68" i="15"/>
  <c r="I68" i="15"/>
  <c r="H68" i="15"/>
  <c r="G68" i="15"/>
  <c r="F68" i="15"/>
  <c r="E68" i="15"/>
  <c r="K66" i="15"/>
  <c r="J66" i="15"/>
  <c r="I66" i="15"/>
  <c r="H66" i="15"/>
  <c r="G66" i="15"/>
  <c r="F66" i="15"/>
  <c r="E66" i="15"/>
  <c r="K65" i="15"/>
  <c r="J65" i="15"/>
  <c r="I65" i="15"/>
  <c r="H65" i="15"/>
  <c r="G65" i="15"/>
  <c r="F65" i="15"/>
  <c r="E65" i="15"/>
  <c r="K64" i="15"/>
  <c r="J64" i="15"/>
  <c r="I64" i="15"/>
  <c r="H64" i="15"/>
  <c r="G64" i="15"/>
  <c r="F64" i="15"/>
  <c r="E64" i="15"/>
  <c r="K63" i="15"/>
  <c r="J63" i="15"/>
  <c r="I63" i="15"/>
  <c r="H63" i="15"/>
  <c r="G63" i="15"/>
  <c r="F63" i="15"/>
  <c r="E63" i="15"/>
  <c r="K62" i="15"/>
  <c r="J62" i="15"/>
  <c r="I62" i="15"/>
  <c r="H62" i="15"/>
  <c r="G62" i="15"/>
  <c r="F62" i="15"/>
  <c r="E62" i="15"/>
  <c r="K61" i="15"/>
  <c r="J61" i="15"/>
  <c r="I61" i="15"/>
  <c r="H61" i="15"/>
  <c r="G61" i="15"/>
  <c r="F61" i="15"/>
  <c r="E61" i="15"/>
  <c r="K60" i="15"/>
  <c r="J60" i="15"/>
  <c r="I60" i="15"/>
  <c r="H60" i="15"/>
  <c r="G60" i="15"/>
  <c r="F60" i="15"/>
  <c r="E60" i="15"/>
  <c r="K59" i="15"/>
  <c r="J59" i="15"/>
  <c r="I59" i="15"/>
  <c r="H59" i="15"/>
  <c r="G59" i="15"/>
  <c r="F59" i="15"/>
  <c r="E59" i="15"/>
  <c r="K58" i="15"/>
  <c r="J58" i="15"/>
  <c r="I58" i="15"/>
  <c r="H58" i="15"/>
  <c r="G58" i="15"/>
  <c r="F58" i="15"/>
  <c r="E58" i="15"/>
  <c r="K57" i="15"/>
  <c r="J57" i="15"/>
  <c r="I57" i="15"/>
  <c r="H57" i="15"/>
  <c r="G57" i="15"/>
  <c r="F57" i="15"/>
  <c r="E57" i="15"/>
  <c r="K56" i="15"/>
  <c r="J56" i="15"/>
  <c r="I56" i="15"/>
  <c r="H56" i="15"/>
  <c r="G56" i="15"/>
  <c r="F56" i="15"/>
  <c r="E56" i="15"/>
  <c r="K55" i="15"/>
  <c r="J55" i="15"/>
  <c r="I55" i="15"/>
  <c r="H55" i="15"/>
  <c r="G55" i="15"/>
  <c r="F55" i="15"/>
  <c r="E55" i="15"/>
  <c r="K54" i="15"/>
  <c r="J54" i="15"/>
  <c r="I54" i="15"/>
  <c r="H54" i="15"/>
  <c r="G54" i="15"/>
  <c r="F54" i="15"/>
  <c r="E54" i="15"/>
  <c r="K53" i="15"/>
  <c r="J53" i="15"/>
  <c r="I53" i="15"/>
  <c r="H53" i="15"/>
  <c r="F53" i="15"/>
  <c r="E53" i="15"/>
  <c r="K52" i="15"/>
  <c r="J52" i="15"/>
  <c r="I52" i="15"/>
  <c r="H52" i="15"/>
  <c r="F52" i="15"/>
  <c r="E52" i="15"/>
  <c r="K51" i="15"/>
  <c r="J51" i="15"/>
  <c r="I51" i="15"/>
  <c r="H51" i="15"/>
  <c r="G51" i="15"/>
  <c r="F51" i="15"/>
  <c r="E51" i="15"/>
  <c r="M48" i="15"/>
  <c r="K48" i="15"/>
  <c r="J48" i="15"/>
  <c r="I48" i="15"/>
  <c r="H48" i="15"/>
  <c r="G48" i="15"/>
  <c r="F48" i="15"/>
  <c r="E48" i="15"/>
  <c r="K45" i="15"/>
  <c r="K188" i="15" s="1"/>
  <c r="J45" i="15"/>
  <c r="I45" i="15"/>
  <c r="H45" i="15"/>
  <c r="H188" i="15" s="1"/>
  <c r="G45" i="15"/>
  <c r="G188" i="15" s="1"/>
  <c r="F45" i="15"/>
  <c r="E45" i="15"/>
  <c r="AN44" i="15"/>
  <c r="AM44" i="15"/>
  <c r="AL44" i="15"/>
  <c r="AJ44" i="15"/>
  <c r="AI44" i="15"/>
  <c r="AH44" i="15"/>
  <c r="AG44" i="15"/>
  <c r="AF44" i="15"/>
  <c r="AE44" i="15"/>
  <c r="AD44" i="15"/>
  <c r="N44" i="15"/>
  <c r="M44" i="15"/>
  <c r="K44" i="15"/>
  <c r="J44" i="15"/>
  <c r="I44" i="15"/>
  <c r="H44" i="15"/>
  <c r="G44" i="15"/>
  <c r="F44" i="15"/>
  <c r="E44" i="15"/>
  <c r="K42" i="15"/>
  <c r="J42" i="15"/>
  <c r="I42" i="15"/>
  <c r="H42" i="15"/>
  <c r="G42" i="15"/>
  <c r="F42" i="15"/>
  <c r="E42" i="15"/>
  <c r="M40" i="15"/>
  <c r="K40" i="15"/>
  <c r="J40" i="15"/>
  <c r="I40" i="15"/>
  <c r="H40" i="15"/>
  <c r="G40" i="15"/>
  <c r="F40" i="15"/>
  <c r="E40" i="15"/>
  <c r="K39" i="15"/>
  <c r="J39" i="15"/>
  <c r="I39" i="15"/>
  <c r="H39" i="15"/>
  <c r="G39" i="15"/>
  <c r="F39" i="15"/>
  <c r="E39" i="15"/>
  <c r="P38" i="15"/>
  <c r="N38" i="15"/>
  <c r="M38" i="15"/>
  <c r="K38" i="15"/>
  <c r="J38" i="15"/>
  <c r="I38" i="15"/>
  <c r="H38" i="15"/>
  <c r="G38" i="15"/>
  <c r="F38" i="15"/>
  <c r="E38" i="15"/>
  <c r="P36" i="15"/>
  <c r="K36" i="15"/>
  <c r="J36" i="15"/>
  <c r="I36" i="15"/>
  <c r="H36" i="15"/>
  <c r="G36" i="15"/>
  <c r="F36" i="15"/>
  <c r="E36" i="15"/>
  <c r="K35" i="15"/>
  <c r="J35" i="15"/>
  <c r="I35" i="15"/>
  <c r="H35" i="15"/>
  <c r="G35" i="15"/>
  <c r="F35" i="15"/>
  <c r="E35" i="15"/>
  <c r="K32" i="15"/>
  <c r="J32" i="15"/>
  <c r="I32" i="15"/>
  <c r="H32" i="15"/>
  <c r="G32" i="15"/>
  <c r="F32" i="15"/>
  <c r="K31" i="15"/>
  <c r="J31" i="15"/>
  <c r="I31" i="15"/>
  <c r="H31" i="15"/>
  <c r="G31" i="15"/>
  <c r="F31" i="15"/>
  <c r="E31" i="15"/>
  <c r="K24" i="15"/>
  <c r="J24" i="15"/>
  <c r="I24" i="15"/>
  <c r="H24" i="15"/>
  <c r="G24" i="15"/>
  <c r="F24" i="15"/>
  <c r="E24" i="15"/>
  <c r="K23" i="15"/>
  <c r="J23" i="15"/>
  <c r="I23" i="15"/>
  <c r="H23" i="15"/>
  <c r="G23" i="15"/>
  <c r="F23" i="15"/>
  <c r="E23" i="15"/>
  <c r="K19" i="15"/>
  <c r="J19" i="15"/>
  <c r="I19" i="15"/>
  <c r="H19" i="15"/>
  <c r="G19" i="15"/>
  <c r="F19" i="15"/>
  <c r="E19" i="15"/>
  <c r="E20" i="15" s="1"/>
  <c r="E252" i="15"/>
  <c r="A246" i="15"/>
  <c r="A246" i="4" s="1"/>
  <c r="A244" i="15"/>
  <c r="A244" i="2" s="1"/>
  <c r="A243" i="15"/>
  <c r="A243" i="2" s="1"/>
  <c r="A242" i="15"/>
  <c r="A242" i="4" s="1"/>
  <c r="A241" i="15"/>
  <c r="A241" i="4" s="1"/>
  <c r="A240" i="15"/>
  <c r="A240" i="2" s="1"/>
  <c r="A239" i="15"/>
  <c r="A239" i="2" s="1"/>
  <c r="A238" i="15"/>
  <c r="A238" i="4" s="1"/>
  <c r="A237" i="15"/>
  <c r="A237" i="4" s="1"/>
  <c r="A236" i="15"/>
  <c r="A236" i="2" s="1"/>
  <c r="A235" i="15"/>
  <c r="A235" i="2" s="1"/>
  <c r="A234" i="15"/>
  <c r="A234" i="4" s="1"/>
  <c r="A233" i="15"/>
  <c r="A233" i="4" s="1"/>
  <c r="A232" i="15"/>
  <c r="A232" i="2" s="1"/>
  <c r="A229" i="15"/>
  <c r="A229" i="4" s="1"/>
  <c r="A228" i="15"/>
  <c r="A228" i="2" s="1"/>
  <c r="A227" i="15"/>
  <c r="A227" i="4" s="1"/>
  <c r="A226" i="15"/>
  <c r="A226" i="2" s="1"/>
  <c r="A225" i="15"/>
  <c r="A225" i="4" s="1"/>
  <c r="A223" i="15"/>
  <c r="A223" i="4" s="1"/>
  <c r="A222" i="15"/>
  <c r="A222" i="2" s="1"/>
  <c r="K189" i="15"/>
  <c r="J189" i="15"/>
  <c r="I189" i="15"/>
  <c r="H189" i="15"/>
  <c r="G189" i="15"/>
  <c r="F189" i="15"/>
  <c r="E189" i="15"/>
  <c r="A7" i="15"/>
  <c r="F4" i="15"/>
  <c r="E2" i="15"/>
  <c r="AK24" i="4" l="1"/>
  <c r="AW24" i="4" s="1"/>
  <c r="AM24" i="4"/>
  <c r="AY24" i="4" s="1"/>
  <c r="AK36" i="4"/>
  <c r="AW36" i="4" s="1"/>
  <c r="BI36" i="4" s="1"/>
  <c r="BU36" i="4" s="1"/>
  <c r="AM36" i="4"/>
  <c r="AY36" i="4" s="1"/>
  <c r="CH36" i="4" s="1"/>
  <c r="AK42" i="4"/>
  <c r="AW42" i="4" s="1"/>
  <c r="BI42" i="4" s="1"/>
  <c r="BU42" i="4" s="1"/>
  <c r="AM42" i="4"/>
  <c r="AY42" i="4" s="1"/>
  <c r="AK51" i="4"/>
  <c r="AW51" i="4" s="1"/>
  <c r="BI51" i="4" s="1"/>
  <c r="BU51" i="4" s="1"/>
  <c r="AM51" i="4"/>
  <c r="AY51" i="4" s="1"/>
  <c r="CD50" i="4"/>
  <c r="CC29" i="4"/>
  <c r="CD29" i="4"/>
  <c r="CC50" i="4"/>
  <c r="CE29" i="4"/>
  <c r="CE50" i="4"/>
  <c r="CF29" i="4"/>
  <c r="CF50" i="4"/>
  <c r="CG50" i="4"/>
  <c r="CG29" i="4"/>
  <c r="CH50" i="4"/>
  <c r="CH29" i="4"/>
  <c r="CI50" i="4"/>
  <c r="CI29" i="4"/>
  <c r="CJ29" i="4"/>
  <c r="CJ50" i="4"/>
  <c r="AK31" i="4"/>
  <c r="AW31" i="4" s="1"/>
  <c r="AM31" i="4"/>
  <c r="AY31" i="4" s="1"/>
  <c r="AK38" i="4"/>
  <c r="AW38" i="4" s="1"/>
  <c r="BI38" i="4" s="1"/>
  <c r="BU38" i="4" s="1"/>
  <c r="AM38" i="4"/>
  <c r="AY38" i="4" s="1"/>
  <c r="BK44" i="4"/>
  <c r="AY44" i="15"/>
  <c r="AA99" i="4"/>
  <c r="CD29" i="2"/>
  <c r="CC29" i="2"/>
  <c r="CC50" i="2"/>
  <c r="CD50" i="2"/>
  <c r="CE29" i="2"/>
  <c r="CE50" i="2"/>
  <c r="CF50" i="2"/>
  <c r="CF29" i="2"/>
  <c r="CG50" i="2"/>
  <c r="CG29" i="2"/>
  <c r="CH50" i="2"/>
  <c r="CH29" i="2"/>
  <c r="CI29" i="2"/>
  <c r="CI50" i="2"/>
  <c r="CJ50" i="2"/>
  <c r="CJ29" i="2"/>
  <c r="AK39" i="4"/>
  <c r="AW39" i="4" s="1"/>
  <c r="BI39" i="4" s="1"/>
  <c r="BU39" i="4" s="1"/>
  <c r="AM39" i="4"/>
  <c r="AY39" i="4" s="1"/>
  <c r="AK106" i="4"/>
  <c r="AW106" i="4" s="1"/>
  <c r="BI106" i="4" s="1"/>
  <c r="BU106" i="4" s="1"/>
  <c r="AM106" i="4"/>
  <c r="AY106" i="4" s="1"/>
  <c r="BK106" i="4" s="1"/>
  <c r="BW106" i="4" s="1"/>
  <c r="BK46" i="4"/>
  <c r="AY46" i="15"/>
  <c r="AY189" i="15" s="1"/>
  <c r="AK23" i="4"/>
  <c r="AW23" i="4" s="1"/>
  <c r="BI23" i="4" s="1"/>
  <c r="BU23" i="4" s="1"/>
  <c r="AM23" i="4"/>
  <c r="AY23" i="4" s="1"/>
  <c r="AK35" i="4"/>
  <c r="AW35" i="4" s="1"/>
  <c r="BI35" i="4" s="1"/>
  <c r="BU35" i="4" s="1"/>
  <c r="AM35" i="4"/>
  <c r="AY35" i="4" s="1"/>
  <c r="AK40" i="4"/>
  <c r="AW40" i="4" s="1"/>
  <c r="BI40" i="4" s="1"/>
  <c r="BU40" i="4" s="1"/>
  <c r="AM40" i="4"/>
  <c r="AY40" i="4" s="1"/>
  <c r="CC181" i="4"/>
  <c r="CD181" i="4"/>
  <c r="CE181" i="4"/>
  <c r="CF181" i="4"/>
  <c r="CG181" i="4"/>
  <c r="CH181" i="4"/>
  <c r="CI181" i="4"/>
  <c r="CJ181" i="4"/>
  <c r="CC181" i="2"/>
  <c r="CD181" i="2"/>
  <c r="CE181" i="2"/>
  <c r="CF181" i="2"/>
  <c r="CH181" i="2"/>
  <c r="CI181" i="2"/>
  <c r="CJ181" i="2"/>
  <c r="CD28" i="4"/>
  <c r="CC28" i="4"/>
  <c r="CE28" i="4"/>
  <c r="CF28" i="4"/>
  <c r="CG28" i="4"/>
  <c r="CH28" i="4"/>
  <c r="CI28" i="4"/>
  <c r="CJ28" i="4"/>
  <c r="CC28" i="2"/>
  <c r="CD28" i="2"/>
  <c r="CE28" i="2"/>
  <c r="CF28" i="2"/>
  <c r="CG28" i="2"/>
  <c r="CH28" i="2"/>
  <c r="CI28" i="2"/>
  <c r="CJ28" i="2"/>
  <c r="AI248" i="15"/>
  <c r="H20" i="15"/>
  <c r="CD155" i="4"/>
  <c r="CC155" i="4"/>
  <c r="CE155" i="4"/>
  <c r="CF155" i="4"/>
  <c r="CG155" i="4"/>
  <c r="CH155" i="4"/>
  <c r="CI155" i="4"/>
  <c r="CJ155" i="4"/>
  <c r="CC155" i="2"/>
  <c r="CD155" i="2"/>
  <c r="CE155" i="2"/>
  <c r="CF155" i="2"/>
  <c r="CG155" i="2"/>
  <c r="CJ155" i="2"/>
  <c r="CH155" i="2"/>
  <c r="CI155" i="2"/>
  <c r="AK23" i="2"/>
  <c r="AW23" i="2" s="1"/>
  <c r="AW23" i="15" s="1"/>
  <c r="G20" i="15"/>
  <c r="K20" i="15"/>
  <c r="CC130" i="2"/>
  <c r="CD130" i="2"/>
  <c r="CE130" i="2"/>
  <c r="CF130" i="2"/>
  <c r="CG130" i="2"/>
  <c r="CH130" i="2"/>
  <c r="CI130" i="2"/>
  <c r="CJ130" i="2"/>
  <c r="Y85" i="4"/>
  <c r="Y99" i="2"/>
  <c r="BI24" i="4"/>
  <c r="AW32" i="4"/>
  <c r="P32" i="2"/>
  <c r="CF24" i="2"/>
  <c r="BI38" i="2"/>
  <c r="AW38" i="15"/>
  <c r="BI44" i="2"/>
  <c r="CC49" i="4"/>
  <c r="CD49" i="4"/>
  <c r="CE49" i="4"/>
  <c r="CF49" i="4"/>
  <c r="CG49" i="4"/>
  <c r="CH49" i="4"/>
  <c r="CI49" i="4"/>
  <c r="CJ49" i="4"/>
  <c r="BI31" i="4"/>
  <c r="AW31" i="15"/>
  <c r="P44" i="15"/>
  <c r="AK44" i="4"/>
  <c r="Y99" i="4"/>
  <c r="BI39" i="2"/>
  <c r="AW39" i="15"/>
  <c r="Y85" i="2"/>
  <c r="Y140" i="2"/>
  <c r="CC49" i="2"/>
  <c r="CD49" i="2"/>
  <c r="CE49" i="2"/>
  <c r="CF49" i="2"/>
  <c r="CG49" i="2"/>
  <c r="CH49" i="2"/>
  <c r="CI49" i="2"/>
  <c r="CJ49" i="2"/>
  <c r="Y140" i="4"/>
  <c r="BI35" i="2"/>
  <c r="AW35" i="15"/>
  <c r="P40" i="15"/>
  <c r="AK40" i="2"/>
  <c r="AW40" i="2" s="1"/>
  <c r="P48" i="15"/>
  <c r="AW189" i="15"/>
  <c r="CH46" i="15"/>
  <c r="I20" i="15"/>
  <c r="F20" i="15"/>
  <c r="J20" i="15"/>
  <c r="BI23" i="2"/>
  <c r="BI36" i="2"/>
  <c r="AW36" i="15"/>
  <c r="BI42" i="2"/>
  <c r="AW42" i="15"/>
  <c r="BI51" i="2"/>
  <c r="AW51" i="15"/>
  <c r="BU46" i="2"/>
  <c r="BU46" i="15" s="1"/>
  <c r="BI46" i="15"/>
  <c r="BS20" i="4"/>
  <c r="BS289" i="4"/>
  <c r="BV15" i="15"/>
  <c r="BV14" i="15"/>
  <c r="BW12" i="15"/>
  <c r="BX12" i="15"/>
  <c r="BM21" i="8"/>
  <c r="BL26" i="8"/>
  <c r="BU18" i="8"/>
  <c r="BV17" i="8"/>
  <c r="CD218" i="4"/>
  <c r="CC217" i="4"/>
  <c r="CD215" i="4"/>
  <c r="CC216" i="4"/>
  <c r="CD217" i="4"/>
  <c r="CC215" i="4"/>
  <c r="CD216" i="4"/>
  <c r="CC218" i="4"/>
  <c r="CD215" i="2"/>
  <c r="CC217" i="2"/>
  <c r="CD216" i="2"/>
  <c r="CC218" i="2"/>
  <c r="CD218" i="2"/>
  <c r="CC215" i="2"/>
  <c r="CD217" i="2"/>
  <c r="CC216" i="2"/>
  <c r="CC178" i="4"/>
  <c r="CD178" i="4"/>
  <c r="CD179" i="4"/>
  <c r="CC177" i="4"/>
  <c r="CD177" i="4"/>
  <c r="CC180" i="4"/>
  <c r="CD180" i="4"/>
  <c r="CC179" i="4"/>
  <c r="BF180" i="4"/>
  <c r="BF218" i="4" s="1"/>
  <c r="AG179" i="4"/>
  <c r="K178" i="4"/>
  <c r="K216" i="4" s="1"/>
  <c r="AH177" i="4"/>
  <c r="AH215" i="4" s="1"/>
  <c r="Z180" i="4"/>
  <c r="Z218" i="4" s="1"/>
  <c r="AX177" i="4"/>
  <c r="AX215" i="4" s="1"/>
  <c r="R177" i="4"/>
  <c r="R215" i="4" s="1"/>
  <c r="E178" i="4"/>
  <c r="E216" i="4" s="1"/>
  <c r="BM179" i="4"/>
  <c r="BN177" i="4"/>
  <c r="BN215" i="4" s="1"/>
  <c r="BM177" i="4"/>
  <c r="BM215" i="4" s="1"/>
  <c r="AW177" i="4"/>
  <c r="AW215" i="4" s="1"/>
  <c r="AG177" i="4"/>
  <c r="AG215" i="4" s="1"/>
  <c r="Q177" i="4"/>
  <c r="Q215" i="4" s="1"/>
  <c r="BT177" i="4"/>
  <c r="BT215" i="4" s="1"/>
  <c r="BD177" i="4"/>
  <c r="BD215" i="4" s="1"/>
  <c r="AN177" i="4"/>
  <c r="AN215" i="4" s="1"/>
  <c r="X177" i="4"/>
  <c r="X215" i="4" s="1"/>
  <c r="H177" i="4"/>
  <c r="H215" i="4" s="1"/>
  <c r="BK177" i="4"/>
  <c r="BK215" i="4" s="1"/>
  <c r="AU177" i="4"/>
  <c r="AU215" i="4" s="1"/>
  <c r="AE177" i="4"/>
  <c r="AE215" i="4" s="1"/>
  <c r="O177" i="4"/>
  <c r="O215" i="4" s="1"/>
  <c r="V178" i="4"/>
  <c r="V216" i="4" s="1"/>
  <c r="U178" i="4"/>
  <c r="U216" i="4" s="1"/>
  <c r="W178" i="4"/>
  <c r="W216" i="4" s="1"/>
  <c r="M178" i="4"/>
  <c r="M216" i="4" s="1"/>
  <c r="BW179" i="4"/>
  <c r="BG179" i="4"/>
  <c r="AQ179" i="4"/>
  <c r="AA179" i="4"/>
  <c r="K179" i="4"/>
  <c r="BN179" i="4"/>
  <c r="AX179" i="4"/>
  <c r="AH179" i="4"/>
  <c r="R179" i="4"/>
  <c r="BT179" i="4"/>
  <c r="AN179" i="4"/>
  <c r="H179" i="4"/>
  <c r="AS179" i="4"/>
  <c r="M179" i="4"/>
  <c r="AZ179" i="4"/>
  <c r="T179" i="4"/>
  <c r="BP180" i="4"/>
  <c r="BP218" i="4" s="1"/>
  <c r="AZ180" i="4"/>
  <c r="AZ218" i="4" s="1"/>
  <c r="AJ180" i="4"/>
  <c r="AJ218" i="4" s="1"/>
  <c r="T180" i="4"/>
  <c r="T218" i="4" s="1"/>
  <c r="BW180" i="4"/>
  <c r="BW218" i="4" s="1"/>
  <c r="BG180" i="4"/>
  <c r="BG218" i="4" s="1"/>
  <c r="AQ180" i="4"/>
  <c r="AQ218" i="4" s="1"/>
  <c r="AA180" i="4"/>
  <c r="AA218" i="4" s="1"/>
  <c r="K180" i="4"/>
  <c r="K218" i="4" s="1"/>
  <c r="BE180" i="4"/>
  <c r="BE218" i="4" s="1"/>
  <c r="Y180" i="4"/>
  <c r="Y218" i="4" s="1"/>
  <c r="BJ180" i="4"/>
  <c r="BJ218" i="4" s="1"/>
  <c r="AD180" i="4"/>
  <c r="AD218" i="4" s="1"/>
  <c r="BQ180" i="4"/>
  <c r="BQ218" i="4" s="1"/>
  <c r="AK180" i="4"/>
  <c r="AK218" i="4" s="1"/>
  <c r="AL177" i="4"/>
  <c r="AL215" i="4" s="1"/>
  <c r="AH180" i="4"/>
  <c r="AH218" i="4" s="1"/>
  <c r="E180" i="4"/>
  <c r="E218" i="4" s="1"/>
  <c r="J177" i="4"/>
  <c r="J215" i="4" s="1"/>
  <c r="BV177" i="4"/>
  <c r="BV215" i="4" s="1"/>
  <c r="AW179" i="4"/>
  <c r="BI177" i="4"/>
  <c r="BI215" i="4" s="1"/>
  <c r="AS177" i="4"/>
  <c r="AS215" i="4" s="1"/>
  <c r="AC177" i="4"/>
  <c r="AC215" i="4" s="1"/>
  <c r="M177" i="4"/>
  <c r="M215" i="4" s="1"/>
  <c r="BP177" i="4"/>
  <c r="BP215" i="4" s="1"/>
  <c r="AZ177" i="4"/>
  <c r="AZ215" i="4" s="1"/>
  <c r="AJ177" i="4"/>
  <c r="AJ215" i="4" s="1"/>
  <c r="T177" i="4"/>
  <c r="T215" i="4" s="1"/>
  <c r="BW177" i="4"/>
  <c r="BW215" i="4" s="1"/>
  <c r="BG177" i="4"/>
  <c r="BG215" i="4" s="1"/>
  <c r="AQ177" i="4"/>
  <c r="AQ215" i="4" s="1"/>
  <c r="AA177" i="4"/>
  <c r="AA215" i="4" s="1"/>
  <c r="K177" i="4"/>
  <c r="K215" i="4" s="1"/>
  <c r="R178" i="4"/>
  <c r="R216" i="4" s="1"/>
  <c r="Q178" i="4"/>
  <c r="Q216" i="4" s="1"/>
  <c r="O178" i="4"/>
  <c r="O216" i="4" s="1"/>
  <c r="I178" i="4"/>
  <c r="I216" i="4" s="1"/>
  <c r="S178" i="4"/>
  <c r="S216" i="4" s="1"/>
  <c r="BS179" i="4"/>
  <c r="BC179" i="4"/>
  <c r="AM179" i="4"/>
  <c r="W179" i="4"/>
  <c r="G179" i="4"/>
  <c r="BJ179" i="4"/>
  <c r="AT179" i="4"/>
  <c r="AD179" i="4"/>
  <c r="N179" i="4"/>
  <c r="BL179" i="4"/>
  <c r="AF179" i="4"/>
  <c r="BQ179" i="4"/>
  <c r="AK179" i="4"/>
  <c r="BX179" i="4"/>
  <c r="AR179" i="4"/>
  <c r="L179" i="4"/>
  <c r="BL180" i="4"/>
  <c r="BL218" i="4" s="1"/>
  <c r="AV180" i="4"/>
  <c r="AV218" i="4" s="1"/>
  <c r="AF180" i="4"/>
  <c r="AF218" i="4" s="1"/>
  <c r="P180" i="4"/>
  <c r="P218" i="4" s="1"/>
  <c r="BS180" i="4"/>
  <c r="BS218" i="4" s="1"/>
  <c r="BC180" i="4"/>
  <c r="BC218" i="4" s="1"/>
  <c r="AM180" i="4"/>
  <c r="AM218" i="4" s="1"/>
  <c r="W180" i="4"/>
  <c r="W218" i="4" s="1"/>
  <c r="G180" i="4"/>
  <c r="G218" i="4" s="1"/>
  <c r="AW180" i="4"/>
  <c r="AW218" i="4" s="1"/>
  <c r="Q180" i="4"/>
  <c r="Q218" i="4" s="1"/>
  <c r="BB180" i="4"/>
  <c r="BB218" i="4" s="1"/>
  <c r="V180" i="4"/>
  <c r="V218" i="4" s="1"/>
  <c r="BI180" i="4"/>
  <c r="BI218" i="4" s="1"/>
  <c r="AC180" i="4"/>
  <c r="AC218" i="4" s="1"/>
  <c r="BB177" i="4"/>
  <c r="BB215" i="4" s="1"/>
  <c r="I179" i="4"/>
  <c r="BN180" i="4"/>
  <c r="BN218" i="4" s="1"/>
  <c r="Z177" i="4"/>
  <c r="Z215" i="4" s="1"/>
  <c r="X178" i="4"/>
  <c r="X216" i="4" s="1"/>
  <c r="J180" i="4"/>
  <c r="J218" i="4" s="1"/>
  <c r="BJ177" i="4"/>
  <c r="BJ215" i="4" s="1"/>
  <c r="Y179" i="4"/>
  <c r="G178" i="4"/>
  <c r="G216" i="4" s="1"/>
  <c r="BU177" i="4"/>
  <c r="BU215" i="4" s="1"/>
  <c r="BE177" i="4"/>
  <c r="BE215" i="4" s="1"/>
  <c r="AO177" i="4"/>
  <c r="AO215" i="4" s="1"/>
  <c r="Y177" i="4"/>
  <c r="Y215" i="4" s="1"/>
  <c r="I177" i="4"/>
  <c r="I215" i="4" s="1"/>
  <c r="BL177" i="4"/>
  <c r="BL215" i="4" s="1"/>
  <c r="AV177" i="4"/>
  <c r="AV215" i="4" s="1"/>
  <c r="AF177" i="4"/>
  <c r="AF215" i="4" s="1"/>
  <c r="P177" i="4"/>
  <c r="P215" i="4" s="1"/>
  <c r="BS177" i="4"/>
  <c r="BS215" i="4" s="1"/>
  <c r="BC177" i="4"/>
  <c r="BC215" i="4" s="1"/>
  <c r="AM177" i="4"/>
  <c r="AM215" i="4" s="1"/>
  <c r="W177" i="4"/>
  <c r="W215" i="4" s="1"/>
  <c r="G177" i="4"/>
  <c r="G215" i="4" s="1"/>
  <c r="N178" i="4"/>
  <c r="N216" i="4" s="1"/>
  <c r="J178" i="4"/>
  <c r="J216" i="4" s="1"/>
  <c r="L178" i="4"/>
  <c r="L216" i="4" s="1"/>
  <c r="BO179" i="4"/>
  <c r="AY179" i="4"/>
  <c r="AI179" i="4"/>
  <c r="S179" i="4"/>
  <c r="BV179" i="4"/>
  <c r="BF179" i="4"/>
  <c r="BF217" i="4" s="1"/>
  <c r="AP179" i="4"/>
  <c r="Z179" i="4"/>
  <c r="J179" i="4"/>
  <c r="BD179" i="4"/>
  <c r="X179" i="4"/>
  <c r="BI179" i="4"/>
  <c r="AC179" i="4"/>
  <c r="BP179" i="4"/>
  <c r="BP217" i="4" s="1"/>
  <c r="AJ179" i="4"/>
  <c r="BX180" i="4"/>
  <c r="BX218" i="4" s="1"/>
  <c r="BH180" i="4"/>
  <c r="BH218" i="4" s="1"/>
  <c r="AR180" i="4"/>
  <c r="AR218" i="4" s="1"/>
  <c r="AB180" i="4"/>
  <c r="AB218" i="4" s="1"/>
  <c r="L180" i="4"/>
  <c r="L218" i="4" s="1"/>
  <c r="BO180" i="4"/>
  <c r="BO218" i="4" s="1"/>
  <c r="AY180" i="4"/>
  <c r="AY218" i="4" s="1"/>
  <c r="AI180" i="4"/>
  <c r="AI218" i="4" s="1"/>
  <c r="S180" i="4"/>
  <c r="S218" i="4" s="1"/>
  <c r="BU180" i="4"/>
  <c r="BU218" i="4" s="1"/>
  <c r="AO180" i="4"/>
  <c r="AO218" i="4" s="1"/>
  <c r="I180" i="4"/>
  <c r="I218" i="4" s="1"/>
  <c r="AT180" i="4"/>
  <c r="AT218" i="4" s="1"/>
  <c r="N180" i="4"/>
  <c r="N218" i="4" s="1"/>
  <c r="BA180" i="4"/>
  <c r="BA218" i="4" s="1"/>
  <c r="U180" i="4"/>
  <c r="U218" i="4" s="1"/>
  <c r="E179" i="4"/>
  <c r="F177" i="4"/>
  <c r="F215" i="4" s="1"/>
  <c r="BR177" i="4"/>
  <c r="BR215" i="4" s="1"/>
  <c r="AO179" i="4"/>
  <c r="E177" i="4"/>
  <c r="E215" i="4" s="1"/>
  <c r="AP177" i="4"/>
  <c r="AP215" i="4" s="1"/>
  <c r="AP180" i="4"/>
  <c r="AP218" i="4" s="1"/>
  <c r="N177" i="4"/>
  <c r="N215" i="4" s="1"/>
  <c r="BE179" i="4"/>
  <c r="U177" i="4"/>
  <c r="U215" i="4" s="1"/>
  <c r="AB177" i="4"/>
  <c r="AB215" i="4" s="1"/>
  <c r="AI177" i="4"/>
  <c r="AI215" i="4" s="1"/>
  <c r="F178" i="4"/>
  <c r="F216" i="4" s="1"/>
  <c r="AE179" i="4"/>
  <c r="AL179" i="4"/>
  <c r="P179" i="4"/>
  <c r="P217" i="4" s="1"/>
  <c r="AB179" i="4"/>
  <c r="X180" i="4"/>
  <c r="X218" i="4" s="1"/>
  <c r="AE180" i="4"/>
  <c r="AE218" i="4" s="1"/>
  <c r="BR180" i="4"/>
  <c r="BR218" i="4" s="1"/>
  <c r="M180" i="4"/>
  <c r="M218" i="4" s="1"/>
  <c r="BU179" i="4"/>
  <c r="BF177" i="4"/>
  <c r="BF215" i="4" s="1"/>
  <c r="Q179" i="4"/>
  <c r="AD177" i="4"/>
  <c r="AD215" i="4" s="1"/>
  <c r="BQ177" i="4"/>
  <c r="BQ215" i="4" s="1"/>
  <c r="BX177" i="4"/>
  <c r="BX215" i="4" s="1"/>
  <c r="L177" i="4"/>
  <c r="S177" i="4"/>
  <c r="S215" i="4" s="1"/>
  <c r="Y178" i="4"/>
  <c r="Y216" i="4" s="1"/>
  <c r="H178" i="4"/>
  <c r="H216" i="4" s="1"/>
  <c r="O179" i="4"/>
  <c r="V179" i="4"/>
  <c r="BA179" i="4"/>
  <c r="BT180" i="4"/>
  <c r="BT218" i="4" s="1"/>
  <c r="H180" i="4"/>
  <c r="H218" i="4" s="1"/>
  <c r="O180" i="4"/>
  <c r="O218" i="4" s="1"/>
  <c r="AL180" i="4"/>
  <c r="AL218" i="4" s="1"/>
  <c r="R180" i="4"/>
  <c r="R218" i="4" s="1"/>
  <c r="BA177" i="4"/>
  <c r="BA215" i="4" s="1"/>
  <c r="BH177" i="4"/>
  <c r="BH215" i="4" s="1"/>
  <c r="BO177" i="4"/>
  <c r="BO215" i="4" s="1"/>
  <c r="T178" i="4"/>
  <c r="T216" i="4" s="1"/>
  <c r="BK179" i="4"/>
  <c r="BR179" i="4"/>
  <c r="F179" i="4"/>
  <c r="U179" i="4"/>
  <c r="BD180" i="4"/>
  <c r="BD218" i="4" s="1"/>
  <c r="BK180" i="4"/>
  <c r="BK218" i="4" s="1"/>
  <c r="BM180" i="4"/>
  <c r="BM218" i="4" s="1"/>
  <c r="F180" i="4"/>
  <c r="F218" i="4" s="1"/>
  <c r="V177" i="4"/>
  <c r="V215" i="4" s="1"/>
  <c r="BV180" i="4"/>
  <c r="BV218" i="4" s="1"/>
  <c r="AT177" i="4"/>
  <c r="AT215" i="4" s="1"/>
  <c r="AX180" i="4"/>
  <c r="AX218" i="4" s="1"/>
  <c r="AK177" i="4"/>
  <c r="AK215" i="4" s="1"/>
  <c r="AR177" i="4"/>
  <c r="AR215" i="4" s="1"/>
  <c r="AY177" i="4"/>
  <c r="AY215" i="4" s="1"/>
  <c r="AU179" i="4"/>
  <c r="BB179" i="4"/>
  <c r="AV179" i="4"/>
  <c r="BH179" i="4"/>
  <c r="BH217" i="4" s="1"/>
  <c r="AN180" i="4"/>
  <c r="AN218" i="4" s="1"/>
  <c r="AU180" i="4"/>
  <c r="AU218" i="4" s="1"/>
  <c r="AG180" i="4"/>
  <c r="AG218" i="4" s="1"/>
  <c r="AS180" i="4"/>
  <c r="AS218" i="4" s="1"/>
  <c r="P178" i="4"/>
  <c r="P216" i="4" s="1"/>
  <c r="CD177" i="2"/>
  <c r="CC178" i="2"/>
  <c r="CD178" i="2"/>
  <c r="CC180" i="2"/>
  <c r="CC177" i="2"/>
  <c r="CD180" i="2"/>
  <c r="CC179" i="2"/>
  <c r="CD179" i="2"/>
  <c r="BC180" i="2"/>
  <c r="BC218" i="2" s="1"/>
  <c r="G180" i="2"/>
  <c r="AD179" i="2"/>
  <c r="G179" i="2"/>
  <c r="R178" i="2"/>
  <c r="F178" i="2"/>
  <c r="F216" i="2" s="1"/>
  <c r="BM177" i="2"/>
  <c r="BA177" i="2"/>
  <c r="BA215" i="2" s="1"/>
  <c r="AO177" i="2"/>
  <c r="AC177" i="2"/>
  <c r="Q177" i="2"/>
  <c r="Q215" i="2" s="1"/>
  <c r="AM180" i="2"/>
  <c r="AM218" i="2" s="1"/>
  <c r="BJ179" i="2"/>
  <c r="R179" i="2"/>
  <c r="N178" i="2"/>
  <c r="N216" i="2" s="1"/>
  <c r="BU177" i="2"/>
  <c r="BI177" i="2"/>
  <c r="AW177" i="2"/>
  <c r="AG177" i="2"/>
  <c r="Y177" i="2"/>
  <c r="I177" i="2"/>
  <c r="I215" i="2" s="1"/>
  <c r="BS180" i="2"/>
  <c r="W180" i="2"/>
  <c r="AT179" i="2"/>
  <c r="L179" i="2"/>
  <c r="V178" i="2"/>
  <c r="J178" i="2"/>
  <c r="BQ177" i="2"/>
  <c r="BE177" i="2"/>
  <c r="BE215" i="2" s="1"/>
  <c r="AS177" i="2"/>
  <c r="AS215" i="2" s="1"/>
  <c r="AK177" i="2"/>
  <c r="AK215" i="2" s="1"/>
  <c r="U177" i="2"/>
  <c r="U215" i="2" s="1"/>
  <c r="M177" i="2"/>
  <c r="M215" i="2" s="1"/>
  <c r="E179" i="2"/>
  <c r="BX177" i="2"/>
  <c r="BX215" i="2" s="1"/>
  <c r="E177" i="2"/>
  <c r="E215" i="2" s="1"/>
  <c r="J177" i="2"/>
  <c r="J215" i="2" s="1"/>
  <c r="Z177" i="2"/>
  <c r="AP177" i="2"/>
  <c r="AP215" i="2" s="1"/>
  <c r="BF177" i="2"/>
  <c r="BV177" i="2"/>
  <c r="BV215" i="2" s="1"/>
  <c r="S178" i="2"/>
  <c r="M179" i="2"/>
  <c r="BN179" i="2"/>
  <c r="BG180" i="2"/>
  <c r="BG218" i="2" s="1"/>
  <c r="S177" i="2"/>
  <c r="S215" i="2" s="1"/>
  <c r="AI177" i="2"/>
  <c r="AY177" i="2"/>
  <c r="AY215" i="2" s="1"/>
  <c r="BO177" i="2"/>
  <c r="BO215" i="2" s="1"/>
  <c r="L178" i="2"/>
  <c r="L216" i="2" s="1"/>
  <c r="AL179" i="2"/>
  <c r="AU180" i="2"/>
  <c r="AU218" i="2" s="1"/>
  <c r="BU179" i="2"/>
  <c r="BE179" i="2"/>
  <c r="AO179" i="2"/>
  <c r="Y179" i="2"/>
  <c r="BL179" i="2"/>
  <c r="AV179" i="2"/>
  <c r="AF179" i="2"/>
  <c r="P179" i="2"/>
  <c r="BK179" i="2"/>
  <c r="AU179" i="2"/>
  <c r="AE179" i="2"/>
  <c r="O179" i="2"/>
  <c r="BN180" i="2"/>
  <c r="AX180" i="2"/>
  <c r="AX218" i="2" s="1"/>
  <c r="AH180" i="2"/>
  <c r="AH218" i="2" s="1"/>
  <c r="R180" i="2"/>
  <c r="R218" i="2" s="1"/>
  <c r="BU180" i="2"/>
  <c r="BU218" i="2" s="1"/>
  <c r="BE180" i="2"/>
  <c r="AO180" i="2"/>
  <c r="Y180" i="2"/>
  <c r="I180" i="2"/>
  <c r="BL180" i="2"/>
  <c r="BL218" i="2" s="1"/>
  <c r="AV180" i="2"/>
  <c r="AV218" i="2" s="1"/>
  <c r="AF180" i="2"/>
  <c r="P180" i="2"/>
  <c r="E180" i="2"/>
  <c r="N177" i="2"/>
  <c r="N215" i="2" s="1"/>
  <c r="AD177" i="2"/>
  <c r="AD215" i="2" s="1"/>
  <c r="AT177" i="2"/>
  <c r="BJ177" i="2"/>
  <c r="BJ215" i="2" s="1"/>
  <c r="G178" i="2"/>
  <c r="W178" i="2"/>
  <c r="U179" i="2"/>
  <c r="K180" i="2"/>
  <c r="BW180" i="2"/>
  <c r="BW218" i="2" s="1"/>
  <c r="G177" i="2"/>
  <c r="G215" i="2" s="1"/>
  <c r="W177" i="2"/>
  <c r="W215" i="2" s="1"/>
  <c r="AM177" i="2"/>
  <c r="BC177" i="2"/>
  <c r="BS177" i="2"/>
  <c r="BS215" i="2" s="1"/>
  <c r="P178" i="2"/>
  <c r="P216" i="2" s="1"/>
  <c r="I179" i="2"/>
  <c r="BB179" i="2"/>
  <c r="BQ179" i="2"/>
  <c r="BA179" i="2"/>
  <c r="AK179" i="2"/>
  <c r="BX179" i="2"/>
  <c r="BH179" i="2"/>
  <c r="AR179" i="2"/>
  <c r="AB179" i="2"/>
  <c r="BW179" i="2"/>
  <c r="BG179" i="2"/>
  <c r="AQ179" i="2"/>
  <c r="AA179" i="2"/>
  <c r="K179" i="2"/>
  <c r="BJ180" i="2"/>
  <c r="BJ218" i="2" s="1"/>
  <c r="AT180" i="2"/>
  <c r="AT218" i="2" s="1"/>
  <c r="AD180" i="2"/>
  <c r="N180" i="2"/>
  <c r="N218" i="2" s="1"/>
  <c r="BQ180" i="2"/>
  <c r="BQ218" i="2" s="1"/>
  <c r="BA180" i="2"/>
  <c r="AK180" i="2"/>
  <c r="U180" i="2"/>
  <c r="BX180" i="2"/>
  <c r="BX218" i="2" s="1"/>
  <c r="BH180" i="2"/>
  <c r="BH218" i="2" s="1"/>
  <c r="AR180" i="2"/>
  <c r="AR218" i="2" s="1"/>
  <c r="AB180" i="2"/>
  <c r="L180" i="2"/>
  <c r="L218" i="2" s="1"/>
  <c r="H177" i="2"/>
  <c r="X177" i="2"/>
  <c r="X215" i="2" s="1"/>
  <c r="AN177" i="2"/>
  <c r="BD177" i="2"/>
  <c r="BD215" i="2" s="1"/>
  <c r="BT177" i="2"/>
  <c r="U178" i="2"/>
  <c r="Z179" i="2"/>
  <c r="S180" i="2"/>
  <c r="L177" i="2"/>
  <c r="L215" i="2" s="1"/>
  <c r="AR177" i="2"/>
  <c r="AR215" i="2" s="1"/>
  <c r="I178" i="2"/>
  <c r="I216" i="2" s="1"/>
  <c r="F179" i="2"/>
  <c r="AI180" i="2"/>
  <c r="BR179" i="2"/>
  <c r="R177" i="2"/>
  <c r="R215" i="2" s="1"/>
  <c r="AH177" i="2"/>
  <c r="AH215" i="2" s="1"/>
  <c r="AX177" i="2"/>
  <c r="BN177" i="2"/>
  <c r="K178" i="2"/>
  <c r="AH179" i="2"/>
  <c r="AA180" i="2"/>
  <c r="AA218" i="2" s="1"/>
  <c r="K177" i="2"/>
  <c r="K215" i="2" s="1"/>
  <c r="AA177" i="2"/>
  <c r="AA215" i="2" s="1"/>
  <c r="AQ177" i="2"/>
  <c r="BG177" i="2"/>
  <c r="BG215" i="2" s="1"/>
  <c r="BW177" i="2"/>
  <c r="T178" i="2"/>
  <c r="N179" i="2"/>
  <c r="O180" i="2"/>
  <c r="BM179" i="2"/>
  <c r="AW179" i="2"/>
  <c r="AG179" i="2"/>
  <c r="BT179" i="2"/>
  <c r="BD179" i="2"/>
  <c r="AN179" i="2"/>
  <c r="X179" i="2"/>
  <c r="BS179" i="2"/>
  <c r="BC179" i="2"/>
  <c r="AM179" i="2"/>
  <c r="W179" i="2"/>
  <c r="BV180" i="2"/>
  <c r="BF180" i="2"/>
  <c r="AP180" i="2"/>
  <c r="AP218" i="2" s="1"/>
  <c r="Z180" i="2"/>
  <c r="J180" i="2"/>
  <c r="BM180" i="2"/>
  <c r="AW180" i="2"/>
  <c r="AW218" i="2" s="1"/>
  <c r="AG180" i="2"/>
  <c r="AG218" i="2" s="1"/>
  <c r="Q180" i="2"/>
  <c r="BT180" i="2"/>
  <c r="BT218" i="2" s="1"/>
  <c r="BD180" i="2"/>
  <c r="BD218" i="2" s="1"/>
  <c r="AN180" i="2"/>
  <c r="AN218" i="2" s="1"/>
  <c r="X180" i="2"/>
  <c r="X218" i="2" s="1"/>
  <c r="H180" i="2"/>
  <c r="E178" i="2"/>
  <c r="AB177" i="2"/>
  <c r="AB215" i="2" s="1"/>
  <c r="BH177" i="2"/>
  <c r="Y178" i="2"/>
  <c r="AP179" i="2"/>
  <c r="BK180" i="2"/>
  <c r="BK218" i="2" s="1"/>
  <c r="F177" i="2"/>
  <c r="F215" i="2" s="1"/>
  <c r="BR177" i="2"/>
  <c r="AE177" i="2"/>
  <c r="AE215" i="2" s="1"/>
  <c r="X178" i="2"/>
  <c r="V179" i="2"/>
  <c r="BI179" i="2"/>
  <c r="AZ179" i="2"/>
  <c r="AY179" i="2"/>
  <c r="BB180" i="2"/>
  <c r="BB218" i="2" s="1"/>
  <c r="BI180" i="2"/>
  <c r="BI218" i="2" s="1"/>
  <c r="BP180" i="2"/>
  <c r="T177" i="2"/>
  <c r="T215" i="2" s="1"/>
  <c r="AZ177" i="2"/>
  <c r="AZ215" i="2" s="1"/>
  <c r="Q178" i="2"/>
  <c r="Q179" i="2"/>
  <c r="BO180" i="2"/>
  <c r="BO218" i="2" s="1"/>
  <c r="O178" i="2"/>
  <c r="AJ179" i="2"/>
  <c r="AS180" i="2"/>
  <c r="AS218" i="2" s="1"/>
  <c r="AF177" i="2"/>
  <c r="AF215" i="2" s="1"/>
  <c r="BF179" i="2"/>
  <c r="V177" i="2"/>
  <c r="V215" i="2" s="1"/>
  <c r="H179" i="2"/>
  <c r="AU177" i="2"/>
  <c r="AE180" i="2"/>
  <c r="AS179" i="2"/>
  <c r="AI179" i="2"/>
  <c r="AL180" i="2"/>
  <c r="AZ180" i="2"/>
  <c r="BL177" i="2"/>
  <c r="BL215" i="2" s="1"/>
  <c r="AL177" i="2"/>
  <c r="AL215" i="2" s="1"/>
  <c r="AX179" i="2"/>
  <c r="BK177" i="2"/>
  <c r="BK215" i="2" s="1"/>
  <c r="AC179" i="2"/>
  <c r="T179" i="2"/>
  <c r="S179" i="2"/>
  <c r="V180" i="2"/>
  <c r="AC180" i="2"/>
  <c r="AJ180" i="2"/>
  <c r="AJ177" i="2"/>
  <c r="BP177" i="2"/>
  <c r="BV179" i="2"/>
  <c r="BB177" i="2"/>
  <c r="BB215" i="2" s="1"/>
  <c r="AQ180" i="2"/>
  <c r="O177" i="2"/>
  <c r="O215" i="2" s="1"/>
  <c r="H178" i="2"/>
  <c r="H216" i="2" s="1"/>
  <c r="BP179" i="2"/>
  <c r="BO179" i="2"/>
  <c r="BR180" i="2"/>
  <c r="BR218" i="2" s="1"/>
  <c r="F180" i="2"/>
  <c r="M180" i="2"/>
  <c r="T180" i="2"/>
  <c r="T218" i="2" s="1"/>
  <c r="P177" i="2"/>
  <c r="P215" i="2" s="1"/>
  <c r="AV177" i="2"/>
  <c r="M178" i="2"/>
  <c r="J179" i="2"/>
  <c r="AY180" i="2"/>
  <c r="AY218" i="2" s="1"/>
  <c r="R248" i="15"/>
  <c r="J248" i="15"/>
  <c r="BF187" i="2"/>
  <c r="BH187" i="2"/>
  <c r="BB187" i="2"/>
  <c r="BG187" i="2"/>
  <c r="BJ187" i="2"/>
  <c r="BC187" i="2"/>
  <c r="BD187" i="2"/>
  <c r="BE187" i="2"/>
  <c r="BK187" i="2"/>
  <c r="BL187" i="2"/>
  <c r="BA187" i="2"/>
  <c r="BO187" i="2"/>
  <c r="BX187" i="2"/>
  <c r="BW187" i="2"/>
  <c r="BV187" i="2"/>
  <c r="BN187" i="2"/>
  <c r="BM187" i="2"/>
  <c r="BQ187" i="2"/>
  <c r="BS187" i="2"/>
  <c r="BT187" i="2"/>
  <c r="BR187" i="2"/>
  <c r="BP187" i="2"/>
  <c r="BI189" i="2"/>
  <c r="BC189" i="2"/>
  <c r="BF189" i="2"/>
  <c r="BK189" i="2"/>
  <c r="BL189" i="2"/>
  <c r="BB189" i="2"/>
  <c r="BG189" i="2"/>
  <c r="BH189" i="2"/>
  <c r="BJ189" i="2"/>
  <c r="BE189" i="2"/>
  <c r="BD189" i="2"/>
  <c r="BA189" i="2"/>
  <c r="BS189" i="2"/>
  <c r="BW189" i="2"/>
  <c r="BV189" i="2"/>
  <c r="BX189" i="2"/>
  <c r="BP189" i="2"/>
  <c r="BR189" i="2"/>
  <c r="BM189" i="2"/>
  <c r="BQ189" i="2"/>
  <c r="BT189" i="2"/>
  <c r="BO189" i="2"/>
  <c r="BN189" i="2"/>
  <c r="BD191" i="2"/>
  <c r="BB191" i="2"/>
  <c r="BH191" i="2"/>
  <c r="BF191" i="2"/>
  <c r="BL191" i="2"/>
  <c r="BC191" i="2"/>
  <c r="BA191" i="2"/>
  <c r="BK191" i="2"/>
  <c r="BJ191" i="2"/>
  <c r="BG191" i="2"/>
  <c r="BE191" i="2"/>
  <c r="BV191" i="2"/>
  <c r="BM191" i="2"/>
  <c r="BW191" i="2"/>
  <c r="BN191" i="2"/>
  <c r="BX191" i="2"/>
  <c r="BR191" i="2"/>
  <c r="BO191" i="2"/>
  <c r="BS191" i="2"/>
  <c r="BT191" i="2"/>
  <c r="BP191" i="2"/>
  <c r="BQ191" i="2"/>
  <c r="BT18" i="15"/>
  <c r="BX207" i="2"/>
  <c r="BT207" i="2"/>
  <c r="BP207" i="2"/>
  <c r="BL207" i="2"/>
  <c r="BH207" i="2"/>
  <c r="BD207" i="2"/>
  <c r="BW207" i="2"/>
  <c r="BS207" i="2"/>
  <c r="BO207" i="2"/>
  <c r="BK207" i="2"/>
  <c r="BG207" i="2"/>
  <c r="BC207" i="2"/>
  <c r="BV207" i="2"/>
  <c r="BR207" i="2"/>
  <c r="BN207" i="2"/>
  <c r="BJ207" i="2"/>
  <c r="BF207" i="2"/>
  <c r="BB207" i="2"/>
  <c r="BI207" i="2"/>
  <c r="BU207" i="2"/>
  <c r="BE207" i="2"/>
  <c r="BM207" i="2"/>
  <c r="BM205" i="2"/>
  <c r="BQ207" i="2"/>
  <c r="BA207" i="2"/>
  <c r="BP205" i="2"/>
  <c r="BW205" i="2"/>
  <c r="BG205" i="2"/>
  <c r="BN205" i="2"/>
  <c r="BA205" i="2"/>
  <c r="BE205" i="2"/>
  <c r="BL205" i="2"/>
  <c r="BS205" i="2"/>
  <c r="BC205" i="2"/>
  <c r="BJ205" i="2"/>
  <c r="BQ205" i="2"/>
  <c r="BU205" i="2"/>
  <c r="BX205" i="2"/>
  <c r="BH205" i="2"/>
  <c r="BO205" i="2"/>
  <c r="BV205" i="2"/>
  <c r="BF205" i="2"/>
  <c r="BI205" i="2"/>
  <c r="BT205" i="2"/>
  <c r="BD205" i="2"/>
  <c r="BK205" i="2"/>
  <c r="BR205" i="2"/>
  <c r="BB205" i="2"/>
  <c r="BQ196" i="2"/>
  <c r="BF196" i="2"/>
  <c r="BA196" i="2"/>
  <c r="BI196" i="2"/>
  <c r="BU196" i="2"/>
  <c r="BG196" i="2"/>
  <c r="BO196" i="2"/>
  <c r="BW196" i="2"/>
  <c r="BH196" i="2"/>
  <c r="BP196" i="2"/>
  <c r="BX196" i="2"/>
  <c r="BJ196" i="2"/>
  <c r="BR196" i="2"/>
  <c r="BE196" i="2"/>
  <c r="BM196" i="2"/>
  <c r="BC196" i="2"/>
  <c r="BK196" i="2"/>
  <c r="BS196" i="2"/>
  <c r="BD196" i="2"/>
  <c r="BL196" i="2"/>
  <c r="BT196" i="2"/>
  <c r="BB196" i="2"/>
  <c r="BN196" i="2"/>
  <c r="BV196" i="2"/>
  <c r="BV11" i="15"/>
  <c r="BR268" i="2"/>
  <c r="BQ264" i="2"/>
  <c r="BR52" i="4"/>
  <c r="BR45" i="15"/>
  <c r="BC188" i="2"/>
  <c r="BD188" i="2"/>
  <c r="BE188" i="2"/>
  <c r="BF188" i="2"/>
  <c r="BG188" i="2"/>
  <c r="BH188" i="2"/>
  <c r="BI188" i="2"/>
  <c r="BJ188" i="2"/>
  <c r="BK188" i="2"/>
  <c r="BL188" i="2"/>
  <c r="BM188" i="2"/>
  <c r="BN188" i="2"/>
  <c r="BO188" i="2"/>
  <c r="BP188" i="2"/>
  <c r="BQ188" i="2"/>
  <c r="BA188" i="2"/>
  <c r="BR188" i="2"/>
  <c r="BB188" i="2"/>
  <c r="BS188" i="2"/>
  <c r="BT188" i="2"/>
  <c r="BU188" i="2"/>
  <c r="BV188" i="2"/>
  <c r="BX188" i="2"/>
  <c r="BW188" i="2"/>
  <c r="BA190" i="2"/>
  <c r="BF190" i="2"/>
  <c r="BB190" i="2"/>
  <c r="BK190" i="2"/>
  <c r="BL190" i="2"/>
  <c r="BE190" i="2"/>
  <c r="BJ190" i="2"/>
  <c r="BH190" i="2"/>
  <c r="BG190" i="2"/>
  <c r="BC190" i="2"/>
  <c r="BD190" i="2"/>
  <c r="BI190" i="2"/>
  <c r="BR190" i="2"/>
  <c r="BM190" i="2"/>
  <c r="BX190" i="2"/>
  <c r="BS190" i="2"/>
  <c r="BP190" i="2"/>
  <c r="BW190" i="2"/>
  <c r="BN190" i="2"/>
  <c r="BO190" i="2"/>
  <c r="BV190" i="2"/>
  <c r="BQ190" i="2"/>
  <c r="BT190" i="2"/>
  <c r="BQ188" i="15"/>
  <c r="BQ193" i="15" s="1"/>
  <c r="BO264" i="4"/>
  <c r="BT16" i="15"/>
  <c r="BT17" i="15"/>
  <c r="BQ53" i="4"/>
  <c r="BQ53" i="15" s="1"/>
  <c r="BQ52" i="15"/>
  <c r="BP266" i="4"/>
  <c r="BQ265" i="4"/>
  <c r="BS45" i="4"/>
  <c r="BS19" i="15"/>
  <c r="BS20" i="15" s="1"/>
  <c r="BT19" i="4"/>
  <c r="BU13" i="15"/>
  <c r="BX10" i="15"/>
  <c r="D8" i="10"/>
  <c r="CC30" i="4"/>
  <c r="CC26" i="4"/>
  <c r="CC27" i="4"/>
  <c r="CD102" i="4"/>
  <c r="CC31" i="4"/>
  <c r="CD94" i="4"/>
  <c r="CD171" i="4"/>
  <c r="CD163" i="4"/>
  <c r="CD159" i="4"/>
  <c r="CD154" i="4"/>
  <c r="CD150" i="4"/>
  <c r="CD146" i="4"/>
  <c r="CD142" i="4"/>
  <c r="CD138" i="4"/>
  <c r="CD134" i="4"/>
  <c r="CD129" i="4"/>
  <c r="CD125" i="4"/>
  <c r="CD121" i="4"/>
  <c r="CD115" i="4"/>
  <c r="CD107" i="4"/>
  <c r="CD91" i="4"/>
  <c r="CD83" i="4"/>
  <c r="CD104" i="4"/>
  <c r="CD114" i="4"/>
  <c r="CD78" i="4"/>
  <c r="CD70" i="4"/>
  <c r="CD66" i="4"/>
  <c r="CD62" i="4"/>
  <c r="CD58" i="4"/>
  <c r="CD54" i="4"/>
  <c r="CD48" i="4"/>
  <c r="CD44" i="4"/>
  <c r="CD40" i="4"/>
  <c r="CD36" i="4"/>
  <c r="CD92" i="4"/>
  <c r="CD31" i="4"/>
  <c r="CD24" i="4"/>
  <c r="CC172" i="4"/>
  <c r="CC168" i="4"/>
  <c r="CC164" i="4"/>
  <c r="CC160" i="4"/>
  <c r="CC156" i="4"/>
  <c r="CC151" i="4"/>
  <c r="CC147" i="4"/>
  <c r="CC143" i="4"/>
  <c r="CC139" i="4"/>
  <c r="CC135" i="4"/>
  <c r="CC131" i="4"/>
  <c r="CC126" i="4"/>
  <c r="CC122" i="4"/>
  <c r="CC118" i="4"/>
  <c r="CC114" i="4"/>
  <c r="CC110" i="4"/>
  <c r="CC106" i="4"/>
  <c r="CC102" i="4"/>
  <c r="CC98" i="4"/>
  <c r="CD170" i="4"/>
  <c r="CD162" i="4"/>
  <c r="CD153" i="4"/>
  <c r="CD149" i="4"/>
  <c r="CD145" i="4"/>
  <c r="CD137" i="4"/>
  <c r="CD133" i="4"/>
  <c r="CD128" i="4"/>
  <c r="CD124" i="4"/>
  <c r="CD120" i="4"/>
  <c r="CD105" i="4"/>
  <c r="CD97" i="4"/>
  <c r="CD89" i="4"/>
  <c r="CD81" i="4"/>
  <c r="CD106" i="4"/>
  <c r="CD77" i="4"/>
  <c r="CD73" i="4"/>
  <c r="CD69" i="4"/>
  <c r="CD65" i="4"/>
  <c r="CD61" i="4"/>
  <c r="CD57" i="4"/>
  <c r="CD47" i="4"/>
  <c r="CD43" i="4"/>
  <c r="CD39" i="4"/>
  <c r="CD35" i="4"/>
  <c r="CD116" i="4"/>
  <c r="CD88" i="4"/>
  <c r="CD30" i="4"/>
  <c r="CD23" i="4"/>
  <c r="CC192" i="4"/>
  <c r="CC171" i="4"/>
  <c r="CC163" i="4"/>
  <c r="CC159" i="4"/>
  <c r="CC154" i="4"/>
  <c r="CC150" i="4"/>
  <c r="CC146" i="4"/>
  <c r="CC142" i="4"/>
  <c r="CC138" i="4"/>
  <c r="CC134" i="4"/>
  <c r="CC129" i="4"/>
  <c r="CC125" i="4"/>
  <c r="CC121" i="4"/>
  <c r="CC117" i="4"/>
  <c r="CC109" i="4"/>
  <c r="CC105" i="4"/>
  <c r="CC101" i="4"/>
  <c r="CC97" i="4"/>
  <c r="CC93" i="4"/>
  <c r="CC89" i="4"/>
  <c r="CC81" i="4"/>
  <c r="CC77" i="4"/>
  <c r="CC73" i="4"/>
  <c r="CC69" i="4"/>
  <c r="CC65" i="4"/>
  <c r="CC61" i="4"/>
  <c r="CC57" i="4"/>
  <c r="CC47" i="4"/>
  <c r="CC43" i="4"/>
  <c r="CC39" i="4"/>
  <c r="CC35" i="4"/>
  <c r="CC23" i="4"/>
  <c r="CD110" i="4"/>
  <c r="CD80" i="4"/>
  <c r="CC169" i="4"/>
  <c r="CC144" i="4"/>
  <c r="CC127" i="4"/>
  <c r="CC119" i="4"/>
  <c r="CC111" i="4"/>
  <c r="CC87" i="4"/>
  <c r="CC75" i="4"/>
  <c r="CC67" i="4"/>
  <c r="CC55" i="4"/>
  <c r="CC41" i="4"/>
  <c r="CC24" i="4"/>
  <c r="CC86" i="4"/>
  <c r="CC82" i="4"/>
  <c r="CC66" i="4"/>
  <c r="CC54" i="4"/>
  <c r="CC40" i="4"/>
  <c r="CD169" i="4"/>
  <c r="CD165" i="4"/>
  <c r="CD161" i="4"/>
  <c r="CD152" i="4"/>
  <c r="CD148" i="4"/>
  <c r="CD144" i="4"/>
  <c r="CD136" i="4"/>
  <c r="CD132" i="4"/>
  <c r="CD127" i="4"/>
  <c r="CD119" i="4"/>
  <c r="CD111" i="4"/>
  <c r="CD103" i="4"/>
  <c r="CD95" i="4"/>
  <c r="CD87" i="4"/>
  <c r="CD79" i="4"/>
  <c r="CD86" i="4"/>
  <c r="CD98" i="4"/>
  <c r="CD76" i="4"/>
  <c r="CD72" i="4"/>
  <c r="CD68" i="4"/>
  <c r="CD64" i="4"/>
  <c r="CD60" i="4"/>
  <c r="CD56" i="4"/>
  <c r="CD46" i="4"/>
  <c r="CD42" i="4"/>
  <c r="CD38" i="4"/>
  <c r="CD34" i="4"/>
  <c r="CD108" i="4"/>
  <c r="CD84" i="4"/>
  <c r="CD27" i="4"/>
  <c r="CD118" i="4"/>
  <c r="CC170" i="4"/>
  <c r="CC162" i="4"/>
  <c r="CC153" i="4"/>
  <c r="CC149" i="4"/>
  <c r="CC145" i="4"/>
  <c r="CC137" i="4"/>
  <c r="CC133" i="4"/>
  <c r="CC128" i="4"/>
  <c r="CC124" i="4"/>
  <c r="CC120" i="4"/>
  <c r="CC116" i="4"/>
  <c r="CC112" i="4"/>
  <c r="CC108" i="4"/>
  <c r="CC104" i="4"/>
  <c r="CC100" i="4"/>
  <c r="CC92" i="4"/>
  <c r="CC88" i="4"/>
  <c r="CC84" i="4"/>
  <c r="CC80" i="4"/>
  <c r="CC76" i="4"/>
  <c r="CC72" i="4"/>
  <c r="CC68" i="4"/>
  <c r="CC64" i="4"/>
  <c r="CC60" i="4"/>
  <c r="CC56" i="4"/>
  <c r="CC46" i="4"/>
  <c r="CC42" i="4"/>
  <c r="CC38" i="4"/>
  <c r="CC34" i="4"/>
  <c r="CD168" i="4"/>
  <c r="CD156" i="4"/>
  <c r="CD143" i="4"/>
  <c r="CD135" i="4"/>
  <c r="CD122" i="4"/>
  <c r="CD109" i="4"/>
  <c r="CD82" i="4"/>
  <c r="CD75" i="4"/>
  <c r="CD67" i="4"/>
  <c r="CD63" i="4"/>
  <c r="CD55" i="4"/>
  <c r="CD45" i="4"/>
  <c r="CD37" i="4"/>
  <c r="CD100" i="4"/>
  <c r="CC161" i="4"/>
  <c r="CC148" i="4"/>
  <c r="CC136" i="4"/>
  <c r="CC107" i="4"/>
  <c r="CC91" i="4"/>
  <c r="CC79" i="4"/>
  <c r="CC63" i="4"/>
  <c r="CC45" i="4"/>
  <c r="CC33" i="4"/>
  <c r="CC90" i="4"/>
  <c r="CC58" i="4"/>
  <c r="CC44" i="4"/>
  <c r="CD192" i="4"/>
  <c r="CD172" i="4"/>
  <c r="CD164" i="4"/>
  <c r="CD160" i="4"/>
  <c r="CD151" i="4"/>
  <c r="CD147" i="4"/>
  <c r="CD139" i="4"/>
  <c r="CD131" i="4"/>
  <c r="CD126" i="4"/>
  <c r="CD117" i="4"/>
  <c r="CD101" i="4"/>
  <c r="CD93" i="4"/>
  <c r="CD112" i="4"/>
  <c r="CD90" i="4"/>
  <c r="CD71" i="4"/>
  <c r="CD59" i="4"/>
  <c r="CD51" i="4"/>
  <c r="CD41" i="4"/>
  <c r="CD33" i="4"/>
  <c r="CD26" i="4"/>
  <c r="CC165" i="4"/>
  <c r="CC152" i="4"/>
  <c r="CC132" i="4"/>
  <c r="CC115" i="4"/>
  <c r="CC103" i="4"/>
  <c r="CC95" i="4"/>
  <c r="CC83" i="4"/>
  <c r="CC71" i="4"/>
  <c r="CC59" i="4"/>
  <c r="CC51" i="4"/>
  <c r="CC37" i="4"/>
  <c r="CC94" i="4"/>
  <c r="CC78" i="4"/>
  <c r="CC70" i="4"/>
  <c r="CC62" i="4"/>
  <c r="CC48" i="4"/>
  <c r="CC36" i="4"/>
  <c r="CE171" i="4"/>
  <c r="CE163" i="4"/>
  <c r="CE159" i="4"/>
  <c r="CE154" i="4"/>
  <c r="CE150" i="4"/>
  <c r="CE146" i="4"/>
  <c r="CE142" i="4"/>
  <c r="CE138" i="4"/>
  <c r="CE134" i="4"/>
  <c r="CE129" i="4"/>
  <c r="CE125" i="4"/>
  <c r="CE121" i="4"/>
  <c r="CE115" i="4"/>
  <c r="CE107" i="4"/>
  <c r="CE91" i="4"/>
  <c r="CE112" i="4"/>
  <c r="CE104" i="4"/>
  <c r="CE88" i="4"/>
  <c r="CE80" i="4"/>
  <c r="CE75" i="4"/>
  <c r="CE71" i="4"/>
  <c r="CE67" i="4"/>
  <c r="CE63" i="4"/>
  <c r="CE59" i="4"/>
  <c r="CE55" i="4"/>
  <c r="CE51" i="4"/>
  <c r="CE45" i="4"/>
  <c r="CE41" i="4"/>
  <c r="CE37" i="4"/>
  <c r="CE33" i="4"/>
  <c r="CE79" i="4"/>
  <c r="CE81" i="4"/>
  <c r="CE192" i="4"/>
  <c r="CE170" i="4"/>
  <c r="CE162" i="4"/>
  <c r="CE153" i="4"/>
  <c r="CE149" i="4"/>
  <c r="CE145" i="4"/>
  <c r="CE137" i="4"/>
  <c r="CE133" i="4"/>
  <c r="CE128" i="4"/>
  <c r="CE124" i="4"/>
  <c r="CE120" i="4"/>
  <c r="CE105" i="4"/>
  <c r="CE97" i="4"/>
  <c r="CE118" i="4"/>
  <c r="CE110" i="4"/>
  <c r="CE102" i="4"/>
  <c r="CE94" i="4"/>
  <c r="CE86" i="4"/>
  <c r="CE78" i="4"/>
  <c r="CE70" i="4"/>
  <c r="CE66" i="4"/>
  <c r="CE62" i="4"/>
  <c r="CE58" i="4"/>
  <c r="CE54" i="4"/>
  <c r="CE48" i="4"/>
  <c r="CE44" i="4"/>
  <c r="CE40" i="4"/>
  <c r="CE36" i="4"/>
  <c r="CE89" i="4"/>
  <c r="CE31" i="4"/>
  <c r="CE24" i="4"/>
  <c r="CE111" i="4"/>
  <c r="CE103" i="4"/>
  <c r="CE95" i="4"/>
  <c r="CE116" i="4"/>
  <c r="CE108" i="4"/>
  <c r="CE100" i="4"/>
  <c r="CE92" i="4"/>
  <c r="CE84" i="4"/>
  <c r="CE77" i="4"/>
  <c r="CE73" i="4"/>
  <c r="CE69" i="4"/>
  <c r="CE65" i="4"/>
  <c r="CE61" i="4"/>
  <c r="CE57" i="4"/>
  <c r="CE47" i="4"/>
  <c r="CE43" i="4"/>
  <c r="CE39" i="4"/>
  <c r="CE35" i="4"/>
  <c r="CE87" i="4"/>
  <c r="CE23" i="4"/>
  <c r="CE30" i="4"/>
  <c r="CE173" i="4"/>
  <c r="CE169" i="4"/>
  <c r="CE165" i="4"/>
  <c r="CE161" i="4"/>
  <c r="CE152" i="4"/>
  <c r="CE148" i="4"/>
  <c r="CE144" i="4"/>
  <c r="CE136" i="4"/>
  <c r="CE132" i="4"/>
  <c r="CE127" i="4"/>
  <c r="CE119" i="4"/>
  <c r="CE172" i="4"/>
  <c r="CE168" i="4"/>
  <c r="CE164" i="4"/>
  <c r="CE160" i="4"/>
  <c r="CE156" i="4"/>
  <c r="CE151" i="4"/>
  <c r="CE147" i="4"/>
  <c r="CE143" i="4"/>
  <c r="CE139" i="4"/>
  <c r="CE135" i="4"/>
  <c r="CE131" i="4"/>
  <c r="CE126" i="4"/>
  <c r="CE122" i="4"/>
  <c r="CE117" i="4"/>
  <c r="CE109" i="4"/>
  <c r="CE101" i="4"/>
  <c r="CE93" i="4"/>
  <c r="CE114" i="4"/>
  <c r="CE106" i="4"/>
  <c r="CE98" i="4"/>
  <c r="CE90" i="4"/>
  <c r="CE82" i="4"/>
  <c r="CE76" i="4"/>
  <c r="CE72" i="4"/>
  <c r="CE68" i="4"/>
  <c r="CE64" i="4"/>
  <c r="CE60" i="4"/>
  <c r="CE56" i="4"/>
  <c r="CE46" i="4"/>
  <c r="CE42" i="4"/>
  <c r="CE38" i="4"/>
  <c r="CE34" i="4"/>
  <c r="CE83" i="4"/>
  <c r="CE26" i="4"/>
  <c r="CE27" i="4"/>
  <c r="CF112" i="4"/>
  <c r="CF104" i="4"/>
  <c r="CF88" i="4"/>
  <c r="CF80" i="4"/>
  <c r="CF75" i="4"/>
  <c r="CF71" i="4"/>
  <c r="CF59" i="4"/>
  <c r="CF55" i="4"/>
  <c r="CF51" i="4"/>
  <c r="CF45" i="4"/>
  <c r="CF41" i="4"/>
  <c r="CF37" i="4"/>
  <c r="CF33" i="4"/>
  <c r="CF137" i="4"/>
  <c r="CF93" i="4"/>
  <c r="CF31" i="4"/>
  <c r="CF161" i="4"/>
  <c r="CF127" i="4"/>
  <c r="CF103" i="4"/>
  <c r="CF156" i="4"/>
  <c r="CF122" i="4"/>
  <c r="CF138" i="4"/>
  <c r="CF146" i="4"/>
  <c r="CF159" i="4"/>
  <c r="CF23" i="4"/>
  <c r="CF172" i="4"/>
  <c r="CF110" i="4"/>
  <c r="CF102" i="4"/>
  <c r="CF94" i="4"/>
  <c r="CF86" i="4"/>
  <c r="CF78" i="4"/>
  <c r="CF70" i="4"/>
  <c r="CF54" i="4"/>
  <c r="CF48" i="4"/>
  <c r="CF44" i="4"/>
  <c r="CF40" i="4"/>
  <c r="CF36" i="4"/>
  <c r="CF133" i="4"/>
  <c r="CF30" i="4"/>
  <c r="CF95" i="4"/>
  <c r="CF135" i="4"/>
  <c r="CF121" i="4"/>
  <c r="CF134" i="4"/>
  <c r="CF129" i="4"/>
  <c r="CF142" i="4"/>
  <c r="CF169" i="4"/>
  <c r="CF46" i="4"/>
  <c r="CF34" i="4"/>
  <c r="CF124" i="4"/>
  <c r="CF165" i="4"/>
  <c r="CF111" i="4"/>
  <c r="CF126" i="4"/>
  <c r="CF26" i="4"/>
  <c r="CF170" i="4"/>
  <c r="CF116" i="4"/>
  <c r="CF108" i="4"/>
  <c r="CF100" i="4"/>
  <c r="CF84" i="4"/>
  <c r="CF171" i="4"/>
  <c r="CF77" i="4"/>
  <c r="CF73" i="4"/>
  <c r="CF69" i="4"/>
  <c r="CF47" i="4"/>
  <c r="CF43" i="4"/>
  <c r="CF39" i="4"/>
  <c r="CF35" i="4"/>
  <c r="CF162" i="4"/>
  <c r="CF128" i="4"/>
  <c r="CF109" i="4"/>
  <c r="CF83" i="4"/>
  <c r="CF27" i="4"/>
  <c r="CF136" i="4"/>
  <c r="CF164" i="4"/>
  <c r="CF131" i="4"/>
  <c r="CF105" i="4"/>
  <c r="CF81" i="4"/>
  <c r="CF107" i="4"/>
  <c r="CF125" i="4"/>
  <c r="CF82" i="4"/>
  <c r="CF56" i="4"/>
  <c r="CF42" i="4"/>
  <c r="CF101" i="4"/>
  <c r="CF160" i="4"/>
  <c r="CF97" i="4"/>
  <c r="CF163" i="4"/>
  <c r="CF192" i="4"/>
  <c r="CF168" i="4"/>
  <c r="CF114" i="4"/>
  <c r="CF106" i="4"/>
  <c r="CF98" i="4"/>
  <c r="CF76" i="4"/>
  <c r="CF72" i="4"/>
  <c r="CF68" i="4"/>
  <c r="CF38" i="4"/>
  <c r="CF79" i="4"/>
  <c r="CF132" i="4"/>
  <c r="CF143" i="4"/>
  <c r="CF24" i="4"/>
  <c r="CG171" i="4"/>
  <c r="CG163" i="4"/>
  <c r="CG146" i="4"/>
  <c r="CG142" i="4"/>
  <c r="CG97" i="4"/>
  <c r="CG47" i="4"/>
  <c r="CG43" i="4"/>
  <c r="CG39" i="4"/>
  <c r="CG35" i="4"/>
  <c r="CG23" i="4"/>
  <c r="CG24" i="4"/>
  <c r="CG42" i="4"/>
  <c r="CG26" i="4"/>
  <c r="CG46" i="4"/>
  <c r="CG31" i="4"/>
  <c r="CG169" i="4"/>
  <c r="CG165" i="4"/>
  <c r="CG161" i="4"/>
  <c r="CG75" i="4"/>
  <c r="CG55" i="4"/>
  <c r="CG51" i="4"/>
  <c r="CG45" i="4"/>
  <c r="CG41" i="4"/>
  <c r="CG37" i="4"/>
  <c r="CG33" i="4"/>
  <c r="CG30" i="4"/>
  <c r="CG170" i="4"/>
  <c r="CG124" i="4"/>
  <c r="CG116" i="4"/>
  <c r="CG100" i="4"/>
  <c r="CG88" i="4"/>
  <c r="CG56" i="4"/>
  <c r="CG38" i="4"/>
  <c r="CG172" i="4"/>
  <c r="CG168" i="4"/>
  <c r="CG164" i="4"/>
  <c r="CG160" i="4"/>
  <c r="CG156" i="4"/>
  <c r="CG143" i="4"/>
  <c r="CG114" i="4"/>
  <c r="CG86" i="4"/>
  <c r="CG54" i="4"/>
  <c r="CG48" i="4"/>
  <c r="CG44" i="4"/>
  <c r="CG40" i="4"/>
  <c r="CG27" i="4"/>
  <c r="CG192" i="4"/>
  <c r="CG162" i="4"/>
  <c r="CG34" i="4"/>
  <c r="CC173" i="4"/>
  <c r="CC176" i="4" s="1"/>
  <c r="CH192" i="4"/>
  <c r="CH171" i="4"/>
  <c r="CH114" i="4"/>
  <c r="CH163" i="4"/>
  <c r="CH146" i="4"/>
  <c r="CH142" i="4"/>
  <c r="CH27" i="4"/>
  <c r="CH40" i="4"/>
  <c r="CH43" i="4"/>
  <c r="CH42" i="4"/>
  <c r="CH75" i="4"/>
  <c r="CH41" i="4"/>
  <c r="CH170" i="4"/>
  <c r="CH162" i="4"/>
  <c r="CH124" i="4"/>
  <c r="CH97" i="4"/>
  <c r="CH26" i="4"/>
  <c r="CH54" i="4"/>
  <c r="CH39" i="4"/>
  <c r="CH56" i="4"/>
  <c r="CH38" i="4"/>
  <c r="CH55" i="4"/>
  <c r="CH37" i="4"/>
  <c r="CH169" i="4"/>
  <c r="CH161" i="4"/>
  <c r="CH24" i="4"/>
  <c r="CH48" i="4"/>
  <c r="CH35" i="4"/>
  <c r="CH33" i="4"/>
  <c r="CD173" i="4"/>
  <c r="CD176" i="4" s="1"/>
  <c r="CH165" i="4"/>
  <c r="CH31" i="4"/>
  <c r="CH34" i="4"/>
  <c r="CH172" i="4"/>
  <c r="CH168" i="4"/>
  <c r="CH116" i="4"/>
  <c r="CH100" i="4"/>
  <c r="CH164" i="4"/>
  <c r="CH160" i="4"/>
  <c r="CH156" i="4"/>
  <c r="CH143" i="4"/>
  <c r="CH88" i="4"/>
  <c r="CH30" i="4"/>
  <c r="CH47" i="4"/>
  <c r="CH86" i="4"/>
  <c r="CH46" i="4"/>
  <c r="CH23" i="4"/>
  <c r="CH45" i="4"/>
  <c r="CH51" i="4"/>
  <c r="CI172" i="4"/>
  <c r="CI171" i="4"/>
  <c r="CI163" i="4"/>
  <c r="CI146" i="4"/>
  <c r="CI142" i="4"/>
  <c r="CI100" i="4"/>
  <c r="CI54" i="4"/>
  <c r="CI48" i="4"/>
  <c r="CI26" i="4"/>
  <c r="CI164" i="4"/>
  <c r="CI143" i="4"/>
  <c r="CI114" i="4"/>
  <c r="CI88" i="4"/>
  <c r="CI37" i="4"/>
  <c r="CI27" i="4"/>
  <c r="CI192" i="4"/>
  <c r="CI170" i="4"/>
  <c r="CI162" i="4"/>
  <c r="CI124" i="4"/>
  <c r="CI97" i="4"/>
  <c r="CI47" i="4"/>
  <c r="CI43" i="4"/>
  <c r="CI160" i="4"/>
  <c r="CI45" i="4"/>
  <c r="CI33" i="4"/>
  <c r="CI169" i="4"/>
  <c r="CI165" i="4"/>
  <c r="CI161" i="4"/>
  <c r="CI116" i="4"/>
  <c r="CI86" i="4"/>
  <c r="CI56" i="4"/>
  <c r="CI46" i="4"/>
  <c r="CI34" i="4"/>
  <c r="CI30" i="4"/>
  <c r="CI168" i="4"/>
  <c r="CI156" i="4"/>
  <c r="CI75" i="4"/>
  <c r="CI55" i="4"/>
  <c r="CI41" i="4"/>
  <c r="CJ164" i="4"/>
  <c r="CJ156" i="4"/>
  <c r="CJ48" i="4"/>
  <c r="CJ27" i="4"/>
  <c r="CJ192" i="4"/>
  <c r="CJ97" i="4"/>
  <c r="CJ169" i="4"/>
  <c r="CJ163" i="4"/>
  <c r="CJ146" i="4"/>
  <c r="CJ142" i="4"/>
  <c r="CJ116" i="4"/>
  <c r="CJ100" i="4"/>
  <c r="CJ47" i="4"/>
  <c r="CJ43" i="4"/>
  <c r="CJ172" i="4"/>
  <c r="CJ26" i="4"/>
  <c r="CJ124" i="4"/>
  <c r="CJ56" i="4"/>
  <c r="CJ165" i="4"/>
  <c r="CJ161" i="4"/>
  <c r="CJ88" i="4"/>
  <c r="CJ75" i="4"/>
  <c r="CJ55" i="4"/>
  <c r="CJ41" i="4"/>
  <c r="CJ37" i="4"/>
  <c r="CJ33" i="4"/>
  <c r="CJ30" i="4"/>
  <c r="CJ168" i="4"/>
  <c r="CJ171" i="4"/>
  <c r="CJ160" i="4"/>
  <c r="CJ143" i="4"/>
  <c r="CJ86" i="4"/>
  <c r="CJ54" i="4"/>
  <c r="CJ170" i="4"/>
  <c r="CJ162" i="4"/>
  <c r="CJ114" i="4"/>
  <c r="CJ34" i="4"/>
  <c r="CD85" i="4"/>
  <c r="CC123" i="4"/>
  <c r="CD157" i="4"/>
  <c r="CD32" i="4"/>
  <c r="CC96" i="4"/>
  <c r="CD140" i="4"/>
  <c r="CD96" i="4"/>
  <c r="CC140" i="4"/>
  <c r="CC113" i="4"/>
  <c r="CC99" i="4"/>
  <c r="CD113" i="4"/>
  <c r="CC74" i="4"/>
  <c r="CD99" i="4"/>
  <c r="CC32" i="4"/>
  <c r="CD74" i="4"/>
  <c r="CC157" i="4"/>
  <c r="CC85" i="4"/>
  <c r="CD123" i="4"/>
  <c r="CD52" i="4"/>
  <c r="CD158" i="4"/>
  <c r="CC53" i="4"/>
  <c r="CC141" i="4"/>
  <c r="CC158" i="4"/>
  <c r="CD141" i="4"/>
  <c r="CC52" i="4"/>
  <c r="CD53" i="4"/>
  <c r="CD166" i="4"/>
  <c r="CC166" i="4"/>
  <c r="CC167" i="4"/>
  <c r="CD167" i="4"/>
  <c r="CC27" i="2"/>
  <c r="CC30" i="2"/>
  <c r="CC31" i="2"/>
  <c r="CC23" i="2"/>
  <c r="CC172" i="2"/>
  <c r="CC168" i="2"/>
  <c r="CC164" i="2"/>
  <c r="CC160" i="2"/>
  <c r="CC156" i="2"/>
  <c r="CC151" i="2"/>
  <c r="CC147" i="2"/>
  <c r="CC143" i="2"/>
  <c r="CC139" i="2"/>
  <c r="CC135" i="2"/>
  <c r="CC131" i="2"/>
  <c r="CC126" i="2"/>
  <c r="CC122" i="2"/>
  <c r="CC116" i="2"/>
  <c r="CC108" i="2"/>
  <c r="CC105" i="2"/>
  <c r="CC97" i="2"/>
  <c r="CC89" i="2"/>
  <c r="CC81" i="2"/>
  <c r="CC100" i="2"/>
  <c r="CC79" i="2"/>
  <c r="CC84" i="2"/>
  <c r="CC71" i="2"/>
  <c r="CC106" i="2"/>
  <c r="CC64" i="2"/>
  <c r="CC73" i="2"/>
  <c r="CC56" i="2"/>
  <c r="CC44" i="2"/>
  <c r="CC40" i="2"/>
  <c r="CC36" i="2"/>
  <c r="CC98" i="2"/>
  <c r="CC66" i="2"/>
  <c r="CC171" i="2"/>
  <c r="CC163" i="2"/>
  <c r="CC159" i="2"/>
  <c r="CC154" i="2"/>
  <c r="CC150" i="2"/>
  <c r="CC146" i="2"/>
  <c r="CC142" i="2"/>
  <c r="CC138" i="2"/>
  <c r="CC134" i="2"/>
  <c r="CC129" i="2"/>
  <c r="CC125" i="2"/>
  <c r="CC121" i="2"/>
  <c r="CC114" i="2"/>
  <c r="CC119" i="2"/>
  <c r="CC111" i="2"/>
  <c r="CC103" i="2"/>
  <c r="CC95" i="2"/>
  <c r="CC87" i="2"/>
  <c r="CC88" i="2"/>
  <c r="CC77" i="2"/>
  <c r="CC102" i="2"/>
  <c r="CC67" i="2"/>
  <c r="CC51" i="2"/>
  <c r="CC78" i="2"/>
  <c r="CC60" i="2"/>
  <c r="CC69" i="2"/>
  <c r="CC55" i="2"/>
  <c r="CC43" i="2"/>
  <c r="CC39" i="2"/>
  <c r="CC35" i="2"/>
  <c r="CC90" i="2"/>
  <c r="CC62" i="2"/>
  <c r="CC24" i="2"/>
  <c r="CD170" i="2"/>
  <c r="CD162" i="2"/>
  <c r="CD153" i="2"/>
  <c r="CD149" i="2"/>
  <c r="CD145" i="2"/>
  <c r="CD137" i="2"/>
  <c r="CD133" i="2"/>
  <c r="CD126" i="2"/>
  <c r="CD122" i="2"/>
  <c r="CD117" i="2"/>
  <c r="CD109" i="2"/>
  <c r="CD101" i="2"/>
  <c r="CD77" i="2"/>
  <c r="CD73" i="2"/>
  <c r="CD69" i="2"/>
  <c r="CD65" i="2"/>
  <c r="CD61" i="2"/>
  <c r="CD57" i="2"/>
  <c r="CD47" i="2"/>
  <c r="CD114" i="2"/>
  <c r="CD95" i="2"/>
  <c r="CD116" i="2"/>
  <c r="CD106" i="2"/>
  <c r="CD90" i="2"/>
  <c r="CD88" i="2"/>
  <c r="CD41" i="2"/>
  <c r="CD37" i="2"/>
  <c r="CD33" i="2"/>
  <c r="CD31" i="2"/>
  <c r="CD24" i="2"/>
  <c r="CD164" i="2"/>
  <c r="CD151" i="2"/>
  <c r="CD139" i="2"/>
  <c r="CD131" i="2"/>
  <c r="CD124" i="2"/>
  <c r="CD75" i="2"/>
  <c r="CD63" i="2"/>
  <c r="CD55" i="2"/>
  <c r="CD100" i="2"/>
  <c r="CD118" i="2"/>
  <c r="CD43" i="2"/>
  <c r="CD35" i="2"/>
  <c r="CD159" i="2"/>
  <c r="CD150" i="2"/>
  <c r="CD142" i="2"/>
  <c r="CD129" i="2"/>
  <c r="CD103" i="2"/>
  <c r="CD62" i="2"/>
  <c r="CD48" i="2"/>
  <c r="CD86" i="2"/>
  <c r="CD91" i="2"/>
  <c r="CD38" i="2"/>
  <c r="CD26" i="2"/>
  <c r="CC192" i="2"/>
  <c r="CC170" i="2"/>
  <c r="CC162" i="2"/>
  <c r="CC153" i="2"/>
  <c r="CC149" i="2"/>
  <c r="CC145" i="2"/>
  <c r="CC137" i="2"/>
  <c r="CC133" i="2"/>
  <c r="CC128" i="2"/>
  <c r="CC124" i="2"/>
  <c r="CC120" i="2"/>
  <c r="CC112" i="2"/>
  <c r="CC117" i="2"/>
  <c r="CC109" i="2"/>
  <c r="CC101" i="2"/>
  <c r="CC93" i="2"/>
  <c r="CC80" i="2"/>
  <c r="CC94" i="2"/>
  <c r="CC75" i="2"/>
  <c r="CC82" i="2"/>
  <c r="CC63" i="2"/>
  <c r="CC47" i="2"/>
  <c r="CC72" i="2"/>
  <c r="CC58" i="2"/>
  <c r="CC65" i="2"/>
  <c r="CC48" i="2"/>
  <c r="CC42" i="2"/>
  <c r="CC38" i="2"/>
  <c r="CC34" i="2"/>
  <c r="CC70" i="2"/>
  <c r="CC54" i="2"/>
  <c r="CD169" i="2"/>
  <c r="CD165" i="2"/>
  <c r="CD161" i="2"/>
  <c r="CD152" i="2"/>
  <c r="CD148" i="2"/>
  <c r="CD144" i="2"/>
  <c r="CD136" i="2"/>
  <c r="CD132" i="2"/>
  <c r="CD125" i="2"/>
  <c r="CD121" i="2"/>
  <c r="CD115" i="2"/>
  <c r="CD107" i="2"/>
  <c r="CD76" i="2"/>
  <c r="CD72" i="2"/>
  <c r="CD68" i="2"/>
  <c r="CD64" i="2"/>
  <c r="CD60" i="2"/>
  <c r="CD56" i="2"/>
  <c r="CD46" i="2"/>
  <c r="CD104" i="2"/>
  <c r="CD94" i="2"/>
  <c r="CD108" i="2"/>
  <c r="CD84" i="2"/>
  <c r="CD102" i="2"/>
  <c r="CD83" i="2"/>
  <c r="CD81" i="2"/>
  <c r="CD40" i="2"/>
  <c r="CD36" i="2"/>
  <c r="CD30" i="2"/>
  <c r="CD23" i="2"/>
  <c r="CD160" i="2"/>
  <c r="CD147" i="2"/>
  <c r="CD135" i="2"/>
  <c r="CD128" i="2"/>
  <c r="CD97" i="2"/>
  <c r="CD71" i="2"/>
  <c r="CD51" i="2"/>
  <c r="CD93" i="2"/>
  <c r="CD82" i="2"/>
  <c r="CD112" i="2"/>
  <c r="CD154" i="2"/>
  <c r="CD134" i="2"/>
  <c r="CD127" i="2"/>
  <c r="CD111" i="2"/>
  <c r="CD78" i="2"/>
  <c r="CD66" i="2"/>
  <c r="CD54" i="2"/>
  <c r="CD110" i="2"/>
  <c r="CD42" i="2"/>
  <c r="CD80" i="2"/>
  <c r="CC169" i="2"/>
  <c r="CC165" i="2"/>
  <c r="CC161" i="2"/>
  <c r="CC152" i="2"/>
  <c r="CC148" i="2"/>
  <c r="CC144" i="2"/>
  <c r="CC136" i="2"/>
  <c r="CC132" i="2"/>
  <c r="CC127" i="2"/>
  <c r="CC118" i="2"/>
  <c r="CC110" i="2"/>
  <c r="CC115" i="2"/>
  <c r="CC107" i="2"/>
  <c r="CC91" i="2"/>
  <c r="CC83" i="2"/>
  <c r="CC104" i="2"/>
  <c r="CC86" i="2"/>
  <c r="CC92" i="2"/>
  <c r="CC76" i="2"/>
  <c r="CC59" i="2"/>
  <c r="CC45" i="2"/>
  <c r="CC68" i="2"/>
  <c r="CC57" i="2"/>
  <c r="CC61" i="2"/>
  <c r="CC46" i="2"/>
  <c r="CC41" i="2"/>
  <c r="CC37" i="2"/>
  <c r="CC33" i="2"/>
  <c r="CD172" i="2"/>
  <c r="CD168" i="2"/>
  <c r="CD156" i="2"/>
  <c r="CD143" i="2"/>
  <c r="CD192" i="2"/>
  <c r="CD120" i="2"/>
  <c r="CD105" i="2"/>
  <c r="CD79" i="2"/>
  <c r="CD67" i="2"/>
  <c r="CD59" i="2"/>
  <c r="CD45" i="2"/>
  <c r="CD87" i="2"/>
  <c r="CD98" i="2"/>
  <c r="CD39" i="2"/>
  <c r="CD27" i="2"/>
  <c r="CD171" i="2"/>
  <c r="CD163" i="2"/>
  <c r="CD146" i="2"/>
  <c r="CD138" i="2"/>
  <c r="CD119" i="2"/>
  <c r="CD70" i="2"/>
  <c r="CD58" i="2"/>
  <c r="CD44" i="2"/>
  <c r="CD92" i="2"/>
  <c r="CD89" i="2"/>
  <c r="CD34" i="2"/>
  <c r="CC26" i="2"/>
  <c r="CE125" i="2"/>
  <c r="CE121" i="2"/>
  <c r="CE117" i="2"/>
  <c r="CE109" i="2"/>
  <c r="CE105" i="2"/>
  <c r="CE101" i="2"/>
  <c r="CE97" i="2"/>
  <c r="CE93" i="2"/>
  <c r="CE89" i="2"/>
  <c r="CE81" i="2"/>
  <c r="CE169" i="2"/>
  <c r="CE161" i="2"/>
  <c r="CE152" i="2"/>
  <c r="CE144" i="2"/>
  <c r="CE136" i="2"/>
  <c r="CE168" i="2"/>
  <c r="CE135" i="2"/>
  <c r="CE65" i="2"/>
  <c r="CE57" i="2"/>
  <c r="CE147" i="2"/>
  <c r="CE76" i="2"/>
  <c r="CE68" i="2"/>
  <c r="CE60" i="2"/>
  <c r="CE43" i="2"/>
  <c r="CE39" i="2"/>
  <c r="CE35" i="2"/>
  <c r="CE162" i="2"/>
  <c r="CE44" i="2"/>
  <c r="CE47" i="2"/>
  <c r="CE31" i="2"/>
  <c r="CE23" i="2"/>
  <c r="CE192" i="2"/>
  <c r="CE128" i="2"/>
  <c r="CE124" i="2"/>
  <c r="CE120" i="2"/>
  <c r="CE116" i="2"/>
  <c r="CE112" i="2"/>
  <c r="CE108" i="2"/>
  <c r="CE104" i="2"/>
  <c r="CE100" i="2"/>
  <c r="CE92" i="2"/>
  <c r="CE88" i="2"/>
  <c r="CE84" i="2"/>
  <c r="CE80" i="2"/>
  <c r="CE159" i="2"/>
  <c r="CE150" i="2"/>
  <c r="CE142" i="2"/>
  <c r="CE134" i="2"/>
  <c r="CE160" i="2"/>
  <c r="CE79" i="2"/>
  <c r="CE71" i="2"/>
  <c r="CE63" i="2"/>
  <c r="CE55" i="2"/>
  <c r="CE172" i="2"/>
  <c r="CE139" i="2"/>
  <c r="CE66" i="2"/>
  <c r="CE170" i="2"/>
  <c r="CE42" i="2"/>
  <c r="CE38" i="2"/>
  <c r="CE34" i="2"/>
  <c r="CE56" i="2"/>
  <c r="CE153" i="2"/>
  <c r="CE145" i="2"/>
  <c r="CE30" i="2"/>
  <c r="CE127" i="2"/>
  <c r="CE119" i="2"/>
  <c r="CE115" i="2"/>
  <c r="CE111" i="2"/>
  <c r="CE103" i="2"/>
  <c r="CE95" i="2"/>
  <c r="CE91" i="2"/>
  <c r="CE87" i="2"/>
  <c r="CE83" i="2"/>
  <c r="CE165" i="2"/>
  <c r="CE148" i="2"/>
  <c r="CE132" i="2"/>
  <c r="CE151" i="2"/>
  <c r="CE77" i="2"/>
  <c r="CE69" i="2"/>
  <c r="CE61" i="2"/>
  <c r="CE149" i="2"/>
  <c r="CE164" i="2"/>
  <c r="CE131" i="2"/>
  <c r="CE72" i="2"/>
  <c r="CE64" i="2"/>
  <c r="CE137" i="2"/>
  <c r="CE41" i="2"/>
  <c r="CE37" i="2"/>
  <c r="CE33" i="2"/>
  <c r="CE48" i="2"/>
  <c r="CE54" i="2"/>
  <c r="CE45" i="2"/>
  <c r="CE27" i="2"/>
  <c r="CE126" i="2"/>
  <c r="CE122" i="2"/>
  <c r="CE118" i="2"/>
  <c r="CE114" i="2"/>
  <c r="CE110" i="2"/>
  <c r="CE106" i="2"/>
  <c r="CE102" i="2"/>
  <c r="CE98" i="2"/>
  <c r="CE94" i="2"/>
  <c r="CE90" i="2"/>
  <c r="CE86" i="2"/>
  <c r="CE82" i="2"/>
  <c r="CE171" i="2"/>
  <c r="CE163" i="2"/>
  <c r="CE154" i="2"/>
  <c r="CE146" i="2"/>
  <c r="CE138" i="2"/>
  <c r="CE129" i="2"/>
  <c r="CE143" i="2"/>
  <c r="CE75" i="2"/>
  <c r="CE67" i="2"/>
  <c r="CE59" i="2"/>
  <c r="CE51" i="2"/>
  <c r="CE156" i="2"/>
  <c r="CE78" i="2"/>
  <c r="CE70" i="2"/>
  <c r="CE62" i="2"/>
  <c r="CE58" i="2"/>
  <c r="CE40" i="2"/>
  <c r="CE36" i="2"/>
  <c r="CE46" i="2"/>
  <c r="CE24" i="2"/>
  <c r="CE26" i="2"/>
  <c r="CF192" i="2"/>
  <c r="CF172" i="2"/>
  <c r="CF168" i="2"/>
  <c r="CF164" i="2"/>
  <c r="CF160" i="2"/>
  <c r="CF156" i="2"/>
  <c r="CF143" i="2"/>
  <c r="CF135" i="2"/>
  <c r="CF131" i="2"/>
  <c r="CF125" i="2"/>
  <c r="CF121" i="2"/>
  <c r="CF110" i="2"/>
  <c r="CF102" i="2"/>
  <c r="CF94" i="2"/>
  <c r="CF86" i="2"/>
  <c r="CF93" i="2"/>
  <c r="CF97" i="2"/>
  <c r="CF76" i="2"/>
  <c r="CF107" i="2"/>
  <c r="CF46" i="2"/>
  <c r="CF73" i="2"/>
  <c r="CF55" i="2"/>
  <c r="CF77" i="2"/>
  <c r="CF59" i="2"/>
  <c r="CF35" i="2"/>
  <c r="CF171" i="2"/>
  <c r="CF163" i="2"/>
  <c r="CF159" i="2"/>
  <c r="CF146" i="2"/>
  <c r="CF142" i="2"/>
  <c r="CF138" i="2"/>
  <c r="CF134" i="2"/>
  <c r="CF129" i="2"/>
  <c r="CF128" i="2"/>
  <c r="CF124" i="2"/>
  <c r="CF116" i="2"/>
  <c r="CF108" i="2"/>
  <c r="CF100" i="2"/>
  <c r="CF84" i="2"/>
  <c r="CF72" i="2"/>
  <c r="CF44" i="2"/>
  <c r="CF69" i="2"/>
  <c r="CF54" i="2"/>
  <c r="CF70" i="2"/>
  <c r="CF42" i="2"/>
  <c r="CF34" i="2"/>
  <c r="CF41" i="2"/>
  <c r="CF33" i="2"/>
  <c r="CF27" i="2"/>
  <c r="CF23" i="2"/>
  <c r="CF161" i="2"/>
  <c r="CF104" i="2"/>
  <c r="CF80" i="2"/>
  <c r="CF81" i="2"/>
  <c r="CF48" i="2"/>
  <c r="CF38" i="2"/>
  <c r="CF79" i="2"/>
  <c r="CF30" i="2"/>
  <c r="CF170" i="2"/>
  <c r="CF162" i="2"/>
  <c r="CF137" i="2"/>
  <c r="CF127" i="2"/>
  <c r="CF111" i="2"/>
  <c r="CF114" i="2"/>
  <c r="CF106" i="2"/>
  <c r="CF98" i="2"/>
  <c r="CF82" i="2"/>
  <c r="CF105" i="2"/>
  <c r="CF83" i="2"/>
  <c r="CF68" i="2"/>
  <c r="CF56" i="2"/>
  <c r="CF95" i="2"/>
  <c r="CF47" i="2"/>
  <c r="CF40" i="2"/>
  <c r="CF51" i="2"/>
  <c r="CF39" i="2"/>
  <c r="CF71" i="2"/>
  <c r="CF169" i="2"/>
  <c r="CF132" i="2"/>
  <c r="CF122" i="2"/>
  <c r="CF112" i="2"/>
  <c r="CF88" i="2"/>
  <c r="CF78" i="2"/>
  <c r="CF75" i="2"/>
  <c r="CF103" i="2"/>
  <c r="CF37" i="2"/>
  <c r="CF36" i="2"/>
  <c r="CF165" i="2"/>
  <c r="CF136" i="2"/>
  <c r="CF126" i="2"/>
  <c r="CF109" i="2"/>
  <c r="CF101" i="2"/>
  <c r="CF45" i="2"/>
  <c r="CF31" i="2"/>
  <c r="CF43" i="2"/>
  <c r="CF26" i="2"/>
  <c r="CG169" i="2"/>
  <c r="CG165" i="2"/>
  <c r="CG161" i="2"/>
  <c r="CG192" i="2"/>
  <c r="CG97" i="2"/>
  <c r="CG56" i="2"/>
  <c r="CG47" i="2"/>
  <c r="CG43" i="2"/>
  <c r="CG39" i="2"/>
  <c r="CG35" i="2"/>
  <c r="CG30" i="2"/>
  <c r="CG124" i="2"/>
  <c r="CG172" i="2"/>
  <c r="CG168" i="2"/>
  <c r="CG164" i="2"/>
  <c r="CG160" i="2"/>
  <c r="CG156" i="2"/>
  <c r="CG143" i="2"/>
  <c r="CG116" i="2"/>
  <c r="CG100" i="2"/>
  <c r="CG54" i="2"/>
  <c r="CG45" i="2"/>
  <c r="CG42" i="2"/>
  <c r="CG38" i="2"/>
  <c r="CG34" i="2"/>
  <c r="CG44" i="2"/>
  <c r="CG48" i="2"/>
  <c r="CG27" i="2"/>
  <c r="CG171" i="2"/>
  <c r="CG163" i="2"/>
  <c r="CG146" i="2"/>
  <c r="CG142" i="2"/>
  <c r="CG129" i="2"/>
  <c r="CG114" i="2"/>
  <c r="CG88" i="2"/>
  <c r="CG55" i="2"/>
  <c r="CG41" i="2"/>
  <c r="CG37" i="2"/>
  <c r="CG33" i="2"/>
  <c r="CG86" i="2"/>
  <c r="CG26" i="2"/>
  <c r="CG170" i="2"/>
  <c r="CG162" i="2"/>
  <c r="CG75" i="2"/>
  <c r="CG51" i="2"/>
  <c r="CG40" i="2"/>
  <c r="CG46" i="2"/>
  <c r="CG31" i="2"/>
  <c r="CG23" i="2"/>
  <c r="CH170" i="2"/>
  <c r="CH162" i="2"/>
  <c r="CH75" i="2"/>
  <c r="CH55" i="2"/>
  <c r="CH51" i="2"/>
  <c r="CH45" i="2"/>
  <c r="CH43" i="2"/>
  <c r="CH39" i="2"/>
  <c r="CH35" i="2"/>
  <c r="CH124" i="2"/>
  <c r="CH30" i="2"/>
  <c r="CH23" i="2"/>
  <c r="CH100" i="2"/>
  <c r="CC173" i="2"/>
  <c r="CC176" i="2" s="1"/>
  <c r="CH169" i="2"/>
  <c r="CH165" i="2"/>
  <c r="CH161" i="2"/>
  <c r="CH54" i="2"/>
  <c r="CH48" i="2"/>
  <c r="CH44" i="2"/>
  <c r="CH88" i="2"/>
  <c r="CH42" i="2"/>
  <c r="CH38" i="2"/>
  <c r="CH34" i="2"/>
  <c r="CH27" i="2"/>
  <c r="CH168" i="2"/>
  <c r="CH160" i="2"/>
  <c r="CH143" i="2"/>
  <c r="CH116" i="2"/>
  <c r="CH86" i="2"/>
  <c r="CH33" i="2"/>
  <c r="CH172" i="2"/>
  <c r="CH164" i="2"/>
  <c r="CH41" i="2"/>
  <c r="CH26" i="2"/>
  <c r="CD173" i="2"/>
  <c r="CD176" i="2" s="1"/>
  <c r="CH192" i="2"/>
  <c r="CH171" i="2"/>
  <c r="CH163" i="2"/>
  <c r="CH146" i="2"/>
  <c r="CH142" i="2"/>
  <c r="CH129" i="2"/>
  <c r="CH114" i="2"/>
  <c r="CH97" i="2"/>
  <c r="CH56" i="2"/>
  <c r="CH46" i="2"/>
  <c r="CH40" i="2"/>
  <c r="CH36" i="2"/>
  <c r="CH31" i="2"/>
  <c r="CH156" i="2"/>
  <c r="CH47" i="2"/>
  <c r="CH37" i="2"/>
  <c r="CI192" i="2"/>
  <c r="CI169" i="2"/>
  <c r="CI161" i="2"/>
  <c r="CI47" i="2"/>
  <c r="CI41" i="2"/>
  <c r="CI37" i="2"/>
  <c r="CI33" i="2"/>
  <c r="CI44" i="2"/>
  <c r="CI30" i="2"/>
  <c r="CI56" i="2"/>
  <c r="CI124" i="2"/>
  <c r="CI116" i="2"/>
  <c r="CI100" i="2"/>
  <c r="CI163" i="2"/>
  <c r="CI146" i="2"/>
  <c r="CI129" i="2"/>
  <c r="CI160" i="2"/>
  <c r="CI143" i="2"/>
  <c r="CI75" i="2"/>
  <c r="CI38" i="2"/>
  <c r="CI55" i="2"/>
  <c r="CI23" i="2"/>
  <c r="CI114" i="2"/>
  <c r="CI86" i="2"/>
  <c r="CI142" i="2"/>
  <c r="CI172" i="2"/>
  <c r="CI164" i="2"/>
  <c r="CI156" i="2"/>
  <c r="CI45" i="2"/>
  <c r="CI36" i="2"/>
  <c r="CI27" i="2"/>
  <c r="CI97" i="2"/>
  <c r="CI165" i="2"/>
  <c r="CI170" i="2"/>
  <c r="CI162" i="2"/>
  <c r="CI54" i="2"/>
  <c r="CI43" i="2"/>
  <c r="CI39" i="2"/>
  <c r="CI35" i="2"/>
  <c r="CI51" i="2"/>
  <c r="CI48" i="2"/>
  <c r="CI26" i="2"/>
  <c r="CI88" i="2"/>
  <c r="CI171" i="2"/>
  <c r="CI168" i="2"/>
  <c r="CI42" i="2"/>
  <c r="CI34" i="2"/>
  <c r="CI46" i="2"/>
  <c r="CI31" i="2"/>
  <c r="CJ86" i="2"/>
  <c r="CJ33" i="2"/>
  <c r="CJ26" i="2"/>
  <c r="CJ168" i="2"/>
  <c r="CJ54" i="2"/>
  <c r="CJ30" i="2"/>
  <c r="CJ169" i="2"/>
  <c r="CJ165" i="2"/>
  <c r="CJ161" i="2"/>
  <c r="CJ97" i="2"/>
  <c r="CJ116" i="2"/>
  <c r="CJ55" i="2"/>
  <c r="CJ114" i="2"/>
  <c r="CJ46" i="2"/>
  <c r="CJ56" i="2"/>
  <c r="CJ31" i="2"/>
  <c r="CJ47" i="2"/>
  <c r="CJ192" i="2"/>
  <c r="CJ164" i="2"/>
  <c r="CJ160" i="2"/>
  <c r="CJ156" i="2"/>
  <c r="CJ37" i="2"/>
  <c r="CJ171" i="2"/>
  <c r="CJ163" i="2"/>
  <c r="CJ146" i="2"/>
  <c r="CJ142" i="2"/>
  <c r="CJ129" i="2"/>
  <c r="CJ124" i="2"/>
  <c r="CJ88" i="2"/>
  <c r="CJ75" i="2"/>
  <c r="CJ43" i="2"/>
  <c r="CJ27" i="2"/>
  <c r="CJ170" i="2"/>
  <c r="CJ162" i="2"/>
  <c r="CJ100" i="2"/>
  <c r="CJ48" i="2"/>
  <c r="CJ41" i="2"/>
  <c r="CJ34" i="2"/>
  <c r="CJ172" i="2"/>
  <c r="CJ143" i="2"/>
  <c r="CJ45" i="2"/>
  <c r="CC157" i="2"/>
  <c r="CC96" i="2"/>
  <c r="CD99" i="2"/>
  <c r="CC99" i="2"/>
  <c r="CC32" i="2"/>
  <c r="CC74" i="2"/>
  <c r="CD157" i="2"/>
  <c r="CD32" i="2"/>
  <c r="CD140" i="2"/>
  <c r="CD85" i="2"/>
  <c r="CC123" i="2"/>
  <c r="CC113" i="2"/>
  <c r="CC85" i="2"/>
  <c r="CD123" i="2"/>
  <c r="CD74" i="2"/>
  <c r="CD113" i="2"/>
  <c r="CD96" i="2"/>
  <c r="CC140" i="2"/>
  <c r="CC141" i="2"/>
  <c r="CC158" i="2"/>
  <c r="CD158" i="2"/>
  <c r="CC52" i="2"/>
  <c r="CD141" i="2"/>
  <c r="CD52" i="2"/>
  <c r="CC53" i="2"/>
  <c r="CC166" i="2"/>
  <c r="CD167" i="2"/>
  <c r="CD53" i="2"/>
  <c r="CD166" i="2"/>
  <c r="CC167" i="2"/>
  <c r="AH248" i="15"/>
  <c r="AE108" i="15"/>
  <c r="F2" i="15"/>
  <c r="F205" i="2"/>
  <c r="J205" i="2"/>
  <c r="N205" i="2"/>
  <c r="R205" i="2"/>
  <c r="V205" i="2"/>
  <c r="Z205" i="2"/>
  <c r="AD205" i="2"/>
  <c r="AH205" i="2"/>
  <c r="AL205" i="2"/>
  <c r="AP205" i="2"/>
  <c r="AT205" i="2"/>
  <c r="AX205" i="2"/>
  <c r="M205" i="2"/>
  <c r="AO205" i="2"/>
  <c r="I205" i="2"/>
  <c r="Q205" i="2"/>
  <c r="AC205" i="2"/>
  <c r="AK205" i="2"/>
  <c r="AW205" i="2"/>
  <c r="E205" i="2"/>
  <c r="U205" i="2"/>
  <c r="Y205" i="2"/>
  <c r="AG205" i="2"/>
  <c r="AS205" i="2"/>
  <c r="C205" i="2"/>
  <c r="CC205" i="2" s="1"/>
  <c r="AN205" i="2"/>
  <c r="X205" i="2"/>
  <c r="H205" i="2"/>
  <c r="AQ205" i="2"/>
  <c r="AA205" i="2"/>
  <c r="K205" i="2"/>
  <c r="AZ205" i="2"/>
  <c r="AJ205" i="2"/>
  <c r="T205" i="2"/>
  <c r="D205" i="2"/>
  <c r="CD205" i="2" s="1"/>
  <c r="AM205" i="2"/>
  <c r="W205" i="2"/>
  <c r="G205" i="2"/>
  <c r="AV205" i="2"/>
  <c r="AF205" i="2"/>
  <c r="P205" i="2"/>
  <c r="AY205" i="2"/>
  <c r="AI205" i="2"/>
  <c r="S205" i="2"/>
  <c r="AR205" i="2"/>
  <c r="AB205" i="2"/>
  <c r="L205" i="2"/>
  <c r="AU205" i="2"/>
  <c r="AE205" i="2"/>
  <c r="O205" i="2"/>
  <c r="AE84" i="15"/>
  <c r="AZ189" i="2"/>
  <c r="AV189" i="2"/>
  <c r="AR189" i="2"/>
  <c r="AY189" i="2"/>
  <c r="AU189" i="2"/>
  <c r="AQ189" i="2"/>
  <c r="AX189" i="2"/>
  <c r="AT189" i="2"/>
  <c r="AP189" i="2"/>
  <c r="AW189" i="2"/>
  <c r="AS189" i="2"/>
  <c r="AO189" i="2"/>
  <c r="AE80" i="15"/>
  <c r="AE85" i="2"/>
  <c r="AF85" i="4"/>
  <c r="AF113" i="4"/>
  <c r="A7" i="4"/>
  <c r="AZ187" i="2"/>
  <c r="AV187" i="2"/>
  <c r="AR187" i="2"/>
  <c r="AY187" i="2"/>
  <c r="AU187" i="2"/>
  <c r="AQ187" i="2"/>
  <c r="AX187" i="2"/>
  <c r="AT187" i="2"/>
  <c r="AP187" i="2"/>
  <c r="AS187" i="2"/>
  <c r="AO187" i="2"/>
  <c r="AW187" i="2"/>
  <c r="AY207" i="2"/>
  <c r="AU207" i="2"/>
  <c r="AQ207" i="2"/>
  <c r="AX207" i="2"/>
  <c r="AT207" i="2"/>
  <c r="AP207" i="2"/>
  <c r="AW207" i="2"/>
  <c r="AS207" i="2"/>
  <c r="AO207" i="2"/>
  <c r="AR207" i="2"/>
  <c r="AZ207" i="2"/>
  <c r="AV207" i="2"/>
  <c r="AZ196" i="2"/>
  <c r="AV196" i="2"/>
  <c r="AR196" i="2"/>
  <c r="AY196" i="2"/>
  <c r="AU196" i="2"/>
  <c r="AQ196" i="2"/>
  <c r="AX196" i="2"/>
  <c r="AT196" i="2"/>
  <c r="AP196" i="2"/>
  <c r="AO196" i="2"/>
  <c r="AW196" i="2"/>
  <c r="AS196" i="2"/>
  <c r="AF99" i="4"/>
  <c r="AZ191" i="2"/>
  <c r="AV191" i="2"/>
  <c r="AR191" i="2"/>
  <c r="AY191" i="2"/>
  <c r="AU191" i="2"/>
  <c r="AQ191" i="2"/>
  <c r="AX191" i="2"/>
  <c r="AT191" i="2"/>
  <c r="AP191" i="2"/>
  <c r="AS191" i="2"/>
  <c r="AO191" i="2"/>
  <c r="AZ188" i="2"/>
  <c r="AV188" i="2"/>
  <c r="AR188" i="2"/>
  <c r="AY188" i="2"/>
  <c r="AU188" i="2"/>
  <c r="AQ188" i="2"/>
  <c r="AX188" i="2"/>
  <c r="AT188" i="2"/>
  <c r="AP188" i="2"/>
  <c r="AW188" i="2"/>
  <c r="AS188" i="2"/>
  <c r="AO188" i="2"/>
  <c r="AZ190" i="2"/>
  <c r="AV190" i="2"/>
  <c r="AR190" i="2"/>
  <c r="AY190" i="2"/>
  <c r="AU190" i="2"/>
  <c r="AQ190" i="2"/>
  <c r="AX190" i="2"/>
  <c r="AT190" i="2"/>
  <c r="AP190" i="2"/>
  <c r="AO190" i="2"/>
  <c r="AW190" i="2"/>
  <c r="AS190" i="2"/>
  <c r="AF94" i="2"/>
  <c r="AF137" i="2"/>
  <c r="AR137" i="2" s="1"/>
  <c r="AF136" i="2"/>
  <c r="AR136" i="2" s="1"/>
  <c r="AF135" i="2"/>
  <c r="AR135" i="2" s="1"/>
  <c r="AF134" i="2"/>
  <c r="AR134" i="2" s="1"/>
  <c r="AF122" i="2"/>
  <c r="AF121" i="2"/>
  <c r="AF112" i="2"/>
  <c r="AF133" i="2"/>
  <c r="AF132" i="2"/>
  <c r="AR132" i="2" s="1"/>
  <c r="AF138" i="2"/>
  <c r="AR138" i="2" s="1"/>
  <c r="AF111" i="2"/>
  <c r="AF110" i="2"/>
  <c r="AF84" i="2"/>
  <c r="AR84" i="2" s="1"/>
  <c r="AF80" i="2"/>
  <c r="AR80" i="2" s="1"/>
  <c r="AF59" i="2"/>
  <c r="AF103" i="2"/>
  <c r="AF102" i="2"/>
  <c r="AF131" i="2"/>
  <c r="AF128" i="2"/>
  <c r="AR128" i="2" s="1"/>
  <c r="AF109" i="2"/>
  <c r="AF108" i="2"/>
  <c r="AF83" i="2"/>
  <c r="AR83" i="2" s="1"/>
  <c r="AF79" i="2"/>
  <c r="AR79" i="2" s="1"/>
  <c r="AF78" i="2"/>
  <c r="AR78" i="2" s="1"/>
  <c r="AF125" i="2"/>
  <c r="AF82" i="2"/>
  <c r="AR82" i="2" s="1"/>
  <c r="AF81" i="2"/>
  <c r="AR81" i="2" s="1"/>
  <c r="AF126" i="2"/>
  <c r="AR126" i="2" s="1"/>
  <c r="AF107" i="2"/>
  <c r="AF77" i="2"/>
  <c r="AR77" i="2" s="1"/>
  <c r="AF95" i="2"/>
  <c r="AF159" i="2"/>
  <c r="AF104" i="2"/>
  <c r="AF76" i="2"/>
  <c r="AR76" i="2" s="1"/>
  <c r="AF71" i="2"/>
  <c r="AR71" i="2" s="1"/>
  <c r="AF69" i="2"/>
  <c r="AR69" i="2" s="1"/>
  <c r="AF101" i="2"/>
  <c r="AF105" i="2"/>
  <c r="AF98" i="2"/>
  <c r="AF73" i="2"/>
  <c r="AR73" i="2" s="1"/>
  <c r="AF72" i="2"/>
  <c r="AR72" i="2" s="1"/>
  <c r="AF70" i="2"/>
  <c r="AF68" i="2"/>
  <c r="AR68" i="2" s="1"/>
  <c r="AE79" i="15"/>
  <c r="AE72" i="15"/>
  <c r="AE99" i="2"/>
  <c r="AG133" i="4"/>
  <c r="AG132" i="4"/>
  <c r="AG103" i="4"/>
  <c r="AG102" i="4"/>
  <c r="AG159" i="4"/>
  <c r="AG131" i="4"/>
  <c r="AG128" i="4"/>
  <c r="AG127" i="4"/>
  <c r="AG94" i="4"/>
  <c r="AG122" i="4"/>
  <c r="AG121" i="4"/>
  <c r="AG112" i="4"/>
  <c r="AG109" i="4"/>
  <c r="AG108" i="4"/>
  <c r="AG83" i="4"/>
  <c r="AG79" i="4"/>
  <c r="AG78" i="4"/>
  <c r="AG138" i="4"/>
  <c r="AG107" i="4"/>
  <c r="AG82" i="4"/>
  <c r="AG77" i="4"/>
  <c r="AG101" i="4"/>
  <c r="AG95" i="4"/>
  <c r="AG137" i="4"/>
  <c r="AG135" i="4"/>
  <c r="AG105" i="4"/>
  <c r="AG104" i="4"/>
  <c r="AG98" i="4"/>
  <c r="AG76" i="4"/>
  <c r="AG73" i="4"/>
  <c r="AG72" i="4"/>
  <c r="AG71" i="4"/>
  <c r="AG70" i="4"/>
  <c r="AG69" i="4"/>
  <c r="AG68" i="4"/>
  <c r="AG125" i="4"/>
  <c r="AG84" i="4"/>
  <c r="AG59" i="4"/>
  <c r="AG136" i="4"/>
  <c r="AG134" i="4"/>
  <c r="AG81" i="4"/>
  <c r="AG126" i="4"/>
  <c r="AG111" i="4"/>
  <c r="AG110" i="4"/>
  <c r="AG80" i="4"/>
  <c r="AE111" i="15"/>
  <c r="AE113" i="2"/>
  <c r="AL248" i="15"/>
  <c r="AE248" i="15"/>
  <c r="E173" i="15"/>
  <c r="E176" i="15" s="1"/>
  <c r="I173" i="15"/>
  <c r="F173" i="15"/>
  <c r="G173" i="15"/>
  <c r="K173" i="15"/>
  <c r="J166" i="4"/>
  <c r="J167" i="4" s="1"/>
  <c r="J174" i="4" s="1"/>
  <c r="I141" i="15"/>
  <c r="I166" i="2"/>
  <c r="I166" i="15" s="1"/>
  <c r="P32" i="4"/>
  <c r="U248" i="15"/>
  <c r="O248" i="15"/>
  <c r="K248" i="15"/>
  <c r="T32" i="2"/>
  <c r="W32" i="2"/>
  <c r="V32" i="2"/>
  <c r="U32" i="2"/>
  <c r="W99" i="2"/>
  <c r="T113" i="4"/>
  <c r="T113" i="2"/>
  <c r="G248" i="15"/>
  <c r="T32" i="4"/>
  <c r="T123" i="4"/>
  <c r="T99" i="2"/>
  <c r="T99" i="4"/>
  <c r="T85" i="2"/>
  <c r="T85" i="4"/>
  <c r="T96" i="4"/>
  <c r="R44" i="15"/>
  <c r="S32" i="2"/>
  <c r="R32" i="2"/>
  <c r="A7" i="2"/>
  <c r="AM207" i="2"/>
  <c r="AI207" i="2"/>
  <c r="AE207" i="2"/>
  <c r="AA207" i="2"/>
  <c r="W207" i="2"/>
  <c r="S207" i="2"/>
  <c r="N207" i="2"/>
  <c r="J207" i="2"/>
  <c r="F207" i="2"/>
  <c r="AL207" i="2"/>
  <c r="AH207" i="2"/>
  <c r="AD207" i="2"/>
  <c r="V207" i="2"/>
  <c r="M207" i="2"/>
  <c r="E207" i="2"/>
  <c r="AK207" i="2"/>
  <c r="AG207" i="2"/>
  <c r="AC207" i="2"/>
  <c r="Y207" i="2"/>
  <c r="U207" i="2"/>
  <c r="P207" i="2"/>
  <c r="L207" i="2"/>
  <c r="H207" i="2"/>
  <c r="D207" i="2"/>
  <c r="CD207" i="2" s="1"/>
  <c r="Z207" i="2"/>
  <c r="R207" i="2"/>
  <c r="I207" i="2"/>
  <c r="AF207" i="2"/>
  <c r="O207" i="2"/>
  <c r="K207" i="2"/>
  <c r="AN207" i="2"/>
  <c r="X207" i="2"/>
  <c r="AJ207" i="2"/>
  <c r="C207" i="2"/>
  <c r="CC207" i="2" s="1"/>
  <c r="AB207" i="2"/>
  <c r="G207" i="2"/>
  <c r="T207" i="2"/>
  <c r="Q207" i="2"/>
  <c r="Z46" i="15"/>
  <c r="Z189" i="15" s="1"/>
  <c r="Q46" i="15"/>
  <c r="G52" i="15"/>
  <c r="V248" i="15"/>
  <c r="Z248" i="15"/>
  <c r="AD248" i="15"/>
  <c r="AC46" i="15"/>
  <c r="G231" i="15"/>
  <c r="K231" i="15"/>
  <c r="O231" i="15"/>
  <c r="AE231" i="15"/>
  <c r="AI231" i="15"/>
  <c r="AI249" i="15" s="1"/>
  <c r="AM231" i="15"/>
  <c r="AM249" i="15" s="1"/>
  <c r="AG46" i="15"/>
  <c r="AG189" i="15" s="1"/>
  <c r="H231" i="15"/>
  <c r="H249" i="15" s="1"/>
  <c r="L231" i="15"/>
  <c r="L249" i="15" s="1"/>
  <c r="P231" i="15"/>
  <c r="P249" i="15" s="1"/>
  <c r="AF231" i="15"/>
  <c r="AJ231" i="15"/>
  <c r="AJ249" i="15" s="1"/>
  <c r="AN231" i="15"/>
  <c r="AN249" i="15" s="1"/>
  <c r="U46" i="15"/>
  <c r="U189" i="15" s="1"/>
  <c r="G141" i="15"/>
  <c r="AH46" i="15"/>
  <c r="AH189" i="15" s="1"/>
  <c r="V46" i="15"/>
  <c r="V189" i="15" s="1"/>
  <c r="AI46" i="15"/>
  <c r="AI189" i="15" s="1"/>
  <c r="W46" i="15"/>
  <c r="W189" i="15" s="1"/>
  <c r="E231" i="15"/>
  <c r="I231" i="15"/>
  <c r="I249" i="15" s="1"/>
  <c r="M231" i="15"/>
  <c r="M249" i="15" s="1"/>
  <c r="AG231" i="15"/>
  <c r="AG249" i="15" s="1"/>
  <c r="AF46" i="15"/>
  <c r="AF189" i="15" s="1"/>
  <c r="T46" i="15"/>
  <c r="T189" i="15" s="1"/>
  <c r="AD46" i="15"/>
  <c r="AD189" i="15" s="1"/>
  <c r="R46" i="15"/>
  <c r="R189" i="15" s="1"/>
  <c r="F231" i="15"/>
  <c r="J231" i="15"/>
  <c r="AL231" i="15"/>
  <c r="Q32" i="2"/>
  <c r="Z44" i="15"/>
  <c r="V44" i="15"/>
  <c r="AC44" i="15"/>
  <c r="T44" i="15"/>
  <c r="AN46" i="15"/>
  <c r="AN189" i="15" s="1"/>
  <c r="AB46" i="15"/>
  <c r="AB189" i="15" s="1"/>
  <c r="AJ46" i="15"/>
  <c r="AJ189" i="15" s="1"/>
  <c r="X46" i="15"/>
  <c r="X189" i="15" s="1"/>
  <c r="AE46" i="15"/>
  <c r="AE189" i="15" s="1"/>
  <c r="S46" i="15"/>
  <c r="S189" i="15" s="1"/>
  <c r="S248" i="15"/>
  <c r="W248" i="15"/>
  <c r="Q231" i="15"/>
  <c r="Q249" i="15" s="1"/>
  <c r="X248" i="15"/>
  <c r="G140" i="15"/>
  <c r="G167" i="2"/>
  <c r="G174" i="2" s="1"/>
  <c r="G166" i="15"/>
  <c r="O36" i="15"/>
  <c r="AL46" i="15"/>
  <c r="AL189" i="15" s="1"/>
  <c r="F248" i="15"/>
  <c r="G167" i="4"/>
  <c r="G174" i="4" s="1"/>
  <c r="F206" i="15"/>
  <c r="O38" i="15"/>
  <c r="O44" i="15"/>
  <c r="E248" i="15"/>
  <c r="O40" i="15"/>
  <c r="O48" i="15"/>
  <c r="N32" i="4"/>
  <c r="O32" i="4"/>
  <c r="N32" i="2"/>
  <c r="O32" i="2"/>
  <c r="AS71" i="2"/>
  <c r="O46" i="15"/>
  <c r="O189" i="15" s="1"/>
  <c r="AH129" i="4"/>
  <c r="N36" i="15"/>
  <c r="N40" i="15"/>
  <c r="N48" i="15"/>
  <c r="N190" i="15" s="1"/>
  <c r="J206" i="15"/>
  <c r="N85" i="4"/>
  <c r="N85" i="2"/>
  <c r="N96" i="2"/>
  <c r="M129" i="15"/>
  <c r="M196" i="15" s="1"/>
  <c r="M36" i="15"/>
  <c r="J187" i="15"/>
  <c r="H206" i="15"/>
  <c r="F202" i="15"/>
  <c r="J204" i="15"/>
  <c r="F187" i="15"/>
  <c r="F204" i="15"/>
  <c r="F190" i="15"/>
  <c r="J190" i="15"/>
  <c r="K204" i="15"/>
  <c r="M190" i="15"/>
  <c r="D196" i="2"/>
  <c r="CD196" i="2" s="1"/>
  <c r="C196" i="2"/>
  <c r="CC196" i="2" s="1"/>
  <c r="D200" i="2"/>
  <c r="CD200" i="2" s="1"/>
  <c r="C200" i="2"/>
  <c r="CC200" i="2" s="1"/>
  <c r="D204" i="2"/>
  <c r="CD204" i="2" s="1"/>
  <c r="C204" i="2"/>
  <c r="CC204" i="2" s="1"/>
  <c r="A229" i="2"/>
  <c r="C188" i="2"/>
  <c r="CC188" i="2" s="1"/>
  <c r="D188" i="2"/>
  <c r="CD188" i="2" s="1"/>
  <c r="D190" i="2"/>
  <c r="CD190" i="2" s="1"/>
  <c r="C190" i="2"/>
  <c r="CC190" i="2" s="1"/>
  <c r="C197" i="2"/>
  <c r="CC197" i="2" s="1"/>
  <c r="D197" i="2"/>
  <c r="CD197" i="2" s="1"/>
  <c r="C201" i="2"/>
  <c r="CC201" i="2" s="1"/>
  <c r="D201" i="2"/>
  <c r="CD201" i="2" s="1"/>
  <c r="A235" i="4"/>
  <c r="E190" i="15"/>
  <c r="I190" i="15"/>
  <c r="K208" i="15"/>
  <c r="C194" i="2"/>
  <c r="CC194" i="2" s="1"/>
  <c r="D194" i="2"/>
  <c r="CD194" i="2" s="1"/>
  <c r="C198" i="2"/>
  <c r="CC198" i="2" s="1"/>
  <c r="D198" i="2"/>
  <c r="CD198" i="2" s="1"/>
  <c r="C202" i="2"/>
  <c r="CC202" i="2" s="1"/>
  <c r="D202" i="2"/>
  <c r="CD202" i="2" s="1"/>
  <c r="C206" i="2"/>
  <c r="CC206" i="2" s="1"/>
  <c r="D206" i="2"/>
  <c r="CD206" i="2" s="1"/>
  <c r="A225" i="2"/>
  <c r="A239" i="4"/>
  <c r="H187" i="15"/>
  <c r="H200" i="15"/>
  <c r="F208" i="15"/>
  <c r="J208" i="15"/>
  <c r="C187" i="2"/>
  <c r="CC187" i="2" s="1"/>
  <c r="D187" i="2"/>
  <c r="CD187" i="2" s="1"/>
  <c r="C189" i="2"/>
  <c r="CC189" i="2" s="1"/>
  <c r="D189" i="2"/>
  <c r="CD189" i="2" s="1"/>
  <c r="C191" i="2"/>
  <c r="CC191" i="2" s="1"/>
  <c r="D191" i="2"/>
  <c r="CD191" i="2" s="1"/>
  <c r="C195" i="2"/>
  <c r="CC195" i="2" s="1"/>
  <c r="D195" i="2"/>
  <c r="CD195" i="2" s="1"/>
  <c r="C199" i="2"/>
  <c r="CC199" i="2" s="1"/>
  <c r="D199" i="2"/>
  <c r="CD199" i="2" s="1"/>
  <c r="C203" i="2"/>
  <c r="CC203" i="2" s="1"/>
  <c r="D203" i="2"/>
  <c r="CD203" i="2" s="1"/>
  <c r="C208" i="2"/>
  <c r="CC208" i="2" s="1"/>
  <c r="D208" i="2"/>
  <c r="CD208" i="2" s="1"/>
  <c r="A227" i="2"/>
  <c r="A243" i="4"/>
  <c r="G187" i="15"/>
  <c r="K187" i="15"/>
  <c r="H195" i="15"/>
  <c r="J194" i="15"/>
  <c r="F199" i="15"/>
  <c r="G199" i="15"/>
  <c r="K199" i="15"/>
  <c r="K202" i="15"/>
  <c r="H202" i="15"/>
  <c r="F201" i="15"/>
  <c r="H197" i="15"/>
  <c r="K201" i="15"/>
  <c r="G206" i="15"/>
  <c r="K206" i="15"/>
  <c r="A223" i="2"/>
  <c r="T248" i="15"/>
  <c r="AF248" i="15"/>
  <c r="AB248" i="15"/>
  <c r="J5" i="8"/>
  <c r="I4" i="8"/>
  <c r="K191" i="15"/>
  <c r="K190" i="15"/>
  <c r="F191" i="15"/>
  <c r="J195" i="15"/>
  <c r="J197" i="15"/>
  <c r="E200" i="15"/>
  <c r="I200" i="15"/>
  <c r="G201" i="15"/>
  <c r="E203" i="15"/>
  <c r="G204" i="15"/>
  <c r="E206" i="15"/>
  <c r="I206" i="15"/>
  <c r="G208" i="15"/>
  <c r="A222" i="4"/>
  <c r="A226" i="4"/>
  <c r="A228" i="4"/>
  <c r="A232" i="4"/>
  <c r="A236" i="4"/>
  <c r="A240" i="4"/>
  <c r="A244" i="4"/>
  <c r="A234" i="2"/>
  <c r="A238" i="2"/>
  <c r="A242" i="2"/>
  <c r="A233" i="2"/>
  <c r="A237" i="2"/>
  <c r="A241" i="2"/>
  <c r="A246" i="2"/>
  <c r="F194" i="15"/>
  <c r="J188" i="15"/>
  <c r="G191" i="15"/>
  <c r="F195" i="15"/>
  <c r="F197" i="15"/>
  <c r="K197" i="15"/>
  <c r="H199" i="15"/>
  <c r="F200" i="15"/>
  <c r="J200" i="15"/>
  <c r="H201" i="15"/>
  <c r="G202" i="15"/>
  <c r="F203" i="15"/>
  <c r="H204" i="15"/>
  <c r="H208" i="15"/>
  <c r="K194" i="15"/>
  <c r="G190" i="15"/>
  <c r="G194" i="15"/>
  <c r="K195" i="15"/>
  <c r="F188" i="15"/>
  <c r="J191" i="15"/>
  <c r="H194" i="15"/>
  <c r="G195" i="15"/>
  <c r="G197" i="15"/>
  <c r="J199" i="15"/>
  <c r="G200" i="15"/>
  <c r="K200" i="15"/>
  <c r="J201" i="15"/>
  <c r="G203" i="15"/>
  <c r="E194" i="15"/>
  <c r="I194" i="15"/>
  <c r="E204" i="15"/>
  <c r="I204" i="15"/>
  <c r="H190" i="15"/>
  <c r="P190" i="15"/>
  <c r="E188" i="15"/>
  <c r="I188" i="15"/>
  <c r="E201" i="15"/>
  <c r="I201" i="15"/>
  <c r="E197" i="15"/>
  <c r="I197" i="15"/>
  <c r="E187" i="15"/>
  <c r="I187" i="15"/>
  <c r="E195" i="15"/>
  <c r="I195" i="15"/>
  <c r="K203" i="15"/>
  <c r="E196" i="15"/>
  <c r="I196" i="15"/>
  <c r="E198" i="15"/>
  <c r="I198" i="15"/>
  <c r="H191" i="15"/>
  <c r="E191" i="15"/>
  <c r="I191" i="15"/>
  <c r="I203" i="15"/>
  <c r="E208" i="15"/>
  <c r="I208" i="15"/>
  <c r="I199" i="15"/>
  <c r="E202" i="15"/>
  <c r="I202" i="15"/>
  <c r="N231" i="15"/>
  <c r="N249" i="15" s="1"/>
  <c r="AD231" i="15"/>
  <c r="AH231" i="15"/>
  <c r="AC231" i="15"/>
  <c r="AC249" i="15" s="1"/>
  <c r="AK231" i="15"/>
  <c r="AK249" i="15" s="1"/>
  <c r="E199" i="15"/>
  <c r="F252" i="15"/>
  <c r="G4" i="15"/>
  <c r="CH189" i="15" l="1"/>
  <c r="N17" i="14" s="1"/>
  <c r="Z17" i="14" s="1"/>
  <c r="CG36" i="4"/>
  <c r="BK40" i="4"/>
  <c r="AY40" i="15"/>
  <c r="BK23" i="4"/>
  <c r="AY23" i="15"/>
  <c r="CH23" i="15" s="1"/>
  <c r="BK51" i="4"/>
  <c r="AY51" i="15"/>
  <c r="CH51" i="15" s="1"/>
  <c r="BK36" i="4"/>
  <c r="AY36" i="15"/>
  <c r="CH31" i="15"/>
  <c r="BK31" i="4"/>
  <c r="AY31" i="15"/>
  <c r="BK35" i="4"/>
  <c r="AY35" i="15"/>
  <c r="BK39" i="4"/>
  <c r="AY39" i="15"/>
  <c r="BW44" i="4"/>
  <c r="BW44" i="15" s="1"/>
  <c r="BK44" i="15"/>
  <c r="BK42" i="4"/>
  <c r="AY42" i="15"/>
  <c r="CH42" i="15" s="1"/>
  <c r="AY24" i="15"/>
  <c r="BK24" i="4"/>
  <c r="AY32" i="4"/>
  <c r="CH36" i="15"/>
  <c r="CH35" i="15"/>
  <c r="BW46" i="4"/>
  <c r="BK46" i="15"/>
  <c r="BK189" i="15" s="1"/>
  <c r="BK38" i="4"/>
  <c r="AY38" i="15"/>
  <c r="AY190" i="15" s="1"/>
  <c r="AA113" i="4"/>
  <c r="BU217" i="4"/>
  <c r="U217" i="4"/>
  <c r="AV217" i="4"/>
  <c r="BJ217" i="4"/>
  <c r="BC217" i="2"/>
  <c r="BU189" i="2"/>
  <c r="CJ189" i="2" s="1"/>
  <c r="Z217" i="4"/>
  <c r="AK217" i="4"/>
  <c r="J217" i="2"/>
  <c r="E217" i="4"/>
  <c r="Q217" i="4"/>
  <c r="AD217" i="4"/>
  <c r="BQ217" i="4"/>
  <c r="I217" i="4"/>
  <c r="N217" i="4"/>
  <c r="X217" i="4"/>
  <c r="AM217" i="2"/>
  <c r="AH217" i="2"/>
  <c r="H217" i="2"/>
  <c r="BV217" i="2"/>
  <c r="F217" i="4"/>
  <c r="V217" i="4"/>
  <c r="AJ217" i="4"/>
  <c r="L217" i="4"/>
  <c r="W217" i="4"/>
  <c r="M217" i="4"/>
  <c r="BI189" i="15"/>
  <c r="BU39" i="2"/>
  <c r="BI39" i="15"/>
  <c r="CH38" i="15"/>
  <c r="AW190" i="15"/>
  <c r="T217" i="2"/>
  <c r="U217" i="2"/>
  <c r="O217" i="4"/>
  <c r="Y217" i="4"/>
  <c r="R217" i="4"/>
  <c r="K217" i="4"/>
  <c r="BU189" i="15"/>
  <c r="BU51" i="2"/>
  <c r="BI51" i="15"/>
  <c r="BU36" i="2"/>
  <c r="BI36" i="15"/>
  <c r="BU31" i="4"/>
  <c r="BI31" i="15"/>
  <c r="BI38" i="15"/>
  <c r="BU38" i="2"/>
  <c r="S217" i="4"/>
  <c r="G217" i="2"/>
  <c r="J217" i="4"/>
  <c r="T217" i="4"/>
  <c r="H217" i="4"/>
  <c r="BI35" i="15"/>
  <c r="BU35" i="2"/>
  <c r="AW44" i="4"/>
  <c r="AK44" i="15"/>
  <c r="CG44" i="15" s="1"/>
  <c r="Y32" i="2"/>
  <c r="AK24" i="2"/>
  <c r="AW52" i="4"/>
  <c r="G217" i="4"/>
  <c r="BU42" i="2"/>
  <c r="BI42" i="15"/>
  <c r="BI23" i="15"/>
  <c r="BU23" i="2"/>
  <c r="BI40" i="2"/>
  <c r="AW40" i="15"/>
  <c r="CH39" i="15"/>
  <c r="BU44" i="2"/>
  <c r="BU24" i="4"/>
  <c r="BI32" i="4"/>
  <c r="AC217" i="4"/>
  <c r="AL217" i="4"/>
  <c r="BO217" i="2"/>
  <c r="AI217" i="2"/>
  <c r="AP217" i="2"/>
  <c r="AG217" i="2"/>
  <c r="BX217" i="2"/>
  <c r="BB217" i="2"/>
  <c r="AU217" i="2"/>
  <c r="AV217" i="2"/>
  <c r="AO217" i="4"/>
  <c r="AP217" i="4"/>
  <c r="AI217" i="4"/>
  <c r="AW217" i="4"/>
  <c r="BN217" i="4"/>
  <c r="AG217" i="4"/>
  <c r="AA217" i="2"/>
  <c r="AY217" i="4"/>
  <c r="AR217" i="4"/>
  <c r="AF217" i="4"/>
  <c r="AT217" i="4"/>
  <c r="AM217" i="4"/>
  <c r="AS217" i="4"/>
  <c r="AY217" i="2"/>
  <c r="BA217" i="2"/>
  <c r="BK217" i="4"/>
  <c r="AE217" i="4"/>
  <c r="BL217" i="4"/>
  <c r="AH217" i="4"/>
  <c r="AA217" i="4"/>
  <c r="AE217" i="2"/>
  <c r="AO217" i="2"/>
  <c r="AL217" i="2"/>
  <c r="AD217" i="2"/>
  <c r="AU217" i="4"/>
  <c r="BA217" i="4"/>
  <c r="AB217" i="4"/>
  <c r="AZ217" i="4"/>
  <c r="AN217" i="4"/>
  <c r="AX217" i="4"/>
  <c r="AQ217" i="4"/>
  <c r="AW217" i="2"/>
  <c r="BI217" i="2"/>
  <c r="BE217" i="2"/>
  <c r="BT217" i="4"/>
  <c r="BG217" i="2"/>
  <c r="BI217" i="4"/>
  <c r="BG217" i="4"/>
  <c r="BM217" i="4"/>
  <c r="BR217" i="2"/>
  <c r="BK217" i="2"/>
  <c r="BL217" i="2"/>
  <c r="BU217" i="2"/>
  <c r="BJ217" i="2"/>
  <c r="BR217" i="4"/>
  <c r="BD217" i="4"/>
  <c r="BW217" i="4"/>
  <c r="BN217" i="2"/>
  <c r="BB217" i="4"/>
  <c r="BE217" i="4"/>
  <c r="BV217" i="4"/>
  <c r="BO217" i="4"/>
  <c r="BX217" i="4"/>
  <c r="BC217" i="4"/>
  <c r="BT217" i="2"/>
  <c r="BH217" i="2"/>
  <c r="BQ217" i="2"/>
  <c r="BS217" i="4"/>
  <c r="BT20" i="4"/>
  <c r="BT289" i="4"/>
  <c r="BW15" i="15"/>
  <c r="BX15" i="15"/>
  <c r="BX14" i="15"/>
  <c r="BW14" i="15"/>
  <c r="CE176" i="4"/>
  <c r="CE216" i="4"/>
  <c r="BV18" i="8"/>
  <c r="BW17" i="8"/>
  <c r="BN21" i="8"/>
  <c r="BM26" i="8"/>
  <c r="CF215" i="4"/>
  <c r="CH215" i="4"/>
  <c r="CJ218" i="4"/>
  <c r="CI215" i="4"/>
  <c r="CF218" i="4"/>
  <c r="CG215" i="4"/>
  <c r="CJ215" i="4"/>
  <c r="BP180" i="15"/>
  <c r="BP218" i="2"/>
  <c r="Q180" i="15"/>
  <c r="Q218" i="2"/>
  <c r="BS179" i="15"/>
  <c r="BS217" i="2"/>
  <c r="O180" i="15"/>
  <c r="O218" i="15" s="1"/>
  <c r="O218" i="2"/>
  <c r="AQ177" i="15"/>
  <c r="AQ215" i="15" s="1"/>
  <c r="AQ215" i="2"/>
  <c r="M179" i="15"/>
  <c r="M217" i="2"/>
  <c r="E179" i="15"/>
  <c r="E217" i="2"/>
  <c r="M178" i="15"/>
  <c r="M216" i="15" s="1"/>
  <c r="M216" i="2"/>
  <c r="M180" i="15"/>
  <c r="M218" i="15" s="1"/>
  <c r="M218" i="2"/>
  <c r="BP179" i="15"/>
  <c r="BP217" i="2"/>
  <c r="AQ180" i="15"/>
  <c r="AQ218" i="15" s="1"/>
  <c r="AQ218" i="2"/>
  <c r="AJ180" i="15"/>
  <c r="AJ218" i="2"/>
  <c r="AX179" i="15"/>
  <c r="AX217" i="2"/>
  <c r="AS179" i="15"/>
  <c r="AS217" i="2"/>
  <c r="V179" i="15"/>
  <c r="V217" i="2"/>
  <c r="BR177" i="15"/>
  <c r="BR215" i="15" s="1"/>
  <c r="BR215" i="2"/>
  <c r="E178" i="15"/>
  <c r="E216" i="15" s="1"/>
  <c r="E216" i="2"/>
  <c r="AN179" i="15"/>
  <c r="AN217" i="2"/>
  <c r="BW177" i="15"/>
  <c r="BW215" i="15" s="1"/>
  <c r="BW215" i="2"/>
  <c r="BN177" i="15"/>
  <c r="BN215" i="15" s="1"/>
  <c r="BN215" i="2"/>
  <c r="Z179" i="15"/>
  <c r="Z217" i="2"/>
  <c r="U178" i="15"/>
  <c r="U216" i="15" s="1"/>
  <c r="U216" i="2"/>
  <c r="AK180" i="15"/>
  <c r="AK218" i="2"/>
  <c r="AD180" i="15"/>
  <c r="AD218" i="15" s="1"/>
  <c r="AD218" i="2"/>
  <c r="AB179" i="15"/>
  <c r="AB217" i="2"/>
  <c r="AK179" i="15"/>
  <c r="AK217" i="2"/>
  <c r="I179" i="15"/>
  <c r="I217" i="2"/>
  <c r="W178" i="15"/>
  <c r="W216" i="15" s="1"/>
  <c r="W216" i="2"/>
  <c r="P180" i="15"/>
  <c r="P218" i="15" s="1"/>
  <c r="P218" i="2"/>
  <c r="I180" i="15"/>
  <c r="I218" i="15" s="1"/>
  <c r="I218" i="2"/>
  <c r="BF177" i="15"/>
  <c r="BF215" i="15" s="1"/>
  <c r="BF215" i="2"/>
  <c r="BQ177" i="15"/>
  <c r="BQ215" i="15" s="1"/>
  <c r="BQ215" i="2"/>
  <c r="AT179" i="15"/>
  <c r="AT217" i="2"/>
  <c r="Y177" i="15"/>
  <c r="Y215" i="15" s="1"/>
  <c r="Y215" i="2"/>
  <c r="BU177" i="15"/>
  <c r="BU215" i="15" s="1"/>
  <c r="BU215" i="2"/>
  <c r="AO177" i="15"/>
  <c r="AO215" i="15" s="1"/>
  <c r="AO215" i="2"/>
  <c r="R178" i="15"/>
  <c r="R216" i="15" s="1"/>
  <c r="R216" i="2"/>
  <c r="CI218" i="4"/>
  <c r="CH218" i="4"/>
  <c r="CG218" i="4"/>
  <c r="BP177" i="15"/>
  <c r="BP215" i="15" s="1"/>
  <c r="BP215" i="2"/>
  <c r="AU177" i="15"/>
  <c r="AU215" i="15" s="1"/>
  <c r="AU215" i="2"/>
  <c r="AZ179" i="15"/>
  <c r="AZ217" i="2"/>
  <c r="BH177" i="15"/>
  <c r="BH215" i="15" s="1"/>
  <c r="BH215" i="2"/>
  <c r="J180" i="15"/>
  <c r="J218" i="2"/>
  <c r="F179" i="15"/>
  <c r="F217" i="2"/>
  <c r="BC177" i="15"/>
  <c r="BC215" i="15" s="1"/>
  <c r="BC215" i="2"/>
  <c r="AF179" i="15"/>
  <c r="AF217" i="2"/>
  <c r="AI177" i="15"/>
  <c r="AI215" i="15" s="1"/>
  <c r="AI215" i="2"/>
  <c r="Z177" i="15"/>
  <c r="Z215" i="15" s="1"/>
  <c r="Z215" i="2"/>
  <c r="V178" i="15"/>
  <c r="V216" i="15" s="1"/>
  <c r="V216" i="2"/>
  <c r="BS180" i="15"/>
  <c r="BS218" i="2"/>
  <c r="AV177" i="15"/>
  <c r="AV215" i="15" s="1"/>
  <c r="AV215" i="2"/>
  <c r="F180" i="15"/>
  <c r="F218" i="15" s="1"/>
  <c r="F218" i="2"/>
  <c r="AC180" i="15"/>
  <c r="AC218" i="15" s="1"/>
  <c r="AC218" i="2"/>
  <c r="AZ180" i="15"/>
  <c r="AZ218" i="2"/>
  <c r="AE180" i="15"/>
  <c r="AE218" i="15" s="1"/>
  <c r="AE218" i="2"/>
  <c r="BF179" i="15"/>
  <c r="BF217" i="2"/>
  <c r="AJ179" i="15"/>
  <c r="AJ217" i="2"/>
  <c r="Q179" i="15"/>
  <c r="Q217" i="2"/>
  <c r="X178" i="15"/>
  <c r="X216" i="15" s="1"/>
  <c r="X216" i="2"/>
  <c r="Y178" i="15"/>
  <c r="Y216" i="15" s="1"/>
  <c r="Y216" i="2"/>
  <c r="H180" i="15"/>
  <c r="H218" i="15" s="1"/>
  <c r="H218" i="2"/>
  <c r="BM180" i="15"/>
  <c r="BM218" i="15" s="1"/>
  <c r="BM218" i="2"/>
  <c r="BF180" i="15"/>
  <c r="BF218" i="2"/>
  <c r="BD179" i="15"/>
  <c r="BD217" i="2"/>
  <c r="BM179" i="15"/>
  <c r="BM217" i="2"/>
  <c r="AX177" i="15"/>
  <c r="AX215" i="15" s="1"/>
  <c r="AX215" i="2"/>
  <c r="AI180" i="15"/>
  <c r="AI218" i="2"/>
  <c r="BT177" i="15"/>
  <c r="BT215" i="15" s="1"/>
  <c r="BT215" i="2"/>
  <c r="H177" i="15"/>
  <c r="H215" i="15" s="1"/>
  <c r="H215" i="2"/>
  <c r="CE215" i="2" s="1"/>
  <c r="BA180" i="15"/>
  <c r="BA218" i="15" s="1"/>
  <c r="BA218" i="2"/>
  <c r="AQ179" i="15"/>
  <c r="AQ217" i="2"/>
  <c r="AR179" i="15"/>
  <c r="AR217" i="2"/>
  <c r="G178" i="15"/>
  <c r="G216" i="15" s="1"/>
  <c r="G216" i="2"/>
  <c r="AF180" i="15"/>
  <c r="AF218" i="15" s="1"/>
  <c r="AF218" i="2"/>
  <c r="Y180" i="15"/>
  <c r="Y218" i="15" s="1"/>
  <c r="Y218" i="2"/>
  <c r="O179" i="15"/>
  <c r="O217" i="2"/>
  <c r="P179" i="15"/>
  <c r="P217" i="2"/>
  <c r="Y179" i="15"/>
  <c r="Y217" i="2"/>
  <c r="J178" i="15"/>
  <c r="J216" i="15" s="1"/>
  <c r="J216" i="2"/>
  <c r="W180" i="15"/>
  <c r="W218" i="15" s="1"/>
  <c r="W218" i="2"/>
  <c r="AG177" i="15"/>
  <c r="AG215" i="15" s="1"/>
  <c r="AG215" i="2"/>
  <c r="CE218" i="4"/>
  <c r="V180" i="15"/>
  <c r="V218" i="15" s="1"/>
  <c r="V218" i="2"/>
  <c r="AL180" i="15"/>
  <c r="AL218" i="2"/>
  <c r="BV180" i="15"/>
  <c r="BV218" i="2"/>
  <c r="E180" i="15"/>
  <c r="E218" i="15" s="1"/>
  <c r="E218" i="2"/>
  <c r="AO180" i="15"/>
  <c r="AO218" i="15" s="1"/>
  <c r="AO218" i="2"/>
  <c r="S178" i="15"/>
  <c r="S216" i="15" s="1"/>
  <c r="S216" i="2"/>
  <c r="AW177" i="15"/>
  <c r="AW215" i="15" s="1"/>
  <c r="AW215" i="2"/>
  <c r="BM177" i="15"/>
  <c r="BM215" i="15" s="1"/>
  <c r="BM215" i="2"/>
  <c r="L183" i="4"/>
  <c r="L215" i="4"/>
  <c r="CE215" i="4" s="1"/>
  <c r="CC183" i="2"/>
  <c r="AJ177" i="15"/>
  <c r="AJ215" i="15" s="1"/>
  <c r="AJ215" i="2"/>
  <c r="S179" i="15"/>
  <c r="S217" i="2"/>
  <c r="O178" i="15"/>
  <c r="O216" i="15" s="1"/>
  <c r="O216" i="2"/>
  <c r="Q178" i="15"/>
  <c r="Q216" i="15" s="1"/>
  <c r="Q216" i="2"/>
  <c r="Z180" i="15"/>
  <c r="Z218" i="15" s="1"/>
  <c r="Z218" i="2"/>
  <c r="W179" i="15"/>
  <c r="W217" i="2"/>
  <c r="X179" i="15"/>
  <c r="X217" i="2"/>
  <c r="N179" i="15"/>
  <c r="N217" i="2"/>
  <c r="T178" i="15"/>
  <c r="T216" i="15" s="1"/>
  <c r="T216" i="2"/>
  <c r="K178" i="15"/>
  <c r="K216" i="15" s="1"/>
  <c r="K216" i="2"/>
  <c r="S180" i="15"/>
  <c r="S218" i="15" s="1"/>
  <c r="S218" i="2"/>
  <c r="AN177" i="15"/>
  <c r="AN215" i="15" s="1"/>
  <c r="AN215" i="2"/>
  <c r="AB180" i="15"/>
  <c r="AB218" i="15" s="1"/>
  <c r="AB218" i="2"/>
  <c r="U180" i="15"/>
  <c r="U218" i="15" s="1"/>
  <c r="U218" i="2"/>
  <c r="K179" i="15"/>
  <c r="K217" i="2"/>
  <c r="BW179" i="15"/>
  <c r="BW217" i="2"/>
  <c r="AM177" i="15"/>
  <c r="AM215" i="15" s="1"/>
  <c r="AM215" i="2"/>
  <c r="K180" i="15"/>
  <c r="K218" i="15" s="1"/>
  <c r="K218" i="2"/>
  <c r="AT177" i="15"/>
  <c r="AT215" i="15" s="1"/>
  <c r="AT215" i="2"/>
  <c r="BE180" i="15"/>
  <c r="BE218" i="2"/>
  <c r="L179" i="15"/>
  <c r="L217" i="2"/>
  <c r="BI177" i="15"/>
  <c r="BI215" i="15" s="1"/>
  <c r="BI215" i="2"/>
  <c r="R179" i="15"/>
  <c r="R217" i="2"/>
  <c r="AC177" i="15"/>
  <c r="AC215" i="15" s="1"/>
  <c r="AC215" i="2"/>
  <c r="G180" i="15"/>
  <c r="G218" i="15" s="1"/>
  <c r="G218" i="2"/>
  <c r="Q218" i="15"/>
  <c r="AN180" i="15"/>
  <c r="AB177" i="15"/>
  <c r="AB215" i="15" s="1"/>
  <c r="AY179" i="15"/>
  <c r="AY180" i="15"/>
  <c r="AM179" i="15"/>
  <c r="AA177" i="15"/>
  <c r="AA215" i="15" s="1"/>
  <c r="BW180" i="15"/>
  <c r="AM180" i="15"/>
  <c r="AL179" i="15"/>
  <c r="AL217" i="15" s="1"/>
  <c r="BV177" i="15"/>
  <c r="BV215" i="15" s="1"/>
  <c r="BI179" i="15"/>
  <c r="AI179" i="15"/>
  <c r="AI217" i="15" s="1"/>
  <c r="AG180" i="15"/>
  <c r="AG179" i="15"/>
  <c r="BN179" i="15"/>
  <c r="AD179" i="15"/>
  <c r="BK177" i="15"/>
  <c r="BK215" i="15" s="1"/>
  <c r="AF177" i="15"/>
  <c r="AF215" i="15" s="1"/>
  <c r="AW179" i="15"/>
  <c r="AH180" i="15"/>
  <c r="AO179" i="15"/>
  <c r="BB180" i="15"/>
  <c r="BB218" i="15" s="1"/>
  <c r="AP179" i="15"/>
  <c r="BT179" i="15"/>
  <c r="BD177" i="15"/>
  <c r="BD215" i="15" s="1"/>
  <c r="BQ180" i="15"/>
  <c r="BG179" i="15"/>
  <c r="BQ179" i="15"/>
  <c r="BG180" i="15"/>
  <c r="AR180" i="15"/>
  <c r="BR179" i="15"/>
  <c r="BK180" i="15"/>
  <c r="AR177" i="15"/>
  <c r="AR215" i="15" s="1"/>
  <c r="BR180" i="15"/>
  <c r="BB177" i="15"/>
  <c r="BB215" i="15" s="1"/>
  <c r="AY177" i="15"/>
  <c r="AY215" i="15" s="1"/>
  <c r="AS180" i="15"/>
  <c r="AP180" i="15"/>
  <c r="AP218" i="15" s="1"/>
  <c r="BH179" i="15"/>
  <c r="S183" i="4"/>
  <c r="G183" i="4"/>
  <c r="AT180" i="15"/>
  <c r="BL180" i="15"/>
  <c r="L178" i="15"/>
  <c r="L216" i="15" s="1"/>
  <c r="L180" i="15"/>
  <c r="L218" i="15" s="1"/>
  <c r="BX180" i="15"/>
  <c r="G179" i="15"/>
  <c r="CC183" i="4"/>
  <c r="T180" i="15"/>
  <c r="T218" i="15" s="1"/>
  <c r="AL177" i="15"/>
  <c r="AL215" i="15" s="1"/>
  <c r="H179" i="15"/>
  <c r="AE177" i="15"/>
  <c r="AE215" i="15" s="1"/>
  <c r="X177" i="15"/>
  <c r="X215" i="15" s="1"/>
  <c r="BO179" i="15"/>
  <c r="BV179" i="15"/>
  <c r="BD180" i="15"/>
  <c r="AW180" i="15"/>
  <c r="AA180" i="15"/>
  <c r="I178" i="15"/>
  <c r="I216" i="15" s="1"/>
  <c r="AA179" i="15"/>
  <c r="BJ177" i="15"/>
  <c r="BJ215" i="15" s="1"/>
  <c r="AV180" i="15"/>
  <c r="AS177" i="15"/>
  <c r="AS215" i="15" s="1"/>
  <c r="BA179" i="15"/>
  <c r="AX180" i="15"/>
  <c r="AU179" i="15"/>
  <c r="U179" i="15"/>
  <c r="BO177" i="15"/>
  <c r="BO215" i="15" s="1"/>
  <c r="AE179" i="15"/>
  <c r="N178" i="15"/>
  <c r="N216" i="15" s="1"/>
  <c r="J249" i="15"/>
  <c r="T179" i="15"/>
  <c r="BO180" i="15"/>
  <c r="AZ177" i="15"/>
  <c r="BI180" i="15"/>
  <c r="BT180" i="15"/>
  <c r="BC179" i="15"/>
  <c r="AH179" i="15"/>
  <c r="AH177" i="15"/>
  <c r="AH215" i="15" s="1"/>
  <c r="BH180" i="15"/>
  <c r="BB179" i="15"/>
  <c r="BE179" i="15"/>
  <c r="J177" i="15"/>
  <c r="J215" i="15" s="1"/>
  <c r="BE177" i="15"/>
  <c r="BE215" i="15" s="1"/>
  <c r="BC180" i="15"/>
  <c r="AC179" i="15"/>
  <c r="BL177" i="15"/>
  <c r="BL215" i="15" s="1"/>
  <c r="X180" i="15"/>
  <c r="X218" i="15" s="1"/>
  <c r="BG177" i="15"/>
  <c r="BG215" i="15" s="1"/>
  <c r="BJ180" i="15"/>
  <c r="P178" i="15"/>
  <c r="P216" i="15" s="1"/>
  <c r="AD177" i="15"/>
  <c r="AD215" i="15" s="1"/>
  <c r="BU180" i="15"/>
  <c r="BN180" i="15"/>
  <c r="BK179" i="15"/>
  <c r="BL179" i="15"/>
  <c r="BU179" i="15"/>
  <c r="J179" i="15"/>
  <c r="H178" i="15"/>
  <c r="H216" i="15" s="1"/>
  <c r="N180" i="15"/>
  <c r="N218" i="15" s="1"/>
  <c r="BX179" i="15"/>
  <c r="BS177" i="15"/>
  <c r="BS215" i="15" s="1"/>
  <c r="R180" i="15"/>
  <c r="R218" i="15" s="1"/>
  <c r="AU180" i="15"/>
  <c r="AP177" i="15"/>
  <c r="AP215" i="15" s="1"/>
  <c r="AK177" i="15"/>
  <c r="AK215" i="15" s="1"/>
  <c r="BJ179" i="15"/>
  <c r="CD183" i="2"/>
  <c r="CD183" i="4"/>
  <c r="F178" i="15"/>
  <c r="F216" i="15" s="1"/>
  <c r="CI177" i="4"/>
  <c r="AV179" i="15"/>
  <c r="BA177" i="15"/>
  <c r="BA215" i="15" s="1"/>
  <c r="N183" i="4"/>
  <c r="CJ180" i="4"/>
  <c r="CE178" i="4"/>
  <c r="CI180" i="4"/>
  <c r="CH180" i="4"/>
  <c r="CH177" i="4"/>
  <c r="CE179" i="4"/>
  <c r="CG179" i="4"/>
  <c r="CG180" i="4"/>
  <c r="CF180" i="4"/>
  <c r="CG177" i="4"/>
  <c r="CI179" i="4"/>
  <c r="CF179" i="4"/>
  <c r="CH179" i="4"/>
  <c r="CJ179" i="4"/>
  <c r="CE180" i="4"/>
  <c r="CJ177" i="4"/>
  <c r="F174" i="15"/>
  <c r="F176" i="15"/>
  <c r="O177" i="15"/>
  <c r="O215" i="15" s="1"/>
  <c r="O183" i="2"/>
  <c r="V177" i="15"/>
  <c r="V215" i="15" s="1"/>
  <c r="V183" i="2"/>
  <c r="N177" i="15"/>
  <c r="N215" i="15" s="1"/>
  <c r="E177" i="15"/>
  <c r="E215" i="15" s="1"/>
  <c r="E183" i="2"/>
  <c r="M177" i="15"/>
  <c r="M215" i="15" s="1"/>
  <c r="M183" i="2"/>
  <c r="CJ179" i="2"/>
  <c r="CI177" i="2"/>
  <c r="CH177" i="2"/>
  <c r="CG179" i="2"/>
  <c r="CF179" i="2"/>
  <c r="R183" i="4"/>
  <c r="P177" i="15"/>
  <c r="P215" i="15" s="1"/>
  <c r="P183" i="2"/>
  <c r="W177" i="15"/>
  <c r="W215" i="15" s="1"/>
  <c r="W183" i="2"/>
  <c r="S177" i="15"/>
  <c r="S215" i="15" s="1"/>
  <c r="S183" i="2"/>
  <c r="U177" i="15"/>
  <c r="U215" i="15" s="1"/>
  <c r="U183" i="2"/>
  <c r="Q177" i="15"/>
  <c r="Q215" i="15" s="1"/>
  <c r="Q183" i="2"/>
  <c r="CJ180" i="2"/>
  <c r="CH179" i="2"/>
  <c r="CH180" i="2"/>
  <c r="CF180" i="2"/>
  <c r="CE179" i="2"/>
  <c r="O183" i="4"/>
  <c r="H183" i="4"/>
  <c r="H7" i="10"/>
  <c r="I176" i="15"/>
  <c r="K174" i="15"/>
  <c r="K176" i="15"/>
  <c r="F177" i="15"/>
  <c r="F215" i="15" s="1"/>
  <c r="F183" i="2"/>
  <c r="K177" i="15"/>
  <c r="K215" i="15" s="1"/>
  <c r="K183" i="2"/>
  <c r="G177" i="15"/>
  <c r="G215" i="15" s="1"/>
  <c r="G183" i="2"/>
  <c r="BX177" i="15"/>
  <c r="CJ177" i="2"/>
  <c r="CI179" i="2"/>
  <c r="CG180" i="2"/>
  <c r="CF177" i="2"/>
  <c r="CE180" i="2"/>
  <c r="CE178" i="2"/>
  <c r="E183" i="4"/>
  <c r="F183" i="4"/>
  <c r="W183" i="4"/>
  <c r="P183" i="4"/>
  <c r="I183" i="4"/>
  <c r="K183" i="4"/>
  <c r="J183" i="4"/>
  <c r="Q183" i="4"/>
  <c r="CF177" i="4"/>
  <c r="F7" i="10"/>
  <c r="G176" i="15"/>
  <c r="T177" i="15"/>
  <c r="T215" i="15" s="1"/>
  <c r="T183" i="2"/>
  <c r="R177" i="15"/>
  <c r="R215" i="15" s="1"/>
  <c r="R183" i="2"/>
  <c r="L177" i="15"/>
  <c r="L215" i="15" s="1"/>
  <c r="L183" i="2"/>
  <c r="I177" i="15"/>
  <c r="I215" i="15" s="1"/>
  <c r="I183" i="2"/>
  <c r="CI180" i="2"/>
  <c r="CG177" i="2"/>
  <c r="CE177" i="2"/>
  <c r="V183" i="4"/>
  <c r="U183" i="4"/>
  <c r="T183" i="4"/>
  <c r="M183" i="4"/>
  <c r="CE177" i="4"/>
  <c r="CJ207" i="2"/>
  <c r="CJ196" i="2"/>
  <c r="CI205" i="2"/>
  <c r="CI207" i="2"/>
  <c r="CI190" i="2"/>
  <c r="CI188" i="2"/>
  <c r="CJ188" i="2"/>
  <c r="CI196" i="2"/>
  <c r="CJ205" i="2"/>
  <c r="CI189" i="2"/>
  <c r="BU16" i="15"/>
  <c r="BU19" i="4"/>
  <c r="BW193" i="2"/>
  <c r="BT193" i="2"/>
  <c r="BA193" i="2"/>
  <c r="BN193" i="2"/>
  <c r="BJ193" i="2"/>
  <c r="BF193" i="2"/>
  <c r="BW11" i="15"/>
  <c r="BT45" i="4"/>
  <c r="BT19" i="15"/>
  <c r="BT20" i="15" s="1"/>
  <c r="BQ266" i="4"/>
  <c r="BQ264" i="4" s="1"/>
  <c r="BR265" i="4"/>
  <c r="BX193" i="2"/>
  <c r="BS193" i="2"/>
  <c r="BQ193" i="2"/>
  <c r="BM193" i="2"/>
  <c r="BE193" i="2"/>
  <c r="BR188" i="15"/>
  <c r="BR193" i="15" s="1"/>
  <c r="BU18" i="15"/>
  <c r="BB193" i="2"/>
  <c r="BV13" i="15"/>
  <c r="BU17" i="15"/>
  <c r="BV193" i="2"/>
  <c r="BP193" i="2"/>
  <c r="BL193" i="2"/>
  <c r="BH193" i="2"/>
  <c r="BD193" i="2"/>
  <c r="BR53" i="4"/>
  <c r="BR52" i="15"/>
  <c r="BS268" i="2"/>
  <c r="BR264" i="2"/>
  <c r="BS52" i="4"/>
  <c r="BS45" i="15"/>
  <c r="BP264" i="4"/>
  <c r="BR193" i="2"/>
  <c r="BO193" i="2"/>
  <c r="BK193" i="2"/>
  <c r="BG193" i="2"/>
  <c r="BC193" i="2"/>
  <c r="CD174" i="4"/>
  <c r="CD174" i="2"/>
  <c r="CE32" i="4"/>
  <c r="CH188" i="2"/>
  <c r="CH207" i="2"/>
  <c r="CH205" i="2"/>
  <c r="CE207" i="2"/>
  <c r="CG205" i="2"/>
  <c r="CE32" i="2"/>
  <c r="CF207" i="2"/>
  <c r="CG207" i="2"/>
  <c r="CH190" i="2"/>
  <c r="CH187" i="2"/>
  <c r="CE205" i="2"/>
  <c r="CF205" i="2"/>
  <c r="CH196" i="2"/>
  <c r="CH189" i="2"/>
  <c r="E174" i="15"/>
  <c r="AC189" i="15"/>
  <c r="AH249" i="15"/>
  <c r="Q189" i="15"/>
  <c r="AF84" i="15"/>
  <c r="AL249" i="15"/>
  <c r="K249" i="15"/>
  <c r="AF108" i="15"/>
  <c r="AE249" i="15"/>
  <c r="AD249" i="15"/>
  <c r="O249" i="15"/>
  <c r="AG133" i="2"/>
  <c r="AG132" i="2"/>
  <c r="AS132" i="2" s="1"/>
  <c r="AG103" i="2"/>
  <c r="AG102" i="2"/>
  <c r="AG159" i="2"/>
  <c r="AG131" i="2"/>
  <c r="AG128" i="2"/>
  <c r="AS128" i="2" s="1"/>
  <c r="AG137" i="2"/>
  <c r="AS137" i="2" s="1"/>
  <c r="AG136" i="2"/>
  <c r="AS136" i="2" s="1"/>
  <c r="AG135" i="2"/>
  <c r="AS135" i="2" s="1"/>
  <c r="AG134" i="2"/>
  <c r="AS134" i="2" s="1"/>
  <c r="AG109" i="2"/>
  <c r="AG108" i="2"/>
  <c r="AG83" i="2"/>
  <c r="AS83" i="2" s="1"/>
  <c r="AG79" i="2"/>
  <c r="AS79" i="2" s="1"/>
  <c r="AG78" i="2"/>
  <c r="AS78" i="2" s="1"/>
  <c r="AG101" i="2"/>
  <c r="AG95" i="2"/>
  <c r="AG126" i="2"/>
  <c r="AS126" i="2" s="1"/>
  <c r="AG125" i="2"/>
  <c r="AG107" i="2"/>
  <c r="AG82" i="2"/>
  <c r="AS82" i="2" s="1"/>
  <c r="AG77" i="2"/>
  <c r="AS77" i="2" s="1"/>
  <c r="AG121" i="2"/>
  <c r="AG81" i="2"/>
  <c r="AS81" i="2" s="1"/>
  <c r="AG94" i="2"/>
  <c r="AG138" i="2"/>
  <c r="AS138" i="2" s="1"/>
  <c r="AG111" i="2"/>
  <c r="AG110" i="2"/>
  <c r="AG80" i="2"/>
  <c r="AS80" i="2" s="1"/>
  <c r="AG122" i="2"/>
  <c r="AG112" i="2"/>
  <c r="AG105" i="2"/>
  <c r="AG104" i="2"/>
  <c r="AG98" i="2"/>
  <c r="AG76" i="2"/>
  <c r="AS76" i="2" s="1"/>
  <c r="AG73" i="2"/>
  <c r="AS73" i="2" s="1"/>
  <c r="AG72" i="2"/>
  <c r="AS72" i="2" s="1"/>
  <c r="AG70" i="2"/>
  <c r="AG69" i="2"/>
  <c r="AS69" i="2" s="1"/>
  <c r="AG68" i="2"/>
  <c r="AS68" i="2" s="1"/>
  <c r="AG84" i="2"/>
  <c r="AS84" i="2" s="1"/>
  <c r="AG59" i="2"/>
  <c r="AG99" i="4"/>
  <c r="AF72" i="15"/>
  <c r="AF113" i="2"/>
  <c r="AF111" i="15"/>
  <c r="AG113" i="4"/>
  <c r="AH103" i="4"/>
  <c r="AH102" i="4"/>
  <c r="AH159" i="4"/>
  <c r="AH131" i="4"/>
  <c r="AH128" i="4"/>
  <c r="AH127" i="4"/>
  <c r="AH101" i="4"/>
  <c r="AH95" i="4"/>
  <c r="AH138" i="4"/>
  <c r="AH126" i="4"/>
  <c r="AH125" i="4"/>
  <c r="AH107" i="4"/>
  <c r="AH82" i="4"/>
  <c r="AH77" i="4"/>
  <c r="AH137" i="4"/>
  <c r="AH136" i="4"/>
  <c r="AH135" i="4"/>
  <c r="AH134" i="4"/>
  <c r="AH105" i="4"/>
  <c r="AH104" i="4"/>
  <c r="AH98" i="4"/>
  <c r="AH81" i="4"/>
  <c r="AH76" i="4"/>
  <c r="AH73" i="4"/>
  <c r="AH72" i="4"/>
  <c r="AH71" i="4"/>
  <c r="AH70" i="4"/>
  <c r="AH69" i="4"/>
  <c r="AH68" i="4"/>
  <c r="AH133" i="4"/>
  <c r="AH84" i="4"/>
  <c r="AH59" i="4"/>
  <c r="AH121" i="4"/>
  <c r="AH83" i="4"/>
  <c r="AH94" i="4"/>
  <c r="AH132" i="4"/>
  <c r="AH111" i="4"/>
  <c r="AH110" i="4"/>
  <c r="AH80" i="4"/>
  <c r="AH122" i="4"/>
  <c r="AH109" i="4"/>
  <c r="AH108" i="4"/>
  <c r="AH79" i="4"/>
  <c r="AH112" i="4"/>
  <c r="AH78" i="4"/>
  <c r="AG85" i="4"/>
  <c r="AF99" i="2"/>
  <c r="AO193" i="2"/>
  <c r="AX193" i="2"/>
  <c r="AF85" i="2"/>
  <c r="AF79" i="15"/>
  <c r="AS193" i="2"/>
  <c r="AQ193" i="2"/>
  <c r="AR193" i="2"/>
  <c r="AP193" i="2"/>
  <c r="AU193" i="2"/>
  <c r="AV193" i="2"/>
  <c r="AF80" i="15"/>
  <c r="AT193" i="2"/>
  <c r="AY193" i="2"/>
  <c r="AZ193" i="2"/>
  <c r="G249" i="15"/>
  <c r="J7" i="10"/>
  <c r="Y44" i="15"/>
  <c r="T157" i="2"/>
  <c r="T158" i="2" s="1"/>
  <c r="T140" i="2"/>
  <c r="T123" i="2"/>
  <c r="T96" i="2"/>
  <c r="T74" i="2"/>
  <c r="T52" i="2"/>
  <c r="T53" i="2" s="1"/>
  <c r="T157" i="4"/>
  <c r="T158" i="4" s="1"/>
  <c r="T140" i="4"/>
  <c r="T74" i="4"/>
  <c r="D7" i="10"/>
  <c r="E7" i="10"/>
  <c r="V157" i="2"/>
  <c r="V158" i="2" s="1"/>
  <c r="V140" i="4"/>
  <c r="V96" i="4"/>
  <c r="V85" i="4"/>
  <c r="U140" i="2"/>
  <c r="U96" i="2"/>
  <c r="U85" i="2"/>
  <c r="U99" i="4"/>
  <c r="U99" i="2"/>
  <c r="U52" i="2"/>
  <c r="U53" i="2" s="1"/>
  <c r="U123" i="4"/>
  <c r="U113" i="4"/>
  <c r="U74" i="4"/>
  <c r="U32" i="4"/>
  <c r="U52" i="4" s="1"/>
  <c r="U53" i="4" s="1"/>
  <c r="U123" i="2"/>
  <c r="U113" i="2"/>
  <c r="U74" i="2"/>
  <c r="U157" i="4"/>
  <c r="U158" i="4" s="1"/>
  <c r="T52" i="4"/>
  <c r="T53" i="4" s="1"/>
  <c r="W140" i="2"/>
  <c r="W113" i="2"/>
  <c r="W123" i="4"/>
  <c r="V140" i="2"/>
  <c r="V96" i="2"/>
  <c r="V85" i="2"/>
  <c r="V99" i="4"/>
  <c r="V99" i="2"/>
  <c r="V52" i="2"/>
  <c r="V53" i="2" s="1"/>
  <c r="V123" i="4"/>
  <c r="V113" i="4"/>
  <c r="V74" i="4"/>
  <c r="V32" i="4"/>
  <c r="V52" i="4" s="1"/>
  <c r="V53" i="4" s="1"/>
  <c r="V123" i="2"/>
  <c r="V113" i="2"/>
  <c r="V74" i="2"/>
  <c r="V157" i="4"/>
  <c r="V158" i="4" s="1"/>
  <c r="W85" i="2"/>
  <c r="W99" i="4"/>
  <c r="W96" i="4"/>
  <c r="W157" i="2"/>
  <c r="W158" i="2" s="1"/>
  <c r="W96" i="2"/>
  <c r="W52" i="2"/>
  <c r="W53" i="2" s="1"/>
  <c r="W74" i="4"/>
  <c r="W32" i="4"/>
  <c r="W52" i="4" s="1"/>
  <c r="W53" i="4" s="1"/>
  <c r="W123" i="2"/>
  <c r="W74" i="2"/>
  <c r="W157" i="4"/>
  <c r="W158" i="4" s="1"/>
  <c r="W140" i="4"/>
  <c r="W113" i="4"/>
  <c r="W85" i="4"/>
  <c r="U157" i="2"/>
  <c r="U158" i="2" s="1"/>
  <c r="U140" i="4"/>
  <c r="U96" i="4"/>
  <c r="U85" i="4"/>
  <c r="R113" i="4"/>
  <c r="Q44" i="15"/>
  <c r="S157" i="4"/>
  <c r="S158" i="4" s="1"/>
  <c r="R140" i="4"/>
  <c r="R74" i="4"/>
  <c r="S113" i="4"/>
  <c r="S140" i="4"/>
  <c r="R99" i="4"/>
  <c r="S74" i="4"/>
  <c r="AF249" i="15"/>
  <c r="S85" i="2"/>
  <c r="R96" i="4"/>
  <c r="R85" i="4"/>
  <c r="S99" i="4"/>
  <c r="R123" i="4"/>
  <c r="R32" i="4"/>
  <c r="R52" i="4" s="1"/>
  <c r="R53" i="4" s="1"/>
  <c r="R157" i="4"/>
  <c r="R158" i="4" s="1"/>
  <c r="S96" i="4"/>
  <c r="S85" i="4"/>
  <c r="S123" i="4"/>
  <c r="S32" i="4"/>
  <c r="S52" i="4" s="1"/>
  <c r="S53" i="4" s="1"/>
  <c r="S140" i="2"/>
  <c r="R85" i="2"/>
  <c r="R123" i="2"/>
  <c r="R74" i="2"/>
  <c r="R99" i="2"/>
  <c r="S123" i="2"/>
  <c r="R113" i="2"/>
  <c r="S74" i="2"/>
  <c r="R96" i="2"/>
  <c r="S99" i="2"/>
  <c r="R52" i="2"/>
  <c r="R53" i="2" s="1"/>
  <c r="S113" i="2"/>
  <c r="R157" i="2"/>
  <c r="R158" i="2" s="1"/>
  <c r="R140" i="2"/>
  <c r="S96" i="2"/>
  <c r="S52" i="2"/>
  <c r="S53" i="2" s="1"/>
  <c r="S157" i="2"/>
  <c r="S158" i="2" s="1"/>
  <c r="S44" i="15"/>
  <c r="AB44" i="15"/>
  <c r="W44" i="15"/>
  <c r="AA44" i="15"/>
  <c r="F249" i="15"/>
  <c r="X99" i="4"/>
  <c r="U44" i="15"/>
  <c r="E249" i="15"/>
  <c r="X99" i="2"/>
  <c r="G167" i="15"/>
  <c r="X113" i="4"/>
  <c r="Q140" i="4"/>
  <c r="X140" i="4"/>
  <c r="Q99" i="4"/>
  <c r="X44" i="15"/>
  <c r="Q52" i="2"/>
  <c r="O190" i="15"/>
  <c r="Q123" i="2"/>
  <c r="X113" i="2"/>
  <c r="Q74" i="2"/>
  <c r="Q85" i="2"/>
  <c r="Q157" i="2"/>
  <c r="Q99" i="2"/>
  <c r="Q113" i="2"/>
  <c r="Q140" i="2"/>
  <c r="Q96" i="2"/>
  <c r="I167" i="2"/>
  <c r="K5" i="8"/>
  <c r="K4" i="8" s="1"/>
  <c r="AM46" i="15"/>
  <c r="AM189" i="15" s="1"/>
  <c r="AA46" i="15"/>
  <c r="AA189" i="15" s="1"/>
  <c r="O85" i="2"/>
  <c r="AI129" i="4"/>
  <c r="O96" i="2"/>
  <c r="AK46" i="15"/>
  <c r="AK189" i="15" s="1"/>
  <c r="Y46" i="15"/>
  <c r="K193" i="15"/>
  <c r="C193" i="2"/>
  <c r="CC193" i="2" s="1"/>
  <c r="D210" i="2"/>
  <c r="CD210" i="2" s="1"/>
  <c r="C210" i="2"/>
  <c r="CC210" i="2" s="1"/>
  <c r="D193" i="2"/>
  <c r="CD193" i="2" s="1"/>
  <c r="G193" i="15"/>
  <c r="F193" i="15"/>
  <c r="J4" i="8"/>
  <c r="J193" i="15"/>
  <c r="G210" i="15"/>
  <c r="F210" i="15"/>
  <c r="K210" i="15"/>
  <c r="I193" i="15"/>
  <c r="E193" i="15"/>
  <c r="H193" i="15"/>
  <c r="I210" i="15"/>
  <c r="E210" i="15"/>
  <c r="G252" i="15"/>
  <c r="H4" i="15"/>
  <c r="G2" i="15"/>
  <c r="CI189" i="15" l="1"/>
  <c r="P17" i="14" s="1"/>
  <c r="AB17" i="14" s="1"/>
  <c r="CH40" i="15"/>
  <c r="CH190" i="15"/>
  <c r="N16" i="14" s="1"/>
  <c r="Z16" i="14" s="1"/>
  <c r="CI46" i="15"/>
  <c r="BW46" i="15"/>
  <c r="CJ46" i="4"/>
  <c r="AY32" i="15"/>
  <c r="AY52" i="4"/>
  <c r="BW42" i="4"/>
  <c r="BK42" i="15"/>
  <c r="CI42" i="15" s="1"/>
  <c r="CI42" i="4"/>
  <c r="BW39" i="4"/>
  <c r="BK39" i="15"/>
  <c r="CI39" i="4"/>
  <c r="BW31" i="4"/>
  <c r="BW31" i="15" s="1"/>
  <c r="BK31" i="15"/>
  <c r="CI31" i="4"/>
  <c r="BW36" i="4"/>
  <c r="BK36" i="15"/>
  <c r="CI36" i="15" s="1"/>
  <c r="CI36" i="4"/>
  <c r="BW23" i="4"/>
  <c r="BK23" i="15"/>
  <c r="CI23" i="4"/>
  <c r="BK24" i="15"/>
  <c r="BW24" i="4"/>
  <c r="BK32" i="4"/>
  <c r="CI24" i="4"/>
  <c r="CI31" i="15"/>
  <c r="BW38" i="4"/>
  <c r="BK38" i="15"/>
  <c r="BK190" i="15" s="1"/>
  <c r="CI38" i="4"/>
  <c r="BW35" i="4"/>
  <c r="BK35" i="15"/>
  <c r="CI35" i="15" s="1"/>
  <c r="CI35" i="4"/>
  <c r="BW51" i="4"/>
  <c r="BK51" i="15"/>
  <c r="CI51" i="15" s="1"/>
  <c r="CI51" i="4"/>
  <c r="BW40" i="4"/>
  <c r="BK40" i="15"/>
  <c r="CI40" i="4"/>
  <c r="AY187" i="15"/>
  <c r="AY191" i="15"/>
  <c r="CH32" i="4"/>
  <c r="BU217" i="15"/>
  <c r="P217" i="15"/>
  <c r="AV217" i="15"/>
  <c r="BP217" i="15"/>
  <c r="AQ217" i="15"/>
  <c r="O217" i="15"/>
  <c r="Q217" i="15"/>
  <c r="M217" i="15"/>
  <c r="W217" i="15"/>
  <c r="CE217" i="4"/>
  <c r="G217" i="15"/>
  <c r="CJ217" i="4"/>
  <c r="AJ217" i="15"/>
  <c r="AD217" i="15"/>
  <c r="BL217" i="15"/>
  <c r="BJ217" i="15"/>
  <c r="BA217" i="15"/>
  <c r="H217" i="15"/>
  <c r="I217" i="15"/>
  <c r="X217" i="15"/>
  <c r="F217" i="15"/>
  <c r="BU31" i="15"/>
  <c r="CJ31" i="15" s="1"/>
  <c r="CJ31" i="4"/>
  <c r="BU51" i="15"/>
  <c r="CJ51" i="2"/>
  <c r="CI39" i="15"/>
  <c r="V217" i="15"/>
  <c r="E217" i="15"/>
  <c r="CI32" i="4"/>
  <c r="CJ44" i="2"/>
  <c r="BU40" i="2"/>
  <c r="BI40" i="15"/>
  <c r="CI40" i="15" s="1"/>
  <c r="CI40" i="2"/>
  <c r="BI187" i="2"/>
  <c r="BU42" i="15"/>
  <c r="CJ42" i="2"/>
  <c r="AW53" i="4"/>
  <c r="CH52" i="4"/>
  <c r="BI44" i="4"/>
  <c r="AW44" i="15"/>
  <c r="CH44" i="15" s="1"/>
  <c r="CH44" i="4"/>
  <c r="BU38" i="15"/>
  <c r="BU190" i="2"/>
  <c r="CJ190" i="2" s="1"/>
  <c r="CJ38" i="2"/>
  <c r="BU39" i="15"/>
  <c r="BU187" i="2"/>
  <c r="CJ39" i="2"/>
  <c r="BB217" i="15"/>
  <c r="AH217" i="15"/>
  <c r="BQ217" i="15"/>
  <c r="BT217" i="15"/>
  <c r="R217" i="15"/>
  <c r="L217" i="15"/>
  <c r="K217" i="15"/>
  <c r="N217" i="15"/>
  <c r="S217" i="15"/>
  <c r="BM217" i="15"/>
  <c r="BU32" i="4"/>
  <c r="CJ24" i="4"/>
  <c r="BU23" i="15"/>
  <c r="CJ23" i="2"/>
  <c r="AW24" i="2"/>
  <c r="CG24" i="2"/>
  <c r="BU35" i="15"/>
  <c r="CJ35" i="2"/>
  <c r="CI38" i="15"/>
  <c r="BI190" i="15"/>
  <c r="CI190" i="15" s="1"/>
  <c r="P16" i="14" s="1"/>
  <c r="AB16" i="14" s="1"/>
  <c r="BU36" i="15"/>
  <c r="CJ36" i="2"/>
  <c r="U217" i="15"/>
  <c r="AA217" i="15"/>
  <c r="BR217" i="15"/>
  <c r="BG217" i="15"/>
  <c r="AW187" i="15"/>
  <c r="CI23" i="15"/>
  <c r="CF217" i="4"/>
  <c r="CH217" i="4"/>
  <c r="CG217" i="4"/>
  <c r="CI217" i="2"/>
  <c r="AO217" i="15"/>
  <c r="AG217" i="15"/>
  <c r="AE217" i="15"/>
  <c r="CI217" i="4"/>
  <c r="AP217" i="15"/>
  <c r="AM217" i="15"/>
  <c r="AT217" i="15"/>
  <c r="AN217" i="15"/>
  <c r="AS217" i="15"/>
  <c r="AU217" i="15"/>
  <c r="AF217" i="15"/>
  <c r="AZ217" i="15"/>
  <c r="AY217" i="15"/>
  <c r="AB217" i="15"/>
  <c r="AX217" i="15"/>
  <c r="AR217" i="15"/>
  <c r="AK217" i="15"/>
  <c r="Z217" i="15"/>
  <c r="AW217" i="15"/>
  <c r="Y217" i="15"/>
  <c r="BN217" i="15"/>
  <c r="BE217" i="15"/>
  <c r="BO217" i="15"/>
  <c r="BS217" i="15"/>
  <c r="BC217" i="15"/>
  <c r="BX217" i="15"/>
  <c r="BK217" i="15"/>
  <c r="BV217" i="15"/>
  <c r="BH217" i="15"/>
  <c r="BI217" i="15"/>
  <c r="BW217" i="15"/>
  <c r="BD217" i="15"/>
  <c r="BF217" i="15"/>
  <c r="BU20" i="4"/>
  <c r="BU289" i="4"/>
  <c r="CG215" i="2"/>
  <c r="CI215" i="2"/>
  <c r="CH217" i="2"/>
  <c r="BO21" i="8"/>
  <c r="BN26" i="8"/>
  <c r="BW18" i="8"/>
  <c r="BX17" i="8"/>
  <c r="CH218" i="2"/>
  <c r="CG180" i="15"/>
  <c r="CJ215" i="2"/>
  <c r="CF215" i="2"/>
  <c r="CH215" i="2"/>
  <c r="CE216" i="2"/>
  <c r="CE217" i="2"/>
  <c r="CI218" i="2"/>
  <c r="CJ217" i="2"/>
  <c r="CG218" i="2"/>
  <c r="CE218" i="2"/>
  <c r="CF218" i="2"/>
  <c r="CJ218" i="2"/>
  <c r="CF217" i="2"/>
  <c r="CF215" i="15"/>
  <c r="J45" i="14" s="1"/>
  <c r="CE216" i="15"/>
  <c r="H46" i="14" s="1"/>
  <c r="BN218" i="15"/>
  <c r="CE215" i="15"/>
  <c r="H45" i="14" s="1"/>
  <c r="CE178" i="15"/>
  <c r="CE180" i="15"/>
  <c r="CE179" i="15"/>
  <c r="J217" i="15"/>
  <c r="CF179" i="15"/>
  <c r="T217" i="15"/>
  <c r="CG215" i="15"/>
  <c r="L45" i="14" s="1"/>
  <c r="CG179" i="15"/>
  <c r="CH179" i="15"/>
  <c r="CF180" i="15"/>
  <c r="AA218" i="15"/>
  <c r="CF218" i="15" s="1"/>
  <c r="CJ177" i="15"/>
  <c r="BX215" i="15"/>
  <c r="CJ215" i="15" s="1"/>
  <c r="R45" i="14" s="1"/>
  <c r="CI215" i="15"/>
  <c r="P45" i="14" s="1"/>
  <c r="CH177" i="15"/>
  <c r="AZ215" i="15"/>
  <c r="CH215" i="15" s="1"/>
  <c r="N45" i="14" s="1"/>
  <c r="CH180" i="15"/>
  <c r="CJ179" i="15"/>
  <c r="CI179" i="15"/>
  <c r="CI177" i="15"/>
  <c r="CG177" i="15"/>
  <c r="CJ180" i="15"/>
  <c r="CI180" i="15"/>
  <c r="CE183" i="4"/>
  <c r="G183" i="15"/>
  <c r="K183" i="15"/>
  <c r="CE177" i="15"/>
  <c r="F183" i="15"/>
  <c r="CF177" i="15"/>
  <c r="I183" i="15"/>
  <c r="E183" i="15"/>
  <c r="BV19" i="4"/>
  <c r="BV289" i="4" s="1"/>
  <c r="CF99" i="2"/>
  <c r="CF46" i="15"/>
  <c r="BV17" i="15"/>
  <c r="BV18" i="15"/>
  <c r="BR53" i="15"/>
  <c r="BX13" i="15"/>
  <c r="BW13" i="15"/>
  <c r="BT52" i="4"/>
  <c r="BT45" i="15"/>
  <c r="BV16" i="15"/>
  <c r="BS188" i="15"/>
  <c r="BS193" i="15" s="1"/>
  <c r="BS53" i="4"/>
  <c r="BS53" i="15" s="1"/>
  <c r="BS52" i="15"/>
  <c r="BT268" i="2"/>
  <c r="BS264" i="2"/>
  <c r="BR266" i="4"/>
  <c r="BR264" i="4" s="1"/>
  <c r="BS265" i="4"/>
  <c r="BX11" i="15"/>
  <c r="BU45" i="4"/>
  <c r="BU19" i="15"/>
  <c r="BU20" i="15" s="1"/>
  <c r="CG189" i="15"/>
  <c r="L17" i="14" s="1"/>
  <c r="X17" i="14" s="1"/>
  <c r="Q158" i="2"/>
  <c r="CF99" i="4"/>
  <c r="G174" i="15"/>
  <c r="AG108" i="15"/>
  <c r="Q53" i="2"/>
  <c r="CF44" i="15"/>
  <c r="CG46" i="15"/>
  <c r="AG84" i="15"/>
  <c r="AH99" i="4"/>
  <c r="AG85" i="2"/>
  <c r="AG111" i="15"/>
  <c r="AG113" i="2"/>
  <c r="AG99" i="2"/>
  <c r="AI101" i="4"/>
  <c r="AI95" i="4"/>
  <c r="AI138" i="4"/>
  <c r="AI126" i="4"/>
  <c r="AI125" i="4"/>
  <c r="AI94" i="4"/>
  <c r="AI137" i="4"/>
  <c r="AI136" i="4"/>
  <c r="AI135" i="4"/>
  <c r="AI134" i="4"/>
  <c r="AI122" i="4"/>
  <c r="AI121" i="4"/>
  <c r="AI112" i="4"/>
  <c r="AI159" i="4"/>
  <c r="AI105" i="4"/>
  <c r="AI104" i="4"/>
  <c r="AI98" i="4"/>
  <c r="AI81" i="4"/>
  <c r="AI76" i="4"/>
  <c r="AI73" i="4"/>
  <c r="AI72" i="4"/>
  <c r="AI71" i="4"/>
  <c r="AI70" i="4"/>
  <c r="AI69" i="4"/>
  <c r="AI68" i="4"/>
  <c r="AI133" i="4"/>
  <c r="AI132" i="4"/>
  <c r="AI111" i="4"/>
  <c r="AI110" i="4"/>
  <c r="AI84" i="4"/>
  <c r="AI80" i="4"/>
  <c r="AI59" i="4"/>
  <c r="AI131" i="4"/>
  <c r="AI127" i="4"/>
  <c r="AI83" i="4"/>
  <c r="AI77" i="4"/>
  <c r="AI102" i="4"/>
  <c r="AI82" i="4"/>
  <c r="AI128" i="4"/>
  <c r="AI109" i="4"/>
  <c r="AI108" i="4"/>
  <c r="AI79" i="4"/>
  <c r="AI78" i="4"/>
  <c r="AI103" i="4"/>
  <c r="AI107" i="4"/>
  <c r="AH103" i="2"/>
  <c r="AH102" i="2"/>
  <c r="AH159" i="2"/>
  <c r="AH131" i="2"/>
  <c r="AH128" i="2"/>
  <c r="AT128" i="2" s="1"/>
  <c r="AH101" i="2"/>
  <c r="AH95" i="2"/>
  <c r="AH138" i="2"/>
  <c r="AT138" i="2" s="1"/>
  <c r="AH126" i="2"/>
  <c r="AT126" i="2" s="1"/>
  <c r="AH125" i="2"/>
  <c r="AH133" i="2"/>
  <c r="AH132" i="2"/>
  <c r="AT132" i="2" s="1"/>
  <c r="AH107" i="2"/>
  <c r="AH82" i="2"/>
  <c r="AT82" i="2" s="1"/>
  <c r="AH77" i="2"/>
  <c r="AT77" i="2" s="1"/>
  <c r="AH94" i="2"/>
  <c r="AH122" i="2"/>
  <c r="AH121" i="2"/>
  <c r="AH112" i="2"/>
  <c r="AH105" i="2"/>
  <c r="AH104" i="2"/>
  <c r="AH98" i="2"/>
  <c r="AH81" i="2"/>
  <c r="AT81" i="2" s="1"/>
  <c r="AH76" i="2"/>
  <c r="AT76" i="2" s="1"/>
  <c r="AH73" i="2"/>
  <c r="AT73" i="2" s="1"/>
  <c r="AH72" i="2"/>
  <c r="AT72" i="2" s="1"/>
  <c r="AH71" i="2"/>
  <c r="AT71" i="2" s="1"/>
  <c r="AH70" i="2"/>
  <c r="AH69" i="2"/>
  <c r="AT69" i="2" s="1"/>
  <c r="AH68" i="2"/>
  <c r="AT68" i="2" s="1"/>
  <c r="AH111" i="2"/>
  <c r="AH110" i="2"/>
  <c r="AH80" i="2"/>
  <c r="AT80" i="2" s="1"/>
  <c r="AH136" i="2"/>
  <c r="AT136" i="2" s="1"/>
  <c r="AH134" i="2"/>
  <c r="AT134" i="2" s="1"/>
  <c r="AH109" i="2"/>
  <c r="AH108" i="2"/>
  <c r="AH79" i="2"/>
  <c r="AT79" i="2" s="1"/>
  <c r="AH78" i="2"/>
  <c r="AT78" i="2" s="1"/>
  <c r="AH84" i="2"/>
  <c r="AT84" i="2" s="1"/>
  <c r="AH59" i="2"/>
  <c r="AH137" i="2"/>
  <c r="AT137" i="2" s="1"/>
  <c r="AH135" i="2"/>
  <c r="AT135" i="2" s="1"/>
  <c r="AH83" i="2"/>
  <c r="AT83" i="2" s="1"/>
  <c r="AH85" i="4"/>
  <c r="AG72" i="15"/>
  <c r="AG80" i="15"/>
  <c r="AG79" i="15"/>
  <c r="AH113" i="4"/>
  <c r="T141" i="4"/>
  <c r="T141" i="2"/>
  <c r="V141" i="2"/>
  <c r="V166" i="2" s="1"/>
  <c r="V141" i="4"/>
  <c r="U141" i="4"/>
  <c r="W141" i="4"/>
  <c r="U141" i="2"/>
  <c r="W141" i="2"/>
  <c r="W166" i="2" s="1"/>
  <c r="R141" i="4"/>
  <c r="R166" i="4" s="1"/>
  <c r="S141" i="4"/>
  <c r="S141" i="2"/>
  <c r="S166" i="2" s="1"/>
  <c r="R141" i="2"/>
  <c r="R166" i="2" s="1"/>
  <c r="I167" i="15"/>
  <c r="I174" i="15" s="1"/>
  <c r="I174" i="2"/>
  <c r="Q141" i="2"/>
  <c r="AJ129" i="4"/>
  <c r="N129" i="15"/>
  <c r="N196" i="15" s="1"/>
  <c r="Y189" i="15"/>
  <c r="CF189" i="15" s="1"/>
  <c r="J17" i="14" s="1"/>
  <c r="V17" i="14" s="1"/>
  <c r="C211" i="2"/>
  <c r="C214" i="2" s="1"/>
  <c r="C219" i="2" s="1"/>
  <c r="C220" i="2" s="1"/>
  <c r="K211" i="15"/>
  <c r="G211" i="15"/>
  <c r="D211" i="2"/>
  <c r="D214" i="2" s="1"/>
  <c r="D219" i="2" s="1"/>
  <c r="D220" i="2" s="1"/>
  <c r="F211" i="15"/>
  <c r="I211" i="15"/>
  <c r="E211" i="15"/>
  <c r="E214" i="15" s="1"/>
  <c r="F7" i="2"/>
  <c r="H252" i="15"/>
  <c r="I4" i="15"/>
  <c r="H2" i="15"/>
  <c r="P64" i="15"/>
  <c r="N64" i="15"/>
  <c r="N62" i="15"/>
  <c r="N60" i="15"/>
  <c r="N57" i="15"/>
  <c r="W58" i="15"/>
  <c r="U58" i="15"/>
  <c r="S58" i="15"/>
  <c r="V57" i="15"/>
  <c r="T57" i="15"/>
  <c r="R57" i="15"/>
  <c r="BW35" i="15" l="1"/>
  <c r="CJ35" i="4"/>
  <c r="BW32" i="4"/>
  <c r="BW32" i="15" s="1"/>
  <c r="BW24" i="15"/>
  <c r="CJ35" i="15"/>
  <c r="CJ51" i="15"/>
  <c r="BW51" i="15"/>
  <c r="CJ51" i="4"/>
  <c r="BK191" i="15"/>
  <c r="BW36" i="15"/>
  <c r="CJ36" i="15" s="1"/>
  <c r="CJ36" i="4"/>
  <c r="BW40" i="15"/>
  <c r="CJ40" i="4"/>
  <c r="BW23" i="15"/>
  <c r="CJ23" i="15" s="1"/>
  <c r="CJ23" i="4"/>
  <c r="BK187" i="15"/>
  <c r="BW42" i="15"/>
  <c r="CJ42" i="15" s="1"/>
  <c r="CJ42" i="4"/>
  <c r="BW189" i="15"/>
  <c r="CJ189" i="15" s="1"/>
  <c r="R17" i="14" s="1"/>
  <c r="AD17" i="14" s="1"/>
  <c r="CJ46" i="15"/>
  <c r="CJ32" i="4"/>
  <c r="AY193" i="15"/>
  <c r="BW38" i="15"/>
  <c r="BW190" i="15" s="1"/>
  <c r="CJ38" i="4"/>
  <c r="BK32" i="15"/>
  <c r="BK52" i="4"/>
  <c r="BW39" i="15"/>
  <c r="CJ39" i="4"/>
  <c r="AY53" i="4"/>
  <c r="AY53" i="15" s="1"/>
  <c r="AY52" i="15"/>
  <c r="CJ217" i="15"/>
  <c r="R47" i="14" s="1"/>
  <c r="CH217" i="15"/>
  <c r="N47" i="14" s="1"/>
  <c r="CF217" i="15"/>
  <c r="J47" i="14" s="1"/>
  <c r="E219" i="15"/>
  <c r="E220" i="15" s="1"/>
  <c r="CE217" i="15"/>
  <c r="H47" i="14" s="1"/>
  <c r="CH187" i="15"/>
  <c r="N18" i="14" s="1"/>
  <c r="Z18" i="14" s="1"/>
  <c r="BI24" i="2"/>
  <c r="AW32" i="2"/>
  <c r="AW24" i="15"/>
  <c r="CH24" i="2"/>
  <c r="AW191" i="2"/>
  <c r="BU44" i="4"/>
  <c r="CI44" i="4"/>
  <c r="BI44" i="15"/>
  <c r="CI44" i="15" s="1"/>
  <c r="BU40" i="15"/>
  <c r="CJ40" i="2"/>
  <c r="BI52" i="4"/>
  <c r="BI187" i="15"/>
  <c r="CJ187" i="2"/>
  <c r="BU190" i="15"/>
  <c r="CI187" i="2"/>
  <c r="CJ39" i="15"/>
  <c r="CI217" i="15"/>
  <c r="P47" i="14" s="1"/>
  <c r="BV45" i="4"/>
  <c r="BV45" i="15" s="1"/>
  <c r="BV20" i="4"/>
  <c r="BV19" i="15"/>
  <c r="BV20" i="15" s="1"/>
  <c r="BX18" i="8"/>
  <c r="BY17" i="8"/>
  <c r="BY18" i="8" s="1"/>
  <c r="BP21" i="8"/>
  <c r="BO26" i="8"/>
  <c r="I212" i="15"/>
  <c r="I214" i="15"/>
  <c r="I219" i="15" s="1"/>
  <c r="I220" i="15" s="1"/>
  <c r="K212" i="15"/>
  <c r="K214" i="15"/>
  <c r="K219" i="15" s="1"/>
  <c r="K220" i="15" s="1"/>
  <c r="F212" i="15"/>
  <c r="F214" i="15"/>
  <c r="F219" i="15" s="1"/>
  <c r="F220" i="15" s="1"/>
  <c r="G212" i="15"/>
  <c r="G214" i="15"/>
  <c r="G219" i="15" s="1"/>
  <c r="G220" i="15" s="1"/>
  <c r="AG218" i="15"/>
  <c r="BW19" i="4"/>
  <c r="BW289" i="4" s="1"/>
  <c r="BS266" i="4"/>
  <c r="BS264" i="4" s="1"/>
  <c r="BT265" i="4"/>
  <c r="BT188" i="15"/>
  <c r="BT193" i="15" s="1"/>
  <c r="BU268" i="2"/>
  <c r="BT264" i="2"/>
  <c r="BT53" i="4"/>
  <c r="BT53" i="15" s="1"/>
  <c r="BT52" i="15"/>
  <c r="BX18" i="15"/>
  <c r="BW18" i="15"/>
  <c r="BU52" i="4"/>
  <c r="BU45" i="15"/>
  <c r="BW16" i="15"/>
  <c r="BX17" i="15"/>
  <c r="BW17" i="15"/>
  <c r="D212" i="2"/>
  <c r="CD211" i="2"/>
  <c r="C212" i="2"/>
  <c r="CC211" i="2"/>
  <c r="AH108" i="15"/>
  <c r="AH84" i="15"/>
  <c r="AH80" i="15"/>
  <c r="AI101" i="2"/>
  <c r="AI95" i="2"/>
  <c r="AI138" i="2"/>
  <c r="AU138" i="2" s="1"/>
  <c r="AI126" i="2"/>
  <c r="AU126" i="2" s="1"/>
  <c r="AI125" i="2"/>
  <c r="AI94" i="2"/>
  <c r="AI137" i="2"/>
  <c r="AU137" i="2" s="1"/>
  <c r="AI136" i="2"/>
  <c r="AU136" i="2" s="1"/>
  <c r="AI135" i="2"/>
  <c r="AU135" i="2" s="1"/>
  <c r="AI134" i="2"/>
  <c r="AU134" i="2" s="1"/>
  <c r="AI122" i="2"/>
  <c r="AI121" i="2"/>
  <c r="AI112" i="2"/>
  <c r="AI103" i="2"/>
  <c r="AI102" i="2"/>
  <c r="AI131" i="2"/>
  <c r="AI128" i="2"/>
  <c r="AU128" i="2" s="1"/>
  <c r="AI105" i="2"/>
  <c r="AI104" i="2"/>
  <c r="AI98" i="2"/>
  <c r="AI81" i="2"/>
  <c r="AU81" i="2" s="1"/>
  <c r="AI76" i="2"/>
  <c r="AU76" i="2" s="1"/>
  <c r="AI73" i="2"/>
  <c r="AU73" i="2" s="1"/>
  <c r="AI72" i="2"/>
  <c r="AU72" i="2" s="1"/>
  <c r="AI71" i="2"/>
  <c r="AU71" i="2" s="1"/>
  <c r="AI70" i="2"/>
  <c r="AI69" i="2"/>
  <c r="AU69" i="2" s="1"/>
  <c r="AI68" i="2"/>
  <c r="AU68" i="2" s="1"/>
  <c r="AI111" i="2"/>
  <c r="AI110" i="2"/>
  <c r="AI84" i="2"/>
  <c r="AI80" i="2"/>
  <c r="AU80" i="2" s="1"/>
  <c r="AI59" i="2"/>
  <c r="AI109" i="2"/>
  <c r="AI108" i="2"/>
  <c r="AI79" i="2"/>
  <c r="AU79" i="2" s="1"/>
  <c r="AI78" i="2"/>
  <c r="AU78" i="2" s="1"/>
  <c r="AI132" i="2"/>
  <c r="AU132" i="2" s="1"/>
  <c r="AI107" i="2"/>
  <c r="AI77" i="2"/>
  <c r="AU77" i="2" s="1"/>
  <c r="AI159" i="2"/>
  <c r="AI83" i="2"/>
  <c r="AU83" i="2" s="1"/>
  <c r="AI133" i="2"/>
  <c r="AI82" i="2"/>
  <c r="AU82" i="2" s="1"/>
  <c r="AH85" i="2"/>
  <c r="AH113" i="2"/>
  <c r="AI99" i="4"/>
  <c r="AH111" i="15"/>
  <c r="AI113" i="4"/>
  <c r="AJ94" i="4"/>
  <c r="AJ137" i="4"/>
  <c r="AJ136" i="4"/>
  <c r="AJ135" i="4"/>
  <c r="AJ134" i="4"/>
  <c r="AJ122" i="4"/>
  <c r="AJ121" i="4"/>
  <c r="AJ112" i="4"/>
  <c r="AJ133" i="4"/>
  <c r="AJ132" i="4"/>
  <c r="AJ138" i="4"/>
  <c r="AJ111" i="4"/>
  <c r="AJ110" i="4"/>
  <c r="AJ84" i="4"/>
  <c r="AJ80" i="4"/>
  <c r="AJ59" i="4"/>
  <c r="AJ103" i="4"/>
  <c r="AJ102" i="4"/>
  <c r="AJ131" i="4"/>
  <c r="AJ128" i="4"/>
  <c r="AJ127" i="4"/>
  <c r="AJ109" i="4"/>
  <c r="AJ108" i="4"/>
  <c r="AJ83" i="4"/>
  <c r="AJ79" i="4"/>
  <c r="AJ78" i="4"/>
  <c r="AJ125" i="4"/>
  <c r="AJ82" i="4"/>
  <c r="AJ81" i="4"/>
  <c r="AJ126" i="4"/>
  <c r="AJ107" i="4"/>
  <c r="AJ77" i="4"/>
  <c r="AJ101" i="4"/>
  <c r="AJ104" i="4"/>
  <c r="AJ76" i="4"/>
  <c r="AJ72" i="4"/>
  <c r="AJ71" i="4"/>
  <c r="AJ69" i="4"/>
  <c r="AJ95" i="4"/>
  <c r="AJ159" i="4"/>
  <c r="AJ105" i="4"/>
  <c r="AJ98" i="4"/>
  <c r="AJ73" i="4"/>
  <c r="AJ70" i="4"/>
  <c r="AJ68" i="4"/>
  <c r="AH79" i="15"/>
  <c r="AH72" i="15"/>
  <c r="AH99" i="2"/>
  <c r="AI85" i="4"/>
  <c r="T166" i="2"/>
  <c r="T167" i="2" s="1"/>
  <c r="U166" i="2"/>
  <c r="U167" i="2" s="1"/>
  <c r="R167" i="4"/>
  <c r="R174" i="4" s="1"/>
  <c r="T166" i="4"/>
  <c r="T167" i="4" s="1"/>
  <c r="U166" i="4"/>
  <c r="U167" i="4" s="1"/>
  <c r="S167" i="2"/>
  <c r="S174" i="2" s="1"/>
  <c r="V167" i="2"/>
  <c r="R167" i="2"/>
  <c r="R174" i="2" s="1"/>
  <c r="W167" i="2"/>
  <c r="W166" i="4"/>
  <c r="W167" i="4" s="1"/>
  <c r="V166" i="4"/>
  <c r="V167" i="4" s="1"/>
  <c r="S166" i="4"/>
  <c r="S167" i="4" s="1"/>
  <c r="S174" i="4" s="1"/>
  <c r="Q166" i="2"/>
  <c r="E212" i="15"/>
  <c r="X48" i="15"/>
  <c r="AK129" i="4"/>
  <c r="O129" i="15"/>
  <c r="O196" i="15" s="1"/>
  <c r="O140" i="2"/>
  <c r="R58" i="15"/>
  <c r="V58" i="15"/>
  <c r="S57" i="15"/>
  <c r="W57" i="15"/>
  <c r="P62" i="15"/>
  <c r="T58" i="15"/>
  <c r="X58" i="15"/>
  <c r="O57" i="15"/>
  <c r="P57" i="15"/>
  <c r="M60" i="15"/>
  <c r="M64" i="15"/>
  <c r="U57" i="15"/>
  <c r="M57" i="15"/>
  <c r="O60" i="15"/>
  <c r="M62" i="15"/>
  <c r="Q60" i="15"/>
  <c r="P60" i="15"/>
  <c r="O62" i="15"/>
  <c r="Q64" i="15"/>
  <c r="O64" i="15"/>
  <c r="G7" i="2"/>
  <c r="H7" i="2" s="1"/>
  <c r="I7" i="2" s="1"/>
  <c r="J7" i="2" s="1"/>
  <c r="K7" i="2" s="1"/>
  <c r="L7" i="2" s="1"/>
  <c r="M7" i="2" s="1"/>
  <c r="N7" i="2" s="1"/>
  <c r="O7" i="2" s="1"/>
  <c r="P7" i="2" s="1"/>
  <c r="Q7" i="2" s="1"/>
  <c r="I252" i="15"/>
  <c r="I2" i="15"/>
  <c r="J4" i="15"/>
  <c r="BW187" i="15" l="1"/>
  <c r="CJ40" i="15"/>
  <c r="BK193" i="15"/>
  <c r="CJ190" i="15"/>
  <c r="R16" i="14" s="1"/>
  <c r="AD16" i="14" s="1"/>
  <c r="BW191" i="15"/>
  <c r="CH53" i="4"/>
  <c r="CJ38" i="15"/>
  <c r="BK52" i="15"/>
  <c r="BK53" i="4"/>
  <c r="BK53" i="15" s="1"/>
  <c r="BU187" i="15"/>
  <c r="CJ44" i="4"/>
  <c r="BU44" i="15"/>
  <c r="CJ44" i="15" s="1"/>
  <c r="AW32" i="15"/>
  <c r="CH32" i="15" s="1"/>
  <c r="AW52" i="2"/>
  <c r="CH32" i="2"/>
  <c r="AW193" i="2"/>
  <c r="CH193" i="2" s="1"/>
  <c r="CH191" i="2"/>
  <c r="BI32" i="2"/>
  <c r="BU24" i="2"/>
  <c r="CI24" i="2"/>
  <c r="BI191" i="2"/>
  <c r="BI24" i="15"/>
  <c r="CI187" i="15"/>
  <c r="P18" i="14" s="1"/>
  <c r="AB18" i="14" s="1"/>
  <c r="BI53" i="4"/>
  <c r="CI52" i="4"/>
  <c r="CH24" i="15"/>
  <c r="AW191" i="15"/>
  <c r="BV52" i="4"/>
  <c r="BV53" i="4" s="1"/>
  <c r="BV53" i="15" s="1"/>
  <c r="BW19" i="15"/>
  <c r="BW20" i="15" s="1"/>
  <c r="BW20" i="4"/>
  <c r="AI84" i="15"/>
  <c r="AU84" i="2"/>
  <c r="BQ21" i="8"/>
  <c r="BP26" i="8"/>
  <c r="CD212" i="2"/>
  <c r="CD214" i="2"/>
  <c r="CD219" i="2" s="1"/>
  <c r="CD220" i="2" s="1"/>
  <c r="CC212" i="2"/>
  <c r="CC214" i="2"/>
  <c r="CC219" i="2" s="1"/>
  <c r="CC220" i="2" s="1"/>
  <c r="AS218" i="15"/>
  <c r="AI218" i="15"/>
  <c r="AH218" i="15"/>
  <c r="BW45" i="4"/>
  <c r="BW45" i="15" s="1"/>
  <c r="AI108" i="15"/>
  <c r="BV188" i="15"/>
  <c r="BV193" i="15" s="1"/>
  <c r="BV268" i="2"/>
  <c r="BU264" i="2"/>
  <c r="BX16" i="15"/>
  <c r="BX19" i="4"/>
  <c r="BU265" i="4"/>
  <c r="BT266" i="4"/>
  <c r="BU188" i="15"/>
  <c r="BU53" i="4"/>
  <c r="Q167" i="2"/>
  <c r="AK111" i="4"/>
  <c r="AK107" i="4"/>
  <c r="AK108" i="4"/>
  <c r="AK135" i="4"/>
  <c r="AK105" i="4"/>
  <c r="AK71" i="4"/>
  <c r="AK68" i="4"/>
  <c r="AK110" i="4"/>
  <c r="AK76" i="4"/>
  <c r="AK79" i="4"/>
  <c r="AK133" i="4"/>
  <c r="AK121" i="4"/>
  <c r="AK82" i="4"/>
  <c r="AK104" i="4"/>
  <c r="AK137" i="4"/>
  <c r="AK112" i="4"/>
  <c r="AK83" i="4"/>
  <c r="AK138" i="4"/>
  <c r="AK134" i="4"/>
  <c r="AK77" i="4"/>
  <c r="AK73" i="4"/>
  <c r="AK132" i="4"/>
  <c r="AK59" i="4"/>
  <c r="AK101" i="4"/>
  <c r="AK128" i="4"/>
  <c r="AK84" i="4"/>
  <c r="AK136" i="4"/>
  <c r="AK126" i="4"/>
  <c r="AK80" i="4"/>
  <c r="AK95" i="4"/>
  <c r="AK70" i="4"/>
  <c r="AK98" i="4"/>
  <c r="AK102" i="4"/>
  <c r="AK72" i="4"/>
  <c r="AK103" i="4"/>
  <c r="AK69" i="4"/>
  <c r="AK78" i="4"/>
  <c r="AK131" i="4"/>
  <c r="AK94" i="4"/>
  <c r="AK125" i="4"/>
  <c r="AK109" i="4"/>
  <c r="AK127" i="4"/>
  <c r="AK81" i="4"/>
  <c r="AK122" i="4"/>
  <c r="AK159" i="4"/>
  <c r="AI80" i="15"/>
  <c r="AI79" i="15"/>
  <c r="AI72" i="15"/>
  <c r="AI99" i="2"/>
  <c r="AJ99" i="4"/>
  <c r="AI113" i="2"/>
  <c r="AJ85" i="4"/>
  <c r="AJ113" i="4"/>
  <c r="AI85" i="2"/>
  <c r="AJ94" i="2"/>
  <c r="AJ137" i="2"/>
  <c r="AV137" i="2" s="1"/>
  <c r="AJ136" i="2"/>
  <c r="AV136" i="2" s="1"/>
  <c r="AJ135" i="2"/>
  <c r="AV135" i="2" s="1"/>
  <c r="AJ134" i="2"/>
  <c r="AV134" i="2" s="1"/>
  <c r="AJ122" i="2"/>
  <c r="AJ121" i="2"/>
  <c r="AJ112" i="2"/>
  <c r="AJ133" i="2"/>
  <c r="AJ132" i="2"/>
  <c r="AV132" i="2" s="1"/>
  <c r="AJ101" i="2"/>
  <c r="AJ95" i="2"/>
  <c r="AJ126" i="2"/>
  <c r="AV126" i="2" s="1"/>
  <c r="AJ125" i="2"/>
  <c r="AJ111" i="2"/>
  <c r="AJ110" i="2"/>
  <c r="AJ84" i="2"/>
  <c r="AV84" i="2" s="1"/>
  <c r="AJ80" i="2"/>
  <c r="AV80" i="2" s="1"/>
  <c r="AJ59" i="2"/>
  <c r="AJ159" i="2"/>
  <c r="AJ109" i="2"/>
  <c r="AJ108" i="2"/>
  <c r="AJ83" i="2"/>
  <c r="AV83" i="2" s="1"/>
  <c r="AJ79" i="2"/>
  <c r="AV79" i="2" s="1"/>
  <c r="AJ78" i="2"/>
  <c r="AV78" i="2" s="1"/>
  <c r="AJ102" i="2"/>
  <c r="AJ138" i="2"/>
  <c r="AV138" i="2" s="1"/>
  <c r="AJ107" i="2"/>
  <c r="AJ77" i="2"/>
  <c r="AV77" i="2" s="1"/>
  <c r="AJ128" i="2"/>
  <c r="AV128" i="2" s="1"/>
  <c r="AJ105" i="2"/>
  <c r="AJ104" i="2"/>
  <c r="AJ98" i="2"/>
  <c r="AJ76" i="2"/>
  <c r="AV76" i="2" s="1"/>
  <c r="AJ73" i="2"/>
  <c r="AV73" i="2" s="1"/>
  <c r="AJ72" i="2"/>
  <c r="AV72" i="2" s="1"/>
  <c r="AJ71" i="2"/>
  <c r="AV71" i="2" s="1"/>
  <c r="AJ70" i="2"/>
  <c r="AJ69" i="2"/>
  <c r="AV69" i="2" s="1"/>
  <c r="AJ68" i="2"/>
  <c r="AV68" i="2" s="1"/>
  <c r="AJ103" i="2"/>
  <c r="AJ82" i="2"/>
  <c r="AV82" i="2" s="1"/>
  <c r="AJ131" i="2"/>
  <c r="AJ81" i="2"/>
  <c r="AV81" i="2" s="1"/>
  <c r="AI111" i="15"/>
  <c r="AL129" i="4"/>
  <c r="P129" i="15"/>
  <c r="P196" i="15" s="1"/>
  <c r="Q57" i="15"/>
  <c r="Q62" i="15"/>
  <c r="J252" i="15"/>
  <c r="K4" i="15"/>
  <c r="J2" i="15"/>
  <c r="CJ187" i="15" l="1"/>
  <c r="R18" i="14" s="1"/>
  <c r="AD18" i="14" s="1"/>
  <c r="CI191" i="2"/>
  <c r="BI193" i="2"/>
  <c r="CI193" i="2" s="1"/>
  <c r="AW53" i="2"/>
  <c r="AW52" i="15"/>
  <c r="CH52" i="15" s="1"/>
  <c r="CH52" i="2"/>
  <c r="CH191" i="15"/>
  <c r="N19" i="14" s="1"/>
  <c r="Z19" i="14" s="1"/>
  <c r="AW193" i="15"/>
  <c r="CH193" i="15" s="1"/>
  <c r="BU32" i="2"/>
  <c r="BU24" i="15"/>
  <c r="CJ24" i="2"/>
  <c r="BU191" i="2"/>
  <c r="CI53" i="4"/>
  <c r="CI24" i="15"/>
  <c r="BI191" i="15"/>
  <c r="BI52" i="2"/>
  <c r="CI32" i="2"/>
  <c r="BI32" i="15"/>
  <c r="CI32" i="15" s="1"/>
  <c r="BV52" i="15"/>
  <c r="BX20" i="4"/>
  <c r="BY289" i="4"/>
  <c r="BX289" i="4"/>
  <c r="BR21" i="8"/>
  <c r="BQ26" i="8"/>
  <c r="AT218" i="15"/>
  <c r="BW52" i="4"/>
  <c r="BW53" i="4" s="1"/>
  <c r="BW53" i="15" s="1"/>
  <c r="BE218" i="15"/>
  <c r="BF218" i="15"/>
  <c r="BQ218" i="15"/>
  <c r="AJ218" i="15"/>
  <c r="BW188" i="15"/>
  <c r="BW193" i="15" s="1"/>
  <c r="BW268" i="2"/>
  <c r="BV264" i="2"/>
  <c r="BV265" i="4"/>
  <c r="BU266" i="4"/>
  <c r="BU264" i="4" s="1"/>
  <c r="BX45" i="4"/>
  <c r="BX19" i="15"/>
  <c r="BX20" i="15" s="1"/>
  <c r="BT264" i="4"/>
  <c r="Q174" i="2"/>
  <c r="AJ84" i="15"/>
  <c r="AJ108" i="15"/>
  <c r="AJ72" i="15"/>
  <c r="AL112" i="4"/>
  <c r="AL81" i="4"/>
  <c r="AL131" i="4"/>
  <c r="AL79" i="4"/>
  <c r="AL159" i="4"/>
  <c r="AL105" i="4"/>
  <c r="AL125" i="4"/>
  <c r="AL102" i="4"/>
  <c r="AL84" i="4"/>
  <c r="AL136" i="4"/>
  <c r="AL103" i="4"/>
  <c r="AL108" i="4"/>
  <c r="AL134" i="4"/>
  <c r="AL104" i="4"/>
  <c r="AL76" i="4"/>
  <c r="AL111" i="4"/>
  <c r="AL133" i="4"/>
  <c r="AL82" i="4"/>
  <c r="AL95" i="4"/>
  <c r="AL122" i="4"/>
  <c r="AL72" i="4"/>
  <c r="AL78" i="4"/>
  <c r="AL69" i="4"/>
  <c r="AL107" i="4"/>
  <c r="AL98" i="4"/>
  <c r="AL59" i="4"/>
  <c r="AL121" i="4"/>
  <c r="AL70" i="4"/>
  <c r="AL94" i="4"/>
  <c r="AL68" i="4"/>
  <c r="AL127" i="4"/>
  <c r="AL109" i="4"/>
  <c r="AL71" i="4"/>
  <c r="AL101" i="4"/>
  <c r="AL80" i="4"/>
  <c r="AL135" i="4"/>
  <c r="AL110" i="4"/>
  <c r="AL73" i="4"/>
  <c r="AL138" i="4"/>
  <c r="AL137" i="4"/>
  <c r="AL77" i="4"/>
  <c r="AL132" i="4"/>
  <c r="AL126" i="4"/>
  <c r="AL83" i="4"/>
  <c r="AL128" i="4"/>
  <c r="AJ85" i="2"/>
  <c r="AJ99" i="2"/>
  <c r="AJ80" i="15"/>
  <c r="AK99" i="4"/>
  <c r="AK113" i="4"/>
  <c r="AK85" i="4"/>
  <c r="AK72" i="2"/>
  <c r="AW72" i="2" s="1"/>
  <c r="AK101" i="2"/>
  <c r="AK103" i="2"/>
  <c r="AK76" i="2"/>
  <c r="AW76" i="2" s="1"/>
  <c r="AK59" i="2"/>
  <c r="AK73" i="2"/>
  <c r="AW73" i="2" s="1"/>
  <c r="AK125" i="2"/>
  <c r="AK132" i="2"/>
  <c r="AW132" i="2" s="1"/>
  <c r="AK82" i="2"/>
  <c r="AW82" i="2" s="1"/>
  <c r="AK137" i="2"/>
  <c r="AW137" i="2" s="1"/>
  <c r="AK131" i="2"/>
  <c r="AK109" i="2"/>
  <c r="AK102" i="2"/>
  <c r="AK94" i="2"/>
  <c r="AK83" i="2"/>
  <c r="AW83" i="2" s="1"/>
  <c r="AK104" i="2"/>
  <c r="AK69" i="2"/>
  <c r="AW69" i="2" s="1"/>
  <c r="AK136" i="2"/>
  <c r="AW136" i="2" s="1"/>
  <c r="AK111" i="2"/>
  <c r="AK84" i="2"/>
  <c r="AW84" i="2" s="1"/>
  <c r="AK138" i="2"/>
  <c r="AW138" i="2" s="1"/>
  <c r="AK80" i="2"/>
  <c r="AW80" i="2" s="1"/>
  <c r="AK126" i="2"/>
  <c r="AW126" i="2" s="1"/>
  <c r="AK159" i="2"/>
  <c r="AK133" i="2"/>
  <c r="AK134" i="2"/>
  <c r="AW134" i="2" s="1"/>
  <c r="AK110" i="2"/>
  <c r="AK77" i="2"/>
  <c r="AW77" i="2" s="1"/>
  <c r="AK98" i="2"/>
  <c r="AK112" i="2"/>
  <c r="AK105" i="2"/>
  <c r="AK135" i="2"/>
  <c r="AW135" i="2" s="1"/>
  <c r="AK95" i="2"/>
  <c r="AK122" i="2"/>
  <c r="AK68" i="2"/>
  <c r="AW68" i="2" s="1"/>
  <c r="AK121" i="2"/>
  <c r="AK108" i="2"/>
  <c r="AK71" i="2"/>
  <c r="AW71" i="2" s="1"/>
  <c r="AK78" i="2"/>
  <c r="AW78" i="2" s="1"/>
  <c r="AK79" i="2"/>
  <c r="AW79" i="2" s="1"/>
  <c r="AK107" i="2"/>
  <c r="AK128" i="2"/>
  <c r="AW128" i="2" s="1"/>
  <c r="AK70" i="2"/>
  <c r="AK81" i="2"/>
  <c r="AW81" i="2" s="1"/>
  <c r="AJ79" i="15"/>
  <c r="AJ111" i="15"/>
  <c r="AJ113" i="2"/>
  <c r="AM129" i="4"/>
  <c r="Q129" i="15"/>
  <c r="K252" i="15"/>
  <c r="L4" i="15"/>
  <c r="K2" i="15"/>
  <c r="CJ191" i="2" l="1"/>
  <c r="BU193" i="2"/>
  <c r="CJ193" i="2" s="1"/>
  <c r="BI53" i="2"/>
  <c r="BI52" i="15"/>
  <c r="CI52" i="2"/>
  <c r="CI191" i="15"/>
  <c r="P19" i="14" s="1"/>
  <c r="AB19" i="14" s="1"/>
  <c r="BI193" i="15"/>
  <c r="CI193" i="15" s="1"/>
  <c r="BU191" i="15"/>
  <c r="CJ24" i="15"/>
  <c r="CH53" i="2"/>
  <c r="AW53" i="15"/>
  <c r="CH53" i="15" s="1"/>
  <c r="BU32" i="15"/>
  <c r="CJ32" i="15" s="1"/>
  <c r="BU52" i="2"/>
  <c r="CJ32" i="2"/>
  <c r="BS21" i="8"/>
  <c r="BR26" i="8"/>
  <c r="BW52" i="15"/>
  <c r="AU218" i="15"/>
  <c r="BG218" i="15"/>
  <c r="AK218" i="15"/>
  <c r="AK108" i="15"/>
  <c r="BX52" i="4"/>
  <c r="BX45" i="15"/>
  <c r="CJ45" i="4"/>
  <c r="BV266" i="4"/>
  <c r="BV264" i="4" s="1"/>
  <c r="BW265" i="4"/>
  <c r="BX268" i="2"/>
  <c r="BW264" i="2"/>
  <c r="AK84" i="15"/>
  <c r="AK113" i="2"/>
  <c r="AK111" i="15"/>
  <c r="AK72" i="15"/>
  <c r="AL113" i="4"/>
  <c r="AL85" i="4"/>
  <c r="AL79" i="2"/>
  <c r="AX79" i="2" s="1"/>
  <c r="AL77" i="2"/>
  <c r="AX77" i="2" s="1"/>
  <c r="AL69" i="2"/>
  <c r="AX69" i="2" s="1"/>
  <c r="AL82" i="2"/>
  <c r="AX82" i="2" s="1"/>
  <c r="AL98" i="2"/>
  <c r="AL84" i="2"/>
  <c r="AX84" i="2" s="1"/>
  <c r="AL76" i="2"/>
  <c r="AX76" i="2" s="1"/>
  <c r="AL101" i="2"/>
  <c r="AL136" i="2"/>
  <c r="AX136" i="2" s="1"/>
  <c r="AL132" i="2"/>
  <c r="AX132" i="2" s="1"/>
  <c r="AL111" i="2"/>
  <c r="AL112" i="2"/>
  <c r="AL137" i="2"/>
  <c r="AX137" i="2" s="1"/>
  <c r="AL83" i="2"/>
  <c r="AX83" i="2" s="1"/>
  <c r="AL135" i="2"/>
  <c r="AX135" i="2" s="1"/>
  <c r="AL128" i="2"/>
  <c r="AX128" i="2" s="1"/>
  <c r="AL108" i="2"/>
  <c r="AL73" i="2"/>
  <c r="AX73" i="2" s="1"/>
  <c r="AL109" i="2"/>
  <c r="AL68" i="2"/>
  <c r="AX68" i="2" s="1"/>
  <c r="AL103" i="2"/>
  <c r="AL134" i="2"/>
  <c r="AX134" i="2" s="1"/>
  <c r="AL94" i="2"/>
  <c r="AL102" i="2"/>
  <c r="AL59" i="2"/>
  <c r="AL122" i="2"/>
  <c r="AL81" i="2"/>
  <c r="AX81" i="2" s="1"/>
  <c r="AL72" i="2"/>
  <c r="AX72" i="2" s="1"/>
  <c r="AL80" i="2"/>
  <c r="AX80" i="2" s="1"/>
  <c r="AL104" i="2"/>
  <c r="AL95" i="2"/>
  <c r="AL138" i="2"/>
  <c r="AX138" i="2" s="1"/>
  <c r="AL110" i="2"/>
  <c r="AL105" i="2"/>
  <c r="AL125" i="2"/>
  <c r="AL159" i="2"/>
  <c r="AL121" i="2"/>
  <c r="AL78" i="2"/>
  <c r="AX78" i="2" s="1"/>
  <c r="AL71" i="2"/>
  <c r="AX71" i="2" s="1"/>
  <c r="AL107" i="2"/>
  <c r="AL131" i="2"/>
  <c r="AL70" i="2"/>
  <c r="AL126" i="2"/>
  <c r="AX126" i="2" s="1"/>
  <c r="AK80" i="15"/>
  <c r="AK85" i="2"/>
  <c r="AL99" i="4"/>
  <c r="AM98" i="4"/>
  <c r="AM107" i="4"/>
  <c r="AM104" i="4"/>
  <c r="AM125" i="4"/>
  <c r="AM128" i="4"/>
  <c r="AM102" i="4"/>
  <c r="AM132" i="4"/>
  <c r="AM105" i="4"/>
  <c r="AM112" i="4"/>
  <c r="AM127" i="4"/>
  <c r="AM71" i="4"/>
  <c r="AM84" i="4"/>
  <c r="AM110" i="4"/>
  <c r="AM73" i="4"/>
  <c r="AM126" i="4"/>
  <c r="AM68" i="4"/>
  <c r="AM78" i="4"/>
  <c r="AM134" i="4"/>
  <c r="AM108" i="4"/>
  <c r="AM111" i="4"/>
  <c r="AM121" i="4"/>
  <c r="AM72" i="4"/>
  <c r="AM109" i="4"/>
  <c r="AM70" i="4"/>
  <c r="AM122" i="4"/>
  <c r="AM95" i="4"/>
  <c r="AM83" i="4"/>
  <c r="AM81" i="4"/>
  <c r="AM59" i="4"/>
  <c r="AM79" i="4"/>
  <c r="AM80" i="4"/>
  <c r="AM133" i="4"/>
  <c r="AM77" i="4"/>
  <c r="AM94" i="4"/>
  <c r="AM82" i="4"/>
  <c r="AM69" i="4"/>
  <c r="AM101" i="4"/>
  <c r="AM135" i="4"/>
  <c r="AM103" i="4"/>
  <c r="AM76" i="4"/>
  <c r="AM137" i="4"/>
  <c r="AM131" i="4"/>
  <c r="AM159" i="4"/>
  <c r="AM138" i="4"/>
  <c r="AM136" i="4"/>
  <c r="AK79" i="15"/>
  <c r="AK99" i="2"/>
  <c r="Q196" i="15"/>
  <c r="R129" i="15"/>
  <c r="L252" i="15"/>
  <c r="M4" i="15"/>
  <c r="L2" i="15"/>
  <c r="CJ191" i="15" l="1"/>
  <c r="R19" i="14" s="1"/>
  <c r="AD19" i="14" s="1"/>
  <c r="BU193" i="15"/>
  <c r="CI53" i="2"/>
  <c r="BI53" i="15"/>
  <c r="BU53" i="2"/>
  <c r="CJ52" i="2"/>
  <c r="BU52" i="15"/>
  <c r="BT21" i="8"/>
  <c r="BS26" i="8"/>
  <c r="BR218" i="15"/>
  <c r="AN129" i="4"/>
  <c r="AV218" i="15"/>
  <c r="AW218" i="15"/>
  <c r="BX53" i="4"/>
  <c r="BX52" i="15"/>
  <c r="CJ52" i="4"/>
  <c r="BX264" i="2"/>
  <c r="BW266" i="4"/>
  <c r="BW264" i="4" s="1"/>
  <c r="BX265" i="4"/>
  <c r="BX188" i="15"/>
  <c r="CI45" i="15"/>
  <c r="CJ45" i="15"/>
  <c r="AL84" i="15"/>
  <c r="AL108" i="15"/>
  <c r="AN76" i="4"/>
  <c r="AN133" i="4"/>
  <c r="AN104" i="4"/>
  <c r="AN82" i="4"/>
  <c r="AN135" i="4"/>
  <c r="AN98" i="4"/>
  <c r="AN126" i="4"/>
  <c r="AN138" i="4"/>
  <c r="AN79" i="4"/>
  <c r="AN70" i="4"/>
  <c r="AN101" i="4"/>
  <c r="AN102" i="4"/>
  <c r="AN137" i="4"/>
  <c r="AN73" i="4"/>
  <c r="AN83" i="4"/>
  <c r="AN94" i="4"/>
  <c r="AN72" i="4"/>
  <c r="AN108" i="4"/>
  <c r="AN103" i="4"/>
  <c r="AN81" i="4"/>
  <c r="AN128" i="4"/>
  <c r="AN111" i="4"/>
  <c r="AN69" i="4"/>
  <c r="AN107" i="4"/>
  <c r="AN131" i="4"/>
  <c r="AN134" i="4"/>
  <c r="AN125" i="4"/>
  <c r="AN78" i="4"/>
  <c r="AN132" i="4"/>
  <c r="AN127" i="4"/>
  <c r="AN159" i="4"/>
  <c r="AN59" i="4"/>
  <c r="AN112" i="4"/>
  <c r="AN110" i="4"/>
  <c r="AN68" i="4"/>
  <c r="AN95" i="4"/>
  <c r="AN80" i="4"/>
  <c r="AN136" i="4"/>
  <c r="AN77" i="4"/>
  <c r="AN71" i="4"/>
  <c r="AN109" i="4"/>
  <c r="AN122" i="4"/>
  <c r="AN121" i="4"/>
  <c r="AN105" i="4"/>
  <c r="AN84" i="4"/>
  <c r="AM113" i="4"/>
  <c r="AL80" i="15"/>
  <c r="AL99" i="2"/>
  <c r="AL79" i="15"/>
  <c r="AM85" i="4"/>
  <c r="AM99" i="4"/>
  <c r="AL72" i="15"/>
  <c r="AL113" i="2"/>
  <c r="AM110" i="2"/>
  <c r="AM79" i="2"/>
  <c r="AY79" i="2" s="1"/>
  <c r="AM111" i="2"/>
  <c r="AM159" i="2"/>
  <c r="AM132" i="2"/>
  <c r="AY132" i="2" s="1"/>
  <c r="AM98" i="2"/>
  <c r="AM135" i="2"/>
  <c r="AY135" i="2" s="1"/>
  <c r="AM78" i="2"/>
  <c r="AY78" i="2" s="1"/>
  <c r="AM84" i="2"/>
  <c r="AY84" i="2" s="1"/>
  <c r="AM131" i="2"/>
  <c r="AM125" i="2"/>
  <c r="AM76" i="2"/>
  <c r="AY76" i="2" s="1"/>
  <c r="AM103" i="2"/>
  <c r="AM138" i="2"/>
  <c r="AY138" i="2" s="1"/>
  <c r="AM105" i="2"/>
  <c r="AM68" i="2"/>
  <c r="AY68" i="2" s="1"/>
  <c r="AM121" i="2"/>
  <c r="AM82" i="2"/>
  <c r="AY82" i="2" s="1"/>
  <c r="AM59" i="2"/>
  <c r="AM71" i="2"/>
  <c r="AY71" i="2" s="1"/>
  <c r="AM134" i="2"/>
  <c r="AY134" i="2" s="1"/>
  <c r="AM122" i="2"/>
  <c r="AM108" i="2"/>
  <c r="AM72" i="2"/>
  <c r="AY72" i="2" s="1"/>
  <c r="AM128" i="2"/>
  <c r="AY128" i="2" s="1"/>
  <c r="AM95" i="2"/>
  <c r="AM102" i="2"/>
  <c r="AM133" i="2"/>
  <c r="AM73" i="2"/>
  <c r="AY73" i="2" s="1"/>
  <c r="AM101" i="2"/>
  <c r="AM77" i="2"/>
  <c r="AY77" i="2" s="1"/>
  <c r="AM137" i="2"/>
  <c r="AY137" i="2" s="1"/>
  <c r="AM81" i="2"/>
  <c r="AY81" i="2" s="1"/>
  <c r="AM80" i="2"/>
  <c r="AY80" i="2" s="1"/>
  <c r="AM112" i="2"/>
  <c r="AM126" i="2"/>
  <c r="AY126" i="2" s="1"/>
  <c r="AM109" i="2"/>
  <c r="AM104" i="2"/>
  <c r="AM136" i="2"/>
  <c r="AY136" i="2" s="1"/>
  <c r="AM107" i="2"/>
  <c r="AM94" i="2"/>
  <c r="AM70" i="2"/>
  <c r="AM83" i="2"/>
  <c r="AY83" i="2" s="1"/>
  <c r="AM69" i="2"/>
  <c r="AY69" i="2" s="1"/>
  <c r="AL111" i="15"/>
  <c r="AL85" i="2"/>
  <c r="R196" i="15"/>
  <c r="S129" i="15"/>
  <c r="M252" i="15"/>
  <c r="N4" i="15"/>
  <c r="M2" i="15"/>
  <c r="D39" i="14"/>
  <c r="F39" i="14"/>
  <c r="D21" i="14"/>
  <c r="F21" i="14"/>
  <c r="L4" i="14"/>
  <c r="A1" i="14"/>
  <c r="P148" i="15"/>
  <c r="P126" i="15"/>
  <c r="P89" i="15"/>
  <c r="O157" i="4"/>
  <c r="O158" i="4" s="1"/>
  <c r="P140" i="4"/>
  <c r="O140" i="4"/>
  <c r="N140" i="4"/>
  <c r="N123" i="4"/>
  <c r="P85" i="4"/>
  <c r="O85" i="4"/>
  <c r="P163" i="15"/>
  <c r="O159" i="15"/>
  <c r="M154" i="15"/>
  <c r="N153" i="15"/>
  <c r="N150" i="15"/>
  <c r="M150" i="15"/>
  <c r="O149" i="15"/>
  <c r="N149" i="15"/>
  <c r="N147" i="15"/>
  <c r="M146" i="15"/>
  <c r="O144" i="15"/>
  <c r="N157" i="2"/>
  <c r="M136" i="15"/>
  <c r="N135" i="15"/>
  <c r="N198" i="15" s="1"/>
  <c r="P133" i="15"/>
  <c r="N131" i="15"/>
  <c r="O126" i="15"/>
  <c r="N117" i="15"/>
  <c r="M117" i="15"/>
  <c r="P116" i="15"/>
  <c r="N116" i="15"/>
  <c r="M115" i="15"/>
  <c r="M110" i="15"/>
  <c r="N109" i="15"/>
  <c r="M97" i="15"/>
  <c r="N95" i="15"/>
  <c r="N92" i="15"/>
  <c r="O91" i="15"/>
  <c r="M88" i="15"/>
  <c r="P96" i="2"/>
  <c r="N86" i="15"/>
  <c r="P85" i="2"/>
  <c r="M69" i="15"/>
  <c r="M68" i="15"/>
  <c r="N66" i="15"/>
  <c r="O63" i="15"/>
  <c r="N59" i="15"/>
  <c r="M59" i="15"/>
  <c r="P58" i="15"/>
  <c r="O58" i="15"/>
  <c r="N58" i="15"/>
  <c r="M51" i="15"/>
  <c r="N42" i="15"/>
  <c r="M42" i="15"/>
  <c r="P39" i="15"/>
  <c r="P187" i="15" s="1"/>
  <c r="O35" i="15"/>
  <c r="P31" i="15"/>
  <c r="M31" i="15"/>
  <c r="O23" i="15"/>
  <c r="Y32" i="4"/>
  <c r="Q123" i="4"/>
  <c r="Q113" i="4"/>
  <c r="Q85" i="4"/>
  <c r="AC65" i="8"/>
  <c r="AD65" i="8" s="1"/>
  <c r="AE65" i="8" s="1"/>
  <c r="AF65" i="8" s="1"/>
  <c r="AG65" i="8" s="1"/>
  <c r="AH65" i="8" s="1"/>
  <c r="AI65" i="8" s="1"/>
  <c r="AJ65" i="8" s="1"/>
  <c r="AK65" i="8" s="1"/>
  <c r="AL65" i="8" s="1"/>
  <c r="AM65" i="8" s="1"/>
  <c r="AN65" i="8" s="1"/>
  <c r="AO65" i="8" s="1"/>
  <c r="AP65" i="8" s="1"/>
  <c r="AQ65" i="8" s="1"/>
  <c r="AR65" i="8" s="1"/>
  <c r="AS65" i="8" s="1"/>
  <c r="AT65" i="8" s="1"/>
  <c r="AU65" i="8" s="1"/>
  <c r="AV65" i="8" s="1"/>
  <c r="AW65" i="8" s="1"/>
  <c r="AX65" i="8" s="1"/>
  <c r="AY65" i="8" s="1"/>
  <c r="AZ65" i="8" s="1"/>
  <c r="BA65" i="8" s="1"/>
  <c r="BB65" i="8" s="1"/>
  <c r="BC65" i="8" s="1"/>
  <c r="BD65" i="8" s="1"/>
  <c r="BE65" i="8" s="1"/>
  <c r="BF65" i="8" s="1"/>
  <c r="BG65" i="8" s="1"/>
  <c r="BH65" i="8" s="1"/>
  <c r="BI65" i="8" s="1"/>
  <c r="BJ65" i="8" s="1"/>
  <c r="BK65" i="8" s="1"/>
  <c r="BL65" i="8" s="1"/>
  <c r="BM65" i="8" s="1"/>
  <c r="BN65" i="8" s="1"/>
  <c r="BO65" i="8" s="1"/>
  <c r="BP65" i="8" s="1"/>
  <c r="BQ65" i="8" s="1"/>
  <c r="BR65" i="8" s="1"/>
  <c r="BS65" i="8" s="1"/>
  <c r="BT65" i="8" s="1"/>
  <c r="BU65" i="8" s="1"/>
  <c r="BV65" i="8" s="1"/>
  <c r="BW65" i="8" s="1"/>
  <c r="BX65" i="8" s="1"/>
  <c r="BY65" i="8" s="1"/>
  <c r="CJ53" i="2" l="1"/>
  <c r="BU53" i="15"/>
  <c r="F40" i="14"/>
  <c r="F22" i="14"/>
  <c r="BU21" i="8"/>
  <c r="BT26" i="8"/>
  <c r="AL218" i="15"/>
  <c r="AO129" i="4"/>
  <c r="AO94" i="4"/>
  <c r="AO82" i="4"/>
  <c r="AO127" i="4"/>
  <c r="AO68" i="4"/>
  <c r="AO112" i="4"/>
  <c r="AO135" i="4"/>
  <c r="AO73" i="4"/>
  <c r="AO108" i="4"/>
  <c r="AO84" i="4"/>
  <c r="AO78" i="4"/>
  <c r="AO133" i="4"/>
  <c r="AO71" i="4"/>
  <c r="AO126" i="4"/>
  <c r="AO102" i="4"/>
  <c r="AO72" i="4"/>
  <c r="AO128" i="4"/>
  <c r="AO105" i="4"/>
  <c r="AO136" i="4"/>
  <c r="AO70" i="4"/>
  <c r="AO109" i="4"/>
  <c r="AO98" i="4"/>
  <c r="AO59" i="4"/>
  <c r="AO93" i="4"/>
  <c r="AO80" i="4"/>
  <c r="AO79" i="4"/>
  <c r="AO104" i="4"/>
  <c r="AO95" i="4"/>
  <c r="AO103" i="4"/>
  <c r="AO111" i="4"/>
  <c r="AO131" i="4"/>
  <c r="AO121" i="4"/>
  <c r="AO137" i="4"/>
  <c r="AO122" i="4"/>
  <c r="AO125" i="4"/>
  <c r="AO81" i="4"/>
  <c r="AO134" i="4"/>
  <c r="AO138" i="4"/>
  <c r="AO110" i="4"/>
  <c r="AO83" i="4"/>
  <c r="AO69" i="4"/>
  <c r="AO107" i="4"/>
  <c r="AO132" i="4"/>
  <c r="AO77" i="4"/>
  <c r="AO159" i="4"/>
  <c r="AO101" i="4"/>
  <c r="AO76" i="4"/>
  <c r="BS218" i="15"/>
  <c r="AO70" i="2"/>
  <c r="AO108" i="2"/>
  <c r="AO133" i="2"/>
  <c r="AO101" i="2"/>
  <c r="AO98" i="2"/>
  <c r="AO110" i="2"/>
  <c r="AO95" i="2"/>
  <c r="AO102" i="2"/>
  <c r="AO105" i="2"/>
  <c r="AO122" i="2"/>
  <c r="AO109" i="2"/>
  <c r="AO112" i="2"/>
  <c r="AO107" i="2"/>
  <c r="AO131" i="2"/>
  <c r="AO111" i="2"/>
  <c r="AO104" i="2"/>
  <c r="AO94" i="2"/>
  <c r="AO121" i="2"/>
  <c r="AO125" i="2"/>
  <c r="AO93" i="2"/>
  <c r="AO103" i="2"/>
  <c r="AO159" i="2"/>
  <c r="AO59" i="2"/>
  <c r="BH218" i="15"/>
  <c r="CI52" i="15"/>
  <c r="CJ52" i="15"/>
  <c r="BX193" i="15"/>
  <c r="CI188" i="15"/>
  <c r="CJ188" i="15"/>
  <c r="BX266" i="4"/>
  <c r="BX264" i="4" s="1"/>
  <c r="BX53" i="15"/>
  <c r="CJ53" i="4"/>
  <c r="CE140" i="4"/>
  <c r="CE85" i="4"/>
  <c r="CG84" i="4"/>
  <c r="CG109" i="4"/>
  <c r="CG80" i="4"/>
  <c r="CG112" i="4"/>
  <c r="CG132" i="4"/>
  <c r="CG131" i="4"/>
  <c r="CG128" i="4"/>
  <c r="CG108" i="4"/>
  <c r="CG73" i="4"/>
  <c r="CG126" i="4"/>
  <c r="CG104" i="4"/>
  <c r="CG136" i="4"/>
  <c r="CG127" i="4"/>
  <c r="CG111" i="4"/>
  <c r="CG102" i="4"/>
  <c r="CG138" i="4"/>
  <c r="CG105" i="4"/>
  <c r="CG71" i="4"/>
  <c r="CG95" i="4"/>
  <c r="CG78" i="4"/>
  <c r="CG107" i="4"/>
  <c r="CG106" i="4"/>
  <c r="CG72" i="4"/>
  <c r="CG70" i="4"/>
  <c r="CG133" i="4"/>
  <c r="CG122" i="4"/>
  <c r="CG110" i="4"/>
  <c r="CG134" i="4"/>
  <c r="CG103" i="4"/>
  <c r="CG83" i="4"/>
  <c r="CG82" i="4"/>
  <c r="N158" i="2"/>
  <c r="CG77" i="4"/>
  <c r="CG68" i="4"/>
  <c r="CG159" i="4"/>
  <c r="CG69" i="4"/>
  <c r="CG81" i="4"/>
  <c r="CG94" i="4"/>
  <c r="CG137" i="4"/>
  <c r="CG79" i="4"/>
  <c r="CG135" i="4"/>
  <c r="AM108" i="15"/>
  <c r="AM84" i="15"/>
  <c r="AM113" i="2"/>
  <c r="AM99" i="2"/>
  <c r="AM111" i="15"/>
  <c r="AN85" i="4"/>
  <c r="AN68" i="2"/>
  <c r="AZ68" i="2" s="1"/>
  <c r="AN109" i="2"/>
  <c r="AN76" i="2"/>
  <c r="AZ76" i="2" s="1"/>
  <c r="AN83" i="2"/>
  <c r="AZ83" i="2" s="1"/>
  <c r="AN111" i="2"/>
  <c r="AN121" i="2"/>
  <c r="AN71" i="2"/>
  <c r="AZ71" i="2" s="1"/>
  <c r="AN103" i="2"/>
  <c r="AN125" i="2"/>
  <c r="AN137" i="2"/>
  <c r="AZ137" i="2" s="1"/>
  <c r="AN81" i="2"/>
  <c r="AZ81" i="2" s="1"/>
  <c r="AN134" i="2"/>
  <c r="AZ134" i="2" s="1"/>
  <c r="AN73" i="2"/>
  <c r="AZ73" i="2" s="1"/>
  <c r="AN112" i="2"/>
  <c r="AN102" i="2"/>
  <c r="AN131" i="2"/>
  <c r="AN84" i="2"/>
  <c r="AZ84" i="2" s="1"/>
  <c r="AN69" i="2"/>
  <c r="AZ69" i="2" s="1"/>
  <c r="AN95" i="2"/>
  <c r="AN72" i="2"/>
  <c r="AZ72" i="2" s="1"/>
  <c r="AN126" i="2"/>
  <c r="AZ126" i="2" s="1"/>
  <c r="AN59" i="2"/>
  <c r="AN59" i="15" s="1"/>
  <c r="AN98" i="2"/>
  <c r="AN108" i="2"/>
  <c r="AN104" i="2"/>
  <c r="AN105" i="2"/>
  <c r="AN159" i="2"/>
  <c r="AN135" i="2"/>
  <c r="AZ135" i="2" s="1"/>
  <c r="AN128" i="2"/>
  <c r="AZ128" i="2" s="1"/>
  <c r="AN80" i="2"/>
  <c r="AZ80" i="2" s="1"/>
  <c r="AN77" i="2"/>
  <c r="AZ77" i="2" s="1"/>
  <c r="AN70" i="2"/>
  <c r="AN133" i="2"/>
  <c r="AN138" i="2"/>
  <c r="AZ138" i="2" s="1"/>
  <c r="AN101" i="2"/>
  <c r="AN136" i="2"/>
  <c r="AZ136" i="2" s="1"/>
  <c r="AN132" i="2"/>
  <c r="AZ132" i="2" s="1"/>
  <c r="AN78" i="2"/>
  <c r="AZ78" i="2" s="1"/>
  <c r="AN82" i="2"/>
  <c r="AZ82" i="2" s="1"/>
  <c r="AN110" i="2"/>
  <c r="AN94" i="2"/>
  <c r="AN107" i="2"/>
  <c r="AN122" i="2"/>
  <c r="AN79" i="2"/>
  <c r="AZ79" i="2" s="1"/>
  <c r="AM79" i="15"/>
  <c r="AM80" i="15"/>
  <c r="AM72" i="15"/>
  <c r="AM85" i="2"/>
  <c r="AN113" i="4"/>
  <c r="AN99" i="4"/>
  <c r="P123" i="4"/>
  <c r="T32" i="15"/>
  <c r="P140" i="2"/>
  <c r="P157" i="2"/>
  <c r="P158" i="2" s="1"/>
  <c r="P70" i="15"/>
  <c r="Q157" i="4"/>
  <c r="AA32" i="4"/>
  <c r="O113" i="4"/>
  <c r="Q32" i="4"/>
  <c r="AB32" i="4"/>
  <c r="Z32" i="4"/>
  <c r="S196" i="15"/>
  <c r="T140" i="15"/>
  <c r="T129" i="15"/>
  <c r="O74" i="2"/>
  <c r="Q85" i="15"/>
  <c r="Q96" i="4"/>
  <c r="Q74" i="4"/>
  <c r="V99" i="15"/>
  <c r="P74" i="2"/>
  <c r="P99" i="2"/>
  <c r="O113" i="2"/>
  <c r="O146" i="15"/>
  <c r="O74" i="4"/>
  <c r="P96" i="4"/>
  <c r="P99" i="4"/>
  <c r="N113" i="4"/>
  <c r="P157" i="4"/>
  <c r="P158" i="4" s="1"/>
  <c r="V85" i="15"/>
  <c r="W99" i="15"/>
  <c r="N123" i="2"/>
  <c r="O121" i="15"/>
  <c r="AM121" i="15"/>
  <c r="O145" i="15"/>
  <c r="P74" i="4"/>
  <c r="N74" i="2"/>
  <c r="N99" i="2"/>
  <c r="O123" i="2"/>
  <c r="O157" i="2"/>
  <c r="O158" i="2" s="1"/>
  <c r="N96" i="4"/>
  <c r="N99" i="4"/>
  <c r="P113" i="4"/>
  <c r="O123" i="4"/>
  <c r="N157" i="4"/>
  <c r="R32" i="15"/>
  <c r="O97" i="15"/>
  <c r="O99" i="2"/>
  <c r="AL104" i="15"/>
  <c r="N113" i="2"/>
  <c r="P120" i="15"/>
  <c r="P123" i="2"/>
  <c r="N122" i="15"/>
  <c r="AL122" i="15"/>
  <c r="N74" i="4"/>
  <c r="O96" i="4"/>
  <c r="AA97" i="15"/>
  <c r="O99" i="4"/>
  <c r="O69" i="8"/>
  <c r="Y113" i="4"/>
  <c r="CF113" i="4" s="1"/>
  <c r="M163" i="15"/>
  <c r="N163" i="15"/>
  <c r="P90" i="15"/>
  <c r="M143" i="15"/>
  <c r="N23" i="15"/>
  <c r="P86" i="15"/>
  <c r="AH32" i="4"/>
  <c r="AN32" i="4"/>
  <c r="M114" i="15"/>
  <c r="M123" i="15"/>
  <c r="O117" i="15"/>
  <c r="O119" i="15"/>
  <c r="O120" i="15"/>
  <c r="N121" i="15"/>
  <c r="AL121" i="15"/>
  <c r="M122" i="15"/>
  <c r="M99" i="15"/>
  <c r="AG32" i="4"/>
  <c r="AM32" i="4"/>
  <c r="O87" i="15"/>
  <c r="M95" i="15"/>
  <c r="AK95" i="15"/>
  <c r="AD32" i="4"/>
  <c r="AC32" i="4"/>
  <c r="N24" i="15"/>
  <c r="N35" i="15"/>
  <c r="AL35" i="15"/>
  <c r="N54" i="15"/>
  <c r="M55" i="15"/>
  <c r="Y55" i="15"/>
  <c r="P56" i="15"/>
  <c r="O61" i="15"/>
  <c r="P75" i="15"/>
  <c r="AB75" i="15"/>
  <c r="O76" i="15"/>
  <c r="N77" i="15"/>
  <c r="AL77" i="15"/>
  <c r="M78" i="15"/>
  <c r="AK78" i="15"/>
  <c r="P81" i="15"/>
  <c r="O82" i="15"/>
  <c r="AM82" i="15"/>
  <c r="N83" i="15"/>
  <c r="M159" i="15"/>
  <c r="AL32" i="4"/>
  <c r="AL95" i="15"/>
  <c r="O54" i="15"/>
  <c r="N55" i="15"/>
  <c r="M56" i="15"/>
  <c r="Y56" i="15"/>
  <c r="P61" i="15"/>
  <c r="O65" i="15"/>
  <c r="P69" i="15"/>
  <c r="O70" i="15"/>
  <c r="AM70" i="15"/>
  <c r="N100" i="15"/>
  <c r="N104" i="15"/>
  <c r="O133" i="15"/>
  <c r="M142" i="15"/>
  <c r="M158" i="15"/>
  <c r="P143" i="15"/>
  <c r="N98" i="15"/>
  <c r="O100" i="15"/>
  <c r="N124" i="15"/>
  <c r="N142" i="15"/>
  <c r="AE32" i="4"/>
  <c r="AI32" i="4"/>
  <c r="M58" i="15"/>
  <c r="M61" i="15"/>
  <c r="N63" i="15"/>
  <c r="M85" i="15"/>
  <c r="M87" i="15"/>
  <c r="P100" i="15"/>
  <c r="O101" i="15"/>
  <c r="N102" i="15"/>
  <c r="M103" i="15"/>
  <c r="P104" i="15"/>
  <c r="O105" i="15"/>
  <c r="N106" i="15"/>
  <c r="M109" i="15"/>
  <c r="P110" i="15"/>
  <c r="O112" i="15"/>
  <c r="O124" i="15"/>
  <c r="N125" i="15"/>
  <c r="M126" i="15"/>
  <c r="M127" i="15"/>
  <c r="P128" i="15"/>
  <c r="O142" i="15"/>
  <c r="Q58" i="15"/>
  <c r="AL131" i="15"/>
  <c r="U85" i="15"/>
  <c r="AB133" i="15"/>
  <c r="AF32" i="4"/>
  <c r="AK32" i="4"/>
  <c r="M24" i="15"/>
  <c r="O39" i="15"/>
  <c r="O187" i="15" s="1"/>
  <c r="O56" i="15"/>
  <c r="P66" i="15"/>
  <c r="O68" i="15"/>
  <c r="P71" i="15"/>
  <c r="N76" i="15"/>
  <c r="O81" i="15"/>
  <c r="M83" i="15"/>
  <c r="M92" i="15"/>
  <c r="P98" i="15"/>
  <c r="M100" i="15"/>
  <c r="O102" i="15"/>
  <c r="N103" i="15"/>
  <c r="M104" i="15"/>
  <c r="P114" i="15"/>
  <c r="P131" i="15"/>
  <c r="P135" i="15"/>
  <c r="P198" i="15" s="1"/>
  <c r="O136" i="15"/>
  <c r="N137" i="15"/>
  <c r="P153" i="15"/>
  <c r="O154" i="15"/>
  <c r="N156" i="15"/>
  <c r="M157" i="15"/>
  <c r="AA100" i="15"/>
  <c r="AA142" i="15"/>
  <c r="O32" i="15"/>
  <c r="P32" i="15"/>
  <c r="N71" i="15"/>
  <c r="AC39" i="15"/>
  <c r="Q39" i="15"/>
  <c r="AC133" i="15"/>
  <c r="Q133" i="15"/>
  <c r="Q149" i="15"/>
  <c r="AC116" i="15"/>
  <c r="Q116" i="15"/>
  <c r="Q120" i="15"/>
  <c r="Q124" i="15"/>
  <c r="AC128" i="15"/>
  <c r="Q128" i="15"/>
  <c r="AC134" i="15"/>
  <c r="Q134" i="15"/>
  <c r="AC138" i="15"/>
  <c r="Q138" i="15"/>
  <c r="Q142" i="15"/>
  <c r="AC146" i="15"/>
  <c r="Q146" i="15"/>
  <c r="Q150" i="15"/>
  <c r="Q154" i="15"/>
  <c r="Q159" i="15"/>
  <c r="R106" i="15"/>
  <c r="AH106" i="15"/>
  <c r="V106" i="15"/>
  <c r="AE107" i="15"/>
  <c r="S107" i="15"/>
  <c r="AD109" i="15"/>
  <c r="R109" i="15"/>
  <c r="AH109" i="15"/>
  <c r="V109" i="15"/>
  <c r="AD110" i="15"/>
  <c r="R110" i="15"/>
  <c r="AH110" i="15"/>
  <c r="V110" i="15"/>
  <c r="AG112" i="15"/>
  <c r="U112" i="15"/>
  <c r="U113" i="15"/>
  <c r="U114" i="15"/>
  <c r="U115" i="15"/>
  <c r="AG116" i="15"/>
  <c r="U116" i="15"/>
  <c r="S118" i="15"/>
  <c r="W118" i="15"/>
  <c r="U119" i="15"/>
  <c r="R120" i="15"/>
  <c r="V120" i="15"/>
  <c r="AD121" i="15"/>
  <c r="R121" i="15"/>
  <c r="AH121" i="15"/>
  <c r="V121" i="15"/>
  <c r="AD122" i="15"/>
  <c r="R122" i="15"/>
  <c r="AH122" i="15"/>
  <c r="V122" i="15"/>
  <c r="U124" i="15"/>
  <c r="AF125" i="15"/>
  <c r="T125" i="15"/>
  <c r="AG126" i="15"/>
  <c r="U126" i="15"/>
  <c r="AG127" i="15"/>
  <c r="U127" i="15"/>
  <c r="AG128" i="15"/>
  <c r="U128" i="15"/>
  <c r="AG131" i="15"/>
  <c r="U131" i="15"/>
  <c r="AD132" i="15"/>
  <c r="R132" i="15"/>
  <c r="AH132" i="15"/>
  <c r="V132" i="15"/>
  <c r="AD133" i="15"/>
  <c r="R133" i="15"/>
  <c r="AH133" i="15"/>
  <c r="V133" i="15"/>
  <c r="AG134" i="15"/>
  <c r="U134" i="15"/>
  <c r="AE135" i="15"/>
  <c r="AE198" i="15" s="1"/>
  <c r="S135" i="15"/>
  <c r="S198" i="15" s="1"/>
  <c r="AI135" i="15"/>
  <c r="AI198" i="15" s="1"/>
  <c r="W135" i="15"/>
  <c r="W198" i="15" s="1"/>
  <c r="AE136" i="15"/>
  <c r="S136" i="15"/>
  <c r="AI136" i="15"/>
  <c r="W136" i="15"/>
  <c r="AE137" i="15"/>
  <c r="S137" i="15"/>
  <c r="AI137" i="15"/>
  <c r="W137" i="15"/>
  <c r="AE138" i="15"/>
  <c r="S138" i="15"/>
  <c r="AI138" i="15"/>
  <c r="W138" i="15"/>
  <c r="U139" i="15"/>
  <c r="T142" i="15"/>
  <c r="S143" i="15"/>
  <c r="W143" i="15"/>
  <c r="R144" i="15"/>
  <c r="V144" i="15"/>
  <c r="AE146" i="15"/>
  <c r="S146" i="15"/>
  <c r="AI146" i="15"/>
  <c r="W146" i="15"/>
  <c r="S147" i="15"/>
  <c r="W147" i="15"/>
  <c r="S148" i="15"/>
  <c r="W148" i="15"/>
  <c r="S149" i="15"/>
  <c r="W149" i="15"/>
  <c r="S150" i="15"/>
  <c r="W150" i="15"/>
  <c r="S151" i="15"/>
  <c r="W151" i="15"/>
  <c r="T152" i="15"/>
  <c r="U153" i="15"/>
  <c r="T154" i="15"/>
  <c r="AF156" i="15"/>
  <c r="T156" i="15"/>
  <c r="R159" i="15"/>
  <c r="V159" i="15"/>
  <c r="AD163" i="15"/>
  <c r="R163" i="15"/>
  <c r="AH163" i="15"/>
  <c r="V163" i="15"/>
  <c r="AC126" i="15"/>
  <c r="Q126" i="15"/>
  <c r="Q119" i="15"/>
  <c r="AC127" i="15"/>
  <c r="Q127" i="15"/>
  <c r="AC137" i="15"/>
  <c r="Q137" i="15"/>
  <c r="Q145" i="15"/>
  <c r="Q117" i="15"/>
  <c r="AC121" i="15"/>
  <c r="Q121" i="15"/>
  <c r="AC125" i="15"/>
  <c r="Q125" i="15"/>
  <c r="AC131" i="15"/>
  <c r="Q131" i="15"/>
  <c r="AC135" i="15"/>
  <c r="Q135" i="15"/>
  <c r="Q139" i="15"/>
  <c r="Q143" i="15"/>
  <c r="Q147" i="15"/>
  <c r="Q151" i="15"/>
  <c r="AC156" i="15"/>
  <c r="Q156" i="15"/>
  <c r="AC163" i="15"/>
  <c r="Q163" i="15"/>
  <c r="S106" i="15"/>
  <c r="AI106" i="15"/>
  <c r="W106" i="15"/>
  <c r="AG107" i="15"/>
  <c r="U107" i="15"/>
  <c r="AE109" i="15"/>
  <c r="S109" i="15"/>
  <c r="AI109" i="15"/>
  <c r="W109" i="15"/>
  <c r="AE110" i="15"/>
  <c r="S110" i="15"/>
  <c r="AI110" i="15"/>
  <c r="W110" i="15"/>
  <c r="AD112" i="15"/>
  <c r="R112" i="15"/>
  <c r="AH112" i="15"/>
  <c r="V112" i="15"/>
  <c r="R113" i="15"/>
  <c r="V113" i="15"/>
  <c r="R114" i="15"/>
  <c r="V114" i="15"/>
  <c r="R115" i="15"/>
  <c r="V115" i="15"/>
  <c r="AD116" i="15"/>
  <c r="R116" i="15"/>
  <c r="AH116" i="15"/>
  <c r="V116" i="15"/>
  <c r="T118" i="15"/>
  <c r="R119" i="15"/>
  <c r="V119" i="15"/>
  <c r="S120" i="15"/>
  <c r="W120" i="15"/>
  <c r="AE121" i="15"/>
  <c r="S121" i="15"/>
  <c r="AI121" i="15"/>
  <c r="W121" i="15"/>
  <c r="AE122" i="15"/>
  <c r="S122" i="15"/>
  <c r="AI122" i="15"/>
  <c r="W122" i="15"/>
  <c r="R124" i="15"/>
  <c r="V124" i="15"/>
  <c r="AG125" i="15"/>
  <c r="U125" i="15"/>
  <c r="AD126" i="15"/>
  <c r="R126" i="15"/>
  <c r="AH126" i="15"/>
  <c r="V126" i="15"/>
  <c r="AD127" i="15"/>
  <c r="R127" i="15"/>
  <c r="AH127" i="15"/>
  <c r="V127" i="15"/>
  <c r="AD128" i="15"/>
  <c r="R128" i="15"/>
  <c r="AH128" i="15"/>
  <c r="V128" i="15"/>
  <c r="AD131" i="15"/>
  <c r="R131" i="15"/>
  <c r="AH131" i="15"/>
  <c r="V131" i="15"/>
  <c r="AI132" i="15"/>
  <c r="W132" i="15"/>
  <c r="AE133" i="15"/>
  <c r="S133" i="15"/>
  <c r="AI133" i="15"/>
  <c r="W133" i="15"/>
  <c r="AD134" i="15"/>
  <c r="R134" i="15"/>
  <c r="AH134" i="15"/>
  <c r="V134" i="15"/>
  <c r="AF135" i="15"/>
  <c r="AF198" i="15" s="1"/>
  <c r="T135" i="15"/>
  <c r="T198" i="15" s="1"/>
  <c r="AF136" i="15"/>
  <c r="T136" i="15"/>
  <c r="AF137" i="15"/>
  <c r="T137" i="15"/>
  <c r="AF138" i="15"/>
  <c r="T138" i="15"/>
  <c r="R139" i="15"/>
  <c r="V139" i="15"/>
  <c r="U142" i="15"/>
  <c r="T143" i="15"/>
  <c r="S144" i="15"/>
  <c r="W144" i="15"/>
  <c r="AF146" i="15"/>
  <c r="T146" i="15"/>
  <c r="T147" i="15"/>
  <c r="T148" i="15"/>
  <c r="T149" i="15"/>
  <c r="T150" i="15"/>
  <c r="T151" i="15"/>
  <c r="U152" i="15"/>
  <c r="R153" i="15"/>
  <c r="V153" i="15"/>
  <c r="U154" i="15"/>
  <c r="AG156" i="15"/>
  <c r="U156" i="15"/>
  <c r="S159" i="15"/>
  <c r="W159" i="15"/>
  <c r="AE163" i="15"/>
  <c r="S163" i="15"/>
  <c r="AI163" i="15"/>
  <c r="W163" i="15"/>
  <c r="Q118" i="15"/>
  <c r="AC122" i="15"/>
  <c r="Q122" i="15"/>
  <c r="AC132" i="15"/>
  <c r="Q132" i="15"/>
  <c r="AC136" i="15"/>
  <c r="Q136" i="15"/>
  <c r="Q144" i="15"/>
  <c r="Q148" i="15"/>
  <c r="Q152" i="15"/>
  <c r="T106" i="15"/>
  <c r="AH107" i="15"/>
  <c r="V107" i="15"/>
  <c r="AF109" i="15"/>
  <c r="T109" i="15"/>
  <c r="AF110" i="15"/>
  <c r="T110" i="15"/>
  <c r="AE112" i="15"/>
  <c r="S112" i="15"/>
  <c r="AI112" i="15"/>
  <c r="W112" i="15"/>
  <c r="W113" i="15"/>
  <c r="S114" i="15"/>
  <c r="W114" i="15"/>
  <c r="S115" i="15"/>
  <c r="W115" i="15"/>
  <c r="AE116" i="15"/>
  <c r="S116" i="15"/>
  <c r="AI116" i="15"/>
  <c r="W116" i="15"/>
  <c r="U118" i="15"/>
  <c r="S119" i="15"/>
  <c r="W119" i="15"/>
  <c r="T120" i="15"/>
  <c r="AF121" i="15"/>
  <c r="T121" i="15"/>
  <c r="AF122" i="15"/>
  <c r="T122" i="15"/>
  <c r="S124" i="15"/>
  <c r="W124" i="15"/>
  <c r="AD125" i="15"/>
  <c r="R125" i="15"/>
  <c r="AH125" i="15"/>
  <c r="V125" i="15"/>
  <c r="AE126" i="15"/>
  <c r="S126" i="15"/>
  <c r="AI126" i="15"/>
  <c r="W126" i="15"/>
  <c r="AE127" i="15"/>
  <c r="S127" i="15"/>
  <c r="AI127" i="15"/>
  <c r="W127" i="15"/>
  <c r="AE128" i="15"/>
  <c r="S128" i="15"/>
  <c r="AI128" i="15"/>
  <c r="W128" i="15"/>
  <c r="AI131" i="15"/>
  <c r="W131" i="15"/>
  <c r="AF132" i="15"/>
  <c r="T132" i="15"/>
  <c r="AF133" i="15"/>
  <c r="T133" i="15"/>
  <c r="AE134" i="15"/>
  <c r="S134" i="15"/>
  <c r="AI134" i="15"/>
  <c r="W134" i="15"/>
  <c r="AG135" i="15"/>
  <c r="AG198" i="15" s="1"/>
  <c r="U135" i="15"/>
  <c r="U198" i="15" s="1"/>
  <c r="AG136" i="15"/>
  <c r="U136" i="15"/>
  <c r="AG137" i="15"/>
  <c r="U137" i="15"/>
  <c r="AG138" i="15"/>
  <c r="U138" i="15"/>
  <c r="S139" i="15"/>
  <c r="W139" i="15"/>
  <c r="R142" i="15"/>
  <c r="V142" i="15"/>
  <c r="U143" i="15"/>
  <c r="T144" i="15"/>
  <c r="AG146" i="15"/>
  <c r="U146" i="15"/>
  <c r="U147" i="15"/>
  <c r="U148" i="15"/>
  <c r="U149" i="15"/>
  <c r="U150" i="15"/>
  <c r="U151" i="15"/>
  <c r="R152" i="15"/>
  <c r="V152" i="15"/>
  <c r="S153" i="15"/>
  <c r="W153" i="15"/>
  <c r="R154" i="15"/>
  <c r="V154" i="15"/>
  <c r="AD156" i="15"/>
  <c r="R156" i="15"/>
  <c r="AH156" i="15"/>
  <c r="V156" i="15"/>
  <c r="T159" i="15"/>
  <c r="AF163" i="15"/>
  <c r="T163" i="15"/>
  <c r="L19" i="15"/>
  <c r="L20" i="15" s="1"/>
  <c r="Q123" i="15"/>
  <c r="Q153" i="15"/>
  <c r="AG106" i="15"/>
  <c r="U106" i="15"/>
  <c r="AD107" i="15"/>
  <c r="R107" i="15"/>
  <c r="AI107" i="15"/>
  <c r="W107" i="15"/>
  <c r="AG109" i="15"/>
  <c r="U109" i="15"/>
  <c r="AG110" i="15"/>
  <c r="U110" i="15"/>
  <c r="AF112" i="15"/>
  <c r="T112" i="15"/>
  <c r="T114" i="15"/>
  <c r="T115" i="15"/>
  <c r="AF116" i="15"/>
  <c r="T116" i="15"/>
  <c r="R118" i="15"/>
  <c r="V118" i="15"/>
  <c r="T119" i="15"/>
  <c r="U120" i="15"/>
  <c r="AG121" i="15"/>
  <c r="U121" i="15"/>
  <c r="AG122" i="15"/>
  <c r="U122" i="15"/>
  <c r="T124" i="15"/>
  <c r="AE125" i="15"/>
  <c r="S125" i="15"/>
  <c r="AI125" i="15"/>
  <c r="W125" i="15"/>
  <c r="AF126" i="15"/>
  <c r="T126" i="15"/>
  <c r="AF127" i="15"/>
  <c r="T127" i="15"/>
  <c r="AF128" i="15"/>
  <c r="T128" i="15"/>
  <c r="AF131" i="15"/>
  <c r="T131" i="15"/>
  <c r="AG132" i="15"/>
  <c r="U132" i="15"/>
  <c r="AG133" i="15"/>
  <c r="U133" i="15"/>
  <c r="AF134" i="15"/>
  <c r="T134" i="15"/>
  <c r="AD135" i="15"/>
  <c r="AD198" i="15" s="1"/>
  <c r="R135" i="15"/>
  <c r="R198" i="15" s="1"/>
  <c r="AH135" i="15"/>
  <c r="AH198" i="15" s="1"/>
  <c r="V135" i="15"/>
  <c r="V198" i="15" s="1"/>
  <c r="AD136" i="15"/>
  <c r="R136" i="15"/>
  <c r="AH136" i="15"/>
  <c r="V136" i="15"/>
  <c r="AD137" i="15"/>
  <c r="R137" i="15"/>
  <c r="AH137" i="15"/>
  <c r="V137" i="15"/>
  <c r="AD138" i="15"/>
  <c r="R138" i="15"/>
  <c r="AH138" i="15"/>
  <c r="V138" i="15"/>
  <c r="T139" i="15"/>
  <c r="S142" i="15"/>
  <c r="W142" i="15"/>
  <c r="R143" i="15"/>
  <c r="V143" i="15"/>
  <c r="U144" i="15"/>
  <c r="AD146" i="15"/>
  <c r="R146" i="15"/>
  <c r="AH146" i="15"/>
  <c r="V146" i="15"/>
  <c r="R147" i="15"/>
  <c r="V147" i="15"/>
  <c r="R148" i="15"/>
  <c r="V148" i="15"/>
  <c r="R149" i="15"/>
  <c r="V149" i="15"/>
  <c r="R150" i="15"/>
  <c r="V150" i="15"/>
  <c r="R151" i="15"/>
  <c r="V151" i="15"/>
  <c r="S152" i="15"/>
  <c r="W152" i="15"/>
  <c r="T153" i="15"/>
  <c r="S154" i="15"/>
  <c r="W154" i="15"/>
  <c r="AE156" i="15"/>
  <c r="S156" i="15"/>
  <c r="AI156" i="15"/>
  <c r="W156" i="15"/>
  <c r="U159" i="15"/>
  <c r="AG163" i="15"/>
  <c r="U163" i="15"/>
  <c r="AN116" i="15"/>
  <c r="AB116" i="15"/>
  <c r="AL135" i="15"/>
  <c r="AL198" i="15" s="1"/>
  <c r="Z135" i="15"/>
  <c r="Z198" i="15" s="1"/>
  <c r="AK136" i="15"/>
  <c r="Y136" i="15"/>
  <c r="Z142" i="15"/>
  <c r="AK146" i="15"/>
  <c r="Y146" i="15"/>
  <c r="AL156" i="15"/>
  <c r="Z156" i="15"/>
  <c r="AN163" i="15"/>
  <c r="AB163" i="15"/>
  <c r="N65" i="15"/>
  <c r="M66" i="15"/>
  <c r="P68" i="15"/>
  <c r="O69" i="15"/>
  <c r="N70" i="15"/>
  <c r="Y71" i="15"/>
  <c r="M71" i="15"/>
  <c r="N75" i="15"/>
  <c r="M76" i="15"/>
  <c r="P77" i="15"/>
  <c r="AM78" i="15"/>
  <c r="O78" i="15"/>
  <c r="AL81" i="15"/>
  <c r="N81" i="15"/>
  <c r="AK82" i="15"/>
  <c r="M82" i="15"/>
  <c r="AM88" i="15"/>
  <c r="O88" i="15"/>
  <c r="N89" i="15"/>
  <c r="N90" i="15"/>
  <c r="N91" i="15"/>
  <c r="AK94" i="15"/>
  <c r="M94" i="15"/>
  <c r="P97" i="15"/>
  <c r="O98" i="15"/>
  <c r="P101" i="15"/>
  <c r="P105" i="15"/>
  <c r="O106" i="15"/>
  <c r="P112" i="15"/>
  <c r="N114" i="15"/>
  <c r="M116" i="15"/>
  <c r="P124" i="15"/>
  <c r="O125" i="15"/>
  <c r="N126" i="15"/>
  <c r="N127" i="15"/>
  <c r="M128" i="15"/>
  <c r="M134" i="15"/>
  <c r="N138" i="15"/>
  <c r="N139" i="15"/>
  <c r="P142" i="15"/>
  <c r="O143" i="15"/>
  <c r="N144" i="15"/>
  <c r="N145" i="15"/>
  <c r="N146" i="15"/>
  <c r="M147" i="15"/>
  <c r="M148" i="15"/>
  <c r="M149" i="15"/>
  <c r="Z106" i="15"/>
  <c r="AK109" i="15"/>
  <c r="Y109" i="15"/>
  <c r="AK122" i="15"/>
  <c r="Y122" i="15"/>
  <c r="AB135" i="15"/>
  <c r="AB198" i="15" s="1"/>
  <c r="AM136" i="15"/>
  <c r="AA136" i="15"/>
  <c r="AL137" i="15"/>
  <c r="Z137" i="15"/>
  <c r="Y143" i="15"/>
  <c r="O59" i="15"/>
  <c r="M63" i="15"/>
  <c r="O75" i="15"/>
  <c r="M77" i="15"/>
  <c r="P78" i="15"/>
  <c r="N82" i="15"/>
  <c r="AK86" i="15"/>
  <c r="M86" i="15"/>
  <c r="P88" i="15"/>
  <c r="O89" i="15"/>
  <c r="O90" i="15"/>
  <c r="O92" i="15"/>
  <c r="AL94" i="15"/>
  <c r="N94" i="15"/>
  <c r="M101" i="15"/>
  <c r="P102" i="15"/>
  <c r="AM103" i="15"/>
  <c r="O103" i="15"/>
  <c r="AK105" i="15"/>
  <c r="M105" i="15"/>
  <c r="P106" i="15"/>
  <c r="O109" i="15"/>
  <c r="N110" i="15"/>
  <c r="M112" i="15"/>
  <c r="O114" i="15"/>
  <c r="N115" i="15"/>
  <c r="M118" i="15"/>
  <c r="M119" i="15"/>
  <c r="M120" i="15"/>
  <c r="P121" i="15"/>
  <c r="O122" i="15"/>
  <c r="M124" i="15"/>
  <c r="P125" i="15"/>
  <c r="O127" i="15"/>
  <c r="N128" i="15"/>
  <c r="N134" i="15"/>
  <c r="M135" i="15"/>
  <c r="M198" i="15" s="1"/>
  <c r="P136" i="15"/>
  <c r="O137" i="15"/>
  <c r="O138" i="15"/>
  <c r="O139" i="15"/>
  <c r="N148" i="15"/>
  <c r="M151" i="15"/>
  <c r="M152" i="15"/>
  <c r="M153" i="15"/>
  <c r="P154" i="15"/>
  <c r="O156" i="15"/>
  <c r="N159" i="15"/>
  <c r="O132" i="15"/>
  <c r="P63" i="15"/>
  <c r="AB83" i="15"/>
  <c r="P83" i="15"/>
  <c r="P87" i="15"/>
  <c r="P94" i="15"/>
  <c r="P115" i="15"/>
  <c r="P118" i="15"/>
  <c r="P138" i="15"/>
  <c r="P144" i="15"/>
  <c r="P147" i="15"/>
  <c r="P150" i="15"/>
  <c r="P152" i="15"/>
  <c r="AL109" i="15"/>
  <c r="Z109" i="15"/>
  <c r="AK110" i="15"/>
  <c r="Y110" i="15"/>
  <c r="AK126" i="15"/>
  <c r="Y126" i="15"/>
  <c r="AM133" i="15"/>
  <c r="AA133" i="15"/>
  <c r="AK163" i="15"/>
  <c r="Y163" i="15"/>
  <c r="AM126" i="15"/>
  <c r="AA126" i="15"/>
  <c r="P54" i="15"/>
  <c r="O55" i="15"/>
  <c r="N56" i="15"/>
  <c r="P59" i="15"/>
  <c r="P65" i="15"/>
  <c r="O66" i="15"/>
  <c r="Z68" i="15"/>
  <c r="N68" i="15"/>
  <c r="AM71" i="15"/>
  <c r="O71" i="15"/>
  <c r="P92" i="15"/>
  <c r="AA94" i="15"/>
  <c r="O94" i="15"/>
  <c r="O95" i="15"/>
  <c r="N97" i="15"/>
  <c r="M98" i="15"/>
  <c r="AL101" i="15"/>
  <c r="N101" i="15"/>
  <c r="AK102" i="15"/>
  <c r="M102" i="15"/>
  <c r="P103" i="15"/>
  <c r="AM104" i="15"/>
  <c r="O104" i="15"/>
  <c r="AL105" i="15"/>
  <c r="N105" i="15"/>
  <c r="M106" i="15"/>
  <c r="P109" i="15"/>
  <c r="O110" i="15"/>
  <c r="N112" i="15"/>
  <c r="O115" i="15"/>
  <c r="O116" i="15"/>
  <c r="N118" i="15"/>
  <c r="N119" i="15"/>
  <c r="N120" i="15"/>
  <c r="M121" i="15"/>
  <c r="P122" i="15"/>
  <c r="M125" i="15"/>
  <c r="P127" i="15"/>
  <c r="O128" i="15"/>
  <c r="O134" i="15"/>
  <c r="P139" i="15"/>
  <c r="P146" i="15"/>
  <c r="O147" i="15"/>
  <c r="O148" i="15"/>
  <c r="N151" i="15"/>
  <c r="N152" i="15"/>
  <c r="P156" i="15"/>
  <c r="P132" i="15"/>
  <c r="AB110" i="15"/>
  <c r="AM112" i="15"/>
  <c r="AA112" i="15"/>
  <c r="AB114" i="15"/>
  <c r="AL116" i="15"/>
  <c r="Z116" i="15"/>
  <c r="Z125" i="15"/>
  <c r="AB126" i="15"/>
  <c r="AK127" i="15"/>
  <c r="Y127" i="15"/>
  <c r="AB128" i="15"/>
  <c r="AL163" i="15"/>
  <c r="Z163" i="15"/>
  <c r="M54" i="15"/>
  <c r="P55" i="15"/>
  <c r="N61" i="15"/>
  <c r="M65" i="15"/>
  <c r="AL69" i="15"/>
  <c r="N69" i="15"/>
  <c r="AK70" i="15"/>
  <c r="M70" i="15"/>
  <c r="M75" i="15"/>
  <c r="P76" i="15"/>
  <c r="AM77" i="15"/>
  <c r="O77" i="15"/>
  <c r="AL78" i="15"/>
  <c r="N78" i="15"/>
  <c r="AK81" i="15"/>
  <c r="M81" i="15"/>
  <c r="P82" i="15"/>
  <c r="AA83" i="15"/>
  <c r="O83" i="15"/>
  <c r="O86" i="15"/>
  <c r="N87" i="15"/>
  <c r="AL88" i="15"/>
  <c r="N88" i="15"/>
  <c r="M89" i="15"/>
  <c r="M90" i="15"/>
  <c r="M91" i="15"/>
  <c r="P95" i="15"/>
  <c r="O118" i="15"/>
  <c r="M133" i="15"/>
  <c r="P134" i="15"/>
  <c r="O135" i="15"/>
  <c r="O198" i="15" s="1"/>
  <c r="N136" i="15"/>
  <c r="M137" i="15"/>
  <c r="M138" i="15"/>
  <c r="M139" i="15"/>
  <c r="N143" i="15"/>
  <c r="M144" i="15"/>
  <c r="M145" i="15"/>
  <c r="P149" i="15"/>
  <c r="O150" i="15"/>
  <c r="O151" i="15"/>
  <c r="O152" i="15"/>
  <c r="O153" i="15"/>
  <c r="N154" i="15"/>
  <c r="M156" i="15"/>
  <c r="P159" i="15"/>
  <c r="O163" i="15"/>
  <c r="M132" i="15"/>
  <c r="P85" i="15"/>
  <c r="P91" i="15"/>
  <c r="P117" i="15"/>
  <c r="P119" i="15"/>
  <c r="P137" i="15"/>
  <c r="P145" i="15"/>
  <c r="P151" i="15"/>
  <c r="AE132" i="15"/>
  <c r="S132" i="15"/>
  <c r="AB132" i="15"/>
  <c r="N132" i="15"/>
  <c r="AK132" i="15"/>
  <c r="Y132" i="15"/>
  <c r="AM132" i="15"/>
  <c r="AA132" i="15"/>
  <c r="AE131" i="15"/>
  <c r="S131" i="15"/>
  <c r="Z131" i="15"/>
  <c r="M131" i="15"/>
  <c r="O131" i="15"/>
  <c r="AC93" i="15"/>
  <c r="Q93" i="15"/>
  <c r="AC101" i="15"/>
  <c r="Q101" i="15"/>
  <c r="AC110" i="15"/>
  <c r="Q110" i="15"/>
  <c r="R23" i="15"/>
  <c r="AK31" i="15"/>
  <c r="Y31" i="15"/>
  <c r="AE35" i="15"/>
  <c r="S35" i="15"/>
  <c r="AI38" i="15"/>
  <c r="W38" i="15"/>
  <c r="AG40" i="15"/>
  <c r="U40" i="15"/>
  <c r="AG48" i="15"/>
  <c r="U48" i="15"/>
  <c r="W54" i="15"/>
  <c r="W56" i="15"/>
  <c r="W62" i="15"/>
  <c r="W64" i="15"/>
  <c r="AF69" i="15"/>
  <c r="T69" i="15"/>
  <c r="AI70" i="15"/>
  <c r="W70" i="15"/>
  <c r="U76" i="15"/>
  <c r="AD78" i="15"/>
  <c r="R78" i="15"/>
  <c r="AH81" i="15"/>
  <c r="V81" i="15"/>
  <c r="V87" i="15"/>
  <c r="W89" i="15"/>
  <c r="W91" i="15"/>
  <c r="AE94" i="15"/>
  <c r="S94" i="15"/>
  <c r="S98" i="15"/>
  <c r="S100" i="15"/>
  <c r="AD102" i="15"/>
  <c r="R102" i="15"/>
  <c r="AL103" i="15"/>
  <c r="Z103" i="15"/>
  <c r="AI105" i="15"/>
  <c r="W105" i="15"/>
  <c r="Q36" i="15"/>
  <c r="AC54" i="15"/>
  <c r="Q54" i="15"/>
  <c r="Q63" i="15"/>
  <c r="AC68" i="15"/>
  <c r="Q68" i="15"/>
  <c r="Q76" i="15"/>
  <c r="AC82" i="15"/>
  <c r="Q82" i="15"/>
  <c r="Q91" i="15"/>
  <c r="AC95" i="15"/>
  <c r="Q95" i="15"/>
  <c r="AC103" i="15"/>
  <c r="Q103" i="15"/>
  <c r="AC107" i="15"/>
  <c r="Q107" i="15"/>
  <c r="W24" i="15"/>
  <c r="AI31" i="15"/>
  <c r="W31" i="15"/>
  <c r="V32" i="15"/>
  <c r="AG35" i="15"/>
  <c r="U35" i="15"/>
  <c r="AG36" i="15"/>
  <c r="U36" i="15"/>
  <c r="AL36" i="15"/>
  <c r="Z36" i="15"/>
  <c r="AK38" i="15"/>
  <c r="Y38" i="15"/>
  <c r="AI40" i="15"/>
  <c r="W40" i="15"/>
  <c r="AI42" i="15"/>
  <c r="W42" i="15"/>
  <c r="AE48" i="15"/>
  <c r="S48" i="15"/>
  <c r="AF51" i="15"/>
  <c r="T51" i="15"/>
  <c r="AK51" i="15"/>
  <c r="Y51" i="15"/>
  <c r="U54" i="15"/>
  <c r="U55" i="15"/>
  <c r="AF59" i="15"/>
  <c r="T59" i="15"/>
  <c r="T60" i="15"/>
  <c r="W61" i="15"/>
  <c r="U62" i="15"/>
  <c r="U63" i="15"/>
  <c r="U64" i="15"/>
  <c r="U65" i="15"/>
  <c r="R66" i="15"/>
  <c r="V66" i="15"/>
  <c r="AH68" i="15"/>
  <c r="V68" i="15"/>
  <c r="AD69" i="15"/>
  <c r="R69" i="15"/>
  <c r="AH69" i="15"/>
  <c r="V69" i="15"/>
  <c r="AB69" i="15"/>
  <c r="AG70" i="15"/>
  <c r="U70" i="15"/>
  <c r="AG71" i="15"/>
  <c r="U71" i="15"/>
  <c r="S75" i="15"/>
  <c r="W75" i="15"/>
  <c r="S76" i="15"/>
  <c r="W76" i="15"/>
  <c r="AE77" i="15"/>
  <c r="S77" i="15"/>
  <c r="AI77" i="15"/>
  <c r="W77" i="15"/>
  <c r="AF78" i="15"/>
  <c r="T78" i="15"/>
  <c r="AF81" i="15"/>
  <c r="T81" i="15"/>
  <c r="AE82" i="15"/>
  <c r="S82" i="15"/>
  <c r="AI82" i="15"/>
  <c r="W82" i="15"/>
  <c r="AF83" i="15"/>
  <c r="T83" i="15"/>
  <c r="AK83" i="15"/>
  <c r="Y83" i="15"/>
  <c r="T85" i="15"/>
  <c r="T86" i="15"/>
  <c r="T87" i="15"/>
  <c r="AF88" i="15"/>
  <c r="T88" i="15"/>
  <c r="AK88" i="15"/>
  <c r="Y88" i="15"/>
  <c r="U89" i="15"/>
  <c r="U90" i="15"/>
  <c r="U91" i="15"/>
  <c r="R92" i="15"/>
  <c r="V92" i="15"/>
  <c r="AD93" i="15"/>
  <c r="R93" i="15"/>
  <c r="AC31" i="15"/>
  <c r="Q31" i="15"/>
  <c r="AC38" i="15"/>
  <c r="Q38" i="15"/>
  <c r="AC51" i="15"/>
  <c r="Q51" i="15"/>
  <c r="Q55" i="15"/>
  <c r="AC69" i="15"/>
  <c r="Q69" i="15"/>
  <c r="AC73" i="15"/>
  <c r="Q73" i="15"/>
  <c r="AC77" i="15"/>
  <c r="Q77" i="15"/>
  <c r="Q83" i="15"/>
  <c r="AC88" i="15"/>
  <c r="Q88" i="15"/>
  <c r="Q92" i="15"/>
  <c r="Q100" i="15"/>
  <c r="AC104" i="15"/>
  <c r="Q104" i="15"/>
  <c r="AC109" i="15"/>
  <c r="Q109" i="15"/>
  <c r="Q114" i="15"/>
  <c r="U23" i="15"/>
  <c r="Z23" i="15"/>
  <c r="T24" i="15"/>
  <c r="Y24" i="15"/>
  <c r="AF31" i="15"/>
  <c r="T31" i="15"/>
  <c r="S32" i="15"/>
  <c r="AD35" i="15"/>
  <c r="R35" i="15"/>
  <c r="AH35" i="15"/>
  <c r="V35" i="15"/>
  <c r="AD36" i="15"/>
  <c r="R36" i="15"/>
  <c r="AH36" i="15"/>
  <c r="V36" i="15"/>
  <c r="AD38" i="15"/>
  <c r="R38" i="15"/>
  <c r="AH38" i="15"/>
  <c r="V38" i="15"/>
  <c r="AN38" i="15"/>
  <c r="AB38" i="15"/>
  <c r="AG39" i="15"/>
  <c r="U39" i="15"/>
  <c r="AF40" i="15"/>
  <c r="T40" i="15"/>
  <c r="AL40" i="15"/>
  <c r="Z40" i="15"/>
  <c r="AF42" i="15"/>
  <c r="T42" i="15"/>
  <c r="AK42" i="15"/>
  <c r="Y42" i="15"/>
  <c r="AF48" i="15"/>
  <c r="T48" i="15"/>
  <c r="AL48" i="15"/>
  <c r="Z48" i="15"/>
  <c r="AG51" i="15"/>
  <c r="U51" i="15"/>
  <c r="R54" i="15"/>
  <c r="V54" i="15"/>
  <c r="R55" i="15"/>
  <c r="V55" i="15"/>
  <c r="R56" i="15"/>
  <c r="V56" i="15"/>
  <c r="AB56" i="15"/>
  <c r="AG59" i="15"/>
  <c r="U59" i="15"/>
  <c r="Z59" i="15"/>
  <c r="U60" i="15"/>
  <c r="T61" i="15"/>
  <c r="R62" i="15"/>
  <c r="V62" i="15"/>
  <c r="R63" i="15"/>
  <c r="V63" i="15"/>
  <c r="R64" i="15"/>
  <c r="V64" i="15"/>
  <c r="R65" i="15"/>
  <c r="V65" i="15"/>
  <c r="S66" i="15"/>
  <c r="W66" i="15"/>
  <c r="AE68" i="15"/>
  <c r="S68" i="15"/>
  <c r="AI68" i="15"/>
  <c r="W68" i="15"/>
  <c r="AE69" i="15"/>
  <c r="S69" i="15"/>
  <c r="AI69" i="15"/>
  <c r="W69" i="15"/>
  <c r="AD70" i="15"/>
  <c r="R70" i="15"/>
  <c r="AH70" i="15"/>
  <c r="V70" i="15"/>
  <c r="AD71" i="15"/>
  <c r="R71" i="15"/>
  <c r="AH71" i="15"/>
  <c r="V71" i="15"/>
  <c r="AD73" i="15"/>
  <c r="R73" i="15"/>
  <c r="AI73" i="15"/>
  <c r="W73" i="15"/>
  <c r="T75" i="15"/>
  <c r="T76" i="15"/>
  <c r="Z76" i="15"/>
  <c r="AF77" i="15"/>
  <c r="T77" i="15"/>
  <c r="Z77" i="15"/>
  <c r="AG78" i="15"/>
  <c r="U78" i="15"/>
  <c r="AG81" i="15"/>
  <c r="U81" i="15"/>
  <c r="AM81" i="15"/>
  <c r="AA81" i="15"/>
  <c r="AF82" i="15"/>
  <c r="T82" i="15"/>
  <c r="AG83" i="15"/>
  <c r="U83" i="15"/>
  <c r="AL83" i="15"/>
  <c r="Z83" i="15"/>
  <c r="U86" i="15"/>
  <c r="U87" i="15"/>
  <c r="AG88" i="15"/>
  <c r="U88" i="15"/>
  <c r="R89" i="15"/>
  <c r="V89" i="15"/>
  <c r="R90" i="15"/>
  <c r="V90" i="15"/>
  <c r="R91" i="15"/>
  <c r="V91" i="15"/>
  <c r="S92" i="15"/>
  <c r="W92" i="15"/>
  <c r="AE93" i="15"/>
  <c r="S93" i="15"/>
  <c r="AD94" i="15"/>
  <c r="R94" i="15"/>
  <c r="AH94" i="15"/>
  <c r="V94" i="15"/>
  <c r="AE95" i="15"/>
  <c r="S95" i="15"/>
  <c r="AI95" i="15"/>
  <c r="W95" i="15"/>
  <c r="S97" i="15"/>
  <c r="W97" i="15"/>
  <c r="R98" i="15"/>
  <c r="V98" i="15"/>
  <c r="R99" i="15"/>
  <c r="R100" i="15"/>
  <c r="V100" i="15"/>
  <c r="Z100" i="15"/>
  <c r="AF101" i="15"/>
  <c r="T101" i="15"/>
  <c r="AM101" i="15"/>
  <c r="AA101" i="15"/>
  <c r="AG102" i="15"/>
  <c r="U102" i="15"/>
  <c r="AL102" i="15"/>
  <c r="Z102" i="15"/>
  <c r="AF103" i="15"/>
  <c r="T103" i="15"/>
  <c r="AK103" i="15"/>
  <c r="Y103" i="15"/>
  <c r="AF104" i="15"/>
  <c r="T104" i="15"/>
  <c r="AD105" i="15"/>
  <c r="R105" i="15"/>
  <c r="AH105" i="15"/>
  <c r="V105" i="15"/>
  <c r="P23" i="15"/>
  <c r="O24" i="15"/>
  <c r="Z32" i="2"/>
  <c r="N31" i="15"/>
  <c r="M32" i="15"/>
  <c r="P35" i="15"/>
  <c r="AL38" i="15"/>
  <c r="Z38" i="15"/>
  <c r="N39" i="15"/>
  <c r="N187" i="15" s="1"/>
  <c r="AK40" i="15"/>
  <c r="Y40" i="15"/>
  <c r="AK48" i="15"/>
  <c r="Y48" i="15"/>
  <c r="AB59" i="15"/>
  <c r="AL68" i="15"/>
  <c r="AB103" i="15"/>
  <c r="AC70" i="15"/>
  <c r="Q70" i="15"/>
  <c r="AC105" i="15"/>
  <c r="Q105" i="15"/>
  <c r="U24" i="15"/>
  <c r="AE36" i="15"/>
  <c r="S36" i="15"/>
  <c r="AD39" i="15"/>
  <c r="R39" i="15"/>
  <c r="AM40" i="15"/>
  <c r="AA40" i="15"/>
  <c r="AD51" i="15"/>
  <c r="R51" i="15"/>
  <c r="W55" i="15"/>
  <c r="AH59" i="15"/>
  <c r="V59" i="15"/>
  <c r="U61" i="15"/>
  <c r="S63" i="15"/>
  <c r="S65" i="15"/>
  <c r="AK68" i="15"/>
  <c r="Y68" i="15"/>
  <c r="AI71" i="15"/>
  <c r="W71" i="15"/>
  <c r="AD81" i="15"/>
  <c r="R81" i="15"/>
  <c r="AD83" i="15"/>
  <c r="R83" i="15"/>
  <c r="R86" i="15"/>
  <c r="AD88" i="15"/>
  <c r="R88" i="15"/>
  <c r="W90" i="15"/>
  <c r="AF95" i="15"/>
  <c r="T95" i="15"/>
  <c r="T97" i="15"/>
  <c r="S99" i="15"/>
  <c r="W100" i="15"/>
  <c r="AH102" i="15"/>
  <c r="V102" i="15"/>
  <c r="AG104" i="15"/>
  <c r="U104" i="15"/>
  <c r="M23" i="15"/>
  <c r="P24" i="15"/>
  <c r="O31" i="15"/>
  <c r="N32" i="15"/>
  <c r="M35" i="15"/>
  <c r="AM38" i="15"/>
  <c r="AA38" i="15"/>
  <c r="AM48" i="15"/>
  <c r="AA48" i="15"/>
  <c r="N51" i="15"/>
  <c r="Y70" i="15"/>
  <c r="AB76" i="15"/>
  <c r="AC40" i="15"/>
  <c r="Q40" i="15"/>
  <c r="Q56" i="15"/>
  <c r="Q61" i="15"/>
  <c r="Q65" i="15"/>
  <c r="AC78" i="15"/>
  <c r="Q78" i="15"/>
  <c r="Q89" i="15"/>
  <c r="Q97" i="15"/>
  <c r="Q115" i="15"/>
  <c r="AA23" i="15"/>
  <c r="AG31" i="15"/>
  <c r="U31" i="15"/>
  <c r="AI35" i="15"/>
  <c r="W35" i="15"/>
  <c r="AE38" i="15"/>
  <c r="S38" i="15"/>
  <c r="AN39" i="15"/>
  <c r="AB39" i="15"/>
  <c r="AL42" i="15"/>
  <c r="Z42" i="15"/>
  <c r="S54" i="15"/>
  <c r="S56" i="15"/>
  <c r="R60" i="15"/>
  <c r="S62" i="15"/>
  <c r="S64" i="15"/>
  <c r="T66" i="15"/>
  <c r="AE71" i="15"/>
  <c r="S71" i="15"/>
  <c r="AE73" i="15"/>
  <c r="S73" i="15"/>
  <c r="U75" i="15"/>
  <c r="AG77" i="15"/>
  <c r="U77" i="15"/>
  <c r="AB81" i="15"/>
  <c r="R85" i="15"/>
  <c r="R87" i="15"/>
  <c r="S89" i="15"/>
  <c r="S91" i="15"/>
  <c r="AF93" i="15"/>
  <c r="T93" i="15"/>
  <c r="AG101" i="15"/>
  <c r="U101" i="15"/>
  <c r="AM102" i="15"/>
  <c r="AA102" i="15"/>
  <c r="AE105" i="15"/>
  <c r="S105" i="15"/>
  <c r="AN40" i="15"/>
  <c r="AB40" i="15"/>
  <c r="O42" i="15"/>
  <c r="Q23" i="15"/>
  <c r="AC35" i="15"/>
  <c r="Q35" i="15"/>
  <c r="AC42" i="15"/>
  <c r="Q42" i="15"/>
  <c r="Q66" i="15"/>
  <c r="AC71" i="15"/>
  <c r="Q71" i="15"/>
  <c r="Q75" i="15"/>
  <c r="AC81" i="15"/>
  <c r="Q81" i="15"/>
  <c r="Q86" i="15"/>
  <c r="Q90" i="15"/>
  <c r="AC94" i="15"/>
  <c r="Q94" i="15"/>
  <c r="Q98" i="15"/>
  <c r="AC102" i="15"/>
  <c r="Q102" i="15"/>
  <c r="Q106" i="15"/>
  <c r="AC112" i="15"/>
  <c r="Q112" i="15"/>
  <c r="S23" i="15"/>
  <c r="W23" i="15"/>
  <c r="R24" i="15"/>
  <c r="V24" i="15"/>
  <c r="AD31" i="15"/>
  <c r="R31" i="15"/>
  <c r="AH31" i="15"/>
  <c r="V31" i="15"/>
  <c r="AN31" i="15"/>
  <c r="AB31" i="15"/>
  <c r="U32" i="15"/>
  <c r="AF35" i="15"/>
  <c r="T35" i="15"/>
  <c r="AF36" i="15"/>
  <c r="T36" i="15"/>
  <c r="AK36" i="15"/>
  <c r="Y36" i="15"/>
  <c r="AF38" i="15"/>
  <c r="T38" i="15"/>
  <c r="AE39" i="15"/>
  <c r="S39" i="15"/>
  <c r="AI39" i="15"/>
  <c r="W39" i="15"/>
  <c r="AD40" i="15"/>
  <c r="R40" i="15"/>
  <c r="AH40" i="15"/>
  <c r="V40" i="15"/>
  <c r="AD42" i="15"/>
  <c r="R42" i="15"/>
  <c r="AH42" i="15"/>
  <c r="V42" i="15"/>
  <c r="AD48" i="15"/>
  <c r="R48" i="15"/>
  <c r="AH48" i="15"/>
  <c r="V48" i="15"/>
  <c r="AE51" i="15"/>
  <c r="S51" i="15"/>
  <c r="AI51" i="15"/>
  <c r="W51" i="15"/>
  <c r="T54" i="15"/>
  <c r="T55" i="15"/>
  <c r="T56" i="15"/>
  <c r="AE59" i="15"/>
  <c r="S59" i="15"/>
  <c r="AI59" i="15"/>
  <c r="W59" i="15"/>
  <c r="S60" i="15"/>
  <c r="W60" i="15"/>
  <c r="R61" i="15"/>
  <c r="V61" i="15"/>
  <c r="T62" i="15"/>
  <c r="T63" i="15"/>
  <c r="T64" i="15"/>
  <c r="T65" i="15"/>
  <c r="U66" i="15"/>
  <c r="AG68" i="15"/>
  <c r="U68" i="15"/>
  <c r="AM68" i="15"/>
  <c r="AA68" i="15"/>
  <c r="AG69" i="15"/>
  <c r="U69" i="15"/>
  <c r="AK69" i="15"/>
  <c r="Y69" i="15"/>
  <c r="AF70" i="15"/>
  <c r="T70" i="15"/>
  <c r="AF71" i="15"/>
  <c r="T71" i="15"/>
  <c r="AL71" i="15"/>
  <c r="Z71" i="15"/>
  <c r="AF73" i="15"/>
  <c r="T73" i="15"/>
  <c r="R75" i="15"/>
  <c r="V75" i="15"/>
  <c r="R76" i="15"/>
  <c r="V76" i="15"/>
  <c r="AD77" i="15"/>
  <c r="R77" i="15"/>
  <c r="AH77" i="15"/>
  <c r="V77" i="15"/>
  <c r="AE78" i="15"/>
  <c r="S78" i="15"/>
  <c r="AI78" i="15"/>
  <c r="W78" i="15"/>
  <c r="AE81" i="15"/>
  <c r="S81" i="15"/>
  <c r="AI81" i="15"/>
  <c r="W81" i="15"/>
  <c r="AD82" i="15"/>
  <c r="R82" i="15"/>
  <c r="AH82" i="15"/>
  <c r="V82" i="15"/>
  <c r="AE83" i="15"/>
  <c r="S83" i="15"/>
  <c r="AI83" i="15"/>
  <c r="W83" i="15"/>
  <c r="S85" i="15"/>
  <c r="S86" i="15"/>
  <c r="W86" i="15"/>
  <c r="S87" i="15"/>
  <c r="W87" i="15"/>
  <c r="AE88" i="15"/>
  <c r="S88" i="15"/>
  <c r="AI88" i="15"/>
  <c r="W88" i="15"/>
  <c r="T89" i="15"/>
  <c r="T90" i="15"/>
  <c r="T91" i="15"/>
  <c r="U92" i="15"/>
  <c r="AG93" i="15"/>
  <c r="U93" i="15"/>
  <c r="AF94" i="15"/>
  <c r="T94" i="15"/>
  <c r="AG95" i="15"/>
  <c r="U95" i="15"/>
  <c r="U97" i="15"/>
  <c r="Y97" i="15"/>
  <c r="T98" i="15"/>
  <c r="Z98" i="15"/>
  <c r="T99" i="15"/>
  <c r="T100" i="15"/>
  <c r="AD101" i="15"/>
  <c r="R101" i="15"/>
  <c r="AH101" i="15"/>
  <c r="V101" i="15"/>
  <c r="AE102" i="15"/>
  <c r="S102" i="15"/>
  <c r="AI102" i="15"/>
  <c r="W102" i="15"/>
  <c r="AD103" i="15"/>
  <c r="R103" i="15"/>
  <c r="AH103" i="15"/>
  <c r="V103" i="15"/>
  <c r="AD104" i="15"/>
  <c r="R104" i="15"/>
  <c r="AH104" i="15"/>
  <c r="V104" i="15"/>
  <c r="AF105" i="15"/>
  <c r="T105" i="15"/>
  <c r="AM105" i="15"/>
  <c r="AA105" i="15"/>
  <c r="AM36" i="15"/>
  <c r="AA36" i="15"/>
  <c r="P42" i="15"/>
  <c r="AN48" i="15"/>
  <c r="AB48" i="15"/>
  <c r="O51" i="15"/>
  <c r="AB68" i="15"/>
  <c r="AM69" i="15"/>
  <c r="AA69" i="15"/>
  <c r="AL70" i="15"/>
  <c r="Z70" i="15"/>
  <c r="Y76" i="15"/>
  <c r="AB77" i="15"/>
  <c r="AN101" i="15"/>
  <c r="AB101" i="15"/>
  <c r="AB105" i="15"/>
  <c r="V23" i="15"/>
  <c r="Z24" i="15"/>
  <c r="AI36" i="15"/>
  <c r="W36" i="15"/>
  <c r="AH39" i="15"/>
  <c r="V39" i="15"/>
  <c r="AG42" i="15"/>
  <c r="U42" i="15"/>
  <c r="AH51" i="15"/>
  <c r="V51" i="15"/>
  <c r="S55" i="15"/>
  <c r="AD59" i="15"/>
  <c r="R59" i="15"/>
  <c r="V60" i="15"/>
  <c r="W63" i="15"/>
  <c r="W65" i="15"/>
  <c r="AF68" i="15"/>
  <c r="T68" i="15"/>
  <c r="AE70" i="15"/>
  <c r="S70" i="15"/>
  <c r="AH78" i="15"/>
  <c r="V78" i="15"/>
  <c r="AG82" i="15"/>
  <c r="U82" i="15"/>
  <c r="AH83" i="15"/>
  <c r="V83" i="15"/>
  <c r="V86" i="15"/>
  <c r="AH88" i="15"/>
  <c r="V88" i="15"/>
  <c r="S90" i="15"/>
  <c r="T92" i="15"/>
  <c r="AI94" i="15"/>
  <c r="W94" i="15"/>
  <c r="W98" i="15"/>
  <c r="AG103" i="15"/>
  <c r="U103" i="15"/>
  <c r="AK104" i="15"/>
  <c r="Y104" i="15"/>
  <c r="Q24" i="15"/>
  <c r="AC48" i="15"/>
  <c r="Q48" i="15"/>
  <c r="AC59" i="15"/>
  <c r="Q59" i="15"/>
  <c r="Q87" i="15"/>
  <c r="Q99" i="15"/>
  <c r="Q113" i="15"/>
  <c r="T23" i="15"/>
  <c r="S24" i="15"/>
  <c r="AE31" i="15"/>
  <c r="S31" i="15"/>
  <c r="AM35" i="15"/>
  <c r="AA35" i="15"/>
  <c r="AG38" i="15"/>
  <c r="U38" i="15"/>
  <c r="AF39" i="15"/>
  <c r="T39" i="15"/>
  <c r="AE40" i="15"/>
  <c r="S40" i="15"/>
  <c r="AE42" i="15"/>
  <c r="S42" i="15"/>
  <c r="AI48" i="15"/>
  <c r="W48" i="15"/>
  <c r="U56" i="15"/>
  <c r="Y59" i="15"/>
  <c r="S61" i="15"/>
  <c r="AD68" i="15"/>
  <c r="R68" i="15"/>
  <c r="AG73" i="15"/>
  <c r="U73" i="15"/>
  <c r="AI93" i="15"/>
  <c r="W93" i="15"/>
  <c r="AG94" i="15"/>
  <c r="U94" i="15"/>
  <c r="AD95" i="15"/>
  <c r="R95" i="15"/>
  <c r="AH95" i="15"/>
  <c r="V95" i="15"/>
  <c r="R97" i="15"/>
  <c r="V97" i="15"/>
  <c r="U98" i="15"/>
  <c r="AB98" i="15"/>
  <c r="U99" i="15"/>
  <c r="U100" i="15"/>
  <c r="Y100" i="15"/>
  <c r="AE101" i="15"/>
  <c r="S101" i="15"/>
  <c r="AI101" i="15"/>
  <c r="W101" i="15"/>
  <c r="AF102" i="15"/>
  <c r="T102" i="15"/>
  <c r="AE103" i="15"/>
  <c r="S103" i="15"/>
  <c r="AI103" i="15"/>
  <c r="W103" i="15"/>
  <c r="AE104" i="15"/>
  <c r="S104" i="15"/>
  <c r="AI104" i="15"/>
  <c r="W104" i="15"/>
  <c r="AG105" i="15"/>
  <c r="U105" i="15"/>
  <c r="AN36" i="15"/>
  <c r="AB36" i="15"/>
  <c r="M39" i="15"/>
  <c r="M187" i="15" s="1"/>
  <c r="AJ48" i="15"/>
  <c r="P51" i="15"/>
  <c r="AL82" i="15"/>
  <c r="Z82" i="15"/>
  <c r="AN88" i="15"/>
  <c r="AB88" i="15"/>
  <c r="AK101" i="15"/>
  <c r="Y101" i="15"/>
  <c r="AA103" i="15"/>
  <c r="N252" i="15"/>
  <c r="N2" i="15"/>
  <c r="O4" i="15"/>
  <c r="D41" i="14"/>
  <c r="F41" i="14"/>
  <c r="F53" i="14" s="1"/>
  <c r="D36" i="10"/>
  <c r="H4" i="12"/>
  <c r="J4" i="12"/>
  <c r="P4" i="11"/>
  <c r="N4" i="11"/>
  <c r="BV21" i="8" l="1"/>
  <c r="BU26" i="8"/>
  <c r="AX218" i="15"/>
  <c r="AO136" i="15"/>
  <c r="AO126" i="15"/>
  <c r="AO83" i="15"/>
  <c r="AO131" i="15"/>
  <c r="AO201" i="2"/>
  <c r="AO81" i="15"/>
  <c r="AO73" i="15"/>
  <c r="AO202" i="2"/>
  <c r="AO71" i="15"/>
  <c r="AO200" i="2"/>
  <c r="AO102" i="15"/>
  <c r="AO127" i="15"/>
  <c r="AO133" i="15"/>
  <c r="AO134" i="15"/>
  <c r="AP95" i="2"/>
  <c r="AP105" i="2"/>
  <c r="AP103" i="2"/>
  <c r="AP98" i="2"/>
  <c r="AP101" i="2"/>
  <c r="AP110" i="2"/>
  <c r="AP107" i="2"/>
  <c r="AP108" i="2"/>
  <c r="AP109" i="2"/>
  <c r="AP102" i="2"/>
  <c r="AP121" i="2"/>
  <c r="AP59" i="2"/>
  <c r="AP133" i="2"/>
  <c r="AP131" i="2"/>
  <c r="AP159" i="2"/>
  <c r="AP112" i="2"/>
  <c r="AP122" i="2"/>
  <c r="AP93" i="2"/>
  <c r="AP125" i="2"/>
  <c r="AP70" i="2"/>
  <c r="AP94" i="2"/>
  <c r="AP104" i="2"/>
  <c r="AP111" i="2"/>
  <c r="AO113" i="4"/>
  <c r="AO99" i="4"/>
  <c r="BT218" i="15"/>
  <c r="AO76" i="15"/>
  <c r="AO85" i="2"/>
  <c r="AO204" i="2"/>
  <c r="AO82" i="15"/>
  <c r="AO93" i="15"/>
  <c r="AO203" i="2"/>
  <c r="AO94" i="15"/>
  <c r="AO137" i="15"/>
  <c r="AO107" i="15"/>
  <c r="AO112" i="15"/>
  <c r="AO122" i="15"/>
  <c r="AO95" i="15"/>
  <c r="AO99" i="2"/>
  <c r="AO98" i="15"/>
  <c r="AO106" i="15"/>
  <c r="AO108" i="15"/>
  <c r="AM218" i="15"/>
  <c r="AO59" i="15"/>
  <c r="AO103" i="15"/>
  <c r="AO125" i="15"/>
  <c r="AO104" i="15"/>
  <c r="AO128" i="15"/>
  <c r="AO138" i="15"/>
  <c r="AO72" i="15"/>
  <c r="AO135" i="15"/>
  <c r="AO198" i="15" s="1"/>
  <c r="AO198" i="2"/>
  <c r="AO132" i="15"/>
  <c r="AO101" i="15"/>
  <c r="AO113" i="2"/>
  <c r="AO68" i="15"/>
  <c r="AO197" i="2"/>
  <c r="AO70" i="15"/>
  <c r="AO129" i="15"/>
  <c r="BI218" i="15"/>
  <c r="AO159" i="15"/>
  <c r="AO84" i="15"/>
  <c r="AO121" i="15"/>
  <c r="AO111" i="15"/>
  <c r="AO77" i="15"/>
  <c r="AO80" i="15"/>
  <c r="AO109" i="15"/>
  <c r="AO105" i="15"/>
  <c r="AO110" i="15"/>
  <c r="AO208" i="2"/>
  <c r="AO79" i="15"/>
  <c r="AO78" i="15"/>
  <c r="AO69" i="15"/>
  <c r="AO199" i="2"/>
  <c r="AO85" i="4"/>
  <c r="AP129" i="4"/>
  <c r="AP134" i="4"/>
  <c r="AP107" i="4"/>
  <c r="AP136" i="4"/>
  <c r="AP72" i="4"/>
  <c r="AP128" i="4"/>
  <c r="AP108" i="4"/>
  <c r="AP104" i="4"/>
  <c r="AP95" i="4"/>
  <c r="AP110" i="4"/>
  <c r="AP159" i="4"/>
  <c r="AP78" i="4"/>
  <c r="AP126" i="4"/>
  <c r="AP59" i="4"/>
  <c r="AP125" i="4"/>
  <c r="AP133" i="4"/>
  <c r="AP109" i="4"/>
  <c r="AP135" i="4"/>
  <c r="AP127" i="4"/>
  <c r="AP79" i="4"/>
  <c r="AP77" i="4"/>
  <c r="AP103" i="4"/>
  <c r="AP80" i="4"/>
  <c r="AP122" i="4"/>
  <c r="AP131" i="4"/>
  <c r="AP83" i="4"/>
  <c r="AP70" i="4"/>
  <c r="AP111" i="4"/>
  <c r="AP102" i="4"/>
  <c r="AP98" i="4"/>
  <c r="AP76" i="4"/>
  <c r="AP71" i="4"/>
  <c r="AP137" i="4"/>
  <c r="AP132" i="4"/>
  <c r="AP69" i="4"/>
  <c r="AP82" i="4"/>
  <c r="AP84" i="4"/>
  <c r="AP105" i="4"/>
  <c r="AP81" i="4"/>
  <c r="AP121" i="4"/>
  <c r="AP101" i="4"/>
  <c r="AP112" i="4"/>
  <c r="AP68" i="4"/>
  <c r="AP138" i="4"/>
  <c r="AP73" i="4"/>
  <c r="AP94" i="4"/>
  <c r="AP93" i="4"/>
  <c r="P15" i="14"/>
  <c r="R15" i="14"/>
  <c r="D44" i="14"/>
  <c r="D49" i="14" s="1"/>
  <c r="D54" i="14" s="1"/>
  <c r="D53" i="14"/>
  <c r="CE123" i="4"/>
  <c r="AN218" i="15"/>
  <c r="CE99" i="2"/>
  <c r="AN102" i="15"/>
  <c r="AN110" i="15"/>
  <c r="AN128" i="15"/>
  <c r="AN69" i="15"/>
  <c r="AN70" i="15"/>
  <c r="AN105" i="15"/>
  <c r="CJ193" i="15"/>
  <c r="CI53" i="15"/>
  <c r="CJ53" i="15"/>
  <c r="CE157" i="2"/>
  <c r="CE96" i="4"/>
  <c r="CG101" i="4"/>
  <c r="CG78" i="2"/>
  <c r="CG106" i="2"/>
  <c r="CG108" i="2"/>
  <c r="CG134" i="2"/>
  <c r="CG83" i="2"/>
  <c r="CG121" i="4"/>
  <c r="Q198" i="15"/>
  <c r="N123" i="15"/>
  <c r="CE123" i="2"/>
  <c r="CE113" i="4"/>
  <c r="CG98" i="4"/>
  <c r="CG94" i="2"/>
  <c r="CG132" i="2"/>
  <c r="CG159" i="2"/>
  <c r="CG95" i="2"/>
  <c r="CG102" i="2"/>
  <c r="CG81" i="2"/>
  <c r="CG71" i="2"/>
  <c r="CG76" i="4"/>
  <c r="CE158" i="2"/>
  <c r="F44" i="14"/>
  <c r="F49" i="14" s="1"/>
  <c r="F54" i="14" s="1"/>
  <c r="CF48" i="15"/>
  <c r="AC198" i="15"/>
  <c r="CE74" i="4"/>
  <c r="CG93" i="4"/>
  <c r="CG122" i="2"/>
  <c r="CG110" i="2"/>
  <c r="CG136" i="2"/>
  <c r="CG70" i="2"/>
  <c r="CG128" i="2"/>
  <c r="CG105" i="2"/>
  <c r="CG69" i="2"/>
  <c r="CG112" i="2"/>
  <c r="CG137" i="2"/>
  <c r="CG109" i="2"/>
  <c r="N158" i="4"/>
  <c r="CE158" i="4" s="1"/>
  <c r="CE157" i="4"/>
  <c r="Q158" i="4"/>
  <c r="Q158" i="15" s="1"/>
  <c r="CG138" i="2"/>
  <c r="CG135" i="2"/>
  <c r="CG131" i="2"/>
  <c r="CG103" i="2"/>
  <c r="CG48" i="15"/>
  <c r="CE99" i="4"/>
  <c r="Q96" i="15"/>
  <c r="Q32" i="15"/>
  <c r="CG59" i="4"/>
  <c r="CG107" i="2"/>
  <c r="CG82" i="2"/>
  <c r="CG77" i="2"/>
  <c r="CG127" i="2"/>
  <c r="CG104" i="2"/>
  <c r="CG126" i="2"/>
  <c r="CG84" i="2"/>
  <c r="CG73" i="2"/>
  <c r="CG68" i="2"/>
  <c r="CG125" i="4"/>
  <c r="AN83" i="15"/>
  <c r="AN78" i="15"/>
  <c r="AN126" i="15"/>
  <c r="AN104" i="15"/>
  <c r="AN82" i="15"/>
  <c r="AN84" i="15"/>
  <c r="AN68" i="15"/>
  <c r="AN77" i="15"/>
  <c r="AN135" i="15"/>
  <c r="AN198" i="15" s="1"/>
  <c r="AN108" i="15"/>
  <c r="AN131" i="15"/>
  <c r="AN133" i="15"/>
  <c r="AN94" i="15"/>
  <c r="AN81" i="15"/>
  <c r="AN71" i="15"/>
  <c r="AN132" i="15"/>
  <c r="AN72" i="15"/>
  <c r="AN79" i="15"/>
  <c r="AN80" i="15"/>
  <c r="AN99" i="2"/>
  <c r="AN85" i="2"/>
  <c r="AN113" i="2"/>
  <c r="AN111" i="15"/>
  <c r="AF54" i="15"/>
  <c r="AE54" i="15"/>
  <c r="AH54" i="15"/>
  <c r="AI54" i="15"/>
  <c r="AN54" i="15"/>
  <c r="AM54" i="15"/>
  <c r="AL54" i="15"/>
  <c r="AG54" i="15"/>
  <c r="AK159" i="15"/>
  <c r="AD54" i="15"/>
  <c r="AK54" i="15"/>
  <c r="AF159" i="15"/>
  <c r="AE86" i="15"/>
  <c r="AF23" i="15"/>
  <c r="AH23" i="15"/>
  <c r="AE23" i="15"/>
  <c r="AL86" i="15"/>
  <c r="Q157" i="15"/>
  <c r="AD23" i="15"/>
  <c r="R140" i="15"/>
  <c r="S140" i="15"/>
  <c r="AB143" i="15"/>
  <c r="S117" i="15"/>
  <c r="S195" i="15" s="1"/>
  <c r="U117" i="15"/>
  <c r="U195" i="15" s="1"/>
  <c r="T117" i="15"/>
  <c r="T195" i="15" s="1"/>
  <c r="O158" i="15"/>
  <c r="U145" i="15"/>
  <c r="U194" i="15" s="1"/>
  <c r="AC23" i="15"/>
  <c r="AE55" i="15"/>
  <c r="AN86" i="15"/>
  <c r="AD55" i="15"/>
  <c r="AC55" i="15"/>
  <c r="P158" i="15"/>
  <c r="T145" i="15"/>
  <c r="T194" i="15" s="1"/>
  <c r="O204" i="15"/>
  <c r="R145" i="15"/>
  <c r="R194" i="15" s="1"/>
  <c r="AB70" i="15"/>
  <c r="P157" i="15"/>
  <c r="AA159" i="15"/>
  <c r="Z104" i="15"/>
  <c r="U74" i="15"/>
  <c r="O157" i="15"/>
  <c r="V145" i="15"/>
  <c r="V194" i="15" s="1"/>
  <c r="AA146" i="15"/>
  <c r="O99" i="15"/>
  <c r="T96" i="15"/>
  <c r="AA56" i="15"/>
  <c r="S145" i="15"/>
  <c r="S194" i="15" s="1"/>
  <c r="T204" i="15"/>
  <c r="W145" i="15"/>
  <c r="W194" i="15" s="1"/>
  <c r="V123" i="15"/>
  <c r="V117" i="15"/>
  <c r="V195" i="15" s="1"/>
  <c r="S123" i="15"/>
  <c r="U123" i="15"/>
  <c r="R117" i="15"/>
  <c r="R195" i="15" s="1"/>
  <c r="T123" i="15"/>
  <c r="W123" i="15"/>
  <c r="AL23" i="15"/>
  <c r="V204" i="15"/>
  <c r="Z94" i="15"/>
  <c r="Z56" i="15"/>
  <c r="Z122" i="15"/>
  <c r="AM55" i="15"/>
  <c r="N157" i="15"/>
  <c r="AA124" i="15"/>
  <c r="AC75" i="15"/>
  <c r="AC85" i="15"/>
  <c r="W117" i="15"/>
  <c r="W195" i="15" s="1"/>
  <c r="Y85" i="15"/>
  <c r="AL55" i="15"/>
  <c r="AA54" i="15"/>
  <c r="AI23" i="15"/>
  <c r="AG23" i="15"/>
  <c r="AB94" i="15"/>
  <c r="AB104" i="15"/>
  <c r="AB97" i="15"/>
  <c r="AD86" i="15"/>
  <c r="AC86" i="15"/>
  <c r="Z54" i="15"/>
  <c r="T196" i="15"/>
  <c r="U204" i="15"/>
  <c r="Q140" i="15"/>
  <c r="N141" i="4"/>
  <c r="W74" i="15"/>
  <c r="W96" i="15"/>
  <c r="U96" i="15"/>
  <c r="Y142" i="15"/>
  <c r="P141" i="4"/>
  <c r="P166" i="4" s="1"/>
  <c r="U140" i="15"/>
  <c r="U129" i="15"/>
  <c r="Y75" i="15"/>
  <c r="Y114" i="15"/>
  <c r="AG86" i="15"/>
  <c r="O141" i="2"/>
  <c r="O166" i="2" s="1"/>
  <c r="AB100" i="15"/>
  <c r="AH86" i="15"/>
  <c r="W187" i="15"/>
  <c r="AM23" i="15"/>
  <c r="AF86" i="15"/>
  <c r="AM86" i="15"/>
  <c r="AA75" i="15"/>
  <c r="AA121" i="15"/>
  <c r="S190" i="15"/>
  <c r="O141" i="4"/>
  <c r="O166" i="4" s="1"/>
  <c r="Q141" i="4"/>
  <c r="AB86" i="15"/>
  <c r="S204" i="15"/>
  <c r="Z55" i="15"/>
  <c r="AN55" i="15"/>
  <c r="AC32" i="2"/>
  <c r="Z95" i="15"/>
  <c r="AI86" i="15"/>
  <c r="Z86" i="15"/>
  <c r="O123" i="15"/>
  <c r="Z99" i="15"/>
  <c r="AB99" i="15"/>
  <c r="AG55" i="15"/>
  <c r="AD97" i="15"/>
  <c r="AD99" i="15"/>
  <c r="AG97" i="15"/>
  <c r="AG99" i="15"/>
  <c r="AH75" i="15"/>
  <c r="AH85" i="15"/>
  <c r="AF75" i="15"/>
  <c r="AF85" i="15"/>
  <c r="AE75" i="15"/>
  <c r="AI32" i="2"/>
  <c r="AM146" i="15"/>
  <c r="AI97" i="15"/>
  <c r="AI99" i="15"/>
  <c r="AE32" i="2"/>
  <c r="AD32" i="2"/>
  <c r="AC97" i="15"/>
  <c r="AC99" i="15"/>
  <c r="AG32" i="2"/>
  <c r="AE97" i="15"/>
  <c r="AE99" i="15"/>
  <c r="AH55" i="15"/>
  <c r="AF32" i="2"/>
  <c r="AH32" i="2"/>
  <c r="AH97" i="15"/>
  <c r="AH99" i="15"/>
  <c r="U190" i="15"/>
  <c r="AD75" i="15"/>
  <c r="AD85" i="15"/>
  <c r="AF55" i="15"/>
  <c r="AG75" i="15"/>
  <c r="AG85" i="15"/>
  <c r="AF97" i="15"/>
  <c r="AF99" i="15"/>
  <c r="AI55" i="15"/>
  <c r="AI75" i="15"/>
  <c r="AK97" i="15"/>
  <c r="P69" i="8"/>
  <c r="P82" i="8"/>
  <c r="O42" i="8"/>
  <c r="O82" i="8"/>
  <c r="M9" i="10" s="1"/>
  <c r="V208" i="15"/>
  <c r="W208" i="15"/>
  <c r="R204" i="15"/>
  <c r="Y159" i="15"/>
  <c r="AL125" i="15"/>
  <c r="AL200" i="15" s="1"/>
  <c r="AF106" i="15"/>
  <c r="AE106" i="15"/>
  <c r="AE203" i="15" s="1"/>
  <c r="AD106" i="15"/>
  <c r="AC106" i="15"/>
  <c r="AL106" i="15"/>
  <c r="AC83" i="15"/>
  <c r="AB71" i="15"/>
  <c r="AK71" i="15"/>
  <c r="AM83" i="15"/>
  <c r="AK59" i="15"/>
  <c r="AL59" i="15"/>
  <c r="AK32" i="2"/>
  <c r="AB32" i="2"/>
  <c r="AA32" i="2"/>
  <c r="AD143" i="15"/>
  <c r="AF143" i="15"/>
  <c r="AE143" i="15"/>
  <c r="AB54" i="15"/>
  <c r="AH143" i="15"/>
  <c r="AG143" i="15"/>
  <c r="AC143" i="15"/>
  <c r="AI143" i="15"/>
  <c r="S96" i="15"/>
  <c r="R96" i="15"/>
  <c r="AE190" i="15"/>
  <c r="AK143" i="15"/>
  <c r="P123" i="15"/>
  <c r="N85" i="15"/>
  <c r="M140" i="15"/>
  <c r="AB82" i="15"/>
  <c r="Y86" i="15"/>
  <c r="AK55" i="15"/>
  <c r="Z78" i="15"/>
  <c r="AB78" i="15"/>
  <c r="N204" i="15"/>
  <c r="T74" i="15"/>
  <c r="S113" i="15"/>
  <c r="R74" i="15"/>
  <c r="W85" i="15"/>
  <c r="N191" i="15"/>
  <c r="AL190" i="15"/>
  <c r="R197" i="15"/>
  <c r="O206" i="15"/>
  <c r="N8" i="10"/>
  <c r="T206" i="15"/>
  <c r="S8" i="10"/>
  <c r="S206" i="15"/>
  <c r="R8" i="10"/>
  <c r="Z190" i="15"/>
  <c r="R206" i="15"/>
  <c r="Q8" i="10"/>
  <c r="W197" i="15"/>
  <c r="M206" i="15"/>
  <c r="L8" i="10"/>
  <c r="M199" i="15"/>
  <c r="W206" i="15"/>
  <c r="V8" i="10"/>
  <c r="Q206" i="15"/>
  <c r="P8" i="10"/>
  <c r="V187" i="15"/>
  <c r="S202" i="15"/>
  <c r="P206" i="15"/>
  <c r="O8" i="10"/>
  <c r="M208" i="15"/>
  <c r="N206" i="15"/>
  <c r="M8" i="10"/>
  <c r="V206" i="15"/>
  <c r="U8" i="10"/>
  <c r="U206" i="15"/>
  <c r="T8" i="10"/>
  <c r="M19" i="15"/>
  <c r="M20" i="15" s="1"/>
  <c r="P140" i="15"/>
  <c r="O140" i="15"/>
  <c r="P99" i="15"/>
  <c r="Y98" i="15"/>
  <c r="Z81" i="15"/>
  <c r="Z200" i="15" s="1"/>
  <c r="S74" i="15"/>
  <c r="AF100" i="15"/>
  <c r="AK100" i="15"/>
  <c r="T197" i="15"/>
  <c r="AK24" i="15"/>
  <c r="AC114" i="15"/>
  <c r="AL124" i="15"/>
  <c r="Z97" i="15"/>
  <c r="AI114" i="15"/>
  <c r="AD114" i="15"/>
  <c r="AH159" i="15"/>
  <c r="AF142" i="15"/>
  <c r="AG56" i="15"/>
  <c r="R226" i="15"/>
  <c r="AF98" i="15"/>
  <c r="Z69" i="15"/>
  <c r="P199" i="15"/>
  <c r="AE124" i="15"/>
  <c r="AE197" i="15" s="1"/>
  <c r="AH76" i="15"/>
  <c r="AH204" i="15" s="1"/>
  <c r="AM95" i="15"/>
  <c r="AA95" i="15"/>
  <c r="AK77" i="15"/>
  <c r="AK199" i="15" s="1"/>
  <c r="Y77" i="15"/>
  <c r="AA59" i="15"/>
  <c r="AH142" i="15"/>
  <c r="AE159" i="15"/>
  <c r="AD124" i="15"/>
  <c r="AD197" i="15" s="1"/>
  <c r="AG124" i="15"/>
  <c r="AG197" i="15" s="1"/>
  <c r="U208" i="15"/>
  <c r="T187" i="15"/>
  <c r="AE24" i="15"/>
  <c r="AA70" i="15"/>
  <c r="Z35" i="15"/>
  <c r="AD24" i="15"/>
  <c r="AC98" i="15"/>
  <c r="AC56" i="15"/>
  <c r="AG24" i="15"/>
  <c r="AD100" i="15"/>
  <c r="AD98" i="15"/>
  <c r="AF76" i="15"/>
  <c r="AF204" i="15" s="1"/>
  <c r="AH56" i="15"/>
  <c r="AE76" i="15"/>
  <c r="AE204" i="15" s="1"/>
  <c r="AE85" i="15"/>
  <c r="AC76" i="15"/>
  <c r="AE100" i="15"/>
  <c r="AG76" i="15"/>
  <c r="AG204" i="15" s="1"/>
  <c r="AI56" i="15"/>
  <c r="M194" i="15"/>
  <c r="P208" i="15"/>
  <c r="AG159" i="15"/>
  <c r="AI142" i="15"/>
  <c r="N158" i="15"/>
  <c r="O85" i="15"/>
  <c r="Y99" i="15"/>
  <c r="AL24" i="15"/>
  <c r="AK76" i="15"/>
  <c r="AD76" i="15"/>
  <c r="AD204" i="15" s="1"/>
  <c r="AF56" i="15"/>
  <c r="Y95" i="15"/>
  <c r="AA76" i="15"/>
  <c r="AA82" i="15"/>
  <c r="Y78" i="15"/>
  <c r="AF24" i="15"/>
  <c r="AC100" i="15"/>
  <c r="AN114" i="15"/>
  <c r="O208" i="15"/>
  <c r="Z121" i="15"/>
  <c r="AD142" i="15"/>
  <c r="AI124" i="15"/>
  <c r="AI197" i="15" s="1"/>
  <c r="AE114" i="15"/>
  <c r="AI159" i="15"/>
  <c r="AG142" i="15"/>
  <c r="AH124" i="15"/>
  <c r="AH197" i="15" s="1"/>
  <c r="AH114" i="15"/>
  <c r="AD159" i="15"/>
  <c r="AG114" i="15"/>
  <c r="AC159" i="15"/>
  <c r="AC142" i="15"/>
  <c r="AC124" i="15"/>
  <c r="AG100" i="15"/>
  <c r="AG98" i="15"/>
  <c r="AC24" i="15"/>
  <c r="AI98" i="15"/>
  <c r="T190" i="15"/>
  <c r="AH24" i="15"/>
  <c r="AE56" i="15"/>
  <c r="AI100" i="15"/>
  <c r="AH100" i="15"/>
  <c r="AH98" i="15"/>
  <c r="AL76" i="15"/>
  <c r="AN56" i="15"/>
  <c r="AD56" i="15"/>
  <c r="W32" i="15"/>
  <c r="AI76" i="15"/>
  <c r="AI204" i="15" s="1"/>
  <c r="AI85" i="15"/>
  <c r="AI24" i="15"/>
  <c r="AE98" i="15"/>
  <c r="P200" i="15"/>
  <c r="N199" i="15"/>
  <c r="Z124" i="15"/>
  <c r="AL142" i="15"/>
  <c r="AE142" i="15"/>
  <c r="AF124" i="15"/>
  <c r="AF197" i="15" s="1"/>
  <c r="AF114" i="15"/>
  <c r="N99" i="15"/>
  <c r="Q74" i="15"/>
  <c r="AA98" i="15"/>
  <c r="P201" i="15"/>
  <c r="P194" i="15"/>
  <c r="Y94" i="15"/>
  <c r="AA88" i="15"/>
  <c r="Y82" i="15"/>
  <c r="AA78" i="15"/>
  <c r="Z75" i="15"/>
  <c r="AF190" i="15"/>
  <c r="AC201" i="15"/>
  <c r="AA86" i="15"/>
  <c r="AB55" i="15"/>
  <c r="AN103" i="15"/>
  <c r="AM94" i="15"/>
  <c r="W204" i="15"/>
  <c r="S208" i="15"/>
  <c r="M197" i="15"/>
  <c r="N194" i="15"/>
  <c r="O194" i="15"/>
  <c r="N201" i="15"/>
  <c r="Y105" i="15"/>
  <c r="AB102" i="15"/>
  <c r="AF187" i="15"/>
  <c r="AH187" i="15"/>
  <c r="T208" i="15"/>
  <c r="U199" i="15"/>
  <c r="U197" i="15"/>
  <c r="U201" i="15"/>
  <c r="Z88" i="15"/>
  <c r="AA77" i="15"/>
  <c r="Z105" i="15"/>
  <c r="Y102" i="15"/>
  <c r="U187" i="15"/>
  <c r="AB131" i="15"/>
  <c r="N200" i="15"/>
  <c r="O191" i="15"/>
  <c r="AI187" i="15"/>
  <c r="Y81" i="15"/>
  <c r="R208" i="15"/>
  <c r="S197" i="15"/>
  <c r="AG187" i="15"/>
  <c r="V197" i="15"/>
  <c r="O197" i="15"/>
  <c r="N208" i="15"/>
  <c r="AB159" i="15"/>
  <c r="AK156" i="15"/>
  <c r="Y156" i="15"/>
  <c r="Z143" i="15"/>
  <c r="Y139" i="15"/>
  <c r="AK137" i="15"/>
  <c r="Y137" i="15"/>
  <c r="AM135" i="15"/>
  <c r="AM198" i="15" s="1"/>
  <c r="AA135" i="15"/>
  <c r="AA198" i="15" s="1"/>
  <c r="AN127" i="15"/>
  <c r="AB127" i="15"/>
  <c r="AL112" i="15"/>
  <c r="Z112" i="15"/>
  <c r="AN109" i="15"/>
  <c r="AB109" i="15"/>
  <c r="Y106" i="15"/>
  <c r="P195" i="15"/>
  <c r="AN138" i="15"/>
  <c r="AB138" i="15"/>
  <c r="O195" i="15"/>
  <c r="AK128" i="15"/>
  <c r="Y128" i="15"/>
  <c r="Z126" i="15"/>
  <c r="AN197" i="2"/>
  <c r="AB124" i="15"/>
  <c r="AK116" i="15"/>
  <c r="Y116" i="15"/>
  <c r="AN137" i="15"/>
  <c r="AB137" i="15"/>
  <c r="P204" i="15"/>
  <c r="M195" i="15"/>
  <c r="AN156" i="15"/>
  <c r="AB156" i="15"/>
  <c r="AN146" i="15"/>
  <c r="AB146" i="15"/>
  <c r="AM137" i="15"/>
  <c r="AA137" i="15"/>
  <c r="AL134" i="15"/>
  <c r="Z134" i="15"/>
  <c r="Z204" i="15" s="1"/>
  <c r="AM127" i="15"/>
  <c r="AA127" i="15"/>
  <c r="AN121" i="15"/>
  <c r="AB121" i="15"/>
  <c r="AA114" i="15"/>
  <c r="AL110" i="15"/>
  <c r="Z110" i="15"/>
  <c r="AB106" i="15"/>
  <c r="AL146" i="15"/>
  <c r="Z146" i="15"/>
  <c r="AB142" i="15"/>
  <c r="M200" i="15"/>
  <c r="O199" i="15"/>
  <c r="N195" i="15"/>
  <c r="AB95" i="15"/>
  <c r="Y54" i="15"/>
  <c r="AA104" i="15"/>
  <c r="Z101" i="15"/>
  <c r="AA71" i="15"/>
  <c r="AA55" i="15"/>
  <c r="O201" i="15"/>
  <c r="M201" i="15"/>
  <c r="AM163" i="15"/>
  <c r="AA163" i="15"/>
  <c r="AK138" i="15"/>
  <c r="Y138" i="15"/>
  <c r="AL136" i="15"/>
  <c r="Z136" i="15"/>
  <c r="AN134" i="15"/>
  <c r="AB134" i="15"/>
  <c r="AB204" i="15" s="1"/>
  <c r="AK133" i="15"/>
  <c r="Y133" i="15"/>
  <c r="AM134" i="15"/>
  <c r="AA134" i="15"/>
  <c r="AM128" i="15"/>
  <c r="AA128" i="15"/>
  <c r="Y125" i="15"/>
  <c r="AN122" i="15"/>
  <c r="AB122" i="15"/>
  <c r="AK121" i="15"/>
  <c r="Y121" i="15"/>
  <c r="AM116" i="15"/>
  <c r="AA116" i="15"/>
  <c r="AM110" i="15"/>
  <c r="AA110" i="15"/>
  <c r="AL127" i="15"/>
  <c r="Z127" i="15"/>
  <c r="AM125" i="15"/>
  <c r="AA125" i="15"/>
  <c r="Z114" i="15"/>
  <c r="AN112" i="15"/>
  <c r="AB112" i="15"/>
  <c r="AA106" i="15"/>
  <c r="M204" i="15"/>
  <c r="AG190" i="15"/>
  <c r="AM190" i="15"/>
  <c r="AI200" i="15"/>
  <c r="O200" i="15"/>
  <c r="Z159" i="15"/>
  <c r="AM156" i="15"/>
  <c r="AA156" i="15"/>
  <c r="AM138" i="15"/>
  <c r="AA138" i="15"/>
  <c r="AN136" i="15"/>
  <c r="AB136" i="15"/>
  <c r="AK135" i="15"/>
  <c r="AK198" i="15" s="1"/>
  <c r="Y135" i="15"/>
  <c r="Y198" i="15" s="1"/>
  <c r="AL128" i="15"/>
  <c r="Z128" i="15"/>
  <c r="AN125" i="15"/>
  <c r="AB125" i="15"/>
  <c r="Y124" i="15"/>
  <c r="AM122" i="15"/>
  <c r="AA122" i="15"/>
  <c r="AK112" i="15"/>
  <c r="Y112" i="15"/>
  <c r="AM109" i="15"/>
  <c r="AM199" i="15" s="1"/>
  <c r="AA109" i="15"/>
  <c r="AA143" i="15"/>
  <c r="AL138" i="15"/>
  <c r="Z138" i="15"/>
  <c r="AK134" i="15"/>
  <c r="Y134" i="15"/>
  <c r="Y204" i="15" s="1"/>
  <c r="P197" i="15"/>
  <c r="AL132" i="15"/>
  <c r="Z132" i="15"/>
  <c r="AM131" i="15"/>
  <c r="AA131" i="15"/>
  <c r="AK131" i="15"/>
  <c r="Y131" i="15"/>
  <c r="AG203" i="15"/>
  <c r="AE187" i="15"/>
  <c r="AM42" i="15"/>
  <c r="AA42" i="15"/>
  <c r="AL51" i="15"/>
  <c r="Z51" i="15"/>
  <c r="AK35" i="15"/>
  <c r="Y35" i="15"/>
  <c r="AM31" i="15"/>
  <c r="AA31" i="15"/>
  <c r="AD187" i="15"/>
  <c r="P191" i="15"/>
  <c r="S203" i="15"/>
  <c r="W202" i="15"/>
  <c r="V200" i="15"/>
  <c r="W199" i="15"/>
  <c r="W201" i="15"/>
  <c r="AM39" i="15"/>
  <c r="AM187" i="15" s="1"/>
  <c r="AA39" i="15"/>
  <c r="AA187" i="15" s="1"/>
  <c r="AN190" i="15"/>
  <c r="AD190" i="15"/>
  <c r="Q190" i="15"/>
  <c r="AC187" i="15"/>
  <c r="AG200" i="15"/>
  <c r="AH199" i="15"/>
  <c r="AD201" i="15"/>
  <c r="AK190" i="15"/>
  <c r="AI203" i="15"/>
  <c r="AK39" i="15"/>
  <c r="AK187" i="15" s="1"/>
  <c r="Y39" i="15"/>
  <c r="Y187" i="15" s="1"/>
  <c r="U202" i="15"/>
  <c r="Q195" i="15"/>
  <c r="V191" i="15"/>
  <c r="AM51" i="15"/>
  <c r="AA51" i="15"/>
  <c r="AN42" i="15"/>
  <c r="AB42" i="15"/>
  <c r="T202" i="15"/>
  <c r="T200" i="15"/>
  <c r="S191" i="15"/>
  <c r="Q200" i="15"/>
  <c r="Q194" i="15"/>
  <c r="Q191" i="15"/>
  <c r="S200" i="15"/>
  <c r="T201" i="15"/>
  <c r="AB187" i="15"/>
  <c r="Q187" i="15"/>
  <c r="M191" i="15"/>
  <c r="AL31" i="15"/>
  <c r="Z31" i="15"/>
  <c r="AB23" i="15"/>
  <c r="AH200" i="15"/>
  <c r="AI199" i="15"/>
  <c r="AI201" i="15"/>
  <c r="V190" i="15"/>
  <c r="Q199" i="15"/>
  <c r="AC190" i="15"/>
  <c r="R203" i="15"/>
  <c r="R199" i="15"/>
  <c r="V201" i="15"/>
  <c r="Q204" i="15"/>
  <c r="T199" i="15"/>
  <c r="W190" i="15"/>
  <c r="Q203" i="15"/>
  <c r="AN51" i="15"/>
  <c r="AB51" i="15"/>
  <c r="AF200" i="15"/>
  <c r="AG199" i="15"/>
  <c r="AG201" i="15"/>
  <c r="AE200" i="15"/>
  <c r="AF201" i="15"/>
  <c r="AN187" i="15"/>
  <c r="AL199" i="15"/>
  <c r="Z32" i="15"/>
  <c r="AN32" i="2"/>
  <c r="AB24" i="15"/>
  <c r="Y23" i="15"/>
  <c r="R202" i="15"/>
  <c r="R200" i="15"/>
  <c r="S199" i="15"/>
  <c r="S201" i="15"/>
  <c r="AH190" i="15"/>
  <c r="AC199" i="15"/>
  <c r="AD199" i="15"/>
  <c r="AH201" i="15"/>
  <c r="AF199" i="15"/>
  <c r="AI190" i="15"/>
  <c r="W203" i="15"/>
  <c r="T191" i="15"/>
  <c r="U203" i="15"/>
  <c r="S187" i="15"/>
  <c r="W191" i="15"/>
  <c r="Q201" i="15"/>
  <c r="AA190" i="15"/>
  <c r="W200" i="15"/>
  <c r="R187" i="15"/>
  <c r="N19" i="15"/>
  <c r="N20" i="15" s="1"/>
  <c r="AL39" i="15"/>
  <c r="AL187" i="15" s="1"/>
  <c r="Z39" i="15"/>
  <c r="Z187" i="15" s="1"/>
  <c r="AN35" i="15"/>
  <c r="AB35" i="15"/>
  <c r="Y32" i="15"/>
  <c r="AA24" i="15"/>
  <c r="AD200" i="15"/>
  <c r="AE199" i="15"/>
  <c r="AE201" i="15"/>
  <c r="AB190" i="15"/>
  <c r="R190" i="15"/>
  <c r="U191" i="15"/>
  <c r="Q208" i="15"/>
  <c r="Q202" i="15"/>
  <c r="U200" i="15"/>
  <c r="V199" i="15"/>
  <c r="R201" i="15"/>
  <c r="Y190" i="15"/>
  <c r="Q197" i="15"/>
  <c r="R191" i="15"/>
  <c r="O252" i="15"/>
  <c r="P4" i="15"/>
  <c r="O2" i="15"/>
  <c r="AC41" i="8"/>
  <c r="AN248" i="4"/>
  <c r="AM248" i="4"/>
  <c r="AL248" i="4"/>
  <c r="AK248" i="4"/>
  <c r="AJ248" i="4"/>
  <c r="AI248" i="4"/>
  <c r="AH248" i="4"/>
  <c r="AG248" i="4"/>
  <c r="AF248" i="4"/>
  <c r="AE248" i="4"/>
  <c r="AD248" i="4"/>
  <c r="AC248" i="4"/>
  <c r="AN231" i="4"/>
  <c r="AM231" i="4"/>
  <c r="AM249" i="4" s="1"/>
  <c r="AL231" i="4"/>
  <c r="AL249" i="4" s="1"/>
  <c r="AK231" i="4"/>
  <c r="AK249" i="4" s="1"/>
  <c r="AJ231" i="4"/>
  <c r="AJ249" i="4" s="1"/>
  <c r="AI231" i="4"/>
  <c r="AI249" i="4" s="1"/>
  <c r="AH231" i="4"/>
  <c r="AH249" i="4" s="1"/>
  <c r="AG231" i="4"/>
  <c r="AG249" i="4" s="1"/>
  <c r="AF231" i="4"/>
  <c r="AF249" i="4" s="1"/>
  <c r="AE231" i="4"/>
  <c r="AE249" i="4" s="1"/>
  <c r="AD231" i="4"/>
  <c r="AD249" i="4" s="1"/>
  <c r="AC231" i="4"/>
  <c r="AN248" i="2"/>
  <c r="AM248" i="2"/>
  <c r="AL248" i="2"/>
  <c r="AK248" i="2"/>
  <c r="AJ248" i="2"/>
  <c r="AI248" i="2"/>
  <c r="AH248" i="2"/>
  <c r="AG248" i="2"/>
  <c r="AF248" i="2"/>
  <c r="AE248" i="2"/>
  <c r="AD248" i="2"/>
  <c r="AC248" i="2"/>
  <c r="AN231" i="2"/>
  <c r="AM231" i="2"/>
  <c r="AM249" i="2" s="1"/>
  <c r="AL231" i="2"/>
  <c r="AL249" i="2" s="1"/>
  <c r="AK231" i="2"/>
  <c r="AK249" i="2" s="1"/>
  <c r="AJ231" i="2"/>
  <c r="AJ249" i="2" s="1"/>
  <c r="AI231" i="2"/>
  <c r="AI249" i="2" s="1"/>
  <c r="AH231" i="2"/>
  <c r="AG231" i="2"/>
  <c r="AG249" i="2" s="1"/>
  <c r="AF231" i="2"/>
  <c r="AF249" i="2" s="1"/>
  <c r="AE231" i="2"/>
  <c r="AE249" i="2" s="1"/>
  <c r="AD231" i="2"/>
  <c r="AD249" i="2" s="1"/>
  <c r="AC231" i="2"/>
  <c r="AC249" i="2" s="1"/>
  <c r="AK208" i="2"/>
  <c r="AI208" i="2"/>
  <c r="AH208" i="2"/>
  <c r="AG208" i="2"/>
  <c r="AF208" i="2"/>
  <c r="AE208" i="2"/>
  <c r="AD208" i="2"/>
  <c r="AC208" i="2"/>
  <c r="AM204" i="2"/>
  <c r="AL204" i="2"/>
  <c r="AK204" i="2"/>
  <c r="AI204" i="2"/>
  <c r="AH204" i="2"/>
  <c r="AG204" i="2"/>
  <c r="AF204" i="2"/>
  <c r="AE204" i="2"/>
  <c r="AD204" i="2"/>
  <c r="AC204" i="2"/>
  <c r="AI203" i="2"/>
  <c r="AG203" i="2"/>
  <c r="AE203" i="2"/>
  <c r="AD203" i="2"/>
  <c r="AC203" i="2"/>
  <c r="AI202" i="2"/>
  <c r="AG202" i="2"/>
  <c r="AF202" i="2"/>
  <c r="AE202" i="2"/>
  <c r="AD202" i="2"/>
  <c r="AC202" i="2"/>
  <c r="AI201" i="2"/>
  <c r="AH201" i="2"/>
  <c r="AG201" i="2"/>
  <c r="AF201" i="2"/>
  <c r="AE201" i="2"/>
  <c r="AD201" i="2"/>
  <c r="AC201" i="2"/>
  <c r="AN200" i="2"/>
  <c r="AL200" i="2"/>
  <c r="AK200" i="2"/>
  <c r="AI200" i="2"/>
  <c r="AH200" i="2"/>
  <c r="AG200" i="2"/>
  <c r="AF200" i="2"/>
  <c r="AE200" i="2"/>
  <c r="AD200" i="2"/>
  <c r="AC200" i="2"/>
  <c r="AN199" i="2"/>
  <c r="AL199" i="2"/>
  <c r="AI199" i="2"/>
  <c r="AH199" i="2"/>
  <c r="AG199" i="2"/>
  <c r="AF199" i="2"/>
  <c r="AE199" i="2"/>
  <c r="AD199" i="2"/>
  <c r="AC199" i="2"/>
  <c r="AN198" i="2"/>
  <c r="AL198" i="2"/>
  <c r="AI198" i="2"/>
  <c r="AH198" i="2"/>
  <c r="AG198" i="2"/>
  <c r="AF198" i="2"/>
  <c r="AE198" i="2"/>
  <c r="AD198" i="2"/>
  <c r="AC198" i="2"/>
  <c r="AI197" i="2"/>
  <c r="AH197" i="2"/>
  <c r="AG197" i="2"/>
  <c r="AF197" i="2"/>
  <c r="AE197" i="2"/>
  <c r="AD197" i="2"/>
  <c r="AC197" i="2"/>
  <c r="AI191" i="2"/>
  <c r="AH191" i="2"/>
  <c r="AG191" i="2"/>
  <c r="AF191" i="2"/>
  <c r="AE191" i="2"/>
  <c r="AD191" i="2"/>
  <c r="AN190" i="2"/>
  <c r="AM190" i="2"/>
  <c r="AL190" i="2"/>
  <c r="AK190" i="2"/>
  <c r="AI190" i="2"/>
  <c r="AH190" i="2"/>
  <c r="AG190" i="2"/>
  <c r="AF190" i="2"/>
  <c r="AE190" i="2"/>
  <c r="AD190" i="2"/>
  <c r="AC190" i="2"/>
  <c r="AN189" i="2"/>
  <c r="AM189" i="2"/>
  <c r="AL189" i="2"/>
  <c r="AK189" i="2"/>
  <c r="AJ189" i="2"/>
  <c r="AI189" i="2"/>
  <c r="AH189" i="2"/>
  <c r="AG189" i="2"/>
  <c r="AF189" i="2"/>
  <c r="AE189" i="2"/>
  <c r="AD189" i="2"/>
  <c r="AC189" i="2"/>
  <c r="AN187" i="2"/>
  <c r="AI187" i="2"/>
  <c r="AH187" i="2"/>
  <c r="AG187" i="2"/>
  <c r="AF187" i="2"/>
  <c r="AE187" i="2"/>
  <c r="AD187" i="2"/>
  <c r="AC187" i="2"/>
  <c r="AM25" i="10"/>
  <c r="AL25" i="10"/>
  <c r="AK25" i="10"/>
  <c r="AJ25" i="10"/>
  <c r="AI25" i="10"/>
  <c r="AH25" i="10"/>
  <c r="AG25" i="10"/>
  <c r="AF25" i="10"/>
  <c r="AE25" i="10"/>
  <c r="AD25" i="10"/>
  <c r="AC25" i="10"/>
  <c r="AB25" i="10"/>
  <c r="AA25" i="10"/>
  <c r="Z25" i="10"/>
  <c r="Y25" i="10"/>
  <c r="W25" i="10"/>
  <c r="V25" i="10"/>
  <c r="U25" i="10"/>
  <c r="T25" i="10"/>
  <c r="S25" i="10"/>
  <c r="R25" i="10"/>
  <c r="Q25" i="10"/>
  <c r="P25" i="10"/>
  <c r="AB248" i="4"/>
  <c r="AA248" i="4"/>
  <c r="Z248" i="4"/>
  <c r="Y248" i="4"/>
  <c r="X248" i="4"/>
  <c r="W248" i="4"/>
  <c r="V248" i="4"/>
  <c r="U248" i="4"/>
  <c r="T248" i="4"/>
  <c r="S248" i="4"/>
  <c r="R248" i="4"/>
  <c r="Q248" i="4"/>
  <c r="AB248" i="2"/>
  <c r="AA248" i="2"/>
  <c r="Z248" i="2"/>
  <c r="Y248" i="2"/>
  <c r="X248" i="2"/>
  <c r="W248" i="2"/>
  <c r="V248" i="2"/>
  <c r="U248" i="2"/>
  <c r="T248" i="2"/>
  <c r="S248" i="2"/>
  <c r="R248" i="2"/>
  <c r="Q248" i="2"/>
  <c r="Q231" i="4"/>
  <c r="AB231" i="2"/>
  <c r="AA231" i="2"/>
  <c r="Z231" i="2"/>
  <c r="Y231" i="2"/>
  <c r="X231" i="2"/>
  <c r="W231" i="2"/>
  <c r="V231" i="2"/>
  <c r="U231" i="2"/>
  <c r="T231" i="2"/>
  <c r="S231" i="2"/>
  <c r="R231" i="2"/>
  <c r="Q231" i="2"/>
  <c r="AB208" i="2"/>
  <c r="AA208" i="2"/>
  <c r="Z208" i="2"/>
  <c r="Y208" i="2"/>
  <c r="W208" i="2"/>
  <c r="V208" i="2"/>
  <c r="U208" i="2"/>
  <c r="T208" i="2"/>
  <c r="S208" i="2"/>
  <c r="R208" i="2"/>
  <c r="Q208" i="2"/>
  <c r="Y206" i="2"/>
  <c r="W206" i="2"/>
  <c r="V206" i="2"/>
  <c r="U206" i="2"/>
  <c r="T206" i="2"/>
  <c r="S206" i="2"/>
  <c r="R206" i="2"/>
  <c r="Q206" i="2"/>
  <c r="AB204" i="2"/>
  <c r="AA204" i="2"/>
  <c r="Z204" i="2"/>
  <c r="Y204" i="2"/>
  <c r="W204" i="2"/>
  <c r="V204" i="2"/>
  <c r="U204" i="2"/>
  <c r="T204" i="2"/>
  <c r="S204" i="2"/>
  <c r="R204" i="2"/>
  <c r="Q204" i="2"/>
  <c r="W203" i="2"/>
  <c r="U203" i="2"/>
  <c r="S203" i="2"/>
  <c r="R203" i="2"/>
  <c r="Q203" i="2"/>
  <c r="W202" i="2"/>
  <c r="U202" i="2"/>
  <c r="T202" i="2"/>
  <c r="S202" i="2"/>
  <c r="R202" i="2"/>
  <c r="Q202" i="2"/>
  <c r="AB201" i="2"/>
  <c r="AA201" i="2"/>
  <c r="Z201" i="2"/>
  <c r="Y201" i="2"/>
  <c r="W201" i="2"/>
  <c r="V201" i="2"/>
  <c r="U201" i="2"/>
  <c r="T201" i="2"/>
  <c r="S201" i="2"/>
  <c r="R201" i="2"/>
  <c r="Q201" i="2"/>
  <c r="AB200" i="2"/>
  <c r="AA200" i="2"/>
  <c r="Z200" i="2"/>
  <c r="Y200" i="2"/>
  <c r="W200" i="2"/>
  <c r="V200" i="2"/>
  <c r="U200" i="2"/>
  <c r="T200" i="2"/>
  <c r="S200" i="2"/>
  <c r="R200" i="2"/>
  <c r="Q200" i="2"/>
  <c r="AB199" i="2"/>
  <c r="AA199" i="2"/>
  <c r="Z199" i="2"/>
  <c r="Y199" i="2"/>
  <c r="W199" i="2"/>
  <c r="V199" i="2"/>
  <c r="U199" i="2"/>
  <c r="T199" i="2"/>
  <c r="S199" i="2"/>
  <c r="R199" i="2"/>
  <c r="Q199" i="2"/>
  <c r="AB198" i="2"/>
  <c r="AA198" i="2"/>
  <c r="Z198" i="2"/>
  <c r="Y198" i="2"/>
  <c r="W198" i="2"/>
  <c r="V198" i="2"/>
  <c r="U198" i="2"/>
  <c r="T198" i="2"/>
  <c r="S198" i="2"/>
  <c r="R198" i="2"/>
  <c r="Q198" i="2"/>
  <c r="AB197" i="2"/>
  <c r="AA197" i="2"/>
  <c r="Y197" i="2"/>
  <c r="W197" i="2"/>
  <c r="V197" i="2"/>
  <c r="U197" i="2"/>
  <c r="T197" i="2"/>
  <c r="S197" i="2"/>
  <c r="R197" i="2"/>
  <c r="Q197" i="2"/>
  <c r="U196" i="2"/>
  <c r="T196" i="2"/>
  <c r="S196" i="2"/>
  <c r="R196" i="2"/>
  <c r="Q196" i="2"/>
  <c r="W195" i="2"/>
  <c r="V195" i="2"/>
  <c r="U195" i="2"/>
  <c r="T195" i="2"/>
  <c r="S195" i="2"/>
  <c r="R195" i="2"/>
  <c r="Q195" i="2"/>
  <c r="W194" i="2"/>
  <c r="V194" i="2"/>
  <c r="U194" i="2"/>
  <c r="T194" i="2"/>
  <c r="S194" i="2"/>
  <c r="R194" i="2"/>
  <c r="Q194" i="2"/>
  <c r="AB191" i="2"/>
  <c r="AA191" i="2"/>
  <c r="Z191" i="2"/>
  <c r="Y191" i="2"/>
  <c r="W191" i="2"/>
  <c r="V191" i="2"/>
  <c r="U191" i="2"/>
  <c r="T191" i="2"/>
  <c r="S191" i="2"/>
  <c r="R191" i="2"/>
  <c r="Q191" i="2"/>
  <c r="AB190" i="2"/>
  <c r="AA190" i="2"/>
  <c r="Z190" i="2"/>
  <c r="Y190" i="2"/>
  <c r="W190" i="2"/>
  <c r="V190" i="2"/>
  <c r="U190" i="2"/>
  <c r="T190" i="2"/>
  <c r="S190" i="2"/>
  <c r="R190" i="2"/>
  <c r="Q190" i="2"/>
  <c r="AB189" i="2"/>
  <c r="AA189" i="2"/>
  <c r="Z189" i="2"/>
  <c r="Y189" i="2"/>
  <c r="X189" i="2"/>
  <c r="W189" i="2"/>
  <c r="V189" i="2"/>
  <c r="U189" i="2"/>
  <c r="T189" i="2"/>
  <c r="S189" i="2"/>
  <c r="R189" i="2"/>
  <c r="Q189" i="2"/>
  <c r="AB187" i="2"/>
  <c r="AA187" i="2"/>
  <c r="Z187" i="2"/>
  <c r="Y187" i="2"/>
  <c r="W187" i="2"/>
  <c r="V187" i="2"/>
  <c r="U187" i="2"/>
  <c r="T187" i="2"/>
  <c r="S187" i="2"/>
  <c r="R187" i="2"/>
  <c r="Q187" i="2"/>
  <c r="P21" i="14" l="1"/>
  <c r="AB21" i="14" s="1"/>
  <c r="AB15" i="14"/>
  <c r="R21" i="14"/>
  <c r="AD21" i="14" s="1"/>
  <c r="AD15" i="14"/>
  <c r="AO113" i="15"/>
  <c r="AO204" i="15"/>
  <c r="AO197" i="15"/>
  <c r="BW21" i="8"/>
  <c r="BV26" i="8"/>
  <c r="AO208" i="15"/>
  <c r="AQ129" i="4"/>
  <c r="AQ109" i="4"/>
  <c r="AQ121" i="4"/>
  <c r="AQ131" i="4"/>
  <c r="AQ78" i="4"/>
  <c r="AQ105" i="4"/>
  <c r="AQ81" i="4"/>
  <c r="AQ138" i="4"/>
  <c r="AQ107" i="4"/>
  <c r="AQ72" i="4"/>
  <c r="AQ94" i="4"/>
  <c r="AQ93" i="4"/>
  <c r="AQ76" i="4"/>
  <c r="AQ125" i="4"/>
  <c r="AQ133" i="4"/>
  <c r="AQ83" i="4"/>
  <c r="AQ136" i="4"/>
  <c r="AQ159" i="4"/>
  <c r="AQ102" i="4"/>
  <c r="AQ79" i="4"/>
  <c r="AQ127" i="4"/>
  <c r="AQ108" i="4"/>
  <c r="AQ128" i="4"/>
  <c r="AQ95" i="4"/>
  <c r="AQ69" i="4"/>
  <c r="AQ84" i="4"/>
  <c r="AQ110" i="4"/>
  <c r="AQ137" i="4"/>
  <c r="AQ111" i="4"/>
  <c r="AQ103" i="4"/>
  <c r="AQ80" i="4"/>
  <c r="AQ112" i="4"/>
  <c r="AQ122" i="4"/>
  <c r="AQ104" i="4"/>
  <c r="AQ73" i="4"/>
  <c r="AQ77" i="4"/>
  <c r="AQ70" i="4"/>
  <c r="AQ126" i="4"/>
  <c r="AQ132" i="4"/>
  <c r="AQ71" i="4"/>
  <c r="AQ134" i="4"/>
  <c r="AQ82" i="4"/>
  <c r="AQ68" i="4"/>
  <c r="AQ135" i="4"/>
  <c r="AQ59" i="4"/>
  <c r="AQ98" i="4"/>
  <c r="AQ101" i="4"/>
  <c r="AP204" i="2"/>
  <c r="AP76" i="15"/>
  <c r="AP85" i="2"/>
  <c r="AP104" i="15"/>
  <c r="AP81" i="15"/>
  <c r="AP72" i="15"/>
  <c r="AP122" i="15"/>
  <c r="AP71" i="15"/>
  <c r="AP200" i="2"/>
  <c r="AP59" i="15"/>
  <c r="AP102" i="15"/>
  <c r="AP108" i="15"/>
  <c r="AP101" i="15"/>
  <c r="AP113" i="2"/>
  <c r="AP84" i="15"/>
  <c r="AP78" i="15"/>
  <c r="BU218" i="15"/>
  <c r="AP85" i="4"/>
  <c r="AO199" i="15"/>
  <c r="AO203" i="15"/>
  <c r="AP80" i="15"/>
  <c r="AP94" i="15"/>
  <c r="AP70" i="15"/>
  <c r="AP203" i="2"/>
  <c r="AP93" i="15"/>
  <c r="AP82" i="15"/>
  <c r="AP131" i="15"/>
  <c r="AP201" i="2"/>
  <c r="AP121" i="15"/>
  <c r="AP135" i="15"/>
  <c r="AP198" i="15" s="1"/>
  <c r="AP198" i="2"/>
  <c r="AP107" i="15"/>
  <c r="AP99" i="2"/>
  <c r="AP98" i="15"/>
  <c r="AP127" i="15"/>
  <c r="AP105" i="15"/>
  <c r="AO202" i="15"/>
  <c r="BJ218" i="15"/>
  <c r="AP99" i="4"/>
  <c r="AO196" i="15"/>
  <c r="AO99" i="15"/>
  <c r="AO85" i="15"/>
  <c r="AP111" i="15"/>
  <c r="AP126" i="15"/>
  <c r="AP137" i="15"/>
  <c r="AP138" i="15"/>
  <c r="AP112" i="15"/>
  <c r="AP83" i="15"/>
  <c r="AP106" i="15"/>
  <c r="AP109" i="15"/>
  <c r="AP110" i="15"/>
  <c r="AP208" i="2"/>
  <c r="AP103" i="15"/>
  <c r="AP68" i="15"/>
  <c r="AP197" i="2"/>
  <c r="AP95" i="15"/>
  <c r="AO200" i="15"/>
  <c r="AO201" i="15"/>
  <c r="AY218" i="15"/>
  <c r="AP113" i="4"/>
  <c r="AP129" i="15"/>
  <c r="AP196" i="15" s="1"/>
  <c r="AP128" i="15"/>
  <c r="AP132" i="15"/>
  <c r="AP125" i="15"/>
  <c r="AP73" i="15"/>
  <c r="AP202" i="2"/>
  <c r="AP159" i="15"/>
  <c r="AP133" i="15"/>
  <c r="AP69" i="15"/>
  <c r="AP199" i="2"/>
  <c r="AP77" i="15"/>
  <c r="AP79" i="15"/>
  <c r="AP136" i="15"/>
  <c r="AP134" i="15"/>
  <c r="AQ131" i="2"/>
  <c r="AQ94" i="2"/>
  <c r="AQ110" i="2"/>
  <c r="AQ95" i="2"/>
  <c r="AQ108" i="2"/>
  <c r="AQ104" i="2"/>
  <c r="AQ103" i="2"/>
  <c r="AQ70" i="2"/>
  <c r="AQ107" i="2"/>
  <c r="AQ112" i="2"/>
  <c r="AQ102" i="2"/>
  <c r="AQ109" i="2"/>
  <c r="AQ105" i="2"/>
  <c r="AQ133" i="2"/>
  <c r="AQ159" i="2"/>
  <c r="AQ122" i="2"/>
  <c r="AQ98" i="2"/>
  <c r="AQ111" i="2"/>
  <c r="AQ101" i="2"/>
  <c r="AQ121" i="2"/>
  <c r="AQ93" i="2"/>
  <c r="AQ59" i="2"/>
  <c r="AQ125" i="2"/>
  <c r="BV218" i="15"/>
  <c r="AZ218" i="15"/>
  <c r="CG189" i="2"/>
  <c r="CG72" i="2"/>
  <c r="CG85" i="4"/>
  <c r="CG99" i="4"/>
  <c r="CG113" i="4"/>
  <c r="AC32" i="15"/>
  <c r="CG101" i="2"/>
  <c r="CG80" i="2"/>
  <c r="CE84" i="15"/>
  <c r="CF84" i="15"/>
  <c r="CG84" i="15"/>
  <c r="CG111" i="2"/>
  <c r="CG59" i="2"/>
  <c r="AC203" i="15"/>
  <c r="Q166" i="4"/>
  <c r="CG125" i="2"/>
  <c r="CG121" i="2"/>
  <c r="CG76" i="2"/>
  <c r="CG98" i="2"/>
  <c r="AC200" i="15"/>
  <c r="N166" i="4"/>
  <c r="CE166" i="4" s="1"/>
  <c r="CE141" i="4"/>
  <c r="CF189" i="2"/>
  <c r="AC197" i="15"/>
  <c r="AC204" i="15"/>
  <c r="CG79" i="2"/>
  <c r="CG93" i="2"/>
  <c r="CF108" i="15"/>
  <c r="CG108" i="15"/>
  <c r="AN200" i="15"/>
  <c r="AN199" i="15"/>
  <c r="AF191" i="15"/>
  <c r="AN249" i="4"/>
  <c r="AN249" i="2"/>
  <c r="AE191" i="15"/>
  <c r="AF208" i="15"/>
  <c r="AL159" i="15"/>
  <c r="AN159" i="15"/>
  <c r="AH249" i="2"/>
  <c r="AH191" i="15"/>
  <c r="AN23" i="15"/>
  <c r="R231" i="15"/>
  <c r="R249" i="15" s="1"/>
  <c r="AA208" i="15"/>
  <c r="AD191" i="15"/>
  <c r="AG202" i="15"/>
  <c r="R231" i="4"/>
  <c r="R249" i="4" s="1"/>
  <c r="AE202" i="15"/>
  <c r="AB200" i="15"/>
  <c r="AM159" i="15"/>
  <c r="AG191" i="15"/>
  <c r="AI202" i="15"/>
  <c r="AM200" i="15"/>
  <c r="S141" i="15"/>
  <c r="AM142" i="15"/>
  <c r="R123" i="15"/>
  <c r="AM187" i="2"/>
  <c r="Z85" i="15"/>
  <c r="AN75" i="15"/>
  <c r="AN85" i="15"/>
  <c r="AM32" i="2"/>
  <c r="AD202" i="15"/>
  <c r="AF202" i="15"/>
  <c r="AL75" i="15"/>
  <c r="AL85" i="15"/>
  <c r="AK75" i="15"/>
  <c r="AK85" i="15"/>
  <c r="AB199" i="15"/>
  <c r="AM75" i="15"/>
  <c r="AM85" i="15"/>
  <c r="AI191" i="15"/>
  <c r="AC202" i="15"/>
  <c r="V196" i="2"/>
  <c r="U196" i="15"/>
  <c r="U210" i="15" s="1"/>
  <c r="AL187" i="2"/>
  <c r="V129" i="15"/>
  <c r="V140" i="15"/>
  <c r="AK208" i="15"/>
  <c r="Y208" i="15"/>
  <c r="AL97" i="15"/>
  <c r="AK187" i="2"/>
  <c r="AB208" i="15"/>
  <c r="R157" i="15"/>
  <c r="AM97" i="15"/>
  <c r="T157" i="15"/>
  <c r="N52" i="4"/>
  <c r="U157" i="15"/>
  <c r="V157" i="15"/>
  <c r="W157" i="15"/>
  <c r="S157" i="15"/>
  <c r="AN97" i="15"/>
  <c r="Q69" i="8"/>
  <c r="P42" i="8"/>
  <c r="AN201" i="15"/>
  <c r="AA204" i="15"/>
  <c r="AL126" i="15"/>
  <c r="AK125" i="15"/>
  <c r="AK200" i="15" s="1"/>
  <c r="AD203" i="15"/>
  <c r="AN106" i="15"/>
  <c r="AM106" i="15"/>
  <c r="AK106" i="15"/>
  <c r="AN201" i="2"/>
  <c r="AN95" i="15"/>
  <c r="AM59" i="15"/>
  <c r="AL32" i="2"/>
  <c r="AL32" i="15" s="1"/>
  <c r="AB32" i="15"/>
  <c r="AK23" i="15"/>
  <c r="N9" i="10"/>
  <c r="AM124" i="15"/>
  <c r="AM197" i="15" s="1"/>
  <c r="AM208" i="2"/>
  <c r="Q141" i="15"/>
  <c r="AM143" i="15"/>
  <c r="AL143" i="15"/>
  <c r="AN99" i="15"/>
  <c r="AN143" i="15"/>
  <c r="AN191" i="2"/>
  <c r="AC113" i="15"/>
  <c r="AN76" i="15"/>
  <c r="AN204" i="15" s="1"/>
  <c r="AL99" i="15"/>
  <c r="AD113" i="15"/>
  <c r="AN100" i="15"/>
  <c r="R141" i="15"/>
  <c r="AH113" i="15"/>
  <c r="AI113" i="15"/>
  <c r="AK204" i="15"/>
  <c r="AA99" i="15"/>
  <c r="AL56" i="15"/>
  <c r="AL98" i="15"/>
  <c r="Z199" i="15"/>
  <c r="AG113" i="15"/>
  <c r="AE113" i="15"/>
  <c r="AL191" i="15"/>
  <c r="Y201" i="15"/>
  <c r="AA200" i="15"/>
  <c r="Y199" i="15"/>
  <c r="AG208" i="15"/>
  <c r="AB201" i="15"/>
  <c r="AA199" i="15"/>
  <c r="Y206" i="15"/>
  <c r="X8" i="10"/>
  <c r="Y200" i="15"/>
  <c r="AC208" i="15"/>
  <c r="M45" i="15"/>
  <c r="Z201" i="15"/>
  <c r="AK201" i="15"/>
  <c r="AA201" i="15"/>
  <c r="AL201" i="15"/>
  <c r="M52" i="15"/>
  <c r="AK114" i="15"/>
  <c r="AK197" i="2"/>
  <c r="AK198" i="2"/>
  <c r="AB197" i="15"/>
  <c r="AN124" i="15"/>
  <c r="AN197" i="15" s="1"/>
  <c r="AK98" i="15"/>
  <c r="AK99" i="15"/>
  <c r="AM98" i="15"/>
  <c r="AM99" i="15"/>
  <c r="AM76" i="15"/>
  <c r="AM204" i="15" s="1"/>
  <c r="AH32" i="15"/>
  <c r="AA32" i="15"/>
  <c r="AM114" i="15"/>
  <c r="AA85" i="15"/>
  <c r="AK191" i="2"/>
  <c r="AM24" i="15"/>
  <c r="AM191" i="15" s="1"/>
  <c r="AL191" i="2"/>
  <c r="AL201" i="2"/>
  <c r="AN24" i="15"/>
  <c r="AK124" i="15"/>
  <c r="AK197" i="15" s="1"/>
  <c r="AL204" i="15"/>
  <c r="AH208" i="15"/>
  <c r="AF32" i="15"/>
  <c r="AE208" i="15"/>
  <c r="AK56" i="15"/>
  <c r="AD208" i="15"/>
  <c r="AD32" i="15"/>
  <c r="AN98" i="15"/>
  <c r="AC249" i="4"/>
  <c r="AL100" i="15"/>
  <c r="AE32" i="15"/>
  <c r="AK199" i="2"/>
  <c r="AK201" i="2"/>
  <c r="AL208" i="2"/>
  <c r="AM191" i="2"/>
  <c r="AM197" i="2"/>
  <c r="AM198" i="2"/>
  <c r="AM199" i="2"/>
  <c r="AM200" i="2"/>
  <c r="AM201" i="2"/>
  <c r="AN204" i="2"/>
  <c r="AN208" i="2"/>
  <c r="AA197" i="15"/>
  <c r="AL114" i="15"/>
  <c r="AN142" i="15"/>
  <c r="AI32" i="15"/>
  <c r="AI208" i="15"/>
  <c r="AB85" i="15"/>
  <c r="AG32" i="15"/>
  <c r="AM100" i="15"/>
  <c r="AK142" i="15"/>
  <c r="AM56" i="15"/>
  <c r="AK32" i="15"/>
  <c r="O19" i="15"/>
  <c r="O20" i="15" s="1"/>
  <c r="Z191" i="15"/>
  <c r="Y197" i="15"/>
  <c r="Z208" i="15"/>
  <c r="AM201" i="15"/>
  <c r="Y191" i="15"/>
  <c r="AB191" i="15"/>
  <c r="AA191" i="15"/>
  <c r="Q210" i="15"/>
  <c r="S210" i="15"/>
  <c r="R210" i="15"/>
  <c r="P252" i="15"/>
  <c r="Q4" i="15"/>
  <c r="P2" i="15"/>
  <c r="U210" i="2"/>
  <c r="Q210" i="2"/>
  <c r="AD41" i="8"/>
  <c r="AE41" i="8" s="1"/>
  <c r="AF41" i="8" s="1"/>
  <c r="AG41" i="8" s="1"/>
  <c r="AH41" i="8" s="1"/>
  <c r="AI41" i="8" s="1"/>
  <c r="AJ41" i="8" s="1"/>
  <c r="AK41" i="8" s="1"/>
  <c r="AL41" i="8" s="1"/>
  <c r="AM41" i="8" s="1"/>
  <c r="AN41" i="8" s="1"/>
  <c r="AO41" i="8" s="1"/>
  <c r="AP41" i="8" s="1"/>
  <c r="AQ41" i="8" s="1"/>
  <c r="AR41" i="8" s="1"/>
  <c r="AS41" i="8" s="1"/>
  <c r="AT41" i="8" s="1"/>
  <c r="AU41" i="8" s="1"/>
  <c r="AV41" i="8" s="1"/>
  <c r="AW41" i="8" s="1"/>
  <c r="AX41" i="8" s="1"/>
  <c r="AY41" i="8" s="1"/>
  <c r="AZ41" i="8" s="1"/>
  <c r="BA41" i="8" s="1"/>
  <c r="BB41" i="8" s="1"/>
  <c r="BC41" i="8" s="1"/>
  <c r="BD41" i="8" s="1"/>
  <c r="BE41" i="8" s="1"/>
  <c r="BF41" i="8" s="1"/>
  <c r="BG41" i="8" s="1"/>
  <c r="BH41" i="8" s="1"/>
  <c r="BI41" i="8" s="1"/>
  <c r="BJ41" i="8" s="1"/>
  <c r="BK41" i="8" s="1"/>
  <c r="BL41" i="8" s="1"/>
  <c r="BM41" i="8" s="1"/>
  <c r="BN41" i="8" s="1"/>
  <c r="BO41" i="8" s="1"/>
  <c r="BP41" i="8" s="1"/>
  <c r="BQ41" i="8" s="1"/>
  <c r="BR41" i="8" s="1"/>
  <c r="BS41" i="8" s="1"/>
  <c r="BT41" i="8" s="1"/>
  <c r="BU41" i="8" s="1"/>
  <c r="BV41" i="8" s="1"/>
  <c r="BW41" i="8" s="1"/>
  <c r="BX41" i="8" s="1"/>
  <c r="BY41" i="8" s="1"/>
  <c r="S210" i="2"/>
  <c r="S249" i="2"/>
  <c r="W249" i="2"/>
  <c r="AA249" i="2"/>
  <c r="T249" i="2"/>
  <c r="X249" i="2"/>
  <c r="AB249" i="2"/>
  <c r="Q249" i="2"/>
  <c r="U249" i="2"/>
  <c r="Y249" i="2"/>
  <c r="R249" i="2"/>
  <c r="V249" i="2"/>
  <c r="Z249" i="2"/>
  <c r="Q249" i="4"/>
  <c r="R210" i="2"/>
  <c r="E222" i="4"/>
  <c r="F222" i="4" s="1"/>
  <c r="G222" i="4" s="1"/>
  <c r="H222" i="4" s="1"/>
  <c r="I222" i="4" s="1"/>
  <c r="J222" i="4" s="1"/>
  <c r="K222" i="4" s="1"/>
  <c r="L222" i="4" s="1"/>
  <c r="M222" i="4" s="1"/>
  <c r="N222" i="4" s="1"/>
  <c r="O222" i="4" s="1"/>
  <c r="P222" i="4" s="1"/>
  <c r="E222" i="2"/>
  <c r="F224" i="4"/>
  <c r="G224" i="4" s="1"/>
  <c r="H224" i="4" s="1"/>
  <c r="I224" i="4" s="1"/>
  <c r="J224" i="4" s="1"/>
  <c r="K224" i="4" s="1"/>
  <c r="L224" i="4" s="1"/>
  <c r="M224" i="4" s="1"/>
  <c r="N224" i="4" s="1"/>
  <c r="O224" i="4" s="1"/>
  <c r="P224" i="4" s="1"/>
  <c r="AC224" i="4" s="1"/>
  <c r="AD224" i="4" s="1"/>
  <c r="AE224" i="4" s="1"/>
  <c r="AF224" i="4" s="1"/>
  <c r="AG224" i="4" s="1"/>
  <c r="AH224" i="4" s="1"/>
  <c r="AI224" i="4" s="1"/>
  <c r="AJ224" i="4" s="1"/>
  <c r="AK224" i="4" s="1"/>
  <c r="AL224" i="4" s="1"/>
  <c r="AM224" i="4" s="1"/>
  <c r="AN224" i="4" s="1"/>
  <c r="F223" i="4"/>
  <c r="G223" i="4" s="1"/>
  <c r="H223" i="4" s="1"/>
  <c r="I223" i="4" s="1"/>
  <c r="J223" i="4" s="1"/>
  <c r="K223" i="4" s="1"/>
  <c r="L223" i="4" s="1"/>
  <c r="M223" i="4" s="1"/>
  <c r="N223" i="4" s="1"/>
  <c r="O223" i="4" s="1"/>
  <c r="P223" i="4" s="1"/>
  <c r="F224" i="2"/>
  <c r="F223" i="2"/>
  <c r="R22" i="14" l="1"/>
  <c r="BX21" i="8"/>
  <c r="BW26" i="8"/>
  <c r="AQ80" i="15"/>
  <c r="AQ85" i="2"/>
  <c r="AQ204" i="2"/>
  <c r="AQ76" i="15"/>
  <c r="AQ122" i="15"/>
  <c r="AQ159" i="15"/>
  <c r="AQ105" i="15"/>
  <c r="AQ112" i="15"/>
  <c r="AQ77" i="15"/>
  <c r="AQ104" i="15"/>
  <c r="AQ110" i="15"/>
  <c r="AQ208" i="2"/>
  <c r="AQ132" i="15"/>
  <c r="AQ131" i="15"/>
  <c r="AQ201" i="2"/>
  <c r="AR110" i="2"/>
  <c r="AR104" i="2"/>
  <c r="AR131" i="2"/>
  <c r="AR101" i="2"/>
  <c r="AR109" i="2"/>
  <c r="AR122" i="2"/>
  <c r="AR133" i="2"/>
  <c r="AR112" i="2"/>
  <c r="AR159" i="2"/>
  <c r="AR59" i="2"/>
  <c r="AR98" i="2"/>
  <c r="AR95" i="2"/>
  <c r="AR102" i="2"/>
  <c r="AR70" i="2"/>
  <c r="AR107" i="2"/>
  <c r="AR111" i="2"/>
  <c r="AR93" i="2"/>
  <c r="AR125" i="2"/>
  <c r="AR121" i="2"/>
  <c r="AR105" i="2"/>
  <c r="AR103" i="2"/>
  <c r="AR94" i="2"/>
  <c r="AR108" i="2"/>
  <c r="AP197" i="15"/>
  <c r="AP202" i="15"/>
  <c r="AP201" i="15"/>
  <c r="AP113" i="15"/>
  <c r="AP85" i="15"/>
  <c r="AQ113" i="4"/>
  <c r="AR129" i="4"/>
  <c r="AR73" i="4"/>
  <c r="AR159" i="4"/>
  <c r="AR135" i="4"/>
  <c r="AR127" i="4"/>
  <c r="AR136" i="4"/>
  <c r="AR102" i="4"/>
  <c r="AR108" i="4"/>
  <c r="AR137" i="4"/>
  <c r="AR72" i="4"/>
  <c r="AR109" i="4"/>
  <c r="AR134" i="4"/>
  <c r="AR105" i="4"/>
  <c r="AR110" i="4"/>
  <c r="AR94" i="4"/>
  <c r="AR107" i="4"/>
  <c r="AR71" i="4"/>
  <c r="AR80" i="4"/>
  <c r="AR104" i="4"/>
  <c r="AR84" i="4"/>
  <c r="AR82" i="4"/>
  <c r="AR95" i="4"/>
  <c r="AR138" i="4"/>
  <c r="AR83" i="4"/>
  <c r="AR131" i="4"/>
  <c r="AR132" i="4"/>
  <c r="AR128" i="4"/>
  <c r="AR77" i="4"/>
  <c r="AR126" i="4"/>
  <c r="AR69" i="4"/>
  <c r="AR79" i="4"/>
  <c r="AR112" i="4"/>
  <c r="AR70" i="4"/>
  <c r="AR111" i="4"/>
  <c r="AR81" i="4"/>
  <c r="AR103" i="4"/>
  <c r="AR122" i="4"/>
  <c r="AR68" i="4"/>
  <c r="AR78" i="4"/>
  <c r="AR133" i="4"/>
  <c r="AR121" i="4"/>
  <c r="AR125" i="4"/>
  <c r="AR59" i="4"/>
  <c r="AR98" i="4"/>
  <c r="AR93" i="4"/>
  <c r="AR76" i="4"/>
  <c r="AR101" i="4"/>
  <c r="BK218" i="15"/>
  <c r="AQ125" i="15"/>
  <c r="AQ121" i="15"/>
  <c r="AQ111" i="15"/>
  <c r="AQ83" i="15"/>
  <c r="AQ82" i="15"/>
  <c r="AQ109" i="15"/>
  <c r="AQ68" i="15"/>
  <c r="AQ197" i="2"/>
  <c r="AQ126" i="15"/>
  <c r="AQ108" i="15"/>
  <c r="AQ81" i="15"/>
  <c r="AQ73" i="15"/>
  <c r="AQ202" i="2"/>
  <c r="AQ71" i="15"/>
  <c r="AQ200" i="2"/>
  <c r="AP99" i="15"/>
  <c r="AP204" i="15"/>
  <c r="AQ99" i="4"/>
  <c r="AQ59" i="15"/>
  <c r="AQ72" i="15"/>
  <c r="AQ98" i="15"/>
  <c r="AQ99" i="2"/>
  <c r="AQ99" i="15" s="1"/>
  <c r="AQ69" i="15"/>
  <c r="AQ199" i="2"/>
  <c r="AQ133" i="15"/>
  <c r="AQ136" i="15"/>
  <c r="AQ107" i="15"/>
  <c r="AQ70" i="15"/>
  <c r="AQ95" i="15"/>
  <c r="AQ127" i="15"/>
  <c r="AQ94" i="15"/>
  <c r="AQ128" i="15"/>
  <c r="AP208" i="15"/>
  <c r="AQ85" i="4"/>
  <c r="AQ203" i="2"/>
  <c r="AQ93" i="15"/>
  <c r="AQ101" i="15"/>
  <c r="AQ113" i="2"/>
  <c r="AQ79" i="15"/>
  <c r="AQ198" i="2"/>
  <c r="AQ135" i="15"/>
  <c r="AQ78" i="15"/>
  <c r="AQ102" i="15"/>
  <c r="AQ84" i="15"/>
  <c r="AQ103" i="15"/>
  <c r="AQ138" i="15"/>
  <c r="AQ137" i="15"/>
  <c r="AQ134" i="15"/>
  <c r="AQ106" i="15"/>
  <c r="AP203" i="15"/>
  <c r="AP199" i="15"/>
  <c r="AP200" i="15"/>
  <c r="AQ129" i="15"/>
  <c r="AQ196" i="15" s="1"/>
  <c r="BW218" i="15"/>
  <c r="BL218" i="15"/>
  <c r="N53" i="4"/>
  <c r="CE85" i="2"/>
  <c r="CG85" i="2"/>
  <c r="CF80" i="15"/>
  <c r="CG80" i="15"/>
  <c r="CF111" i="15"/>
  <c r="CG111" i="15"/>
  <c r="CF72" i="15"/>
  <c r="CG72" i="15"/>
  <c r="CG113" i="2"/>
  <c r="CG99" i="2"/>
  <c r="CF79" i="15"/>
  <c r="CG79" i="15"/>
  <c r="AN208" i="15"/>
  <c r="AL208" i="15"/>
  <c r="AN191" i="15"/>
  <c r="AM208" i="15"/>
  <c r="U158" i="15"/>
  <c r="U166" i="15"/>
  <c r="T158" i="15"/>
  <c r="W158" i="15"/>
  <c r="V158" i="15"/>
  <c r="S158" i="15"/>
  <c r="S166" i="15"/>
  <c r="U141" i="15"/>
  <c r="V196" i="15"/>
  <c r="M188" i="15"/>
  <c r="M193" i="15" s="1"/>
  <c r="W196" i="2"/>
  <c r="W210" i="2" s="1"/>
  <c r="W129" i="15"/>
  <c r="O52" i="4"/>
  <c r="O53" i="4" s="1"/>
  <c r="O167" i="4" s="1"/>
  <c r="O174" i="4" s="1"/>
  <c r="N52" i="2"/>
  <c r="R158" i="15"/>
  <c r="R69" i="8"/>
  <c r="AK191" i="15"/>
  <c r="Q166" i="15"/>
  <c r="M53" i="15"/>
  <c r="N45" i="15"/>
  <c r="AM32" i="15"/>
  <c r="F7" i="4"/>
  <c r="E7" i="15"/>
  <c r="AN32" i="15"/>
  <c r="G223" i="2"/>
  <c r="H223" i="2" s="1"/>
  <c r="F223" i="15"/>
  <c r="F222" i="2"/>
  <c r="E222" i="15"/>
  <c r="G224" i="2"/>
  <c r="H224" i="2" s="1"/>
  <c r="F224" i="15"/>
  <c r="Q253" i="15"/>
  <c r="Q252" i="15"/>
  <c r="Q2" i="15"/>
  <c r="R4" i="15"/>
  <c r="AQ208" i="15" l="1"/>
  <c r="BY21" i="8"/>
  <c r="BY26" i="8" s="1"/>
  <c r="BX26" i="8"/>
  <c r="AQ113" i="15"/>
  <c r="AQ202" i="15"/>
  <c r="AR99" i="4"/>
  <c r="AR129" i="15"/>
  <c r="AR196" i="15" s="1"/>
  <c r="AR83" i="15"/>
  <c r="AR126" i="15"/>
  <c r="AR76" i="15"/>
  <c r="AR85" i="2"/>
  <c r="AR204" i="2"/>
  <c r="AR135" i="15"/>
  <c r="AR198" i="15" s="1"/>
  <c r="AR198" i="2"/>
  <c r="AR70" i="15"/>
  <c r="AR99" i="2"/>
  <c r="AR98" i="15"/>
  <c r="AR159" i="15"/>
  <c r="AR81" i="15"/>
  <c r="AR101" i="15"/>
  <c r="AR113" i="2"/>
  <c r="AR69" i="15"/>
  <c r="AR199" i="2"/>
  <c r="AR77" i="15"/>
  <c r="AS104" i="2"/>
  <c r="AS111" i="2"/>
  <c r="AS98" i="2"/>
  <c r="AS70" i="2"/>
  <c r="AS112" i="2"/>
  <c r="AS159" i="2"/>
  <c r="AS94" i="2"/>
  <c r="AS95" i="2"/>
  <c r="AS103" i="2"/>
  <c r="AS109" i="2"/>
  <c r="AS107" i="2"/>
  <c r="AS108" i="2"/>
  <c r="AS122" i="2"/>
  <c r="AS133" i="2"/>
  <c r="AS102" i="2"/>
  <c r="AS110" i="2"/>
  <c r="AS105" i="2"/>
  <c r="AS121" i="2"/>
  <c r="AS125" i="2"/>
  <c r="AS131" i="2"/>
  <c r="AS101" i="2"/>
  <c r="AS93" i="2"/>
  <c r="AS59" i="2"/>
  <c r="AQ85" i="15"/>
  <c r="AQ200" i="15"/>
  <c r="AR113" i="4"/>
  <c r="AS129" i="4"/>
  <c r="AS70" i="4"/>
  <c r="AS122" i="4"/>
  <c r="AS134" i="4"/>
  <c r="AS78" i="4"/>
  <c r="AS111" i="4"/>
  <c r="AS95" i="4"/>
  <c r="AS159" i="4"/>
  <c r="AS126" i="4"/>
  <c r="AS107" i="4"/>
  <c r="AS136" i="4"/>
  <c r="AS125" i="4"/>
  <c r="AS93" i="4"/>
  <c r="AS121" i="4"/>
  <c r="AS80" i="4"/>
  <c r="AS77" i="4"/>
  <c r="AS128" i="4"/>
  <c r="AS71" i="4"/>
  <c r="AS109" i="4"/>
  <c r="AS68" i="4"/>
  <c r="AS79" i="4"/>
  <c r="AS133" i="4"/>
  <c r="AS69" i="4"/>
  <c r="AS83" i="4"/>
  <c r="AS59" i="4"/>
  <c r="AS81" i="4"/>
  <c r="AS138" i="4"/>
  <c r="AS103" i="4"/>
  <c r="AS137" i="4"/>
  <c r="AS131" i="4"/>
  <c r="AS72" i="4"/>
  <c r="AS112" i="4"/>
  <c r="AS73" i="4"/>
  <c r="AS127" i="4"/>
  <c r="AS135" i="4"/>
  <c r="AS98" i="4"/>
  <c r="AS101" i="4"/>
  <c r="AS76" i="4"/>
  <c r="AS84" i="4"/>
  <c r="AS108" i="4"/>
  <c r="AS110" i="4"/>
  <c r="AS82" i="4"/>
  <c r="AS132" i="4"/>
  <c r="AS104" i="4"/>
  <c r="AS94" i="4"/>
  <c r="AS105" i="4"/>
  <c r="AS102" i="4"/>
  <c r="AR108" i="15"/>
  <c r="AR103" i="15"/>
  <c r="AR121" i="15"/>
  <c r="AR111" i="15"/>
  <c r="AR82" i="15"/>
  <c r="AR137" i="15"/>
  <c r="AR59" i="15"/>
  <c r="AR112" i="15"/>
  <c r="AR122" i="15"/>
  <c r="AR80" i="15"/>
  <c r="AR128" i="15"/>
  <c r="AR132" i="15"/>
  <c r="AQ197" i="15"/>
  <c r="AR85" i="4"/>
  <c r="AR73" i="15"/>
  <c r="AR202" i="2"/>
  <c r="AR105" i="15"/>
  <c r="AR125" i="15"/>
  <c r="AR136" i="15"/>
  <c r="AR134" i="15"/>
  <c r="AR102" i="15"/>
  <c r="AR72" i="15"/>
  <c r="AR106" i="15"/>
  <c r="AR109" i="15"/>
  <c r="AR79" i="15"/>
  <c r="AR104" i="15"/>
  <c r="AR78" i="15"/>
  <c r="AQ204" i="15"/>
  <c r="AQ199" i="15"/>
  <c r="AQ198" i="15"/>
  <c r="AQ203" i="15"/>
  <c r="AR94" i="15"/>
  <c r="AR84" i="15"/>
  <c r="AR203" i="2"/>
  <c r="AR93" i="15"/>
  <c r="AR107" i="15"/>
  <c r="AR127" i="15"/>
  <c r="AR95" i="15"/>
  <c r="AR138" i="15"/>
  <c r="AR133" i="15"/>
  <c r="AR71" i="15"/>
  <c r="AR200" i="2"/>
  <c r="AR201" i="2"/>
  <c r="AR131" i="15"/>
  <c r="AR110" i="15"/>
  <c r="AR208" i="2"/>
  <c r="AR68" i="15"/>
  <c r="AR197" i="2"/>
  <c r="AQ201" i="15"/>
  <c r="N53" i="2"/>
  <c r="N53" i="15" s="1"/>
  <c r="N167" i="4"/>
  <c r="S226" i="15"/>
  <c r="S231" i="4"/>
  <c r="S249" i="4" s="1"/>
  <c r="G223" i="15"/>
  <c r="G224" i="15"/>
  <c r="N188" i="15"/>
  <c r="N193" i="15" s="1"/>
  <c r="W196" i="15"/>
  <c r="W210" i="15" s="1"/>
  <c r="W140" i="15"/>
  <c r="X196" i="2"/>
  <c r="X129" i="15"/>
  <c r="P19" i="15"/>
  <c r="P20" i="15" s="1"/>
  <c r="N52" i="15"/>
  <c r="Q52" i="4"/>
  <c r="P52" i="4"/>
  <c r="P53" i="4" s="1"/>
  <c r="P167" i="4" s="1"/>
  <c r="P174" i="4" s="1"/>
  <c r="O52" i="2"/>
  <c r="O53" i="2" s="1"/>
  <c r="O167" i="2" s="1"/>
  <c r="O174" i="2" s="1"/>
  <c r="R166" i="15"/>
  <c r="S69" i="8"/>
  <c r="R42" i="8"/>
  <c r="T174" i="4"/>
  <c r="G7" i="4"/>
  <c r="F7" i="15"/>
  <c r="O45" i="15"/>
  <c r="G222" i="2"/>
  <c r="F222" i="15"/>
  <c r="I223" i="2"/>
  <c r="H223" i="15"/>
  <c r="I224" i="2"/>
  <c r="H224" i="15"/>
  <c r="R252" i="15"/>
  <c r="R253" i="15"/>
  <c r="S4" i="15"/>
  <c r="R2" i="15"/>
  <c r="AR203" i="15" l="1"/>
  <c r="AR197" i="15"/>
  <c r="AR201" i="15"/>
  <c r="AR200" i="15"/>
  <c r="AR218" i="15"/>
  <c r="CH218" i="15" s="1"/>
  <c r="AR199" i="15"/>
  <c r="AS85" i="4"/>
  <c r="AS59" i="15"/>
  <c r="AS126" i="15"/>
  <c r="AS125" i="15"/>
  <c r="AS137" i="15"/>
  <c r="AS82" i="15"/>
  <c r="AS108" i="15"/>
  <c r="AS103" i="15"/>
  <c r="AS94" i="15"/>
  <c r="AS81" i="15"/>
  <c r="AS72" i="15"/>
  <c r="AS128" i="15"/>
  <c r="AS136" i="15"/>
  <c r="AR85" i="15"/>
  <c r="AR208" i="15"/>
  <c r="AS113" i="4"/>
  <c r="AS203" i="2"/>
  <c r="AS93" i="15"/>
  <c r="AS138" i="15"/>
  <c r="AS121" i="15"/>
  <c r="AS83" i="15"/>
  <c r="AS84" i="15"/>
  <c r="AS107" i="15"/>
  <c r="AS95" i="15"/>
  <c r="AS159" i="15"/>
  <c r="AS70" i="15"/>
  <c r="AS98" i="15"/>
  <c r="AS99" i="2"/>
  <c r="AS106" i="15"/>
  <c r="AS77" i="15"/>
  <c r="AR204" i="15"/>
  <c r="AS99" i="4"/>
  <c r="AS129" i="15"/>
  <c r="AS113" i="2"/>
  <c r="AS101" i="15"/>
  <c r="AS131" i="15"/>
  <c r="AS201" i="2"/>
  <c r="AS85" i="2"/>
  <c r="AS204" i="2"/>
  <c r="AS76" i="15"/>
  <c r="AS110" i="15"/>
  <c r="AS208" i="2"/>
  <c r="AS133" i="15"/>
  <c r="AS109" i="15"/>
  <c r="AS69" i="15"/>
  <c r="AS199" i="2"/>
  <c r="AS112" i="15"/>
  <c r="AS68" i="15"/>
  <c r="AS197" i="2"/>
  <c r="AS111" i="15"/>
  <c r="AS134" i="15"/>
  <c r="AS132" i="15"/>
  <c r="AR113" i="15"/>
  <c r="AR202" i="15"/>
  <c r="AT129" i="4"/>
  <c r="AT81" i="4"/>
  <c r="AT112" i="4"/>
  <c r="AT72" i="4"/>
  <c r="AT127" i="4"/>
  <c r="AT111" i="4"/>
  <c r="AT79" i="4"/>
  <c r="AT69" i="4"/>
  <c r="AT138" i="4"/>
  <c r="AT109" i="4"/>
  <c r="AT110" i="4"/>
  <c r="AT105" i="4"/>
  <c r="AT131" i="4"/>
  <c r="AT84" i="4"/>
  <c r="AT108" i="4"/>
  <c r="AT70" i="4"/>
  <c r="AT95" i="4"/>
  <c r="AT122" i="4"/>
  <c r="AT135" i="4"/>
  <c r="AT102" i="4"/>
  <c r="AT77" i="4"/>
  <c r="AT80" i="4"/>
  <c r="AT104" i="4"/>
  <c r="AT128" i="4"/>
  <c r="AT134" i="4"/>
  <c r="AT83" i="4"/>
  <c r="AT137" i="4"/>
  <c r="AT121" i="4"/>
  <c r="AT101" i="4"/>
  <c r="AT93" i="4"/>
  <c r="AT78" i="4"/>
  <c r="AT68" i="4"/>
  <c r="AT126" i="4"/>
  <c r="AT132" i="4"/>
  <c r="AT82" i="4"/>
  <c r="AT94" i="4"/>
  <c r="AT136" i="4"/>
  <c r="AT103" i="4"/>
  <c r="AT159" i="4"/>
  <c r="AT133" i="4"/>
  <c r="AT107" i="4"/>
  <c r="AT59" i="4"/>
  <c r="AT76" i="4"/>
  <c r="AT73" i="4"/>
  <c r="AT71" i="4"/>
  <c r="AT98" i="4"/>
  <c r="AT125" i="4"/>
  <c r="AS71" i="15"/>
  <c r="AS200" i="2"/>
  <c r="AS80" i="15"/>
  <c r="AS105" i="15"/>
  <c r="AS102" i="15"/>
  <c r="AS122" i="15"/>
  <c r="AS73" i="15"/>
  <c r="AS202" i="2"/>
  <c r="AS127" i="15"/>
  <c r="AS135" i="15"/>
  <c r="AS198" i="2"/>
  <c r="AS79" i="15"/>
  <c r="AS78" i="15"/>
  <c r="AS104" i="15"/>
  <c r="AT133" i="2"/>
  <c r="AT109" i="2"/>
  <c r="AT159" i="2"/>
  <c r="AT94" i="2"/>
  <c r="AT102" i="2"/>
  <c r="AT101" i="2"/>
  <c r="AT59" i="2"/>
  <c r="AT93" i="2"/>
  <c r="AT104" i="2"/>
  <c r="AT95" i="2"/>
  <c r="AT110" i="2"/>
  <c r="AT107" i="2"/>
  <c r="AT122" i="2"/>
  <c r="AT131" i="2"/>
  <c r="AT70" i="2"/>
  <c r="AT125" i="2"/>
  <c r="AT103" i="2"/>
  <c r="AT108" i="2"/>
  <c r="AT105" i="2"/>
  <c r="AT112" i="2"/>
  <c r="AT111" i="2"/>
  <c r="AT98" i="2"/>
  <c r="AT121" i="2"/>
  <c r="AR99" i="15"/>
  <c r="CE53" i="4"/>
  <c r="N174" i="4"/>
  <c r="CE167" i="4"/>
  <c r="CE52" i="4"/>
  <c r="S231" i="15"/>
  <c r="S249" i="15" s="1"/>
  <c r="T226" i="15"/>
  <c r="T231" i="15" s="1"/>
  <c r="T249" i="15" s="1"/>
  <c r="T231" i="4"/>
  <c r="T249" i="4" s="1"/>
  <c r="O188" i="15"/>
  <c r="O193" i="15" s="1"/>
  <c r="X196" i="15"/>
  <c r="O52" i="15"/>
  <c r="Y196" i="2"/>
  <c r="Y129" i="15"/>
  <c r="Y140" i="15"/>
  <c r="W166" i="15"/>
  <c r="W141" i="15"/>
  <c r="Q19" i="15"/>
  <c r="Q20" i="15" s="1"/>
  <c r="P52" i="2"/>
  <c r="P53" i="2" s="1"/>
  <c r="CE53" i="2" s="1"/>
  <c r="Q53" i="4"/>
  <c r="S42" i="8"/>
  <c r="U174" i="4"/>
  <c r="Q9" i="10"/>
  <c r="P45" i="15"/>
  <c r="O53" i="15"/>
  <c r="H7" i="4"/>
  <c r="G7" i="15"/>
  <c r="R19" i="15"/>
  <c r="H222" i="2"/>
  <c r="G222" i="15"/>
  <c r="J224" i="2"/>
  <c r="I224" i="15"/>
  <c r="J223" i="2"/>
  <c r="I223" i="15"/>
  <c r="S253" i="15"/>
  <c r="S252" i="15"/>
  <c r="T4" i="15"/>
  <c r="S2" i="15"/>
  <c r="A25" i="13"/>
  <c r="A15" i="13"/>
  <c r="A16" i="13" s="1"/>
  <c r="A17" i="13" s="1"/>
  <c r="A18" i="13" s="1"/>
  <c r="A19" i="13" s="1"/>
  <c r="A20" i="13" s="1"/>
  <c r="A21" i="13" s="1"/>
  <c r="A7" i="13"/>
  <c r="A1" i="13"/>
  <c r="F5" i="12"/>
  <c r="A2" i="12"/>
  <c r="A1" i="12"/>
  <c r="R20" i="15" l="1"/>
  <c r="AS208" i="15"/>
  <c r="AS85" i="15"/>
  <c r="CE174" i="4"/>
  <c r="AS113" i="15"/>
  <c r="AS204" i="15"/>
  <c r="AS99" i="15"/>
  <c r="AS202" i="15"/>
  <c r="AT112" i="15"/>
  <c r="AT79" i="15"/>
  <c r="AT83" i="15"/>
  <c r="AT104" i="15"/>
  <c r="AT102" i="15"/>
  <c r="AU105" i="2"/>
  <c r="AU159" i="2"/>
  <c r="AU125" i="2"/>
  <c r="AU104" i="2"/>
  <c r="AU109" i="2"/>
  <c r="AU122" i="2"/>
  <c r="AU103" i="2"/>
  <c r="AU133" i="2"/>
  <c r="AU112" i="2"/>
  <c r="AU102" i="2"/>
  <c r="AU59" i="2"/>
  <c r="AU107" i="2"/>
  <c r="AU131" i="2"/>
  <c r="AU110" i="2"/>
  <c r="AU94" i="2"/>
  <c r="AU98" i="2"/>
  <c r="AU101" i="2"/>
  <c r="AU111" i="2"/>
  <c r="AU108" i="2"/>
  <c r="AU70" i="2"/>
  <c r="AU95" i="2"/>
  <c r="AU121" i="2"/>
  <c r="AU93" i="2"/>
  <c r="AT121" i="15"/>
  <c r="AT77" i="15"/>
  <c r="AT138" i="15"/>
  <c r="AT108" i="15"/>
  <c r="AT125" i="15"/>
  <c r="AT126" i="15"/>
  <c r="AT131" i="15"/>
  <c r="AT201" i="2"/>
  <c r="AT78" i="15"/>
  <c r="AT137" i="15"/>
  <c r="AT101" i="15"/>
  <c r="AT113" i="2"/>
  <c r="AT94" i="15"/>
  <c r="AT133" i="15"/>
  <c r="AT99" i="4"/>
  <c r="AT85" i="4"/>
  <c r="AS199" i="15"/>
  <c r="AS201" i="15"/>
  <c r="AS197" i="15"/>
  <c r="AT76" i="15"/>
  <c r="AT204" i="2"/>
  <c r="AT85" i="2"/>
  <c r="AT82" i="15"/>
  <c r="AT73" i="15"/>
  <c r="AT202" i="2"/>
  <c r="AT107" i="15"/>
  <c r="AT59" i="15"/>
  <c r="AT109" i="15"/>
  <c r="BX218" i="15"/>
  <c r="CG218" i="15" s="1"/>
  <c r="AT98" i="15"/>
  <c r="AT99" i="2"/>
  <c r="AT71" i="15"/>
  <c r="AT200" i="2"/>
  <c r="AT105" i="15"/>
  <c r="AT132" i="15"/>
  <c r="AT80" i="15"/>
  <c r="AT134" i="15"/>
  <c r="AT122" i="15"/>
  <c r="AT110" i="15"/>
  <c r="AT208" i="2"/>
  <c r="AT72" i="15"/>
  <c r="AT128" i="15"/>
  <c r="AT198" i="2"/>
  <c r="AT135" i="15"/>
  <c r="AT198" i="15" s="1"/>
  <c r="AT69" i="15"/>
  <c r="AT199" i="2"/>
  <c r="AS198" i="15"/>
  <c r="AS200" i="15"/>
  <c r="AS196" i="15"/>
  <c r="AT111" i="15"/>
  <c r="AT127" i="15"/>
  <c r="AT84" i="15"/>
  <c r="AT103" i="15"/>
  <c r="AT81" i="15"/>
  <c r="AT70" i="15"/>
  <c r="AT136" i="15"/>
  <c r="AT95" i="15"/>
  <c r="AT93" i="15"/>
  <c r="AT203" i="2"/>
  <c r="AT106" i="15"/>
  <c r="AT159" i="15"/>
  <c r="AT68" i="15"/>
  <c r="AT197" i="2"/>
  <c r="AT113" i="4"/>
  <c r="AT129" i="15"/>
  <c r="AT196" i="15" s="1"/>
  <c r="AU129" i="4"/>
  <c r="AU128" i="4"/>
  <c r="AU105" i="4"/>
  <c r="AU79" i="4"/>
  <c r="AU133" i="4"/>
  <c r="AU110" i="4"/>
  <c r="AU135" i="4"/>
  <c r="AU78" i="4"/>
  <c r="AU111" i="4"/>
  <c r="AU73" i="4"/>
  <c r="AU71" i="4"/>
  <c r="AU138" i="4"/>
  <c r="AU59" i="4"/>
  <c r="AU80" i="4"/>
  <c r="AU122" i="4"/>
  <c r="AU82" i="4"/>
  <c r="AU81" i="4"/>
  <c r="AU68" i="4"/>
  <c r="AU94" i="4"/>
  <c r="AU103" i="4"/>
  <c r="AU69" i="4"/>
  <c r="AU132" i="4"/>
  <c r="AU126" i="4"/>
  <c r="AU127" i="4"/>
  <c r="AU159" i="4"/>
  <c r="AU108" i="4"/>
  <c r="AU72" i="4"/>
  <c r="AU95" i="4"/>
  <c r="AU109" i="4"/>
  <c r="AU104" i="4"/>
  <c r="AU83" i="4"/>
  <c r="AU93" i="4"/>
  <c r="AU121" i="4"/>
  <c r="AU76" i="4"/>
  <c r="AU70" i="4"/>
  <c r="AU107" i="4"/>
  <c r="AU84" i="4"/>
  <c r="AU134" i="4"/>
  <c r="AU102" i="4"/>
  <c r="AU112" i="4"/>
  <c r="AU77" i="4"/>
  <c r="AU136" i="4"/>
  <c r="AU131" i="4"/>
  <c r="AU137" i="4"/>
  <c r="AU98" i="4"/>
  <c r="AU125" i="4"/>
  <c r="AU101" i="4"/>
  <c r="AS203" i="15"/>
  <c r="CE52" i="2"/>
  <c r="P188" i="15"/>
  <c r="P193" i="15" s="1"/>
  <c r="U226" i="15"/>
  <c r="U231" i="4"/>
  <c r="U249" i="4" s="1"/>
  <c r="Y196" i="15"/>
  <c r="Q18" i="8"/>
  <c r="Z129" i="15"/>
  <c r="Z196" i="2"/>
  <c r="Q188" i="2"/>
  <c r="Q45" i="15"/>
  <c r="P52" i="15"/>
  <c r="Q167" i="4"/>
  <c r="V174" i="4"/>
  <c r="R9" i="10"/>
  <c r="P53" i="15"/>
  <c r="I7" i="4"/>
  <c r="H7" i="15"/>
  <c r="R45" i="15"/>
  <c r="R173" i="15" s="1"/>
  <c r="R176" i="15" s="1"/>
  <c r="R183" i="15" s="1"/>
  <c r="R188" i="2"/>
  <c r="I222" i="2"/>
  <c r="H222" i="15"/>
  <c r="S19" i="15"/>
  <c r="S20" i="15" s="1"/>
  <c r="K224" i="2"/>
  <c r="J224" i="15"/>
  <c r="K223" i="2"/>
  <c r="J223" i="15"/>
  <c r="T252" i="15"/>
  <c r="T253" i="15"/>
  <c r="U4" i="15"/>
  <c r="T2" i="15"/>
  <c r="L80" i="11"/>
  <c r="H80" i="11"/>
  <c r="F80" i="11"/>
  <c r="F79" i="11"/>
  <c r="F78" i="11"/>
  <c r="A2" i="11"/>
  <c r="A1" i="11"/>
  <c r="AO90" i="8"/>
  <c r="AN90" i="8"/>
  <c r="AM90" i="8"/>
  <c r="AL90"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E90" i="8"/>
  <c r="K89" i="8"/>
  <c r="E89" i="8"/>
  <c r="K88" i="8"/>
  <c r="E88" i="8"/>
  <c r="D88" i="8"/>
  <c r="D90" i="8"/>
  <c r="D89" i="8"/>
  <c r="O25" i="10"/>
  <c r="N25" i="10"/>
  <c r="D29" i="10"/>
  <c r="M25" i="10"/>
  <c r="L25" i="10"/>
  <c r="K25" i="10"/>
  <c r="J25" i="10"/>
  <c r="I25" i="10"/>
  <c r="H25" i="10"/>
  <c r="G25" i="10"/>
  <c r="F25" i="10"/>
  <c r="E25" i="10"/>
  <c r="D25" i="10"/>
  <c r="BY5" i="10"/>
  <c r="E5" i="10"/>
  <c r="D4" i="10"/>
  <c r="R82" i="8" l="1"/>
  <c r="P9" i="10" s="1"/>
  <c r="Q82" i="8"/>
  <c r="O9" i="10" s="1"/>
  <c r="AT202" i="15"/>
  <c r="AU99" i="4"/>
  <c r="AT197" i="15"/>
  <c r="AT99" i="15"/>
  <c r="AU121" i="15"/>
  <c r="AU138" i="15"/>
  <c r="AU70" i="15"/>
  <c r="AU76" i="15"/>
  <c r="AU85" i="2"/>
  <c r="AU204" i="2"/>
  <c r="AU94" i="15"/>
  <c r="AU137" i="15"/>
  <c r="AU59" i="15"/>
  <c r="AU103" i="15"/>
  <c r="AU104" i="15"/>
  <c r="AU80" i="15"/>
  <c r="AU128" i="15"/>
  <c r="AU132" i="15"/>
  <c r="AU129" i="15"/>
  <c r="AU196" i="15" s="1"/>
  <c r="AT203" i="15"/>
  <c r="AT85" i="15"/>
  <c r="AU126" i="15"/>
  <c r="AU95" i="15"/>
  <c r="AU136" i="15"/>
  <c r="AU101" i="15"/>
  <c r="AU113" i="2"/>
  <c r="AU106" i="15"/>
  <c r="AU110" i="15"/>
  <c r="AU208" i="2"/>
  <c r="AU102" i="15"/>
  <c r="AU77" i="15"/>
  <c r="AU83" i="15"/>
  <c r="AU159" i="15"/>
  <c r="AU127" i="15"/>
  <c r="AU69" i="15"/>
  <c r="AU199" i="2"/>
  <c r="AU113" i="4"/>
  <c r="AV129" i="4"/>
  <c r="AV78" i="4"/>
  <c r="AV82" i="4"/>
  <c r="AV94" i="4"/>
  <c r="AV107" i="4"/>
  <c r="AV84" i="4"/>
  <c r="AV159" i="4"/>
  <c r="AV127" i="4"/>
  <c r="AV134" i="4"/>
  <c r="AV105" i="4"/>
  <c r="AV108" i="4"/>
  <c r="AV132" i="4"/>
  <c r="AV83" i="4"/>
  <c r="AV131" i="4"/>
  <c r="AV137" i="4"/>
  <c r="AV77" i="4"/>
  <c r="AV103" i="4"/>
  <c r="AV71" i="4"/>
  <c r="AV73" i="4"/>
  <c r="AV72" i="4"/>
  <c r="AV126" i="4"/>
  <c r="AV128" i="4"/>
  <c r="AV80" i="4"/>
  <c r="AV125" i="4"/>
  <c r="AV76" i="4"/>
  <c r="AV95" i="4"/>
  <c r="AV111" i="4"/>
  <c r="AV69" i="4"/>
  <c r="AV138" i="4"/>
  <c r="AV109" i="4"/>
  <c r="AV81" i="4"/>
  <c r="AV110" i="4"/>
  <c r="AV112" i="4"/>
  <c r="AV102" i="4"/>
  <c r="AV101" i="4"/>
  <c r="AV121" i="4"/>
  <c r="AV135" i="4"/>
  <c r="AV104" i="4"/>
  <c r="AV136" i="4"/>
  <c r="AV122" i="4"/>
  <c r="AV70" i="4"/>
  <c r="AV79" i="4"/>
  <c r="AV133" i="4"/>
  <c r="AV68" i="4"/>
  <c r="AV98" i="4"/>
  <c r="AV59" i="4"/>
  <c r="AV93" i="4"/>
  <c r="AT208" i="15"/>
  <c r="AT199" i="15"/>
  <c r="AT113" i="15"/>
  <c r="AT201" i="15"/>
  <c r="AU84" i="15"/>
  <c r="AU68" i="15"/>
  <c r="AU197" i="2"/>
  <c r="AU108" i="15"/>
  <c r="AU98" i="15"/>
  <c r="AU99" i="2"/>
  <c r="AU134" i="15"/>
  <c r="AU131" i="15"/>
  <c r="AU201" i="2"/>
  <c r="AU112" i="15"/>
  <c r="AU122" i="15"/>
  <c r="AU125" i="15"/>
  <c r="AU73" i="15"/>
  <c r="AU202" i="2"/>
  <c r="AU82" i="15"/>
  <c r="AV122" i="2"/>
  <c r="AV104" i="2"/>
  <c r="AV110" i="2"/>
  <c r="AV101" i="2"/>
  <c r="AV103" i="2"/>
  <c r="AV133" i="2"/>
  <c r="AV102" i="2"/>
  <c r="AV107" i="2"/>
  <c r="AV112" i="2"/>
  <c r="AV70" i="2"/>
  <c r="AV59" i="2"/>
  <c r="AV108" i="2"/>
  <c r="AV159" i="2"/>
  <c r="AV94" i="2"/>
  <c r="AV109" i="2"/>
  <c r="AV111" i="2"/>
  <c r="AV121" i="2"/>
  <c r="AV95" i="2"/>
  <c r="AV131" i="2"/>
  <c r="AV105" i="2"/>
  <c r="AV93" i="2"/>
  <c r="AV98" i="2"/>
  <c r="AV125" i="2"/>
  <c r="AU85" i="4"/>
  <c r="AT200" i="15"/>
  <c r="AT204" i="15"/>
  <c r="AU203" i="2"/>
  <c r="AU93" i="15"/>
  <c r="AU135" i="15"/>
  <c r="AU198" i="15" s="1"/>
  <c r="AU198" i="2"/>
  <c r="AU81" i="15"/>
  <c r="AU111" i="15"/>
  <c r="AU79" i="15"/>
  <c r="AU78" i="15"/>
  <c r="AU107" i="15"/>
  <c r="AU133" i="15"/>
  <c r="AU109" i="15"/>
  <c r="AU72" i="15"/>
  <c r="AU71" i="15"/>
  <c r="AU200" i="2"/>
  <c r="AU105" i="15"/>
  <c r="Q173" i="15"/>
  <c r="Q174" i="4"/>
  <c r="Q193" i="2"/>
  <c r="U231" i="15"/>
  <c r="U249" i="15" s="1"/>
  <c r="V226" i="15"/>
  <c r="V231" i="15" s="1"/>
  <c r="V249" i="15" s="1"/>
  <c r="V231" i="4"/>
  <c r="V249" i="4" s="1"/>
  <c r="E4" i="10"/>
  <c r="E36" i="10"/>
  <c r="Z196" i="15"/>
  <c r="AA129" i="15"/>
  <c r="AA196" i="2"/>
  <c r="Q52" i="15"/>
  <c r="Q188" i="15"/>
  <c r="R52" i="15"/>
  <c r="W174" i="4"/>
  <c r="S9" i="10"/>
  <c r="I7" i="15"/>
  <c r="J7" i="4"/>
  <c r="R53" i="15"/>
  <c r="R193" i="2"/>
  <c r="R211" i="2" s="1"/>
  <c r="T19" i="15"/>
  <c r="T20" i="15" s="1"/>
  <c r="S45" i="15"/>
  <c r="S173" i="15" s="1"/>
  <c r="S176" i="15" s="1"/>
  <c r="S183" i="15" s="1"/>
  <c r="S188" i="2"/>
  <c r="S193" i="2" s="1"/>
  <c r="S211" i="2" s="1"/>
  <c r="I222" i="15"/>
  <c r="J222" i="2"/>
  <c r="R188" i="15"/>
  <c r="R193" i="15" s="1"/>
  <c r="R211" i="15" s="1"/>
  <c r="R214" i="15" s="1"/>
  <c r="R219" i="15" s="1"/>
  <c r="R220" i="15" s="1"/>
  <c r="Q7" i="10"/>
  <c r="Q12" i="10" s="1"/>
  <c r="L223" i="2"/>
  <c r="K223" i="15"/>
  <c r="L224" i="2"/>
  <c r="K224" i="15"/>
  <c r="U253" i="15"/>
  <c r="U252" i="15"/>
  <c r="V4" i="15"/>
  <c r="U2" i="15"/>
  <c r="L4" i="11"/>
  <c r="L78" i="11" s="1"/>
  <c r="L79" i="11"/>
  <c r="H79" i="11"/>
  <c r="H78" i="11"/>
  <c r="F5" i="10"/>
  <c r="F36" i="10" s="1"/>
  <c r="AU99" i="15" l="1"/>
  <c r="AU200" i="15"/>
  <c r="R212" i="2"/>
  <c r="R214" i="2"/>
  <c r="R219" i="2" s="1"/>
  <c r="R220" i="2" s="1"/>
  <c r="S212" i="2"/>
  <c r="S214" i="2"/>
  <c r="S219" i="2" s="1"/>
  <c r="S220" i="2" s="1"/>
  <c r="AV76" i="15"/>
  <c r="AV204" i="2"/>
  <c r="AV85" i="2"/>
  <c r="AV69" i="15"/>
  <c r="AV199" i="2"/>
  <c r="AV106" i="15"/>
  <c r="AV73" i="15"/>
  <c r="AV202" i="2"/>
  <c r="AV77" i="15"/>
  <c r="AV68" i="15"/>
  <c r="AV197" i="2"/>
  <c r="AV136" i="15"/>
  <c r="AV107" i="15"/>
  <c r="AV103" i="15"/>
  <c r="AV83" i="15"/>
  <c r="AV135" i="15"/>
  <c r="AV198" i="15" s="1"/>
  <c r="AV198" i="2"/>
  <c r="AV84" i="15"/>
  <c r="AU201" i="15"/>
  <c r="AU197" i="15"/>
  <c r="AV99" i="4"/>
  <c r="AU203" i="15"/>
  <c r="AV93" i="15"/>
  <c r="AV203" i="2"/>
  <c r="AV201" i="2"/>
  <c r="AV131" i="15"/>
  <c r="AV121" i="15"/>
  <c r="AV128" i="15"/>
  <c r="AV159" i="15"/>
  <c r="AV59" i="15"/>
  <c r="AV70" i="15"/>
  <c r="AV137" i="15"/>
  <c r="AV113" i="2"/>
  <c r="AV101" i="15"/>
  <c r="AV82" i="15"/>
  <c r="AV127" i="15"/>
  <c r="AW112" i="2"/>
  <c r="AW110" i="2"/>
  <c r="AW107" i="2"/>
  <c r="AW93" i="2"/>
  <c r="AW59" i="2"/>
  <c r="AW121" i="2"/>
  <c r="AW95" i="2"/>
  <c r="AW94" i="2"/>
  <c r="AW131" i="2"/>
  <c r="AW101" i="2"/>
  <c r="AW133" i="2"/>
  <c r="AW70" i="2"/>
  <c r="AW102" i="2"/>
  <c r="AW104" i="2"/>
  <c r="AW111" i="2"/>
  <c r="AW103" i="2"/>
  <c r="AW122" i="2"/>
  <c r="AW159" i="2"/>
  <c r="AW108" i="2"/>
  <c r="AW105" i="2"/>
  <c r="AW109" i="2"/>
  <c r="AW98" i="2"/>
  <c r="AW125" i="2"/>
  <c r="AV85" i="4"/>
  <c r="AV129" i="15"/>
  <c r="AV196" i="15" s="1"/>
  <c r="AU199" i="15"/>
  <c r="AV125" i="15"/>
  <c r="AV105" i="15"/>
  <c r="AV95" i="15"/>
  <c r="AV111" i="15"/>
  <c r="AV94" i="15"/>
  <c r="AV108" i="15"/>
  <c r="AV80" i="15"/>
  <c r="AV112" i="15"/>
  <c r="AV102" i="15"/>
  <c r="AV79" i="15"/>
  <c r="AV110" i="15"/>
  <c r="AV208" i="2"/>
  <c r="AV122" i="15"/>
  <c r="AW129" i="4"/>
  <c r="AW78" i="4"/>
  <c r="AW138" i="4"/>
  <c r="AW82" i="4"/>
  <c r="AW103" i="4"/>
  <c r="AW112" i="4"/>
  <c r="AW95" i="4"/>
  <c r="AW137" i="4"/>
  <c r="AW71" i="4"/>
  <c r="AW125" i="4"/>
  <c r="AW101" i="4"/>
  <c r="AW93" i="4"/>
  <c r="AW102" i="4"/>
  <c r="AW104" i="4"/>
  <c r="AW122" i="4"/>
  <c r="AW107" i="4"/>
  <c r="AW70" i="4"/>
  <c r="AW110" i="4"/>
  <c r="AW127" i="4"/>
  <c r="AW84" i="4"/>
  <c r="AW133" i="4"/>
  <c r="AW73" i="4"/>
  <c r="AW83" i="4"/>
  <c r="AW59" i="4"/>
  <c r="AW128" i="4"/>
  <c r="AW79" i="4"/>
  <c r="AW109" i="4"/>
  <c r="AW69" i="4"/>
  <c r="AW81" i="4"/>
  <c r="AW136" i="4"/>
  <c r="AW105" i="4"/>
  <c r="AW131" i="4"/>
  <c r="AW68" i="4"/>
  <c r="AW98" i="4"/>
  <c r="AW76" i="4"/>
  <c r="AW121" i="4"/>
  <c r="AW159" i="4"/>
  <c r="AW132" i="4"/>
  <c r="AW108" i="4"/>
  <c r="AW80" i="4"/>
  <c r="AW126" i="4"/>
  <c r="AW94" i="4"/>
  <c r="AW77" i="4"/>
  <c r="AW111" i="4"/>
  <c r="AW72" i="4"/>
  <c r="AW134" i="4"/>
  <c r="AW135" i="4"/>
  <c r="AU208" i="15"/>
  <c r="AU113" i="15"/>
  <c r="AU85" i="15"/>
  <c r="AV98" i="15"/>
  <c r="AV99" i="2"/>
  <c r="AV138" i="15"/>
  <c r="AV132" i="15"/>
  <c r="AV109" i="15"/>
  <c r="AV126" i="15"/>
  <c r="AV134" i="15"/>
  <c r="AV72" i="15"/>
  <c r="AV78" i="15"/>
  <c r="AV133" i="15"/>
  <c r="AV71" i="15"/>
  <c r="AV200" i="2"/>
  <c r="AV104" i="15"/>
  <c r="AV81" i="15"/>
  <c r="AU202" i="15"/>
  <c r="AV113" i="4"/>
  <c r="AU204" i="15"/>
  <c r="P7" i="10"/>
  <c r="P12" i="10" s="1"/>
  <c r="Q176" i="15"/>
  <c r="Q183" i="15" s="1"/>
  <c r="Q211" i="2"/>
  <c r="Q214" i="2" s="1"/>
  <c r="Q219" i="2" s="1"/>
  <c r="Q220" i="2" s="1"/>
  <c r="Q193" i="15"/>
  <c r="X226" i="15"/>
  <c r="X231" i="15" s="1"/>
  <c r="X249" i="15" s="1"/>
  <c r="X231" i="4"/>
  <c r="X249" i="4" s="1"/>
  <c r="W226" i="15"/>
  <c r="W231" i="15" s="1"/>
  <c r="W249" i="15" s="1"/>
  <c r="W231" i="4"/>
  <c r="W249" i="4" s="1"/>
  <c r="AA196" i="15"/>
  <c r="AB129" i="15"/>
  <c r="AB196" i="2"/>
  <c r="Q53" i="15"/>
  <c r="T9" i="10"/>
  <c r="S52" i="15"/>
  <c r="R212" i="15"/>
  <c r="J7" i="15"/>
  <c r="K7" i="4"/>
  <c r="S167" i="15"/>
  <c r="S174" i="15" s="1"/>
  <c r="S53" i="15"/>
  <c r="R167" i="15"/>
  <c r="R174" i="15" s="1"/>
  <c r="T45" i="15"/>
  <c r="T188" i="2"/>
  <c r="T193" i="2" s="1"/>
  <c r="U19" i="15"/>
  <c r="U20" i="15" s="1"/>
  <c r="K222" i="2"/>
  <c r="J222" i="15"/>
  <c r="S188" i="15"/>
  <c r="S193" i="15" s="1"/>
  <c r="S211" i="15" s="1"/>
  <c r="S214" i="15" s="1"/>
  <c r="S219" i="15" s="1"/>
  <c r="S220" i="15" s="1"/>
  <c r="M223" i="2"/>
  <c r="L223" i="15"/>
  <c r="M224" i="2"/>
  <c r="L224" i="15"/>
  <c r="V253" i="15"/>
  <c r="V252" i="15"/>
  <c r="W4" i="15"/>
  <c r="V2" i="15"/>
  <c r="F4" i="10"/>
  <c r="G5" i="10"/>
  <c r="G36" i="10" s="1"/>
  <c r="AV99" i="15" l="1"/>
  <c r="AV200" i="15"/>
  <c r="AW85" i="4"/>
  <c r="AX129" i="4"/>
  <c r="AX132" i="4"/>
  <c r="AX103" i="4"/>
  <c r="AX94" i="4"/>
  <c r="AX136" i="4"/>
  <c r="AX109" i="4"/>
  <c r="AX133" i="4"/>
  <c r="AX138" i="4"/>
  <c r="AX122" i="4"/>
  <c r="AX159" i="4"/>
  <c r="AX59" i="4"/>
  <c r="AX93" i="4"/>
  <c r="AX68" i="4"/>
  <c r="AX79" i="4"/>
  <c r="AX128" i="4"/>
  <c r="AX78" i="4"/>
  <c r="AX105" i="4"/>
  <c r="AX83" i="4"/>
  <c r="AX70" i="4"/>
  <c r="AX134" i="4"/>
  <c r="AX80" i="4"/>
  <c r="AX111" i="4"/>
  <c r="AX112" i="4"/>
  <c r="AX76" i="4"/>
  <c r="AX69" i="4"/>
  <c r="AX77" i="4"/>
  <c r="AX82" i="4"/>
  <c r="AX131" i="4"/>
  <c r="AX137" i="4"/>
  <c r="AX107" i="4"/>
  <c r="AX84" i="4"/>
  <c r="AX127" i="4"/>
  <c r="AX108" i="4"/>
  <c r="AX71" i="4"/>
  <c r="AX101" i="4"/>
  <c r="AX95" i="4"/>
  <c r="AX110" i="4"/>
  <c r="AX104" i="4"/>
  <c r="AX135" i="4"/>
  <c r="AX72" i="4"/>
  <c r="AX81" i="4"/>
  <c r="AX126" i="4"/>
  <c r="AX102" i="4"/>
  <c r="AX73" i="4"/>
  <c r="AX121" i="4"/>
  <c r="AX125" i="4"/>
  <c r="AX98" i="4"/>
  <c r="AW80" i="15"/>
  <c r="AW105" i="15"/>
  <c r="AW78" i="15"/>
  <c r="AW111" i="15"/>
  <c r="AW102" i="15"/>
  <c r="AW133" i="15"/>
  <c r="AW71" i="15"/>
  <c r="AW200" i="2"/>
  <c r="AW135" i="15"/>
  <c r="AW198" i="2"/>
  <c r="AW76" i="15"/>
  <c r="AW85" i="2"/>
  <c r="AW204" i="2"/>
  <c r="AW107" i="15"/>
  <c r="AW106" i="15"/>
  <c r="AW136" i="15"/>
  <c r="AV201" i="15"/>
  <c r="AW99" i="4"/>
  <c r="AW113" i="4"/>
  <c r="AV208" i="15"/>
  <c r="AW98" i="15"/>
  <c r="AW99" i="2"/>
  <c r="AW99" i="15" s="1"/>
  <c r="AW108" i="15"/>
  <c r="AW122" i="15"/>
  <c r="AW83" i="15"/>
  <c r="AW77" i="15"/>
  <c r="AW72" i="15"/>
  <c r="AW134" i="15"/>
  <c r="AW131" i="15"/>
  <c r="AW201" i="2"/>
  <c r="AW121" i="15"/>
  <c r="AW132" i="15"/>
  <c r="AW84" i="15"/>
  <c r="AW81" i="15"/>
  <c r="AV113" i="15"/>
  <c r="AV203" i="15"/>
  <c r="AV85" i="15"/>
  <c r="AW79" i="15"/>
  <c r="AW82" i="15"/>
  <c r="AW103" i="15"/>
  <c r="AW104" i="15"/>
  <c r="AW70" i="15"/>
  <c r="AW101" i="15"/>
  <c r="AW113" i="2"/>
  <c r="AW126" i="15"/>
  <c r="AW94" i="15"/>
  <c r="AW59" i="15"/>
  <c r="AW110" i="15"/>
  <c r="AW208" i="2"/>
  <c r="AW197" i="2"/>
  <c r="AW68" i="15"/>
  <c r="AX103" i="2"/>
  <c r="AX95" i="2"/>
  <c r="AX93" i="2"/>
  <c r="AX101" i="2"/>
  <c r="AX112" i="2"/>
  <c r="AX105" i="2"/>
  <c r="AX108" i="2"/>
  <c r="AX131" i="2"/>
  <c r="AX109" i="2"/>
  <c r="AX121" i="2"/>
  <c r="AX98" i="2"/>
  <c r="AX59" i="2"/>
  <c r="AX125" i="2"/>
  <c r="AX107" i="2"/>
  <c r="AX102" i="2"/>
  <c r="AX104" i="2"/>
  <c r="AX110" i="2"/>
  <c r="AX70" i="2"/>
  <c r="AX94" i="2"/>
  <c r="AX122" i="2"/>
  <c r="AX159" i="2"/>
  <c r="AX111" i="2"/>
  <c r="AV197" i="15"/>
  <c r="AV202" i="15"/>
  <c r="AW129" i="15"/>
  <c r="AW196" i="15" s="1"/>
  <c r="AW125" i="15"/>
  <c r="AW109" i="15"/>
  <c r="AW159" i="15"/>
  <c r="AW138" i="15"/>
  <c r="AW128" i="15"/>
  <c r="AW137" i="15"/>
  <c r="AW73" i="15"/>
  <c r="AW202" i="2"/>
  <c r="AW69" i="15"/>
  <c r="AW199" i="2"/>
  <c r="AW95" i="15"/>
  <c r="AW93" i="15"/>
  <c r="AW203" i="2"/>
  <c r="AW127" i="15"/>
  <c r="AW112" i="15"/>
  <c r="AV199" i="15"/>
  <c r="AV204" i="15"/>
  <c r="Q212" i="2"/>
  <c r="Q211" i="15"/>
  <c r="Q214" i="15" s="1"/>
  <c r="Q219" i="15" s="1"/>
  <c r="Q220" i="15" s="1"/>
  <c r="T52" i="15"/>
  <c r="AB196" i="15"/>
  <c r="AC129" i="15"/>
  <c r="AC196" i="2"/>
  <c r="Q167" i="15"/>
  <c r="U9" i="10"/>
  <c r="Y52" i="4"/>
  <c r="Y53" i="4" s="1"/>
  <c r="U174" i="2"/>
  <c r="R7" i="10"/>
  <c r="T53" i="15"/>
  <c r="L7" i="4"/>
  <c r="K7" i="15"/>
  <c r="U45" i="15"/>
  <c r="U188" i="2"/>
  <c r="U193" i="2" s="1"/>
  <c r="U211" i="2" s="1"/>
  <c r="T188" i="15"/>
  <c r="T193" i="15" s="1"/>
  <c r="S212" i="15"/>
  <c r="V19" i="15"/>
  <c r="V20" i="15" s="1"/>
  <c r="K222" i="15"/>
  <c r="L222" i="2"/>
  <c r="N223" i="2"/>
  <c r="M223" i="15"/>
  <c r="N224" i="2"/>
  <c r="M224" i="15"/>
  <c r="W253" i="15"/>
  <c r="W252" i="15"/>
  <c r="X4" i="15"/>
  <c r="W2" i="15"/>
  <c r="G4" i="10"/>
  <c r="H5" i="10"/>
  <c r="H36" i="10" s="1"/>
  <c r="AW85" i="15" l="1"/>
  <c r="AW203" i="15"/>
  <c r="AW202" i="15"/>
  <c r="U212" i="2"/>
  <c r="U214" i="2"/>
  <c r="U219" i="2" s="1"/>
  <c r="U220" i="2" s="1"/>
  <c r="AX79" i="15"/>
  <c r="AX122" i="15"/>
  <c r="AX68" i="15"/>
  <c r="AX82" i="15"/>
  <c r="AX104" i="15"/>
  <c r="AX125" i="15"/>
  <c r="AX135" i="15"/>
  <c r="AX198" i="15" s="1"/>
  <c r="AX198" i="2"/>
  <c r="AX108" i="15"/>
  <c r="AX112" i="15"/>
  <c r="AX106" i="15"/>
  <c r="AX103" i="15"/>
  <c r="AW208" i="15"/>
  <c r="AX129" i="15"/>
  <c r="AX196" i="15" s="1"/>
  <c r="AX80" i="15"/>
  <c r="AX132" i="15"/>
  <c r="AX126" i="15"/>
  <c r="AX128" i="15"/>
  <c r="AX102" i="15"/>
  <c r="AX59" i="15"/>
  <c r="AX109" i="15"/>
  <c r="AX105" i="15"/>
  <c r="AX101" i="15"/>
  <c r="AX113" i="2"/>
  <c r="AX136" i="15"/>
  <c r="AX78" i="15"/>
  <c r="AY108" i="2"/>
  <c r="AY104" i="2"/>
  <c r="AY102" i="2"/>
  <c r="AY125" i="2"/>
  <c r="AY94" i="2"/>
  <c r="AY159" i="2"/>
  <c r="AY105" i="2"/>
  <c r="AY111" i="2"/>
  <c r="AY121" i="2"/>
  <c r="AY93" i="2"/>
  <c r="AY95" i="2"/>
  <c r="AY131" i="2"/>
  <c r="AY133" i="2"/>
  <c r="AY110" i="2"/>
  <c r="AY101" i="2"/>
  <c r="AY59" i="2"/>
  <c r="AY107" i="2"/>
  <c r="AY122" i="2"/>
  <c r="AY112" i="2"/>
  <c r="AY103" i="2"/>
  <c r="AY70" i="2"/>
  <c r="AY109" i="2"/>
  <c r="AY98" i="2"/>
  <c r="AW201" i="15"/>
  <c r="AW204" i="15"/>
  <c r="AW198" i="15"/>
  <c r="AX99" i="4"/>
  <c r="AX85" i="4"/>
  <c r="AY129" i="4"/>
  <c r="AY77" i="4"/>
  <c r="AY69" i="4"/>
  <c r="AY84" i="4"/>
  <c r="AY82" i="4"/>
  <c r="AY108" i="4"/>
  <c r="AY95" i="4"/>
  <c r="AY102" i="4"/>
  <c r="AY79" i="4"/>
  <c r="AY122" i="4"/>
  <c r="AY133" i="4"/>
  <c r="AY110" i="4"/>
  <c r="AY81" i="4"/>
  <c r="AY112" i="4"/>
  <c r="AY80" i="4"/>
  <c r="AY126" i="4"/>
  <c r="AY134" i="4"/>
  <c r="AY72" i="4"/>
  <c r="AY127" i="4"/>
  <c r="AY111" i="4"/>
  <c r="AY73" i="4"/>
  <c r="AY59" i="4"/>
  <c r="AY98" i="4"/>
  <c r="AY93" i="4"/>
  <c r="AY107" i="4"/>
  <c r="AY70" i="4"/>
  <c r="AY83" i="4"/>
  <c r="AY105" i="4"/>
  <c r="AY131" i="4"/>
  <c r="AY104" i="4"/>
  <c r="AY138" i="4"/>
  <c r="AY136" i="4"/>
  <c r="AY132" i="4"/>
  <c r="AY128" i="4"/>
  <c r="AY71" i="4"/>
  <c r="AY121" i="4"/>
  <c r="AY125" i="4"/>
  <c r="AY159" i="4"/>
  <c r="AY68" i="4"/>
  <c r="AY103" i="4"/>
  <c r="AY109" i="4"/>
  <c r="AY94" i="4"/>
  <c r="AY78" i="4"/>
  <c r="AY135" i="4"/>
  <c r="AY137" i="4"/>
  <c r="AY101" i="4"/>
  <c r="AY76" i="4"/>
  <c r="AX111" i="15"/>
  <c r="AX159" i="15"/>
  <c r="AX94" i="15"/>
  <c r="AX138" i="15"/>
  <c r="AX110" i="15"/>
  <c r="AX208" i="2"/>
  <c r="AX107" i="15"/>
  <c r="AX99" i="2"/>
  <c r="AX98" i="15"/>
  <c r="AX201" i="2"/>
  <c r="AX131" i="15"/>
  <c r="AX69" i="15"/>
  <c r="AX199" i="2"/>
  <c r="AX203" i="2"/>
  <c r="AX93" i="15"/>
  <c r="AX134" i="15"/>
  <c r="AX83" i="15"/>
  <c r="AW197" i="15"/>
  <c r="AW113" i="15"/>
  <c r="AW200" i="15"/>
  <c r="AW199" i="15"/>
  <c r="AX113" i="4"/>
  <c r="AX72" i="15"/>
  <c r="AX127" i="15"/>
  <c r="AX70" i="15"/>
  <c r="AX73" i="15"/>
  <c r="AX202" i="2"/>
  <c r="AX137" i="15"/>
  <c r="AX204" i="2"/>
  <c r="AX76" i="15"/>
  <c r="AX85" i="2"/>
  <c r="AX121" i="15"/>
  <c r="AX77" i="15"/>
  <c r="AX81" i="15"/>
  <c r="AX71" i="15"/>
  <c r="AX200" i="2"/>
  <c r="AX84" i="15"/>
  <c r="AX95" i="15"/>
  <c r="Q212" i="15"/>
  <c r="U173" i="15"/>
  <c r="Q174" i="15"/>
  <c r="Y68" i="8"/>
  <c r="Y69" i="8" s="1"/>
  <c r="R12" i="10"/>
  <c r="Y226" i="15"/>
  <c r="Y231" i="15" s="1"/>
  <c r="Y249" i="15" s="1"/>
  <c r="Y231" i="4"/>
  <c r="Y249" i="4" s="1"/>
  <c r="AC196" i="15"/>
  <c r="AD196" i="2"/>
  <c r="AD129" i="15"/>
  <c r="U52" i="15"/>
  <c r="V9" i="10"/>
  <c r="Z52" i="4"/>
  <c r="Z53" i="4" s="1"/>
  <c r="U167" i="15"/>
  <c r="U53" i="15"/>
  <c r="M7" i="4"/>
  <c r="L7" i="15"/>
  <c r="W19" i="15"/>
  <c r="W20" i="15" s="1"/>
  <c r="M222" i="2"/>
  <c r="L222" i="15"/>
  <c r="V45" i="15"/>
  <c r="V188" i="2"/>
  <c r="V193" i="2" s="1"/>
  <c r="U188" i="15"/>
  <c r="U193" i="15" s="1"/>
  <c r="U211" i="15" s="1"/>
  <c r="U214" i="15" s="1"/>
  <c r="U219" i="15" s="1"/>
  <c r="O224" i="2"/>
  <c r="N224" i="15"/>
  <c r="O223" i="2"/>
  <c r="N223" i="15"/>
  <c r="X252" i="15"/>
  <c r="X253" i="15"/>
  <c r="Y4" i="15"/>
  <c r="X2" i="15"/>
  <c r="I5" i="10"/>
  <c r="I36" i="10" s="1"/>
  <c r="H4" i="10"/>
  <c r="AX204" i="15" l="1"/>
  <c r="AX201" i="15"/>
  <c r="AY72" i="15"/>
  <c r="AY70" i="15"/>
  <c r="AY107" i="15"/>
  <c r="AY127" i="15"/>
  <c r="AY134" i="15"/>
  <c r="AY69" i="15"/>
  <c r="AY199" i="2"/>
  <c r="AY111" i="15"/>
  <c r="AY94" i="15"/>
  <c r="AY138" i="15"/>
  <c r="AY71" i="15"/>
  <c r="AY200" i="2"/>
  <c r="AY104" i="15"/>
  <c r="AY126" i="15"/>
  <c r="AX200" i="15"/>
  <c r="AX85" i="15"/>
  <c r="AX203" i="15"/>
  <c r="AX99" i="15"/>
  <c r="AX208" i="15"/>
  <c r="AY129" i="15"/>
  <c r="AY196" i="15" s="1"/>
  <c r="AY98" i="15"/>
  <c r="AY99" i="2"/>
  <c r="AY103" i="15"/>
  <c r="AY59" i="15"/>
  <c r="AY110" i="15"/>
  <c r="AY208" i="2"/>
  <c r="AY136" i="15"/>
  <c r="AY80" i="15"/>
  <c r="AY105" i="15"/>
  <c r="AY132" i="15"/>
  <c r="AY81" i="15"/>
  <c r="AY73" i="15"/>
  <c r="AY202" i="2"/>
  <c r="AY84" i="15"/>
  <c r="AY108" i="15"/>
  <c r="AX113" i="15"/>
  <c r="AX199" i="15"/>
  <c r="AY85" i="4"/>
  <c r="AZ95" i="4"/>
  <c r="AZ72" i="4"/>
  <c r="AZ159" i="4"/>
  <c r="AZ137" i="4"/>
  <c r="AZ129" i="4"/>
  <c r="AZ136" i="4"/>
  <c r="AZ111" i="4"/>
  <c r="AZ138" i="4"/>
  <c r="AZ109" i="4"/>
  <c r="AZ131" i="4"/>
  <c r="AZ104" i="4"/>
  <c r="AZ76" i="4"/>
  <c r="AZ93" i="4"/>
  <c r="AZ78" i="4"/>
  <c r="AZ70" i="4"/>
  <c r="AZ69" i="4"/>
  <c r="AZ79" i="4"/>
  <c r="AZ110" i="4"/>
  <c r="AZ103" i="4"/>
  <c r="AZ82" i="4"/>
  <c r="AZ80" i="4"/>
  <c r="AZ128" i="4"/>
  <c r="AZ121" i="4"/>
  <c r="AZ98" i="4"/>
  <c r="AZ107" i="4"/>
  <c r="AZ133" i="4"/>
  <c r="AZ77" i="4"/>
  <c r="AZ81" i="4"/>
  <c r="AZ135" i="4"/>
  <c r="AZ127" i="4"/>
  <c r="AZ83" i="4"/>
  <c r="AZ112" i="4"/>
  <c r="AZ108" i="4"/>
  <c r="AZ71" i="4"/>
  <c r="AZ125" i="4"/>
  <c r="AZ101" i="4"/>
  <c r="AZ105" i="4"/>
  <c r="AZ68" i="4"/>
  <c r="AZ94" i="4"/>
  <c r="AZ122" i="4"/>
  <c r="AZ134" i="4"/>
  <c r="AZ102" i="4"/>
  <c r="AZ84" i="4"/>
  <c r="AZ132" i="4"/>
  <c r="AZ126" i="4"/>
  <c r="AZ73" i="4"/>
  <c r="AZ59" i="4"/>
  <c r="AY109" i="15"/>
  <c r="AY112" i="15"/>
  <c r="AY79" i="15"/>
  <c r="AY133" i="15"/>
  <c r="AY131" i="15"/>
  <c r="AY201" i="2"/>
  <c r="AY203" i="2"/>
  <c r="AY93" i="15"/>
  <c r="AY159" i="15"/>
  <c r="AY128" i="15"/>
  <c r="AY135" i="15"/>
  <c r="AY198" i="15" s="1"/>
  <c r="AY198" i="2"/>
  <c r="AY102" i="15"/>
  <c r="AY106" i="15"/>
  <c r="AZ122" i="2"/>
  <c r="AZ131" i="2"/>
  <c r="AZ102" i="2"/>
  <c r="AZ121" i="2"/>
  <c r="AZ125" i="2"/>
  <c r="CH125" i="2" s="1"/>
  <c r="AZ110" i="2"/>
  <c r="AZ105" i="2"/>
  <c r="AZ109" i="2"/>
  <c r="AZ133" i="2"/>
  <c r="AZ93" i="2"/>
  <c r="AZ98" i="2"/>
  <c r="AZ101" i="2"/>
  <c r="AZ107" i="2"/>
  <c r="AZ104" i="2"/>
  <c r="AZ103" i="2"/>
  <c r="AZ159" i="2"/>
  <c r="AZ59" i="2"/>
  <c r="AZ111" i="2"/>
  <c r="AZ70" i="2"/>
  <c r="AZ112" i="2"/>
  <c r="AZ108" i="2"/>
  <c r="AZ94" i="2"/>
  <c r="AZ95" i="2"/>
  <c r="AX202" i="15"/>
  <c r="AY113" i="4"/>
  <c r="AY99" i="4"/>
  <c r="AY76" i="15"/>
  <c r="AY85" i="2"/>
  <c r="AY204" i="2"/>
  <c r="AY68" i="15"/>
  <c r="AY197" i="2"/>
  <c r="AY122" i="15"/>
  <c r="AY101" i="15"/>
  <c r="AY113" i="2"/>
  <c r="AY77" i="15"/>
  <c r="AY95" i="15"/>
  <c r="AY121" i="15"/>
  <c r="AY137" i="15"/>
  <c r="AY83" i="15"/>
  <c r="AY125" i="15"/>
  <c r="AY78" i="15"/>
  <c r="AY82" i="15"/>
  <c r="T7" i="10"/>
  <c r="T12" i="10" s="1"/>
  <c r="U176" i="15"/>
  <c r="U183" i="15" s="1"/>
  <c r="U220" i="15" s="1"/>
  <c r="U174" i="15"/>
  <c r="Z68" i="8"/>
  <c r="Z226" i="15"/>
  <c r="Z231" i="15" s="1"/>
  <c r="Z249" i="15" s="1"/>
  <c r="Z231" i="4"/>
  <c r="Z249" i="4" s="1"/>
  <c r="AC223" i="4"/>
  <c r="AD223" i="4" s="1"/>
  <c r="AE223" i="4" s="1"/>
  <c r="AF223" i="4" s="1"/>
  <c r="AG223" i="4" s="1"/>
  <c r="AH223" i="4" s="1"/>
  <c r="AI223" i="4" s="1"/>
  <c r="AJ223" i="4" s="1"/>
  <c r="AK223" i="4" s="1"/>
  <c r="AL223" i="4" s="1"/>
  <c r="AM223" i="4" s="1"/>
  <c r="AN223" i="4" s="1"/>
  <c r="V188" i="15"/>
  <c r="V193" i="15" s="1"/>
  <c r="AD196" i="15"/>
  <c r="AE196" i="2"/>
  <c r="AE129" i="15"/>
  <c r="V52" i="15"/>
  <c r="Y42" i="8"/>
  <c r="AA52" i="4"/>
  <c r="AA53" i="4" s="1"/>
  <c r="W174" i="2"/>
  <c r="W9" i="10"/>
  <c r="N7" i="4"/>
  <c r="M7" i="15"/>
  <c r="V53" i="15"/>
  <c r="X19" i="15"/>
  <c r="X20" i="15" s="1"/>
  <c r="U212" i="15"/>
  <c r="M222" i="15"/>
  <c r="N222" i="2"/>
  <c r="W45" i="15"/>
  <c r="W173" i="15" s="1"/>
  <c r="W176" i="15" s="1"/>
  <c r="W183" i="15" s="1"/>
  <c r="W188" i="2"/>
  <c r="W193" i="2" s="1"/>
  <c r="W211" i="2" s="1"/>
  <c r="W214" i="2" s="1"/>
  <c r="W219" i="2" s="1"/>
  <c r="W220" i="2" s="1"/>
  <c r="P223" i="2"/>
  <c r="O223" i="15"/>
  <c r="P224" i="2"/>
  <c r="O224" i="15"/>
  <c r="Y253" i="15"/>
  <c r="Y252" i="15"/>
  <c r="Y2" i="15"/>
  <c r="Z4" i="15"/>
  <c r="I4" i="10"/>
  <c r="J5" i="10"/>
  <c r="AY85" i="15" l="1"/>
  <c r="AY204" i="15"/>
  <c r="AY197" i="15"/>
  <c r="AY113" i="15"/>
  <c r="AZ83" i="15"/>
  <c r="CH83" i="15" s="1"/>
  <c r="AZ82" i="15"/>
  <c r="CH82" i="15" s="1"/>
  <c r="AZ59" i="15"/>
  <c r="CH59" i="15" s="1"/>
  <c r="AZ135" i="15"/>
  <c r="AZ198" i="15" s="1"/>
  <c r="CH198" i="15" s="1"/>
  <c r="N28" i="14" s="1"/>
  <c r="Z28" i="14" s="1"/>
  <c r="AZ198" i="2"/>
  <c r="CH198" i="2" s="1"/>
  <c r="AZ136" i="15"/>
  <c r="CH136" i="15" s="1"/>
  <c r="AZ93" i="15"/>
  <c r="AZ203" i="2"/>
  <c r="CH203" i="2" s="1"/>
  <c r="AZ106" i="15"/>
  <c r="CH106" i="15" s="1"/>
  <c r="AZ105" i="15"/>
  <c r="CH105" i="15" s="1"/>
  <c r="AZ79" i="15"/>
  <c r="AZ132" i="15"/>
  <c r="CH132" i="15" s="1"/>
  <c r="AZ77" i="15"/>
  <c r="CH77" i="15" s="1"/>
  <c r="BA136" i="2"/>
  <c r="BA82" i="2"/>
  <c r="BA94" i="2"/>
  <c r="BA98" i="2"/>
  <c r="BA103" i="2"/>
  <c r="BA104" i="2"/>
  <c r="BA132" i="2"/>
  <c r="BA77" i="2"/>
  <c r="BA109" i="2"/>
  <c r="BA110" i="2"/>
  <c r="BA126" i="2"/>
  <c r="BA81" i="2"/>
  <c r="BA102" i="2"/>
  <c r="BA133" i="2"/>
  <c r="BA93" i="2"/>
  <c r="BA107" i="2"/>
  <c r="BA122" i="2"/>
  <c r="BA108" i="2"/>
  <c r="BA59" i="2"/>
  <c r="BA125" i="2"/>
  <c r="BA138" i="2"/>
  <c r="BA135" i="2"/>
  <c r="BA101" i="2"/>
  <c r="BA68" i="2"/>
  <c r="BA111" i="2"/>
  <c r="BA80" i="2"/>
  <c r="BA105" i="2"/>
  <c r="BA78" i="2"/>
  <c r="BA131" i="2"/>
  <c r="BA71" i="2"/>
  <c r="BA84" i="2"/>
  <c r="BA83" i="2"/>
  <c r="BA73" i="2"/>
  <c r="BA134" i="2"/>
  <c r="BA76" i="2"/>
  <c r="BA137" i="2"/>
  <c r="BA112" i="2"/>
  <c r="BA95" i="2"/>
  <c r="BA128" i="2"/>
  <c r="BA72" i="2"/>
  <c r="BA70" i="2"/>
  <c r="BA159" i="2"/>
  <c r="BA121" i="2"/>
  <c r="BA79" i="2"/>
  <c r="BA69" i="2"/>
  <c r="AY200" i="15"/>
  <c r="AZ73" i="15"/>
  <c r="AZ202" i="2"/>
  <c r="CH202" i="2" s="1"/>
  <c r="AZ108" i="15"/>
  <c r="AZ112" i="15"/>
  <c r="CH112" i="15" s="1"/>
  <c r="AZ80" i="15"/>
  <c r="CH80" i="2"/>
  <c r="AZ104" i="15"/>
  <c r="CH104" i="15" s="1"/>
  <c r="AZ101" i="15"/>
  <c r="CH101" i="15" s="1"/>
  <c r="AZ113" i="2"/>
  <c r="AZ81" i="15"/>
  <c r="CH81" i="15" s="1"/>
  <c r="AZ68" i="15"/>
  <c r="AZ197" i="2"/>
  <c r="AZ110" i="15"/>
  <c r="CH110" i="15" s="1"/>
  <c r="AZ208" i="2"/>
  <c r="CH208" i="2" s="1"/>
  <c r="AZ72" i="15"/>
  <c r="CH72" i="2"/>
  <c r="AZ131" i="15"/>
  <c r="AZ201" i="2"/>
  <c r="CH201" i="2" s="1"/>
  <c r="AZ137" i="15"/>
  <c r="CH137" i="15" s="1"/>
  <c r="AY203" i="15"/>
  <c r="AY201" i="15"/>
  <c r="AZ129" i="15"/>
  <c r="AZ196" i="15" s="1"/>
  <c r="AY99" i="15"/>
  <c r="AY208" i="15"/>
  <c r="AZ95" i="15"/>
  <c r="CH95" i="15" s="1"/>
  <c r="AZ78" i="15"/>
  <c r="CH78" i="15" s="1"/>
  <c r="AZ70" i="15"/>
  <c r="CH70" i="15" s="1"/>
  <c r="AZ159" i="15"/>
  <c r="CH159" i="15" s="1"/>
  <c r="AZ107" i="15"/>
  <c r="CH107" i="15" s="1"/>
  <c r="AZ85" i="2"/>
  <c r="AZ204" i="2"/>
  <c r="CH204" i="2" s="1"/>
  <c r="AZ76" i="15"/>
  <c r="AZ133" i="15"/>
  <c r="AZ127" i="15"/>
  <c r="CH127" i="15" s="1"/>
  <c r="AZ125" i="15"/>
  <c r="AZ71" i="15"/>
  <c r="AZ200" i="2"/>
  <c r="CH200" i="2" s="1"/>
  <c r="AZ138" i="15"/>
  <c r="CH138" i="15" s="1"/>
  <c r="AZ128" i="15"/>
  <c r="CH128" i="15" s="1"/>
  <c r="AZ94" i="15"/>
  <c r="CH94" i="15" s="1"/>
  <c r="AZ126" i="15"/>
  <c r="CH126" i="15" s="1"/>
  <c r="AZ111" i="15"/>
  <c r="CH111" i="2"/>
  <c r="AZ103" i="15"/>
  <c r="CH103" i="15" s="1"/>
  <c r="AZ69" i="15"/>
  <c r="CH69" i="15" s="1"/>
  <c r="AZ199" i="2"/>
  <c r="CH199" i="2" s="1"/>
  <c r="AZ98" i="15"/>
  <c r="AZ99" i="2"/>
  <c r="AZ134" i="15"/>
  <c r="CH134" i="15" s="1"/>
  <c r="AZ109" i="15"/>
  <c r="CH109" i="15" s="1"/>
  <c r="AZ121" i="15"/>
  <c r="CH121" i="15" s="1"/>
  <c r="AZ102" i="15"/>
  <c r="CH102" i="15" s="1"/>
  <c r="AZ84" i="15"/>
  <c r="AZ122" i="15"/>
  <c r="CH122" i="15" s="1"/>
  <c r="AZ113" i="4"/>
  <c r="AZ99" i="4"/>
  <c r="AZ85" i="4"/>
  <c r="BA122" i="4"/>
  <c r="BA98" i="4"/>
  <c r="BA135" i="4"/>
  <c r="BA69" i="4"/>
  <c r="BA80" i="4"/>
  <c r="BA84" i="4"/>
  <c r="BA121" i="4"/>
  <c r="BA129" i="4"/>
  <c r="BA110" i="4"/>
  <c r="BA104" i="4"/>
  <c r="BA133" i="4"/>
  <c r="BA101" i="4"/>
  <c r="BA111" i="4"/>
  <c r="BA105" i="4"/>
  <c r="BA82" i="4"/>
  <c r="BA134" i="4"/>
  <c r="BA109" i="4"/>
  <c r="BA112" i="4"/>
  <c r="BA77" i="4"/>
  <c r="BA95" i="4"/>
  <c r="BA71" i="4"/>
  <c r="BA59" i="4"/>
  <c r="BA73" i="4"/>
  <c r="BA107" i="4"/>
  <c r="BA79" i="4"/>
  <c r="BA102" i="4"/>
  <c r="BA137" i="4"/>
  <c r="BA128" i="4"/>
  <c r="BA94" i="4"/>
  <c r="BA83" i="4"/>
  <c r="BA93" i="4"/>
  <c r="BA108" i="4"/>
  <c r="BA76" i="4"/>
  <c r="BA125" i="4"/>
  <c r="BA136" i="4"/>
  <c r="BA127" i="4"/>
  <c r="BA138" i="4"/>
  <c r="BA78" i="4"/>
  <c r="BA159" i="4"/>
  <c r="BA103" i="4"/>
  <c r="BA126" i="4"/>
  <c r="BA81" i="4"/>
  <c r="BA70" i="4"/>
  <c r="BA68" i="4"/>
  <c r="BA132" i="4"/>
  <c r="BA131" i="4"/>
  <c r="BA72" i="4"/>
  <c r="AY199" i="15"/>
  <c r="AY202" i="15"/>
  <c r="AA68" i="8"/>
  <c r="AA226" i="15"/>
  <c r="AA231" i="15" s="1"/>
  <c r="AA249" i="15" s="1"/>
  <c r="AA231" i="4"/>
  <c r="AA249" i="4" s="1"/>
  <c r="J36" i="10"/>
  <c r="AE196" i="15"/>
  <c r="AF129" i="15"/>
  <c r="AF196" i="2"/>
  <c r="W212" i="2"/>
  <c r="Z42" i="8"/>
  <c r="W52" i="15"/>
  <c r="AC52" i="4"/>
  <c r="AB52" i="4"/>
  <c r="AB53" i="4" s="1"/>
  <c r="N7" i="15"/>
  <c r="O7" i="4"/>
  <c r="W167" i="15"/>
  <c r="W174" i="15" s="1"/>
  <c r="W53" i="15"/>
  <c r="O222" i="2"/>
  <c r="N222" i="15"/>
  <c r="X45" i="15"/>
  <c r="X188" i="15" s="1"/>
  <c r="X188" i="2"/>
  <c r="W188" i="15"/>
  <c r="W193" i="15" s="1"/>
  <c r="W211" i="15" s="1"/>
  <c r="W214" i="15" s="1"/>
  <c r="W219" i="15" s="1"/>
  <c r="W220" i="15" s="1"/>
  <c r="Y19" i="15"/>
  <c r="Y20" i="15" s="1"/>
  <c r="P223" i="15"/>
  <c r="P224" i="15"/>
  <c r="Z252" i="15"/>
  <c r="Z253" i="15"/>
  <c r="AA4" i="15"/>
  <c r="Z2" i="15"/>
  <c r="K5" i="10"/>
  <c r="J4" i="10"/>
  <c r="AZ201" i="15" l="1"/>
  <c r="CH201" i="15" s="1"/>
  <c r="N31" i="14" s="1"/>
  <c r="Z31" i="14" s="1"/>
  <c r="AZ208" i="15"/>
  <c r="CH208" i="15" s="1"/>
  <c r="N37" i="14" s="1"/>
  <c r="Z37" i="14" s="1"/>
  <c r="AZ204" i="15"/>
  <c r="CH204" i="15" s="1"/>
  <c r="N34" i="14" s="1"/>
  <c r="Z34" i="14" s="1"/>
  <c r="BA113" i="4"/>
  <c r="BA129" i="15"/>
  <c r="AZ85" i="15"/>
  <c r="BB121" i="4"/>
  <c r="BB112" i="4"/>
  <c r="BB132" i="4"/>
  <c r="BB83" i="4"/>
  <c r="BB135" i="4"/>
  <c r="BB137" i="4"/>
  <c r="BB131" i="4"/>
  <c r="BB109" i="4"/>
  <c r="BB95" i="4"/>
  <c r="BB129" i="4"/>
  <c r="BB93" i="4"/>
  <c r="BB82" i="4"/>
  <c r="BB111" i="4"/>
  <c r="BB79" i="4"/>
  <c r="BB78" i="4"/>
  <c r="BB136" i="4"/>
  <c r="BB94" i="4"/>
  <c r="BB81" i="4"/>
  <c r="BB80" i="4"/>
  <c r="BB108" i="4"/>
  <c r="BB128" i="4"/>
  <c r="BB101" i="4"/>
  <c r="BB138" i="4"/>
  <c r="BB76" i="4"/>
  <c r="BB125" i="4"/>
  <c r="BB105" i="4"/>
  <c r="BB103" i="4"/>
  <c r="BB59" i="4"/>
  <c r="BB73" i="4"/>
  <c r="BB84" i="4"/>
  <c r="BB102" i="4"/>
  <c r="BB77" i="4"/>
  <c r="BB126" i="4"/>
  <c r="BB72" i="4"/>
  <c r="BB71" i="4"/>
  <c r="BB122" i="4"/>
  <c r="BB133" i="4"/>
  <c r="BB104" i="4"/>
  <c r="BB68" i="4"/>
  <c r="BB69" i="4"/>
  <c r="BB70" i="4"/>
  <c r="BB127" i="4"/>
  <c r="BB159" i="4"/>
  <c r="BB107" i="4"/>
  <c r="BB98" i="4"/>
  <c r="BB110" i="4"/>
  <c r="BB134" i="4"/>
  <c r="AZ99" i="15"/>
  <c r="CH99" i="15" s="1"/>
  <c r="AZ197" i="15"/>
  <c r="AZ113" i="15"/>
  <c r="BA159" i="15"/>
  <c r="BA95" i="15"/>
  <c r="BA134" i="15"/>
  <c r="BA127" i="15"/>
  <c r="BA105" i="15"/>
  <c r="BA101" i="15"/>
  <c r="BA113" i="2"/>
  <c r="BA59" i="15"/>
  <c r="BA93" i="15"/>
  <c r="BA203" i="2"/>
  <c r="BA126" i="15"/>
  <c r="BA132" i="15"/>
  <c r="BA98" i="15"/>
  <c r="BA99" i="2"/>
  <c r="BB76" i="2"/>
  <c r="BB108" i="2"/>
  <c r="BB70" i="2"/>
  <c r="BB131" i="2"/>
  <c r="BB107" i="2"/>
  <c r="BB126" i="2"/>
  <c r="BB138" i="2"/>
  <c r="BB159" i="2"/>
  <c r="BB77" i="2"/>
  <c r="BB136" i="2"/>
  <c r="BB104" i="2"/>
  <c r="BB72" i="2"/>
  <c r="BB71" i="2"/>
  <c r="BB102" i="2"/>
  <c r="BB101" i="2"/>
  <c r="BB84" i="2"/>
  <c r="BB80" i="2"/>
  <c r="BB82" i="2"/>
  <c r="BB135" i="2"/>
  <c r="BB98" i="2"/>
  <c r="BB137" i="2"/>
  <c r="BB112" i="2"/>
  <c r="BB103" i="2"/>
  <c r="BB95" i="2"/>
  <c r="BB132" i="2"/>
  <c r="BB69" i="2"/>
  <c r="BB93" i="2"/>
  <c r="BB121" i="2"/>
  <c r="BB111" i="2"/>
  <c r="BB110" i="2"/>
  <c r="BB68" i="2"/>
  <c r="BB125" i="2"/>
  <c r="BB73" i="2"/>
  <c r="BB79" i="2"/>
  <c r="BB134" i="2"/>
  <c r="BB81" i="2"/>
  <c r="BB122" i="2"/>
  <c r="BB59" i="2"/>
  <c r="BB78" i="2"/>
  <c r="BB94" i="2"/>
  <c r="BB105" i="2"/>
  <c r="BB83" i="2"/>
  <c r="BB109" i="2"/>
  <c r="BB128" i="2"/>
  <c r="BB133" i="2"/>
  <c r="CH93" i="15"/>
  <c r="AZ203" i="15"/>
  <c r="CH203" i="15" s="1"/>
  <c r="N33" i="14" s="1"/>
  <c r="Z33" i="14" s="1"/>
  <c r="CH71" i="15"/>
  <c r="AZ200" i="15"/>
  <c r="CH200" i="15" s="1"/>
  <c r="N30" i="14" s="1"/>
  <c r="Z30" i="14" s="1"/>
  <c r="BA69" i="15"/>
  <c r="BA199" i="2"/>
  <c r="BA70" i="15"/>
  <c r="BA112" i="15"/>
  <c r="BA73" i="15"/>
  <c r="BA202" i="2"/>
  <c r="BA71" i="15"/>
  <c r="BA200" i="2"/>
  <c r="BA80" i="15"/>
  <c r="BA135" i="15"/>
  <c r="BA198" i="2"/>
  <c r="BA108" i="15"/>
  <c r="BA133" i="15"/>
  <c r="BA110" i="15"/>
  <c r="BA208" i="2"/>
  <c r="BA104" i="15"/>
  <c r="BA94" i="15"/>
  <c r="BA85" i="4"/>
  <c r="BA99" i="4"/>
  <c r="AZ199" i="15"/>
  <c r="CH199" i="15" s="1"/>
  <c r="N29" i="14" s="1"/>
  <c r="Z29" i="14" s="1"/>
  <c r="CH73" i="15"/>
  <c r="AZ202" i="15"/>
  <c r="CH202" i="15" s="1"/>
  <c r="N32" i="14" s="1"/>
  <c r="Z32" i="14" s="1"/>
  <c r="BA79" i="15"/>
  <c r="BA72" i="15"/>
  <c r="BA137" i="15"/>
  <c r="BA83" i="15"/>
  <c r="BA131" i="15"/>
  <c r="BA201" i="2"/>
  <c r="BA111" i="15"/>
  <c r="BA138" i="15"/>
  <c r="BA122" i="15"/>
  <c r="BA102" i="15"/>
  <c r="BA109" i="15"/>
  <c r="BA103" i="15"/>
  <c r="BA82" i="15"/>
  <c r="BA121" i="15"/>
  <c r="BA128" i="15"/>
  <c r="BA76" i="15"/>
  <c r="BA85" i="2"/>
  <c r="BA204" i="2"/>
  <c r="BA84" i="15"/>
  <c r="BA78" i="15"/>
  <c r="BA68" i="15"/>
  <c r="BA197" i="2"/>
  <c r="BA125" i="15"/>
  <c r="BA107" i="15"/>
  <c r="BA81" i="15"/>
  <c r="BA77" i="15"/>
  <c r="BA106" i="15"/>
  <c r="BA136" i="15"/>
  <c r="AC53" i="4"/>
  <c r="AB68" i="8"/>
  <c r="AB226" i="15"/>
  <c r="AB231" i="4"/>
  <c r="AB249" i="4" s="1"/>
  <c r="Y52" i="2"/>
  <c r="Y53" i="2" s="1"/>
  <c r="K36" i="10"/>
  <c r="AF196" i="15"/>
  <c r="AG129" i="15"/>
  <c r="AG196" i="2"/>
  <c r="AC64" i="8"/>
  <c r="AA42" i="8"/>
  <c r="V7" i="10"/>
  <c r="V12" i="10" s="1"/>
  <c r="P7" i="4"/>
  <c r="O7" i="15"/>
  <c r="W212" i="15"/>
  <c r="Z19" i="15"/>
  <c r="Z20" i="15" s="1"/>
  <c r="P222" i="2"/>
  <c r="O222" i="15"/>
  <c r="Y45" i="15"/>
  <c r="Y188" i="2"/>
  <c r="Y193" i="2" s="1"/>
  <c r="Q224" i="15"/>
  <c r="Q223" i="15"/>
  <c r="AA253" i="15"/>
  <c r="AA252" i="15"/>
  <c r="AB4" i="15"/>
  <c r="AA2" i="15"/>
  <c r="L5" i="10"/>
  <c r="K4" i="10"/>
  <c r="BA85" i="15" l="1"/>
  <c r="BA200" i="15"/>
  <c r="BA199" i="15"/>
  <c r="BB83" i="15"/>
  <c r="BB59" i="15"/>
  <c r="BB79" i="15"/>
  <c r="BB110" i="15"/>
  <c r="BB93" i="15"/>
  <c r="BB203" i="2"/>
  <c r="BB103" i="15"/>
  <c r="BB99" i="2"/>
  <c r="BB98" i="15"/>
  <c r="BB84" i="15"/>
  <c r="BB72" i="15"/>
  <c r="BB159" i="15"/>
  <c r="BB201" i="2"/>
  <c r="BB131" i="15"/>
  <c r="BC80" i="2"/>
  <c r="BC112" i="2"/>
  <c r="BC125" i="2"/>
  <c r="BC83" i="2"/>
  <c r="BC68" i="2"/>
  <c r="BC108" i="2"/>
  <c r="BC94" i="2"/>
  <c r="BC79" i="2"/>
  <c r="BC84" i="2"/>
  <c r="BC103" i="2"/>
  <c r="BC159" i="2"/>
  <c r="BC105" i="2"/>
  <c r="BC110" i="2"/>
  <c r="BC132" i="2"/>
  <c r="BC111" i="2"/>
  <c r="BC126" i="2"/>
  <c r="BC71" i="2"/>
  <c r="BC72" i="2"/>
  <c r="BC136" i="2"/>
  <c r="BC95" i="2"/>
  <c r="BC101" i="2"/>
  <c r="BC134" i="2"/>
  <c r="BC76" i="2"/>
  <c r="BC122" i="2"/>
  <c r="BC77" i="2"/>
  <c r="BC104" i="2"/>
  <c r="BC109" i="2"/>
  <c r="BC73" i="2"/>
  <c r="BC59" i="2"/>
  <c r="BC98" i="2"/>
  <c r="BC69" i="2"/>
  <c r="BC133" i="2"/>
  <c r="BC128" i="2"/>
  <c r="BC93" i="2"/>
  <c r="BC135" i="2"/>
  <c r="BC102" i="2"/>
  <c r="BC138" i="2"/>
  <c r="BC137" i="2"/>
  <c r="BC131" i="2"/>
  <c r="BC121" i="2"/>
  <c r="BC82" i="2"/>
  <c r="BC81" i="2"/>
  <c r="BC107" i="2"/>
  <c r="BC70" i="2"/>
  <c r="BC78" i="2"/>
  <c r="BB85" i="4"/>
  <c r="BC132" i="4"/>
  <c r="BC128" i="4"/>
  <c r="BC81" i="4"/>
  <c r="BC126" i="4"/>
  <c r="BC108" i="4"/>
  <c r="BC111" i="4"/>
  <c r="BC105" i="4"/>
  <c r="BC112" i="4"/>
  <c r="BC83" i="4"/>
  <c r="BC78" i="4"/>
  <c r="BC101" i="4"/>
  <c r="BC73" i="4"/>
  <c r="BC102" i="4"/>
  <c r="BC131" i="4"/>
  <c r="BC98" i="4"/>
  <c r="BC104" i="4"/>
  <c r="BC159" i="4"/>
  <c r="BC72" i="4"/>
  <c r="BC134" i="4"/>
  <c r="BC69" i="4"/>
  <c r="BC76" i="4"/>
  <c r="BC109" i="4"/>
  <c r="BC135" i="4"/>
  <c r="BC137" i="4"/>
  <c r="BC93" i="4"/>
  <c r="BC129" i="4"/>
  <c r="BC80" i="4"/>
  <c r="BC133" i="4"/>
  <c r="BC103" i="4"/>
  <c r="BC70" i="4"/>
  <c r="BC127" i="4"/>
  <c r="BC71" i="4"/>
  <c r="BC95" i="4"/>
  <c r="BC68" i="4"/>
  <c r="BC110" i="4"/>
  <c r="BC94" i="4"/>
  <c r="BC82" i="4"/>
  <c r="BC84" i="4"/>
  <c r="BC125" i="4"/>
  <c r="BC121" i="4"/>
  <c r="BC59" i="4"/>
  <c r="BC122" i="4"/>
  <c r="BC136" i="4"/>
  <c r="BC107" i="4"/>
  <c r="BC77" i="4"/>
  <c r="BC79" i="4"/>
  <c r="BC138" i="4"/>
  <c r="BA204" i="15"/>
  <c r="BA201" i="15"/>
  <c r="BA198" i="15"/>
  <c r="BA202" i="15"/>
  <c r="BB133" i="15"/>
  <c r="BB105" i="15"/>
  <c r="BB122" i="15"/>
  <c r="BB202" i="2"/>
  <c r="BB73" i="15"/>
  <c r="BB106" i="15"/>
  <c r="BB69" i="15"/>
  <c r="BB199" i="2"/>
  <c r="BB112" i="15"/>
  <c r="BB135" i="15"/>
  <c r="BB198" i="15" s="1"/>
  <c r="BB198" i="2"/>
  <c r="BB101" i="15"/>
  <c r="BB113" i="2"/>
  <c r="BB104" i="15"/>
  <c r="BB138" i="15"/>
  <c r="BB70" i="15"/>
  <c r="BA197" i="15"/>
  <c r="BB128" i="15"/>
  <c r="BB94" i="15"/>
  <c r="BB81" i="15"/>
  <c r="BB125" i="15"/>
  <c r="BB208" i="2"/>
  <c r="BB111" i="15"/>
  <c r="BB132" i="15"/>
  <c r="BB137" i="15"/>
  <c r="BB82" i="15"/>
  <c r="BB102" i="15"/>
  <c r="BB136" i="15"/>
  <c r="BB126" i="15"/>
  <c r="BB108" i="15"/>
  <c r="BA99" i="15"/>
  <c r="BA203" i="15"/>
  <c r="BB99" i="4"/>
  <c r="BB113" i="4"/>
  <c r="BB129" i="15"/>
  <c r="BB196" i="15" s="1"/>
  <c r="BA208" i="15"/>
  <c r="BB109" i="15"/>
  <c r="BB78" i="15"/>
  <c r="BB134" i="15"/>
  <c r="BB68" i="15"/>
  <c r="BB197" i="2"/>
  <c r="BB121" i="15"/>
  <c r="BB95" i="15"/>
  <c r="BB127" i="15"/>
  <c r="BB80" i="15"/>
  <c r="BB71" i="15"/>
  <c r="BB200" i="2"/>
  <c r="BB77" i="15"/>
  <c r="BB107" i="15"/>
  <c r="BB204" i="2"/>
  <c r="BB76" i="15"/>
  <c r="BB204" i="15" s="1"/>
  <c r="BB85" i="2"/>
  <c r="BA113" i="15"/>
  <c r="BA196" i="15"/>
  <c r="Q7" i="4"/>
  <c r="R7" i="4" s="1"/>
  <c r="S7" i="4" s="1"/>
  <c r="T7" i="4" s="1"/>
  <c r="U7" i="4" s="1"/>
  <c r="V7" i="4" s="1"/>
  <c r="W7" i="4" s="1"/>
  <c r="X7" i="4" s="1"/>
  <c r="Y7" i="4" s="1"/>
  <c r="Z7" i="4" s="1"/>
  <c r="AA7" i="4" s="1"/>
  <c r="AB7" i="4" s="1"/>
  <c r="AC7" i="4" s="1"/>
  <c r="AD7" i="4" s="1"/>
  <c r="AE7" i="4" s="1"/>
  <c r="AF7" i="4" s="1"/>
  <c r="AG7" i="4" s="1"/>
  <c r="AH7" i="4" s="1"/>
  <c r="AI7" i="4" s="1"/>
  <c r="AJ7" i="4" s="1"/>
  <c r="AK7" i="4" s="1"/>
  <c r="AL7" i="4" s="1"/>
  <c r="AM7" i="4" s="1"/>
  <c r="AN7" i="4" s="1"/>
  <c r="AB231" i="15"/>
  <c r="AB249" i="15" s="1"/>
  <c r="AC68" i="8"/>
  <c r="Y52" i="15"/>
  <c r="Z52" i="2"/>
  <c r="Z53" i="2" s="1"/>
  <c r="L36" i="10"/>
  <c r="Y188" i="15"/>
  <c r="Y193" i="15" s="1"/>
  <c r="AG196" i="15"/>
  <c r="AH196" i="2"/>
  <c r="AH129" i="15"/>
  <c r="AD64" i="8"/>
  <c r="AC40" i="8"/>
  <c r="AB42" i="8"/>
  <c r="AD52" i="4"/>
  <c r="Y53" i="15"/>
  <c r="P7" i="15"/>
  <c r="P222" i="15"/>
  <c r="Z45" i="15"/>
  <c r="Z188" i="2"/>
  <c r="Z193" i="2" s="1"/>
  <c r="AA19" i="15"/>
  <c r="AA20" i="15" s="1"/>
  <c r="AA52" i="2"/>
  <c r="AA53" i="2" s="1"/>
  <c r="R223" i="15"/>
  <c r="R224" i="15"/>
  <c r="AB252" i="15"/>
  <c r="AB253" i="15"/>
  <c r="AC4" i="15"/>
  <c r="AB2" i="15"/>
  <c r="AC71" i="8"/>
  <c r="AD71" i="8" s="1"/>
  <c r="L4" i="10"/>
  <c r="M5" i="10"/>
  <c r="BB202" i="15" l="1"/>
  <c r="BB85" i="15"/>
  <c r="BB200" i="15"/>
  <c r="BC129" i="15"/>
  <c r="BC107" i="15"/>
  <c r="BC201" i="2"/>
  <c r="BC131" i="15"/>
  <c r="BC198" i="2"/>
  <c r="BC135" i="15"/>
  <c r="BC198" i="15" s="1"/>
  <c r="BC69" i="15"/>
  <c r="BC199" i="2"/>
  <c r="BC109" i="15"/>
  <c r="BC204" i="2"/>
  <c r="BC76" i="15"/>
  <c r="BC85" i="2"/>
  <c r="BC95" i="15"/>
  <c r="BC126" i="15"/>
  <c r="BC105" i="15"/>
  <c r="BC84" i="15"/>
  <c r="BC68" i="15"/>
  <c r="BC197" i="2"/>
  <c r="BC80" i="15"/>
  <c r="BB99" i="15"/>
  <c r="BB208" i="15"/>
  <c r="BB199" i="15"/>
  <c r="BB113" i="15"/>
  <c r="BC85" i="4"/>
  <c r="BC81" i="15"/>
  <c r="BC137" i="15"/>
  <c r="BC203" i="2"/>
  <c r="BC93" i="15"/>
  <c r="BC202" i="2"/>
  <c r="BC99" i="2"/>
  <c r="BC98" i="15"/>
  <c r="BC104" i="15"/>
  <c r="BC134" i="15"/>
  <c r="BC136" i="15"/>
  <c r="BC111" i="15"/>
  <c r="BC159" i="15"/>
  <c r="BC79" i="15"/>
  <c r="BC83" i="15"/>
  <c r="BD126" i="2"/>
  <c r="BD103" i="2"/>
  <c r="BD82" i="2"/>
  <c r="BD59" i="2"/>
  <c r="BD112" i="2"/>
  <c r="BD80" i="2"/>
  <c r="BD132" i="2"/>
  <c r="BD134" i="2"/>
  <c r="BD84" i="2"/>
  <c r="BD138" i="2"/>
  <c r="BD131" i="2"/>
  <c r="BD76" i="2"/>
  <c r="BD81" i="2"/>
  <c r="BD111" i="2"/>
  <c r="BD73" i="2"/>
  <c r="BD125" i="2"/>
  <c r="BD136" i="2"/>
  <c r="BD102" i="2"/>
  <c r="BD109" i="2"/>
  <c r="BD104" i="2"/>
  <c r="BD93" i="2"/>
  <c r="BD107" i="2"/>
  <c r="BD95" i="2"/>
  <c r="BD133" i="2"/>
  <c r="BD71" i="2"/>
  <c r="BD68" i="2"/>
  <c r="BD83" i="2"/>
  <c r="BD135" i="2"/>
  <c r="BD70" i="2"/>
  <c r="BD121" i="2"/>
  <c r="BD137" i="2"/>
  <c r="BD122" i="2"/>
  <c r="BD128" i="2"/>
  <c r="BD79" i="2"/>
  <c r="BD94" i="2"/>
  <c r="BD98" i="2"/>
  <c r="BD159" i="2"/>
  <c r="BD101" i="2"/>
  <c r="BD69" i="2"/>
  <c r="BD77" i="2"/>
  <c r="BD108" i="2"/>
  <c r="BD105" i="2"/>
  <c r="BD72" i="2"/>
  <c r="BD78" i="2"/>
  <c r="BD110" i="2"/>
  <c r="BD71" i="4"/>
  <c r="BD81" i="4"/>
  <c r="BD107" i="4"/>
  <c r="BD108" i="4"/>
  <c r="BD125" i="4"/>
  <c r="BD69" i="4"/>
  <c r="BD95" i="4"/>
  <c r="BD122" i="4"/>
  <c r="BD126" i="4"/>
  <c r="BD110" i="4"/>
  <c r="BD136" i="4"/>
  <c r="BD133" i="4"/>
  <c r="BD112" i="4"/>
  <c r="BD83" i="4"/>
  <c r="BD105" i="4"/>
  <c r="BD127" i="4"/>
  <c r="BD101" i="4"/>
  <c r="BD138" i="4"/>
  <c r="BD68" i="4"/>
  <c r="BD109" i="4"/>
  <c r="BD159" i="4"/>
  <c r="BD59" i="4"/>
  <c r="BD79" i="4"/>
  <c r="BD84" i="4"/>
  <c r="BD134" i="4"/>
  <c r="BD135" i="4"/>
  <c r="BD76" i="4"/>
  <c r="BD132" i="4"/>
  <c r="BD104" i="4"/>
  <c r="BD93" i="4"/>
  <c r="BD70" i="4"/>
  <c r="BD131" i="4"/>
  <c r="BD80" i="4"/>
  <c r="BD72" i="4"/>
  <c r="BD73" i="4"/>
  <c r="BD98" i="4"/>
  <c r="BD103" i="4"/>
  <c r="BD77" i="4"/>
  <c r="BD82" i="4"/>
  <c r="BD137" i="4"/>
  <c r="BD129" i="4"/>
  <c r="BD78" i="4"/>
  <c r="BD128" i="4"/>
  <c r="BD111" i="4"/>
  <c r="BD94" i="4"/>
  <c r="BD102" i="4"/>
  <c r="BD121" i="4"/>
  <c r="BC78" i="15"/>
  <c r="BC82" i="15"/>
  <c r="BC138" i="15"/>
  <c r="BC128" i="15"/>
  <c r="BC59" i="15"/>
  <c r="BC77" i="15"/>
  <c r="BC113" i="2"/>
  <c r="BC101" i="15"/>
  <c r="BC72" i="15"/>
  <c r="BC132" i="15"/>
  <c r="BC106" i="15"/>
  <c r="BC94" i="15"/>
  <c r="BC125" i="15"/>
  <c r="BB203" i="15"/>
  <c r="BB197" i="15"/>
  <c r="BC99" i="4"/>
  <c r="BC113" i="4"/>
  <c r="BC70" i="15"/>
  <c r="BC121" i="15"/>
  <c r="BC102" i="15"/>
  <c r="BC133" i="15"/>
  <c r="BC73" i="15"/>
  <c r="BC122" i="15"/>
  <c r="BC127" i="15"/>
  <c r="BC71" i="15"/>
  <c r="BC200" i="2"/>
  <c r="BC208" i="2"/>
  <c r="BC110" i="15"/>
  <c r="BC103" i="15"/>
  <c r="BC108" i="15"/>
  <c r="BC112" i="15"/>
  <c r="BB201" i="15"/>
  <c r="AD53" i="4"/>
  <c r="AO7" i="4"/>
  <c r="AO7" i="15" s="1"/>
  <c r="AD68" i="8"/>
  <c r="Z52" i="15"/>
  <c r="M36" i="10"/>
  <c r="Z188" i="15"/>
  <c r="Z193" i="15" s="1"/>
  <c r="AH196" i="15"/>
  <c r="AI196" i="2"/>
  <c r="AI129" i="15"/>
  <c r="AE64" i="8"/>
  <c r="AC42" i="8"/>
  <c r="AD40" i="8"/>
  <c r="AE52" i="4"/>
  <c r="AE53" i="4" s="1"/>
  <c r="Z53" i="15"/>
  <c r="AA52" i="15"/>
  <c r="Q7" i="15"/>
  <c r="AA45" i="15"/>
  <c r="AA188" i="2"/>
  <c r="AA193" i="2" s="1"/>
  <c r="AB19" i="15"/>
  <c r="AB20" i="15" s="1"/>
  <c r="Q222" i="15"/>
  <c r="S223" i="15"/>
  <c r="S224" i="15"/>
  <c r="AC253" i="15"/>
  <c r="AC252" i="15"/>
  <c r="AC2" i="15"/>
  <c r="AD4" i="15"/>
  <c r="M4" i="10"/>
  <c r="N5" i="10"/>
  <c r="A2" i="10"/>
  <c r="A1" i="10"/>
  <c r="BC200" i="15" l="1"/>
  <c r="BD99" i="4"/>
  <c r="BD106" i="15"/>
  <c r="BD77" i="15"/>
  <c r="BD99" i="2"/>
  <c r="BD98" i="15"/>
  <c r="BD122" i="15"/>
  <c r="BD198" i="2"/>
  <c r="BD135" i="15"/>
  <c r="BD133" i="15"/>
  <c r="BD104" i="15"/>
  <c r="BD125" i="15"/>
  <c r="BD204" i="2"/>
  <c r="BD76" i="15"/>
  <c r="BD85" i="2"/>
  <c r="BD84" i="15"/>
  <c r="BD112" i="15"/>
  <c r="BD126" i="15"/>
  <c r="BC202" i="15"/>
  <c r="BD85" i="4"/>
  <c r="BE82" i="4"/>
  <c r="BE69" i="4"/>
  <c r="BE95" i="4"/>
  <c r="BE101" i="4"/>
  <c r="BE59" i="4"/>
  <c r="BE111" i="4"/>
  <c r="BE108" i="4"/>
  <c r="BE112" i="4"/>
  <c r="BE128" i="4"/>
  <c r="BE78" i="4"/>
  <c r="BE84" i="4"/>
  <c r="BE83" i="4"/>
  <c r="BE125" i="4"/>
  <c r="BE127" i="4"/>
  <c r="BE109" i="4"/>
  <c r="BE122" i="4"/>
  <c r="BE121" i="4"/>
  <c r="BE70" i="4"/>
  <c r="BE98" i="4"/>
  <c r="BE103" i="4"/>
  <c r="BE93" i="4"/>
  <c r="BE129" i="4"/>
  <c r="BE135" i="4"/>
  <c r="BE68" i="4"/>
  <c r="BE131" i="4"/>
  <c r="BE80" i="4"/>
  <c r="BE94" i="4"/>
  <c r="BE73" i="4"/>
  <c r="BE133" i="4"/>
  <c r="BE104" i="4"/>
  <c r="BE102" i="4"/>
  <c r="BE72" i="4"/>
  <c r="BE77" i="4"/>
  <c r="BE159" i="4"/>
  <c r="BE105" i="4"/>
  <c r="BE76" i="4"/>
  <c r="BE81" i="4"/>
  <c r="BE136" i="4"/>
  <c r="BE110" i="4"/>
  <c r="BE137" i="4"/>
  <c r="BE71" i="4"/>
  <c r="BE107" i="4"/>
  <c r="BE79" i="4"/>
  <c r="BE126" i="4"/>
  <c r="BE132" i="4"/>
  <c r="BE138" i="4"/>
  <c r="BE134" i="4"/>
  <c r="BD200" i="2"/>
  <c r="BD72" i="15"/>
  <c r="BD69" i="15"/>
  <c r="BD94" i="15"/>
  <c r="BD137" i="15"/>
  <c r="BD83" i="15"/>
  <c r="BD95" i="15"/>
  <c r="BD109" i="15"/>
  <c r="BD73" i="15"/>
  <c r="BD202" i="2"/>
  <c r="BD131" i="15"/>
  <c r="BD201" i="2"/>
  <c r="BD134" i="15"/>
  <c r="BD59" i="15"/>
  <c r="BE108" i="2"/>
  <c r="BE121" i="2"/>
  <c r="BE133" i="2"/>
  <c r="BE68" i="2"/>
  <c r="BE126" i="2"/>
  <c r="BE82" i="2"/>
  <c r="BE81" i="2"/>
  <c r="BE72" i="2"/>
  <c r="BE138" i="2"/>
  <c r="BE84" i="2"/>
  <c r="BE107" i="2"/>
  <c r="BE70" i="2"/>
  <c r="BE76" i="2"/>
  <c r="BE110" i="2"/>
  <c r="BE111" i="2"/>
  <c r="BE132" i="2"/>
  <c r="BE71" i="2"/>
  <c r="BE102" i="2"/>
  <c r="BE122" i="2"/>
  <c r="BE135" i="2"/>
  <c r="BE59" i="2"/>
  <c r="BE137" i="2"/>
  <c r="BE136" i="2"/>
  <c r="BE93" i="2"/>
  <c r="BE159" i="2"/>
  <c r="BE77" i="2"/>
  <c r="BE131" i="2"/>
  <c r="BE69" i="2"/>
  <c r="BE112" i="2"/>
  <c r="BE134" i="2"/>
  <c r="BE80" i="2"/>
  <c r="BE79" i="2"/>
  <c r="BE104" i="2"/>
  <c r="BE125" i="2"/>
  <c r="BE103" i="2"/>
  <c r="BE94" i="2"/>
  <c r="BE128" i="2"/>
  <c r="BE83" i="2"/>
  <c r="BE95" i="2"/>
  <c r="BE98" i="2"/>
  <c r="BE101" i="2"/>
  <c r="BE109" i="2"/>
  <c r="BE105" i="2"/>
  <c r="BE73" i="2"/>
  <c r="BE78" i="2"/>
  <c r="BC197" i="15"/>
  <c r="BC85" i="15"/>
  <c r="BC201" i="15"/>
  <c r="BC218" i="15"/>
  <c r="BC113" i="15"/>
  <c r="BD208" i="2"/>
  <c r="BD110" i="15"/>
  <c r="BD105" i="15"/>
  <c r="BD101" i="15"/>
  <c r="BD113" i="2"/>
  <c r="BD79" i="15"/>
  <c r="BD121" i="15"/>
  <c r="BD197" i="2"/>
  <c r="BD68" i="15"/>
  <c r="BD107" i="15"/>
  <c r="BD102" i="15"/>
  <c r="BD111" i="15"/>
  <c r="BD138" i="15"/>
  <c r="BD132" i="15"/>
  <c r="BD82" i="15"/>
  <c r="BC204" i="15"/>
  <c r="BC196" i="15"/>
  <c r="BC208" i="15"/>
  <c r="BD129" i="15"/>
  <c r="BD196" i="15" s="1"/>
  <c r="BD113" i="4"/>
  <c r="BD78" i="15"/>
  <c r="BD108" i="15"/>
  <c r="BD159" i="15"/>
  <c r="BD128" i="15"/>
  <c r="BD70" i="15"/>
  <c r="BD71" i="15"/>
  <c r="BD203" i="2"/>
  <c r="BD93" i="15"/>
  <c r="BD136" i="15"/>
  <c r="BD81" i="15"/>
  <c r="BD127" i="15"/>
  <c r="BD199" i="2"/>
  <c r="BD80" i="15"/>
  <c r="BD103" i="15"/>
  <c r="BC99" i="15"/>
  <c r="BC203" i="15"/>
  <c r="BC199" i="15"/>
  <c r="AP7" i="4"/>
  <c r="AQ7" i="4" s="1"/>
  <c r="AE68" i="8"/>
  <c r="N4" i="10"/>
  <c r="N36" i="10"/>
  <c r="AB52" i="2"/>
  <c r="AB53" i="2" s="1"/>
  <c r="AA188" i="15"/>
  <c r="AA193" i="15" s="1"/>
  <c r="AI196" i="15"/>
  <c r="AJ129" i="15"/>
  <c r="AJ196" i="2"/>
  <c r="AF64" i="8"/>
  <c r="AE40" i="8"/>
  <c r="AD42" i="8"/>
  <c r="AF52" i="4"/>
  <c r="AF53" i="4" s="1"/>
  <c r="AA53" i="15"/>
  <c r="R7" i="15"/>
  <c r="AB45" i="15"/>
  <c r="AB188" i="2"/>
  <c r="AB193" i="2" s="1"/>
  <c r="R222" i="15"/>
  <c r="AC19" i="15"/>
  <c r="T223" i="15"/>
  <c r="T224" i="15"/>
  <c r="AD253" i="15"/>
  <c r="AD252" i="15"/>
  <c r="AE4" i="15"/>
  <c r="AD2" i="15"/>
  <c r="AE71" i="8"/>
  <c r="O5" i="10"/>
  <c r="L5" i="8"/>
  <c r="AC20" i="15" l="1"/>
  <c r="BD204" i="15"/>
  <c r="BD199" i="15"/>
  <c r="BD208" i="15"/>
  <c r="BE202" i="2"/>
  <c r="BE73" i="15"/>
  <c r="BE106" i="15"/>
  <c r="BE128" i="15"/>
  <c r="BE104" i="15"/>
  <c r="BE112" i="15"/>
  <c r="BE159" i="15"/>
  <c r="BE59" i="15"/>
  <c r="BE71" i="15"/>
  <c r="BE200" i="2"/>
  <c r="BE204" i="2"/>
  <c r="BE76" i="15"/>
  <c r="BE85" i="2"/>
  <c r="BE138" i="15"/>
  <c r="BE126" i="15"/>
  <c r="BE108" i="15"/>
  <c r="BD201" i="15"/>
  <c r="BD218" i="15"/>
  <c r="CI218" i="15" s="1"/>
  <c r="BE129" i="15"/>
  <c r="BD85" i="15"/>
  <c r="BE78" i="15"/>
  <c r="BE109" i="15"/>
  <c r="BE95" i="15"/>
  <c r="BE103" i="15"/>
  <c r="BE80" i="15"/>
  <c r="BE131" i="15"/>
  <c r="BE201" i="2"/>
  <c r="BE136" i="15"/>
  <c r="BE122" i="15"/>
  <c r="BE113" i="2"/>
  <c r="BE111" i="15"/>
  <c r="BE107" i="15"/>
  <c r="BE81" i="15"/>
  <c r="BE133" i="15"/>
  <c r="BD203" i="15"/>
  <c r="BD200" i="15"/>
  <c r="BE105" i="15"/>
  <c r="BE98" i="15"/>
  <c r="BE99" i="2"/>
  <c r="BE94" i="15"/>
  <c r="BE79" i="15"/>
  <c r="BE69" i="15"/>
  <c r="BE199" i="2"/>
  <c r="BE93" i="15"/>
  <c r="BE203" i="2"/>
  <c r="BE198" i="2"/>
  <c r="BE135" i="15"/>
  <c r="BE198" i="15" s="1"/>
  <c r="BE132" i="15"/>
  <c r="BE70" i="15"/>
  <c r="BE72" i="15"/>
  <c r="BE68" i="15"/>
  <c r="BE197" i="2"/>
  <c r="BF79" i="2"/>
  <c r="BF77" i="2"/>
  <c r="BF108" i="2"/>
  <c r="BF131" i="2"/>
  <c r="BF107" i="2"/>
  <c r="BF80" i="2"/>
  <c r="BF110" i="2"/>
  <c r="BF135" i="2"/>
  <c r="BF111" i="2"/>
  <c r="BF112" i="2"/>
  <c r="BF104" i="2"/>
  <c r="BF121" i="2"/>
  <c r="BF137" i="2"/>
  <c r="BF133" i="2"/>
  <c r="BF109" i="2"/>
  <c r="BF98" i="2"/>
  <c r="BF132" i="2"/>
  <c r="BF122" i="2"/>
  <c r="BF84" i="2"/>
  <c r="BF81" i="2"/>
  <c r="BF136" i="2"/>
  <c r="BF93" i="2"/>
  <c r="BF138" i="2"/>
  <c r="BF125" i="2"/>
  <c r="BF126" i="2"/>
  <c r="BF73" i="2"/>
  <c r="BF59" i="2"/>
  <c r="BF71" i="2"/>
  <c r="BF128" i="2"/>
  <c r="BF68" i="2"/>
  <c r="BF83" i="2"/>
  <c r="BF102" i="2"/>
  <c r="BF78" i="2"/>
  <c r="BF101" i="2"/>
  <c r="BF94" i="2"/>
  <c r="BF76" i="2"/>
  <c r="BF82" i="2"/>
  <c r="BF105" i="2"/>
  <c r="BF134" i="2"/>
  <c r="BF72" i="2"/>
  <c r="BF69" i="2"/>
  <c r="BF103" i="2"/>
  <c r="BF70" i="2"/>
  <c r="BF95" i="2"/>
  <c r="BF159" i="2"/>
  <c r="BE85" i="4"/>
  <c r="BE113" i="4"/>
  <c r="BF98" i="4"/>
  <c r="BF159" i="4"/>
  <c r="BF108" i="4"/>
  <c r="BF132" i="4"/>
  <c r="BF109" i="4"/>
  <c r="BF126" i="4"/>
  <c r="BF127" i="4"/>
  <c r="BF125" i="4"/>
  <c r="BF133" i="4"/>
  <c r="BF102" i="4"/>
  <c r="BF105" i="4"/>
  <c r="BF137" i="4"/>
  <c r="BF110" i="4"/>
  <c r="BF112" i="4"/>
  <c r="BF71" i="4"/>
  <c r="BF93" i="4"/>
  <c r="BF122" i="4"/>
  <c r="BF107" i="4"/>
  <c r="BF134" i="4"/>
  <c r="BF131" i="4"/>
  <c r="BF129" i="4"/>
  <c r="BF94" i="4"/>
  <c r="BF121" i="4"/>
  <c r="BF69" i="4"/>
  <c r="BF76" i="4"/>
  <c r="BF82" i="4"/>
  <c r="BF104" i="4"/>
  <c r="BF59" i="4"/>
  <c r="BF83" i="4"/>
  <c r="BF111" i="4"/>
  <c r="BF136" i="4"/>
  <c r="BF101" i="4"/>
  <c r="BF77" i="4"/>
  <c r="BF128" i="4"/>
  <c r="BF70" i="4"/>
  <c r="BF78" i="4"/>
  <c r="BF135" i="4"/>
  <c r="BF79" i="4"/>
  <c r="BF103" i="4"/>
  <c r="BF80" i="4"/>
  <c r="BF84" i="4"/>
  <c r="BF81" i="4"/>
  <c r="BF73" i="4"/>
  <c r="BF95" i="4"/>
  <c r="BF138" i="4"/>
  <c r="BF68" i="4"/>
  <c r="BF72" i="4"/>
  <c r="BD197" i="15"/>
  <c r="BD113" i="15"/>
  <c r="BE127" i="15"/>
  <c r="BE101" i="15"/>
  <c r="BE83" i="15"/>
  <c r="BE125" i="15"/>
  <c r="BE134" i="15"/>
  <c r="BE77" i="15"/>
  <c r="BE137" i="15"/>
  <c r="BE102" i="15"/>
  <c r="BE110" i="15"/>
  <c r="BE208" i="2"/>
  <c r="BE84" i="15"/>
  <c r="BE82" i="15"/>
  <c r="BE121" i="15"/>
  <c r="BD202" i="15"/>
  <c r="BE99" i="4"/>
  <c r="BD198" i="15"/>
  <c r="BD99" i="15"/>
  <c r="AP7" i="15"/>
  <c r="AR7" i="4"/>
  <c r="AQ7" i="15"/>
  <c r="AF68" i="8"/>
  <c r="P5" i="10"/>
  <c r="P36" i="10" s="1"/>
  <c r="O36" i="10"/>
  <c r="AB52" i="15"/>
  <c r="AC18" i="8"/>
  <c r="AJ196" i="15"/>
  <c r="AK129" i="15"/>
  <c r="AK196" i="2"/>
  <c r="AG64" i="8"/>
  <c r="AF40" i="8"/>
  <c r="AE42" i="8"/>
  <c r="AG52" i="4"/>
  <c r="AG53" i="4" s="1"/>
  <c r="AB53" i="15"/>
  <c r="S7" i="15"/>
  <c r="S222" i="15"/>
  <c r="AC45" i="15"/>
  <c r="AC188" i="2"/>
  <c r="AD19" i="15"/>
  <c r="AD20" i="15" s="1"/>
  <c r="AB188" i="15"/>
  <c r="U223" i="15"/>
  <c r="U224" i="15"/>
  <c r="AE253" i="15"/>
  <c r="AE252" i="15"/>
  <c r="AF4" i="15"/>
  <c r="AE2" i="15"/>
  <c r="AF71" i="8"/>
  <c r="O4" i="10"/>
  <c r="L88" i="8"/>
  <c r="L89" i="8"/>
  <c r="L4" i="8"/>
  <c r="M5" i="8"/>
  <c r="A19" i="9"/>
  <c r="A17" i="9"/>
  <c r="E2" i="4"/>
  <c r="E2" i="2"/>
  <c r="Q5" i="10" l="1"/>
  <c r="Q4" i="10" s="1"/>
  <c r="P37" i="10"/>
  <c r="P4" i="10"/>
  <c r="BE85" i="15"/>
  <c r="BF85" i="4"/>
  <c r="BF113" i="2"/>
  <c r="BF103" i="15"/>
  <c r="BF94" i="15"/>
  <c r="BF59" i="15"/>
  <c r="BF81" i="15"/>
  <c r="BF121" i="15"/>
  <c r="BF201" i="2"/>
  <c r="BF131" i="15"/>
  <c r="BG138" i="2"/>
  <c r="BG94" i="2"/>
  <c r="BG104" i="2"/>
  <c r="BG128" i="2"/>
  <c r="BG110" i="2"/>
  <c r="BG102" i="2"/>
  <c r="BG84" i="2"/>
  <c r="BG134" i="2"/>
  <c r="BG93" i="2"/>
  <c r="BG79" i="2"/>
  <c r="BG107" i="2"/>
  <c r="BG109" i="2"/>
  <c r="BG71" i="2"/>
  <c r="BG121" i="2"/>
  <c r="BG137" i="2"/>
  <c r="BG103" i="2"/>
  <c r="BG80" i="2"/>
  <c r="BG132" i="2"/>
  <c r="BG126" i="2"/>
  <c r="BG83" i="2"/>
  <c r="BG122" i="2"/>
  <c r="BG82" i="2"/>
  <c r="BG111" i="2"/>
  <c r="BG133" i="2"/>
  <c r="BG70" i="2"/>
  <c r="BG136" i="2"/>
  <c r="BG77" i="2"/>
  <c r="BG68" i="2"/>
  <c r="BG108" i="2"/>
  <c r="BG131" i="2"/>
  <c r="BG112" i="2"/>
  <c r="BG125" i="2"/>
  <c r="BG73" i="2"/>
  <c r="BG78" i="2"/>
  <c r="BG72" i="2"/>
  <c r="BG76" i="2"/>
  <c r="BG59" i="2"/>
  <c r="BG95" i="2"/>
  <c r="BG101" i="2"/>
  <c r="BG159" i="2"/>
  <c r="BG69" i="2"/>
  <c r="BG98" i="2"/>
  <c r="BG135" i="2"/>
  <c r="BG81" i="2"/>
  <c r="BG105" i="2"/>
  <c r="BE113" i="15"/>
  <c r="BE196" i="15"/>
  <c r="BF113" i="4"/>
  <c r="BG84" i="4"/>
  <c r="BG69" i="4"/>
  <c r="BG110" i="4"/>
  <c r="BG137" i="4"/>
  <c r="BG95" i="4"/>
  <c r="BG81" i="4"/>
  <c r="BG129" i="4"/>
  <c r="BG70" i="4"/>
  <c r="BG94" i="4"/>
  <c r="BG79" i="4"/>
  <c r="BG134" i="4"/>
  <c r="BG108" i="4"/>
  <c r="BG71" i="4"/>
  <c r="BG98" i="4"/>
  <c r="BG121" i="4"/>
  <c r="BG128" i="4"/>
  <c r="BG112" i="4"/>
  <c r="BG127" i="4"/>
  <c r="BG59" i="4"/>
  <c r="BG101" i="4"/>
  <c r="BG83" i="4"/>
  <c r="BG82" i="4"/>
  <c r="BG125" i="4"/>
  <c r="BG132" i="4"/>
  <c r="BG77" i="4"/>
  <c r="BG109" i="4"/>
  <c r="BG80" i="4"/>
  <c r="BG107" i="4"/>
  <c r="BG103" i="4"/>
  <c r="BG111" i="4"/>
  <c r="BG131" i="4"/>
  <c r="BG72" i="4"/>
  <c r="BG138" i="4"/>
  <c r="BG76" i="4"/>
  <c r="BG68" i="4"/>
  <c r="BG135" i="4"/>
  <c r="BG159" i="4"/>
  <c r="BG73" i="4"/>
  <c r="BG93" i="4"/>
  <c r="BG133" i="4"/>
  <c r="BG102" i="4"/>
  <c r="BG126" i="4"/>
  <c r="BG78" i="4"/>
  <c r="BG136" i="4"/>
  <c r="BG104" i="4"/>
  <c r="BG122" i="4"/>
  <c r="BG105" i="4"/>
  <c r="BF159" i="15"/>
  <c r="BF127" i="15"/>
  <c r="BF105" i="15"/>
  <c r="BF101" i="15"/>
  <c r="BF68" i="15"/>
  <c r="BF197" i="2"/>
  <c r="BF202" i="2"/>
  <c r="BF73" i="15"/>
  <c r="BF106" i="15"/>
  <c r="BF84" i="15"/>
  <c r="BF109" i="15"/>
  <c r="BF104" i="15"/>
  <c r="BF110" i="15"/>
  <c r="BF108" i="15"/>
  <c r="BE199" i="15"/>
  <c r="BE202" i="15"/>
  <c r="BF134" i="15"/>
  <c r="BF83" i="15"/>
  <c r="BF138" i="15"/>
  <c r="BF99" i="2"/>
  <c r="BF98" i="15"/>
  <c r="BF135" i="15"/>
  <c r="BF198" i="2"/>
  <c r="BE208" i="15"/>
  <c r="BE197" i="15"/>
  <c r="BF95" i="15"/>
  <c r="BF69" i="15"/>
  <c r="BF199" i="2"/>
  <c r="BF82" i="15"/>
  <c r="BF78" i="15"/>
  <c r="BF128" i="15"/>
  <c r="BF126" i="15"/>
  <c r="BF203" i="2"/>
  <c r="BF93" i="15"/>
  <c r="BF122" i="15"/>
  <c r="BF133" i="15"/>
  <c r="BF112" i="15"/>
  <c r="BF80" i="15"/>
  <c r="BF77" i="15"/>
  <c r="BE203" i="15"/>
  <c r="BE204" i="15"/>
  <c r="BE200" i="15"/>
  <c r="BF129" i="15"/>
  <c r="BF196" i="15" s="1"/>
  <c r="BF99" i="4"/>
  <c r="BE201" i="15"/>
  <c r="BF70" i="15"/>
  <c r="BF72" i="15"/>
  <c r="BF76" i="15"/>
  <c r="BF85" i="2"/>
  <c r="BF204" i="2"/>
  <c r="BF102" i="15"/>
  <c r="BF200" i="2"/>
  <c r="BF71" i="15"/>
  <c r="BF125" i="15"/>
  <c r="BF136" i="15"/>
  <c r="BF132" i="15"/>
  <c r="BF137" i="15"/>
  <c r="BF208" i="2"/>
  <c r="BF111" i="15"/>
  <c r="BF107" i="15"/>
  <c r="BF79" i="15"/>
  <c r="BE99" i="15"/>
  <c r="AR7" i="15"/>
  <c r="AS7" i="4"/>
  <c r="AG68" i="8"/>
  <c r="AK196" i="15"/>
  <c r="AL196" i="2"/>
  <c r="AL129" i="15"/>
  <c r="AH64" i="8"/>
  <c r="AG40" i="8"/>
  <c r="AF42" i="8"/>
  <c r="AH52" i="4"/>
  <c r="AH53" i="4" s="1"/>
  <c r="AD52" i="2"/>
  <c r="AD53" i="2" s="1"/>
  <c r="T7" i="15"/>
  <c r="AE19" i="15"/>
  <c r="AE20" i="15" s="1"/>
  <c r="AB193" i="15"/>
  <c r="T222" i="15"/>
  <c r="AD45" i="15"/>
  <c r="AD188" i="2"/>
  <c r="AD193" i="2" s="1"/>
  <c r="AC188" i="15"/>
  <c r="V224" i="15"/>
  <c r="V223" i="15"/>
  <c r="AF252" i="15"/>
  <c r="AF253" i="15"/>
  <c r="AG4" i="15"/>
  <c r="AF2" i="15"/>
  <c r="AG71" i="8"/>
  <c r="M89" i="8"/>
  <c r="M88" i="8"/>
  <c r="N5" i="8"/>
  <c r="M4" i="8"/>
  <c r="Q36" i="10" l="1"/>
  <c r="R5" i="10"/>
  <c r="R37" i="10" s="1"/>
  <c r="Q37" i="10"/>
  <c r="BF85" i="15"/>
  <c r="BF208" i="15"/>
  <c r="BF204" i="15"/>
  <c r="BG113" i="4"/>
  <c r="BG81" i="15"/>
  <c r="BG208" i="2"/>
  <c r="BG159" i="15"/>
  <c r="BG59" i="15"/>
  <c r="BG202" i="2"/>
  <c r="BG73" i="15"/>
  <c r="BG108" i="15"/>
  <c r="BG70" i="15"/>
  <c r="BG122" i="15"/>
  <c r="BG132" i="15"/>
  <c r="BG121" i="15"/>
  <c r="BG79" i="15"/>
  <c r="BG102" i="15"/>
  <c r="BG94" i="15"/>
  <c r="BF201" i="15"/>
  <c r="BF113" i="15"/>
  <c r="BF202" i="15"/>
  <c r="BH98" i="4"/>
  <c r="BH109" i="4"/>
  <c r="BH131" i="4"/>
  <c r="BH78" i="4"/>
  <c r="BH112" i="4"/>
  <c r="BH134" i="4"/>
  <c r="BH93" i="4"/>
  <c r="BH110" i="4"/>
  <c r="BH127" i="4"/>
  <c r="BH80" i="4"/>
  <c r="BH70" i="4"/>
  <c r="BH95" i="4"/>
  <c r="BH105" i="4"/>
  <c r="BH68" i="4"/>
  <c r="BH138" i="4"/>
  <c r="BH126" i="4"/>
  <c r="BH107" i="4"/>
  <c r="BH133" i="4"/>
  <c r="BH69" i="4"/>
  <c r="BH72" i="4"/>
  <c r="BH94" i="4"/>
  <c r="BH59" i="4"/>
  <c r="BH101" i="4"/>
  <c r="BH73" i="4"/>
  <c r="BH159" i="4"/>
  <c r="BH79" i="4"/>
  <c r="BH81" i="4"/>
  <c r="BH137" i="4"/>
  <c r="BH82" i="4"/>
  <c r="BH104" i="4"/>
  <c r="BH135" i="4"/>
  <c r="BH128" i="4"/>
  <c r="BH122" i="4"/>
  <c r="BH76" i="4"/>
  <c r="BH103" i="4"/>
  <c r="BH129" i="4"/>
  <c r="BH136" i="4"/>
  <c r="BH77" i="4"/>
  <c r="BH102" i="4"/>
  <c r="BH71" i="4"/>
  <c r="BH84" i="4"/>
  <c r="BH83" i="4"/>
  <c r="BH121" i="4"/>
  <c r="BH125" i="4"/>
  <c r="BH132" i="4"/>
  <c r="BH111" i="4"/>
  <c r="BH108" i="4"/>
  <c r="BG198" i="2"/>
  <c r="BG135" i="15"/>
  <c r="BG198" i="15" s="1"/>
  <c r="BG106" i="15"/>
  <c r="BG204" i="2"/>
  <c r="BG76" i="15"/>
  <c r="BG85" i="2"/>
  <c r="BG125" i="15"/>
  <c r="BG68" i="15"/>
  <c r="BG133" i="15"/>
  <c r="BG127" i="15"/>
  <c r="BG199" i="2"/>
  <c r="BG80" i="15"/>
  <c r="BG71" i="15"/>
  <c r="BG200" i="2"/>
  <c r="BG203" i="2"/>
  <c r="BG93" i="15"/>
  <c r="BG110" i="15"/>
  <c r="BG197" i="2"/>
  <c r="BG138" i="15"/>
  <c r="BF199" i="15"/>
  <c r="BF99" i="15"/>
  <c r="BG85" i="4"/>
  <c r="BG129" i="15"/>
  <c r="BG196" i="15" s="1"/>
  <c r="BG99" i="2"/>
  <c r="BG98" i="15"/>
  <c r="BG113" i="2"/>
  <c r="BG101" i="15"/>
  <c r="BG72" i="15"/>
  <c r="BG112" i="15"/>
  <c r="BG77" i="15"/>
  <c r="BG111" i="15"/>
  <c r="BG83" i="15"/>
  <c r="BG103" i="15"/>
  <c r="BG109" i="15"/>
  <c r="BG134" i="15"/>
  <c r="BG128" i="15"/>
  <c r="BH68" i="2"/>
  <c r="BH136" i="2"/>
  <c r="BH121" i="2"/>
  <c r="BH108" i="2"/>
  <c r="BH80" i="2"/>
  <c r="BH102" i="2"/>
  <c r="BH79" i="2"/>
  <c r="BH132" i="2"/>
  <c r="BH133" i="2"/>
  <c r="BH71" i="2"/>
  <c r="BH103" i="2"/>
  <c r="BH93" i="2"/>
  <c r="BH131" i="2"/>
  <c r="BH59" i="2"/>
  <c r="BH70" i="2"/>
  <c r="BH101" i="2"/>
  <c r="BH82" i="2"/>
  <c r="BH125" i="2"/>
  <c r="BH105" i="2"/>
  <c r="BH110" i="2"/>
  <c r="BH122" i="2"/>
  <c r="BH98" i="2"/>
  <c r="BH138" i="2"/>
  <c r="BH134" i="2"/>
  <c r="BH81" i="2"/>
  <c r="BH73" i="2"/>
  <c r="BH77" i="2"/>
  <c r="BH107" i="2"/>
  <c r="BH135" i="2"/>
  <c r="BH84" i="2"/>
  <c r="BH159" i="2"/>
  <c r="BH137" i="2"/>
  <c r="BH94" i="2"/>
  <c r="BH109" i="2"/>
  <c r="BH126" i="2"/>
  <c r="BH78" i="2"/>
  <c r="BH76" i="2"/>
  <c r="BH69" i="2"/>
  <c r="BH83" i="2"/>
  <c r="BH128" i="2"/>
  <c r="BH95" i="2"/>
  <c r="BH111" i="2"/>
  <c r="BH112" i="2"/>
  <c r="BH72" i="2"/>
  <c r="BH104" i="2"/>
  <c r="BF200" i="15"/>
  <c r="BF203" i="15"/>
  <c r="BF197" i="15"/>
  <c r="BF198" i="15"/>
  <c r="BG99" i="4"/>
  <c r="BG105" i="15"/>
  <c r="BG69" i="15"/>
  <c r="BG95" i="15"/>
  <c r="BG78" i="15"/>
  <c r="BG131" i="15"/>
  <c r="BG201" i="2"/>
  <c r="BG136" i="15"/>
  <c r="BG82" i="15"/>
  <c r="BG126" i="15"/>
  <c r="BG137" i="15"/>
  <c r="BG107" i="15"/>
  <c r="BG84" i="15"/>
  <c r="BG104" i="15"/>
  <c r="AS7" i="15"/>
  <c r="AT7" i="4"/>
  <c r="AH68" i="8"/>
  <c r="AL196" i="15"/>
  <c r="AM196" i="2"/>
  <c r="AM129" i="15"/>
  <c r="AI64" i="8"/>
  <c r="AH40" i="8"/>
  <c r="AG42" i="8"/>
  <c r="AD52" i="15"/>
  <c r="AI52" i="4"/>
  <c r="AI53" i="4" s="1"/>
  <c r="AE52" i="2"/>
  <c r="AD53" i="15"/>
  <c r="U7" i="15"/>
  <c r="AE45" i="15"/>
  <c r="AE188" i="2"/>
  <c r="AE193" i="2" s="1"/>
  <c r="AD188" i="15"/>
  <c r="AD193" i="15" s="1"/>
  <c r="U222" i="15"/>
  <c r="AF19" i="15"/>
  <c r="AF20" i="15" s="1"/>
  <c r="W224" i="15"/>
  <c r="W223" i="15"/>
  <c r="AG253" i="15"/>
  <c r="AG252" i="15"/>
  <c r="AH4" i="15"/>
  <c r="AG2" i="15"/>
  <c r="AH71" i="8"/>
  <c r="N88" i="8"/>
  <c r="N89" i="8"/>
  <c r="N4" i="8"/>
  <c r="O5" i="8"/>
  <c r="S5" i="10" l="1"/>
  <c r="S37" i="10" s="1"/>
  <c r="R4" i="10"/>
  <c r="R36" i="10"/>
  <c r="BG202" i="15"/>
  <c r="BH104" i="15"/>
  <c r="BH95" i="15"/>
  <c r="BH76" i="15"/>
  <c r="BH204" i="2"/>
  <c r="BH85" i="2"/>
  <c r="BH94" i="15"/>
  <c r="BH198" i="2"/>
  <c r="BH135" i="15"/>
  <c r="BH106" i="15"/>
  <c r="BH99" i="2"/>
  <c r="BH98" i="15"/>
  <c r="BH125" i="15"/>
  <c r="BH59" i="15"/>
  <c r="BH71" i="15"/>
  <c r="BH200" i="2"/>
  <c r="BH102" i="15"/>
  <c r="BH121" i="15"/>
  <c r="BG200" i="15"/>
  <c r="BH113" i="4"/>
  <c r="BH72" i="15"/>
  <c r="BH128" i="15"/>
  <c r="BH78" i="15"/>
  <c r="BH137" i="15"/>
  <c r="BH107" i="15"/>
  <c r="BH81" i="15"/>
  <c r="BH122" i="15"/>
  <c r="BH82" i="15"/>
  <c r="BH131" i="15"/>
  <c r="BH133" i="15"/>
  <c r="BH199" i="2"/>
  <c r="BH80" i="15"/>
  <c r="BH136" i="15"/>
  <c r="BG197" i="15"/>
  <c r="BG199" i="15"/>
  <c r="BH85" i="4"/>
  <c r="BH112" i="15"/>
  <c r="BH83" i="15"/>
  <c r="BH126" i="15"/>
  <c r="BH159" i="15"/>
  <c r="BH77" i="15"/>
  <c r="BH134" i="15"/>
  <c r="BH110" i="15"/>
  <c r="BH208" i="2"/>
  <c r="BH101" i="15"/>
  <c r="BH113" i="2"/>
  <c r="BH203" i="2"/>
  <c r="BH93" i="15"/>
  <c r="BH201" i="2"/>
  <c r="BH132" i="15"/>
  <c r="BH108" i="15"/>
  <c r="BH68" i="15"/>
  <c r="BH197" i="2"/>
  <c r="BG99" i="15"/>
  <c r="BG85" i="15"/>
  <c r="BH99" i="4"/>
  <c r="BG208" i="15"/>
  <c r="BH111" i="15"/>
  <c r="BH69" i="15"/>
  <c r="BH109" i="15"/>
  <c r="BH84" i="15"/>
  <c r="BH73" i="15"/>
  <c r="BH202" i="2"/>
  <c r="BH138" i="15"/>
  <c r="BH105" i="15"/>
  <c r="BH70" i="15"/>
  <c r="BH103" i="15"/>
  <c r="BH79" i="15"/>
  <c r="BH127" i="15"/>
  <c r="BI105" i="2"/>
  <c r="BI111" i="2"/>
  <c r="BI133" i="2"/>
  <c r="BI122" i="2"/>
  <c r="BI77" i="2"/>
  <c r="BI134" i="2"/>
  <c r="BI121" i="2"/>
  <c r="BI82" i="2"/>
  <c r="BI104" i="2"/>
  <c r="BI94" i="2"/>
  <c r="BI110" i="2"/>
  <c r="BI93" i="2"/>
  <c r="BI135" i="2"/>
  <c r="BI76" i="2"/>
  <c r="BI98" i="2"/>
  <c r="BI83" i="2"/>
  <c r="BI131" i="2"/>
  <c r="BI84" i="2"/>
  <c r="BI103" i="2"/>
  <c r="BI70" i="2"/>
  <c r="BI128" i="2"/>
  <c r="BI73" i="2"/>
  <c r="BI112" i="2"/>
  <c r="BI80" i="2"/>
  <c r="BI78" i="2"/>
  <c r="BI102" i="2"/>
  <c r="BI107" i="2"/>
  <c r="BI136" i="2"/>
  <c r="BI108" i="2"/>
  <c r="BI72" i="2"/>
  <c r="BI79" i="2"/>
  <c r="BI59" i="2"/>
  <c r="BI138" i="2"/>
  <c r="BI95" i="2"/>
  <c r="BI71" i="2"/>
  <c r="BI132" i="2"/>
  <c r="BI81" i="2"/>
  <c r="BI101" i="2"/>
  <c r="BI126" i="2"/>
  <c r="BI68" i="2"/>
  <c r="BI125" i="2"/>
  <c r="BI109" i="2"/>
  <c r="BI137" i="2"/>
  <c r="BI69" i="2"/>
  <c r="BI159" i="2"/>
  <c r="BG113" i="15"/>
  <c r="BG203" i="15"/>
  <c r="BG204" i="15"/>
  <c r="BH129" i="15"/>
  <c r="BI76" i="4"/>
  <c r="BI59" i="4"/>
  <c r="BI137" i="4"/>
  <c r="BI79" i="4"/>
  <c r="BI104" i="4"/>
  <c r="BI78" i="4"/>
  <c r="BI128" i="4"/>
  <c r="BI135" i="4"/>
  <c r="BI84" i="4"/>
  <c r="BI82" i="4"/>
  <c r="BI134" i="4"/>
  <c r="BI98" i="4"/>
  <c r="BI83" i="4"/>
  <c r="BI101" i="4"/>
  <c r="BI138" i="4"/>
  <c r="BI126" i="4"/>
  <c r="BI68" i="4"/>
  <c r="BI73" i="4"/>
  <c r="BI121" i="4"/>
  <c r="BI133" i="4"/>
  <c r="BI71" i="4"/>
  <c r="BI77" i="4"/>
  <c r="BI131" i="4"/>
  <c r="BI107" i="4"/>
  <c r="BI94" i="4"/>
  <c r="BI105" i="4"/>
  <c r="BI127" i="4"/>
  <c r="BI125" i="4"/>
  <c r="BI111" i="4"/>
  <c r="BI70" i="4"/>
  <c r="BI108" i="4"/>
  <c r="BI69" i="4"/>
  <c r="BI93" i="4"/>
  <c r="BI132" i="4"/>
  <c r="BI109" i="4"/>
  <c r="BI122" i="4"/>
  <c r="BI95" i="4"/>
  <c r="BI72" i="4"/>
  <c r="BI159" i="4"/>
  <c r="BI136" i="4"/>
  <c r="BI110" i="4"/>
  <c r="BI112" i="4"/>
  <c r="BI80" i="4"/>
  <c r="BI81" i="4"/>
  <c r="BI102" i="4"/>
  <c r="BI103" i="4"/>
  <c r="BI129" i="4"/>
  <c r="BG201" i="15"/>
  <c r="AE53" i="2"/>
  <c r="AE53" i="15" s="1"/>
  <c r="AT7" i="15"/>
  <c r="AU7" i="4"/>
  <c r="AI68" i="8"/>
  <c r="AM196" i="15"/>
  <c r="AN129" i="15"/>
  <c r="AN196" i="2"/>
  <c r="AJ64" i="8"/>
  <c r="AI40" i="8"/>
  <c r="AH42" i="8"/>
  <c r="AE52" i="15"/>
  <c r="AF52" i="2"/>
  <c r="AF53" i="2" s="1"/>
  <c r="V7" i="15"/>
  <c r="AE188" i="15"/>
  <c r="AE193" i="15" s="1"/>
  <c r="V222" i="15"/>
  <c r="AG19" i="15"/>
  <c r="AG20" i="15" s="1"/>
  <c r="AF45" i="15"/>
  <c r="AF188" i="2"/>
  <c r="AF193" i="2" s="1"/>
  <c r="X223" i="15"/>
  <c r="X224" i="15"/>
  <c r="AH252" i="15"/>
  <c r="AH253" i="15"/>
  <c r="AI4" i="15"/>
  <c r="AH2" i="15"/>
  <c r="AI71" i="8"/>
  <c r="T5" i="10"/>
  <c r="O88" i="8"/>
  <c r="O89" i="8"/>
  <c r="O4" i="8"/>
  <c r="P5" i="8"/>
  <c r="A1" i="8"/>
  <c r="A2" i="8"/>
  <c r="A2" i="6"/>
  <c r="A1" i="6"/>
  <c r="J73" i="2"/>
  <c r="H107" i="2"/>
  <c r="P208" i="2"/>
  <c r="O208" i="2"/>
  <c r="N208" i="2"/>
  <c r="M208" i="2"/>
  <c r="K208" i="2"/>
  <c r="P206" i="2"/>
  <c r="O206" i="2"/>
  <c r="N206" i="2"/>
  <c r="M206" i="2"/>
  <c r="K206" i="2"/>
  <c r="P204" i="2"/>
  <c r="O204" i="2"/>
  <c r="N204" i="2"/>
  <c r="M204" i="2"/>
  <c r="K204" i="2"/>
  <c r="K203" i="2"/>
  <c r="K202" i="2"/>
  <c r="P201" i="2"/>
  <c r="O201" i="2"/>
  <c r="N201" i="2"/>
  <c r="M201" i="2"/>
  <c r="K201" i="2"/>
  <c r="P200" i="2"/>
  <c r="O200" i="2"/>
  <c r="N200" i="2"/>
  <c r="M200" i="2"/>
  <c r="K200" i="2"/>
  <c r="P199" i="2"/>
  <c r="O199" i="2"/>
  <c r="N199" i="2"/>
  <c r="M199" i="2"/>
  <c r="K199" i="2"/>
  <c r="P198" i="2"/>
  <c r="O198" i="2"/>
  <c r="N198" i="2"/>
  <c r="M198" i="2"/>
  <c r="K198" i="2"/>
  <c r="P197" i="2"/>
  <c r="O197" i="2"/>
  <c r="M197" i="2"/>
  <c r="K197" i="2"/>
  <c r="P196" i="2"/>
  <c r="O196" i="2"/>
  <c r="N196" i="2"/>
  <c r="M196" i="2"/>
  <c r="K196" i="2"/>
  <c r="P195" i="2"/>
  <c r="O195" i="2"/>
  <c r="N195" i="2"/>
  <c r="M195" i="2"/>
  <c r="K195" i="2"/>
  <c r="P194" i="2"/>
  <c r="O194" i="2"/>
  <c r="N194" i="2"/>
  <c r="M194" i="2"/>
  <c r="K194" i="2"/>
  <c r="P191" i="2"/>
  <c r="O191" i="2"/>
  <c r="N191" i="2"/>
  <c r="M191" i="2"/>
  <c r="K191" i="2"/>
  <c r="P190" i="2"/>
  <c r="O190" i="2"/>
  <c r="N190" i="2"/>
  <c r="M190" i="2"/>
  <c r="K190" i="2"/>
  <c r="P189" i="2"/>
  <c r="O189" i="2"/>
  <c r="N189" i="2"/>
  <c r="M189" i="2"/>
  <c r="K189" i="2"/>
  <c r="P188" i="2"/>
  <c r="O188" i="2"/>
  <c r="N188" i="2"/>
  <c r="M188" i="2"/>
  <c r="K188" i="2"/>
  <c r="P187" i="2"/>
  <c r="O187" i="2"/>
  <c r="N187" i="2"/>
  <c r="M187" i="2"/>
  <c r="K187" i="2"/>
  <c r="J208" i="2"/>
  <c r="I208" i="2"/>
  <c r="H208" i="2"/>
  <c r="G208" i="2"/>
  <c r="F208" i="2"/>
  <c r="E208" i="2"/>
  <c r="J206" i="2"/>
  <c r="I206" i="2"/>
  <c r="H206" i="2"/>
  <c r="G206" i="2"/>
  <c r="F206" i="2"/>
  <c r="E206" i="2"/>
  <c r="J204" i="2"/>
  <c r="I204" i="2"/>
  <c r="H204" i="2"/>
  <c r="G204" i="2"/>
  <c r="F204" i="2"/>
  <c r="E204" i="2"/>
  <c r="J203" i="2"/>
  <c r="I203" i="2"/>
  <c r="G203" i="2"/>
  <c r="F203" i="2"/>
  <c r="E203" i="2"/>
  <c r="I202" i="2"/>
  <c r="H202" i="2"/>
  <c r="G202" i="2"/>
  <c r="F202" i="2"/>
  <c r="E202" i="2"/>
  <c r="J201" i="2"/>
  <c r="I201" i="2"/>
  <c r="H201" i="2"/>
  <c r="G201" i="2"/>
  <c r="F201" i="2"/>
  <c r="E201" i="2"/>
  <c r="J200" i="2"/>
  <c r="I200" i="2"/>
  <c r="H200" i="2"/>
  <c r="G200" i="2"/>
  <c r="F200" i="2"/>
  <c r="E200" i="2"/>
  <c r="J199" i="2"/>
  <c r="I199" i="2"/>
  <c r="H199" i="2"/>
  <c r="G199" i="2"/>
  <c r="F199" i="2"/>
  <c r="E199" i="2"/>
  <c r="J198" i="2"/>
  <c r="I198" i="2"/>
  <c r="H198" i="2"/>
  <c r="G198" i="2"/>
  <c r="F198" i="2"/>
  <c r="E198" i="2"/>
  <c r="J197" i="2"/>
  <c r="I197" i="2"/>
  <c r="H197" i="2"/>
  <c r="G197" i="2"/>
  <c r="F197" i="2"/>
  <c r="E197" i="2"/>
  <c r="J196" i="2"/>
  <c r="I196" i="2"/>
  <c r="H196" i="2"/>
  <c r="G196" i="2"/>
  <c r="F196" i="2"/>
  <c r="E196" i="2"/>
  <c r="J195" i="2"/>
  <c r="I195" i="2"/>
  <c r="H195" i="2"/>
  <c r="G195" i="2"/>
  <c r="F195" i="2"/>
  <c r="E195" i="2"/>
  <c r="J194" i="2"/>
  <c r="I194" i="2"/>
  <c r="H194" i="2"/>
  <c r="G194" i="2"/>
  <c r="F194" i="2"/>
  <c r="E194" i="2"/>
  <c r="J191" i="2"/>
  <c r="I191" i="2"/>
  <c r="H191" i="2"/>
  <c r="G191" i="2"/>
  <c r="F191" i="2"/>
  <c r="E191" i="2"/>
  <c r="J190" i="2"/>
  <c r="I190" i="2"/>
  <c r="H190" i="2"/>
  <c r="G190" i="2"/>
  <c r="F190" i="2"/>
  <c r="E190" i="2"/>
  <c r="J189" i="2"/>
  <c r="I189" i="2"/>
  <c r="H189" i="2"/>
  <c r="G189" i="2"/>
  <c r="F189" i="2"/>
  <c r="E189" i="2"/>
  <c r="J188" i="2"/>
  <c r="I188" i="2"/>
  <c r="H188" i="2"/>
  <c r="G188" i="2"/>
  <c r="F188" i="2"/>
  <c r="E188" i="2"/>
  <c r="J187" i="2"/>
  <c r="I187" i="2"/>
  <c r="H187" i="2"/>
  <c r="G187" i="2"/>
  <c r="F187" i="2"/>
  <c r="E187" i="2"/>
  <c r="B22" i="4"/>
  <c r="B21" i="4"/>
  <c r="B267" i="4"/>
  <c r="B20" i="4"/>
  <c r="S36" i="10" l="1"/>
  <c r="S4" i="10"/>
  <c r="BH202" i="15"/>
  <c r="BH208" i="15"/>
  <c r="BH201" i="15"/>
  <c r="BH113" i="15"/>
  <c r="BI129" i="15"/>
  <c r="BI196" i="15" s="1"/>
  <c r="BI99" i="4"/>
  <c r="BJ108" i="4"/>
  <c r="BJ105" i="4"/>
  <c r="BJ129" i="4"/>
  <c r="BJ127" i="4"/>
  <c r="BJ134" i="4"/>
  <c r="BJ94" i="4"/>
  <c r="BJ135" i="4"/>
  <c r="BJ82" i="4"/>
  <c r="BJ59" i="4"/>
  <c r="BJ121" i="4"/>
  <c r="BJ107" i="4"/>
  <c r="BJ79" i="4"/>
  <c r="BJ73" i="4"/>
  <c r="BJ137" i="4"/>
  <c r="BJ68" i="4"/>
  <c r="BJ102" i="4"/>
  <c r="BJ131" i="4"/>
  <c r="BJ78" i="4"/>
  <c r="BJ112" i="4"/>
  <c r="BJ133" i="4"/>
  <c r="BJ126" i="4"/>
  <c r="BJ77" i="4"/>
  <c r="BJ159" i="4"/>
  <c r="BJ81" i="4"/>
  <c r="BJ69" i="4"/>
  <c r="BJ122" i="4"/>
  <c r="BJ72" i="4"/>
  <c r="BJ93" i="4"/>
  <c r="BJ125" i="4"/>
  <c r="BJ101" i="4"/>
  <c r="BJ70" i="4"/>
  <c r="BJ103" i="4"/>
  <c r="BJ104" i="4"/>
  <c r="BJ111" i="4"/>
  <c r="BJ109" i="4"/>
  <c r="BJ71" i="4"/>
  <c r="BJ83" i="4"/>
  <c r="BJ132" i="4"/>
  <c r="BJ110" i="4"/>
  <c r="BJ80" i="4"/>
  <c r="BJ136" i="4"/>
  <c r="BJ98" i="4"/>
  <c r="BJ95" i="4"/>
  <c r="BJ76" i="4"/>
  <c r="BJ138" i="4"/>
  <c r="BJ84" i="4"/>
  <c r="BJ128" i="4"/>
  <c r="BH196" i="15"/>
  <c r="BI69" i="15"/>
  <c r="BI68" i="15"/>
  <c r="BI197" i="2"/>
  <c r="BI201" i="2"/>
  <c r="BI132" i="15"/>
  <c r="BI59" i="15"/>
  <c r="BI136" i="15"/>
  <c r="BI199" i="2"/>
  <c r="BI80" i="15"/>
  <c r="BI70" i="15"/>
  <c r="BI83" i="15"/>
  <c r="BI127" i="15"/>
  <c r="BI104" i="15"/>
  <c r="BI77" i="15"/>
  <c r="BI111" i="15"/>
  <c r="BH99" i="15"/>
  <c r="BH198" i="15"/>
  <c r="BI137" i="15"/>
  <c r="BI126" i="15"/>
  <c r="BI71" i="15"/>
  <c r="BI200" i="2"/>
  <c r="BI79" i="15"/>
  <c r="BI107" i="15"/>
  <c r="BI112" i="15"/>
  <c r="BI103" i="15"/>
  <c r="BI98" i="15"/>
  <c r="BI99" i="2"/>
  <c r="BI93" i="15"/>
  <c r="BI203" i="2"/>
  <c r="BI82" i="15"/>
  <c r="BI122" i="15"/>
  <c r="BI105" i="15"/>
  <c r="BI113" i="4"/>
  <c r="BI109" i="15"/>
  <c r="BI101" i="15"/>
  <c r="BI113" i="2"/>
  <c r="BI95" i="15"/>
  <c r="BI72" i="15"/>
  <c r="BI102" i="15"/>
  <c r="BI73" i="15"/>
  <c r="BI202" i="2"/>
  <c r="BI84" i="15"/>
  <c r="BI76" i="15"/>
  <c r="BI204" i="2"/>
  <c r="BI85" i="2"/>
  <c r="BI110" i="15"/>
  <c r="BI208" i="2"/>
  <c r="BI121" i="15"/>
  <c r="BI106" i="15"/>
  <c r="BJ122" i="2"/>
  <c r="BJ104" i="2"/>
  <c r="BJ126" i="2"/>
  <c r="BJ128" i="2"/>
  <c r="BJ59" i="2"/>
  <c r="BJ109" i="2"/>
  <c r="BJ101" i="2"/>
  <c r="BJ94" i="2"/>
  <c r="BJ69" i="2"/>
  <c r="BJ93" i="2"/>
  <c r="BJ134" i="2"/>
  <c r="BJ73" i="2"/>
  <c r="BJ79" i="2"/>
  <c r="BJ125" i="2"/>
  <c r="BJ135" i="2"/>
  <c r="BJ108" i="2"/>
  <c r="BJ136" i="2"/>
  <c r="BJ159" i="2"/>
  <c r="BJ110" i="2"/>
  <c r="BJ107" i="2"/>
  <c r="BJ131" i="2"/>
  <c r="BJ70" i="2"/>
  <c r="BJ84" i="2"/>
  <c r="BJ68" i="2"/>
  <c r="BJ82" i="2"/>
  <c r="BJ132" i="2"/>
  <c r="BJ102" i="2"/>
  <c r="BJ111" i="2"/>
  <c r="BJ83" i="2"/>
  <c r="BJ137" i="2"/>
  <c r="BJ77" i="2"/>
  <c r="BJ71" i="2"/>
  <c r="BJ95" i="2"/>
  <c r="BJ76" i="2"/>
  <c r="BJ121" i="2"/>
  <c r="BJ81" i="2"/>
  <c r="BJ112" i="2"/>
  <c r="BJ103" i="2"/>
  <c r="BJ80" i="2"/>
  <c r="BJ105" i="2"/>
  <c r="BJ78" i="2"/>
  <c r="BJ138" i="2"/>
  <c r="BJ98" i="2"/>
  <c r="BJ72" i="2"/>
  <c r="BH203" i="15"/>
  <c r="BH204" i="15"/>
  <c r="BI85" i="4"/>
  <c r="BI159" i="15"/>
  <c r="BI125" i="15"/>
  <c r="BI81" i="15"/>
  <c r="BI138" i="15"/>
  <c r="BI108" i="15"/>
  <c r="BI78" i="15"/>
  <c r="BI128" i="15"/>
  <c r="BI131" i="15"/>
  <c r="BI198" i="2"/>
  <c r="BI135" i="15"/>
  <c r="BI198" i="15" s="1"/>
  <c r="BI94" i="15"/>
  <c r="BI134" i="15"/>
  <c r="BI133" i="15"/>
  <c r="BH197" i="15"/>
  <c r="BH199" i="15"/>
  <c r="BH200" i="15"/>
  <c r="BH85" i="15"/>
  <c r="BT207" i="4"/>
  <c r="BD207" i="4"/>
  <c r="BK207" i="4"/>
  <c r="BR207" i="4"/>
  <c r="BB207" i="4"/>
  <c r="BE207" i="4"/>
  <c r="BB197" i="4"/>
  <c r="BE197" i="4"/>
  <c r="BA201" i="4"/>
  <c r="BL205" i="4"/>
  <c r="BS205" i="4"/>
  <c r="BC205" i="4"/>
  <c r="BJ205" i="4"/>
  <c r="BI205" i="4"/>
  <c r="BA205" i="4"/>
  <c r="BE188" i="4"/>
  <c r="BI188" i="4"/>
  <c r="BM188" i="4"/>
  <c r="BQ188" i="4"/>
  <c r="BU188" i="4"/>
  <c r="BA188" i="4"/>
  <c r="BJ190" i="4"/>
  <c r="BB190" i="4"/>
  <c r="BC190" i="4"/>
  <c r="BG190" i="4"/>
  <c r="BD190" i="4"/>
  <c r="BS190" i="4"/>
  <c r="BC198" i="4"/>
  <c r="BG198" i="4"/>
  <c r="BB198" i="4"/>
  <c r="BI202" i="4"/>
  <c r="BE199" i="4"/>
  <c r="BG203" i="4"/>
  <c r="BD203" i="4"/>
  <c r="BF208" i="4"/>
  <c r="BG208" i="4"/>
  <c r="BD198" i="4"/>
  <c r="BI187" i="4"/>
  <c r="BL187" i="4"/>
  <c r="BK187" i="4"/>
  <c r="BB187" i="4"/>
  <c r="BO187" i="4"/>
  <c r="BT187" i="4"/>
  <c r="BJ189" i="4"/>
  <c r="BK189" i="4"/>
  <c r="BD189" i="4"/>
  <c r="BM189" i="4"/>
  <c r="BV189" i="4"/>
  <c r="BU189" i="4"/>
  <c r="BI191" i="4"/>
  <c r="BA191" i="4"/>
  <c r="BH191" i="4"/>
  <c r="BT191" i="4"/>
  <c r="BX191" i="4"/>
  <c r="BU191" i="4"/>
  <c r="BG196" i="4"/>
  <c r="BA200" i="4"/>
  <c r="BF200" i="4"/>
  <c r="BF204" i="4"/>
  <c r="BG204" i="4"/>
  <c r="BP207" i="4"/>
  <c r="BW207" i="4"/>
  <c r="BG207" i="4"/>
  <c r="BN207" i="4"/>
  <c r="BM207" i="4"/>
  <c r="BA207" i="4"/>
  <c r="BI197" i="4"/>
  <c r="BG197" i="4"/>
  <c r="BJ201" i="4"/>
  <c r="BX205" i="4"/>
  <c r="BH205" i="4"/>
  <c r="BO205" i="4"/>
  <c r="BV205" i="4"/>
  <c r="BF205" i="4"/>
  <c r="BU205" i="4"/>
  <c r="BF188" i="4"/>
  <c r="BJ188" i="4"/>
  <c r="BN188" i="4"/>
  <c r="BR188" i="4"/>
  <c r="BV188" i="4"/>
  <c r="BB188" i="4"/>
  <c r="BR190" i="4"/>
  <c r="BA190" i="4"/>
  <c r="BL190" i="4"/>
  <c r="BQ190" i="4"/>
  <c r="BO190" i="4"/>
  <c r="BP190" i="4"/>
  <c r="BJ198" i="4"/>
  <c r="BF202" i="4"/>
  <c r="BB199" i="4"/>
  <c r="BI199" i="4"/>
  <c r="BH203" i="4"/>
  <c r="BB203" i="4"/>
  <c r="BB208" i="4"/>
  <c r="BC208" i="4"/>
  <c r="BQ187" i="4"/>
  <c r="BM187" i="4"/>
  <c r="BG187" i="4"/>
  <c r="BC187" i="4"/>
  <c r="BP187" i="4"/>
  <c r="BX187" i="4"/>
  <c r="BR189" i="4"/>
  <c r="BG189" i="4"/>
  <c r="BI189" i="4"/>
  <c r="BP189" i="4"/>
  <c r="BQ189" i="4"/>
  <c r="BN189" i="4"/>
  <c r="BK191" i="4"/>
  <c r="BC191" i="4"/>
  <c r="BE191" i="4"/>
  <c r="BV191" i="4"/>
  <c r="BO191" i="4"/>
  <c r="BR191" i="4"/>
  <c r="BC196" i="4"/>
  <c r="BJ196" i="4"/>
  <c r="BE196" i="4"/>
  <c r="BI196" i="4"/>
  <c r="BD200" i="4"/>
  <c r="BA204" i="4"/>
  <c r="BL207" i="4"/>
  <c r="BS207" i="4"/>
  <c r="BC207" i="4"/>
  <c r="BJ207" i="4"/>
  <c r="BI207" i="4"/>
  <c r="BQ207" i="4"/>
  <c r="BC197" i="4"/>
  <c r="BH197" i="4"/>
  <c r="BF197" i="4"/>
  <c r="BC201" i="4"/>
  <c r="BG201" i="4"/>
  <c r="BT205" i="4"/>
  <c r="BD205" i="4"/>
  <c r="BK205" i="4"/>
  <c r="BR205" i="4"/>
  <c r="BB205" i="4"/>
  <c r="BE205" i="4"/>
  <c r="BD201" i="4"/>
  <c r="BG188" i="4"/>
  <c r="BK188" i="4"/>
  <c r="BO188" i="4"/>
  <c r="BS188" i="4"/>
  <c r="BX188" i="4"/>
  <c r="BC188" i="4"/>
  <c r="BU190" i="4"/>
  <c r="BF190" i="4"/>
  <c r="BM190" i="4"/>
  <c r="BV190" i="4"/>
  <c r="BW190" i="4"/>
  <c r="BT190" i="4"/>
  <c r="BF198" i="4"/>
  <c r="BB202" i="4"/>
  <c r="BJ202" i="4"/>
  <c r="BC199" i="4"/>
  <c r="BF199" i="4"/>
  <c r="BD199" i="4"/>
  <c r="BA203" i="4"/>
  <c r="BI203" i="4"/>
  <c r="BD208" i="4"/>
  <c r="BH208" i="4"/>
  <c r="BE208" i="4"/>
  <c r="BA208" i="4"/>
  <c r="BC202" i="4"/>
  <c r="BF187" i="4"/>
  <c r="BV187" i="4"/>
  <c r="BJ187" i="4"/>
  <c r="BH187" i="4"/>
  <c r="BU187" i="4"/>
  <c r="BN187" i="4"/>
  <c r="BF189" i="4"/>
  <c r="BL189" i="4"/>
  <c r="BB189" i="4"/>
  <c r="BE189" i="4"/>
  <c r="BW189" i="4"/>
  <c r="BT189" i="4"/>
  <c r="BB191" i="4"/>
  <c r="BL191" i="4"/>
  <c r="BD191" i="4"/>
  <c r="BG191" i="4"/>
  <c r="BN191" i="4"/>
  <c r="BW191" i="4"/>
  <c r="BH196" i="4"/>
  <c r="BF196" i="4"/>
  <c r="BC200" i="4"/>
  <c r="BG200" i="4"/>
  <c r="BI200" i="4"/>
  <c r="BC204" i="4"/>
  <c r="BX207" i="4"/>
  <c r="BH207" i="4"/>
  <c r="BO207" i="4"/>
  <c r="BV207" i="4"/>
  <c r="BF207" i="4"/>
  <c r="BU207" i="4"/>
  <c r="BA197" i="4"/>
  <c r="BD197" i="4"/>
  <c r="BI201" i="4"/>
  <c r="BB201" i="4"/>
  <c r="BF201" i="4"/>
  <c r="BP205" i="4"/>
  <c r="BW205" i="4"/>
  <c r="BG205" i="4"/>
  <c r="BN205" i="4"/>
  <c r="BM205" i="4"/>
  <c r="BQ205" i="4"/>
  <c r="BD188" i="4"/>
  <c r="BH188" i="4"/>
  <c r="BL188" i="4"/>
  <c r="BP188" i="4"/>
  <c r="BT188" i="4"/>
  <c r="BW188" i="4"/>
  <c r="BE190" i="4"/>
  <c r="BI190" i="4"/>
  <c r="BN190" i="4"/>
  <c r="BK190" i="4"/>
  <c r="BH190" i="4"/>
  <c r="BX190" i="4"/>
  <c r="BH198" i="4"/>
  <c r="BA198" i="4"/>
  <c r="BH202" i="4"/>
  <c r="BD202" i="4"/>
  <c r="BA202" i="4"/>
  <c r="BH199" i="4"/>
  <c r="BG199" i="4"/>
  <c r="BA199" i="4"/>
  <c r="BF203" i="4"/>
  <c r="BE203" i="4"/>
  <c r="BC203" i="4"/>
  <c r="BI208" i="4"/>
  <c r="BJ208" i="4"/>
  <c r="BE187" i="4"/>
  <c r="BA187" i="4"/>
  <c r="BR187" i="4"/>
  <c r="BD187" i="4"/>
  <c r="BW187" i="4"/>
  <c r="BS187" i="4"/>
  <c r="BC189" i="4"/>
  <c r="BA189" i="4"/>
  <c r="BH189" i="4"/>
  <c r="BS189" i="4"/>
  <c r="BX189" i="4"/>
  <c r="BO189" i="4"/>
  <c r="BJ191" i="4"/>
  <c r="BF191" i="4"/>
  <c r="BQ191" i="4"/>
  <c r="BM191" i="4"/>
  <c r="BP191" i="4"/>
  <c r="BS191" i="4"/>
  <c r="BD196" i="4"/>
  <c r="BB196" i="4"/>
  <c r="BA196" i="4"/>
  <c r="BH200" i="4"/>
  <c r="BE200" i="4"/>
  <c r="BB200" i="4"/>
  <c r="BB204" i="4"/>
  <c r="BE201" i="4"/>
  <c r="BE198" i="4"/>
  <c r="BE202" i="4"/>
  <c r="BD204" i="4"/>
  <c r="BG202" i="4"/>
  <c r="BE204" i="4"/>
  <c r="BH201" i="4"/>
  <c r="BI198" i="4"/>
  <c r="BH204" i="4"/>
  <c r="BI204" i="4"/>
  <c r="CF129" i="15"/>
  <c r="CG129" i="15"/>
  <c r="H173" i="2"/>
  <c r="H176" i="2" s="1"/>
  <c r="H183" i="2" s="1"/>
  <c r="CE107" i="2"/>
  <c r="J173" i="2"/>
  <c r="J176" i="2" s="1"/>
  <c r="J183" i="2" s="1"/>
  <c r="CE73" i="2"/>
  <c r="CF196" i="2"/>
  <c r="CG196" i="2"/>
  <c r="AQ201" i="4"/>
  <c r="AW201" i="4"/>
  <c r="AV201" i="4"/>
  <c r="AU207" i="4"/>
  <c r="AP207" i="4"/>
  <c r="AR207" i="4"/>
  <c r="AX197" i="4"/>
  <c r="AS197" i="4"/>
  <c r="AR197" i="4"/>
  <c r="AQ188" i="4"/>
  <c r="AW188" i="4"/>
  <c r="AV188" i="4"/>
  <c r="AQ190" i="4"/>
  <c r="AW190" i="4"/>
  <c r="AR190" i="4"/>
  <c r="AQ198" i="4"/>
  <c r="AW198" i="4"/>
  <c r="AV198" i="4"/>
  <c r="AQ202" i="4"/>
  <c r="AW202" i="4"/>
  <c r="AV202" i="4"/>
  <c r="AU205" i="4"/>
  <c r="AP205" i="4"/>
  <c r="AZ205" i="4"/>
  <c r="AX199" i="4"/>
  <c r="AS199" i="4"/>
  <c r="AV199" i="4"/>
  <c r="AX203" i="4"/>
  <c r="AS203" i="4"/>
  <c r="AV203" i="4"/>
  <c r="AX208" i="4"/>
  <c r="AS208" i="4"/>
  <c r="AZ208" i="4"/>
  <c r="AW187" i="4"/>
  <c r="AZ187" i="4"/>
  <c r="AU189" i="4"/>
  <c r="AP189" i="4"/>
  <c r="AR189" i="4"/>
  <c r="AU191" i="4"/>
  <c r="AP191" i="4"/>
  <c r="AZ191" i="4"/>
  <c r="AU196" i="4"/>
  <c r="AP196" i="4"/>
  <c r="AV196" i="4"/>
  <c r="AU200" i="4"/>
  <c r="AP200" i="4"/>
  <c r="AV200" i="4"/>
  <c r="AU204" i="4"/>
  <c r="AP204" i="4"/>
  <c r="AV204" i="4"/>
  <c r="AX201" i="4"/>
  <c r="AS201" i="4"/>
  <c r="AR201" i="4"/>
  <c r="AQ207" i="4"/>
  <c r="AW207" i="4"/>
  <c r="AZ207" i="4"/>
  <c r="AY197" i="4"/>
  <c r="AT197" i="4"/>
  <c r="AO197" i="4"/>
  <c r="AX188" i="4"/>
  <c r="AS188" i="4"/>
  <c r="AR188" i="4"/>
  <c r="AX190" i="4"/>
  <c r="AS190" i="4"/>
  <c r="AZ190" i="4"/>
  <c r="AX198" i="4"/>
  <c r="AS198" i="4"/>
  <c r="AR198" i="4"/>
  <c r="AX202" i="4"/>
  <c r="AS202" i="4"/>
  <c r="AR202" i="4"/>
  <c r="AQ205" i="4"/>
  <c r="AW205" i="4"/>
  <c r="AV205" i="4"/>
  <c r="AY199" i="4"/>
  <c r="AT199" i="4"/>
  <c r="AO199" i="4"/>
  <c r="AY203" i="4"/>
  <c r="AT203" i="4"/>
  <c r="AO203" i="4"/>
  <c r="AY208" i="4"/>
  <c r="AT208" i="4"/>
  <c r="AO208" i="4"/>
  <c r="AY201" i="4"/>
  <c r="AT201" i="4"/>
  <c r="AO201" i="4"/>
  <c r="AX207" i="4"/>
  <c r="AS207" i="4"/>
  <c r="AV207" i="4"/>
  <c r="AU197" i="4"/>
  <c r="AP197" i="4"/>
  <c r="AZ197" i="4"/>
  <c r="AY188" i="4"/>
  <c r="AT188" i="4"/>
  <c r="AO188" i="4"/>
  <c r="AY190" i="4"/>
  <c r="AT190" i="4"/>
  <c r="AO190" i="4"/>
  <c r="AY198" i="4"/>
  <c r="AT198" i="4"/>
  <c r="AO198" i="4"/>
  <c r="AY202" i="4"/>
  <c r="AT202" i="4"/>
  <c r="AO202" i="4"/>
  <c r="AX205" i="4"/>
  <c r="AS205" i="4"/>
  <c r="AR205" i="4"/>
  <c r="AU199" i="4"/>
  <c r="AP199" i="4"/>
  <c r="AR199" i="4"/>
  <c r="AU203" i="4"/>
  <c r="AP203" i="4"/>
  <c r="AR203" i="4"/>
  <c r="AU208" i="4"/>
  <c r="AP208" i="4"/>
  <c r="AV208" i="4"/>
  <c r="AU187" i="4"/>
  <c r="AT187" i="4"/>
  <c r="AO187" i="4"/>
  <c r="AR187" i="4"/>
  <c r="AX189" i="4"/>
  <c r="AS189" i="4"/>
  <c r="AV189" i="4"/>
  <c r="AX191" i="4"/>
  <c r="AS191" i="4"/>
  <c r="AR191" i="4"/>
  <c r="AX196" i="4"/>
  <c r="AS196" i="4"/>
  <c r="AZ196" i="4"/>
  <c r="AX200" i="4"/>
  <c r="AS200" i="4"/>
  <c r="AZ200" i="4"/>
  <c r="AX204" i="4"/>
  <c r="AS204" i="4"/>
  <c r="AZ204" i="4"/>
  <c r="AU201" i="4"/>
  <c r="AP201" i="4"/>
  <c r="AZ201" i="4"/>
  <c r="AY207" i="4"/>
  <c r="AT207" i="4"/>
  <c r="AO207" i="4"/>
  <c r="AQ197" i="4"/>
  <c r="AW197" i="4"/>
  <c r="AV197" i="4"/>
  <c r="AU188" i="4"/>
  <c r="AP188" i="4"/>
  <c r="AZ188" i="4"/>
  <c r="AU190" i="4"/>
  <c r="AP190" i="4"/>
  <c r="AV190" i="4"/>
  <c r="AU198" i="4"/>
  <c r="AP198" i="4"/>
  <c r="AZ198" i="4"/>
  <c r="AU202" i="4"/>
  <c r="AP202" i="4"/>
  <c r="AZ202" i="4"/>
  <c r="AY205" i="4"/>
  <c r="AT205" i="4"/>
  <c r="AO205" i="4"/>
  <c r="AQ199" i="4"/>
  <c r="AW199" i="4"/>
  <c r="AZ199" i="4"/>
  <c r="AQ203" i="4"/>
  <c r="AW203" i="4"/>
  <c r="AZ203" i="4"/>
  <c r="AQ208" i="4"/>
  <c r="AW208" i="4"/>
  <c r="AR208" i="4"/>
  <c r="AQ187" i="4"/>
  <c r="AP187" i="4"/>
  <c r="AY189" i="4"/>
  <c r="AT189" i="4"/>
  <c r="AO189" i="4"/>
  <c r="AY191" i="4"/>
  <c r="AT191" i="4"/>
  <c r="AO191" i="4"/>
  <c r="AY196" i="4"/>
  <c r="AT196" i="4"/>
  <c r="AO196" i="4"/>
  <c r="AY200" i="4"/>
  <c r="AT200" i="4"/>
  <c r="AO200" i="4"/>
  <c r="AY204" i="4"/>
  <c r="AT204" i="4"/>
  <c r="AO204" i="4"/>
  <c r="AX187" i="4"/>
  <c r="AW189" i="4"/>
  <c r="AV191" i="4"/>
  <c r="AQ200" i="4"/>
  <c r="AW204" i="4"/>
  <c r="AS187" i="4"/>
  <c r="AZ189" i="4"/>
  <c r="AQ196" i="4"/>
  <c r="AW200" i="4"/>
  <c r="AR204" i="4"/>
  <c r="AV187" i="4"/>
  <c r="AQ191" i="4"/>
  <c r="AW196" i="4"/>
  <c r="AR200" i="4"/>
  <c r="AY187" i="4"/>
  <c r="AQ189" i="4"/>
  <c r="AW191" i="4"/>
  <c r="AR196" i="4"/>
  <c r="AQ204" i="4"/>
  <c r="AV7" i="4"/>
  <c r="AU7" i="15"/>
  <c r="AL207" i="4"/>
  <c r="AH207" i="4"/>
  <c r="AD207" i="4"/>
  <c r="Z207" i="4"/>
  <c r="V207" i="4"/>
  <c r="R207" i="4"/>
  <c r="N207" i="4"/>
  <c r="J207" i="4"/>
  <c r="F207" i="4"/>
  <c r="AK207" i="4"/>
  <c r="AG207" i="4"/>
  <c r="AC207" i="4"/>
  <c r="Y207" i="4"/>
  <c r="U207" i="4"/>
  <c r="Q207" i="4"/>
  <c r="M207" i="4"/>
  <c r="I207" i="4"/>
  <c r="AN207" i="4"/>
  <c r="AJ207" i="4"/>
  <c r="AF207" i="4"/>
  <c r="AB207" i="4"/>
  <c r="X207" i="4"/>
  <c r="T207" i="4"/>
  <c r="P207" i="4"/>
  <c r="L207" i="4"/>
  <c r="H207" i="4"/>
  <c r="D207" i="4"/>
  <c r="CD207" i="4" s="1"/>
  <c r="E207" i="4"/>
  <c r="AA207" i="4"/>
  <c r="K207" i="4"/>
  <c r="S207" i="4"/>
  <c r="O207" i="4"/>
  <c r="AM207" i="4"/>
  <c r="W207" i="4"/>
  <c r="G207" i="4"/>
  <c r="C207" i="4"/>
  <c r="CC207" i="4" s="1"/>
  <c r="AE207" i="4"/>
  <c r="AI207" i="4"/>
  <c r="AJ68" i="8"/>
  <c r="H203" i="2"/>
  <c r="T37" i="10"/>
  <c r="T36" i="10"/>
  <c r="H113" i="2"/>
  <c r="J74" i="2"/>
  <c r="AF52" i="15"/>
  <c r="AN196" i="15"/>
  <c r="AK64" i="8"/>
  <c r="AJ40" i="8"/>
  <c r="AI42" i="8"/>
  <c r="AK52" i="4"/>
  <c r="AK53" i="4" s="1"/>
  <c r="AG52" i="2"/>
  <c r="AG53" i="2" s="1"/>
  <c r="C188" i="4"/>
  <c r="CC188" i="4" s="1"/>
  <c r="C194" i="4"/>
  <c r="CC194" i="4" s="1"/>
  <c r="C202" i="4"/>
  <c r="CC202" i="4" s="1"/>
  <c r="C195" i="4"/>
  <c r="CC195" i="4" s="1"/>
  <c r="C203" i="4"/>
  <c r="CC203" i="4" s="1"/>
  <c r="C189" i="4"/>
  <c r="CC189" i="4" s="1"/>
  <c r="D196" i="4"/>
  <c r="CD196" i="4" s="1"/>
  <c r="D204" i="4"/>
  <c r="CD204" i="4" s="1"/>
  <c r="D201" i="4"/>
  <c r="CD201" i="4" s="1"/>
  <c r="D188" i="4"/>
  <c r="CD188" i="4" s="1"/>
  <c r="D194" i="4"/>
  <c r="CD194" i="4" s="1"/>
  <c r="D202" i="4"/>
  <c r="CD202" i="4" s="1"/>
  <c r="D199" i="4"/>
  <c r="CD199" i="4" s="1"/>
  <c r="D208" i="4"/>
  <c r="CD208" i="4" s="1"/>
  <c r="C187" i="4"/>
  <c r="CC187" i="4" s="1"/>
  <c r="C191" i="4"/>
  <c r="CC191" i="4" s="1"/>
  <c r="C200" i="4"/>
  <c r="CC200" i="4" s="1"/>
  <c r="C197" i="4"/>
  <c r="CC197" i="4" s="1"/>
  <c r="C205" i="4"/>
  <c r="CC205" i="4" s="1"/>
  <c r="C190" i="4"/>
  <c r="CC190" i="4" s="1"/>
  <c r="C198" i="4"/>
  <c r="CC198" i="4" s="1"/>
  <c r="C206" i="4"/>
  <c r="CC206" i="4" s="1"/>
  <c r="C199" i="4"/>
  <c r="CC199" i="4" s="1"/>
  <c r="C208" i="4"/>
  <c r="CC208" i="4" s="1"/>
  <c r="D187" i="4"/>
  <c r="CD187" i="4" s="1"/>
  <c r="D191" i="4"/>
  <c r="CD191" i="4" s="1"/>
  <c r="D200" i="4"/>
  <c r="CD200" i="4" s="1"/>
  <c r="D197" i="4"/>
  <c r="CD197" i="4" s="1"/>
  <c r="D205" i="4"/>
  <c r="CD205" i="4" s="1"/>
  <c r="D190" i="4"/>
  <c r="CD190" i="4" s="1"/>
  <c r="D198" i="4"/>
  <c r="CD198" i="4" s="1"/>
  <c r="D206" i="4"/>
  <c r="CD206" i="4" s="1"/>
  <c r="D195" i="4"/>
  <c r="CD195" i="4" s="1"/>
  <c r="D203" i="4"/>
  <c r="CD203" i="4" s="1"/>
  <c r="D189" i="4"/>
  <c r="CD189" i="4" s="1"/>
  <c r="C196" i="4"/>
  <c r="CC196" i="4" s="1"/>
  <c r="C204" i="4"/>
  <c r="CC204" i="4" s="1"/>
  <c r="C201" i="4"/>
  <c r="CC201" i="4" s="1"/>
  <c r="J93" i="15"/>
  <c r="AF53" i="15"/>
  <c r="W7" i="15"/>
  <c r="J73" i="15"/>
  <c r="H107" i="15"/>
  <c r="AF188" i="15"/>
  <c r="AF193" i="15" s="1"/>
  <c r="AG45" i="15"/>
  <c r="AG188" i="2"/>
  <c r="AG193" i="2" s="1"/>
  <c r="W222" i="15"/>
  <c r="AH19" i="15"/>
  <c r="AH20" i="15" s="1"/>
  <c r="Y224" i="15"/>
  <c r="Y223" i="15"/>
  <c r="AI253" i="15"/>
  <c r="AI252" i="15"/>
  <c r="AJ4" i="15"/>
  <c r="AI2" i="15"/>
  <c r="AN199" i="4"/>
  <c r="AI199" i="4"/>
  <c r="AL199" i="4"/>
  <c r="AN208" i="4"/>
  <c r="AI208" i="4"/>
  <c r="AL208" i="4"/>
  <c r="AN190" i="4"/>
  <c r="AC190" i="4"/>
  <c r="AL190" i="4"/>
  <c r="AN196" i="4"/>
  <c r="AI196" i="4"/>
  <c r="AH196" i="4"/>
  <c r="AN200" i="4"/>
  <c r="AI200" i="4"/>
  <c r="AH200" i="4"/>
  <c r="AN204" i="4"/>
  <c r="AI204" i="4"/>
  <c r="AH204" i="4"/>
  <c r="AN189" i="4"/>
  <c r="AM189" i="4"/>
  <c r="AC189" i="4"/>
  <c r="AN203" i="4"/>
  <c r="AM203" i="4"/>
  <c r="AC203" i="4"/>
  <c r="AN187" i="4"/>
  <c r="AM187" i="4"/>
  <c r="AL187" i="4"/>
  <c r="AN191" i="4"/>
  <c r="AM191" i="4"/>
  <c r="AL191" i="4"/>
  <c r="AN197" i="4"/>
  <c r="AM197" i="4"/>
  <c r="AC197" i="4"/>
  <c r="AN201" i="4"/>
  <c r="AI201" i="4"/>
  <c r="AL201" i="4"/>
  <c r="AN205" i="4"/>
  <c r="AI205" i="4"/>
  <c r="AL205" i="4"/>
  <c r="AN198" i="4"/>
  <c r="AI198" i="4"/>
  <c r="AH198" i="4"/>
  <c r="AN202" i="4"/>
  <c r="AI202" i="4"/>
  <c r="AH202" i="4"/>
  <c r="AM208" i="4"/>
  <c r="AK190" i="4"/>
  <c r="AG190" i="4"/>
  <c r="AL196" i="4"/>
  <c r="AL200" i="4"/>
  <c r="AM204" i="4"/>
  <c r="AC204" i="4"/>
  <c r="AK189" i="4"/>
  <c r="AK203" i="4"/>
  <c r="AG187" i="4"/>
  <c r="AC187" i="4"/>
  <c r="AG191" i="4"/>
  <c r="AK197" i="4"/>
  <c r="AM201" i="4"/>
  <c r="AG201" i="4"/>
  <c r="AC205" i="4"/>
  <c r="AC188" i="4"/>
  <c r="AE199" i="4"/>
  <c r="AH199" i="4"/>
  <c r="AE208" i="4"/>
  <c r="AH208" i="4"/>
  <c r="AM190" i="4"/>
  <c r="AH190" i="4"/>
  <c r="AJ196" i="4"/>
  <c r="AE196" i="4"/>
  <c r="AD196" i="4"/>
  <c r="AE200" i="4"/>
  <c r="AD200" i="4"/>
  <c r="AE204" i="4"/>
  <c r="AD204" i="4"/>
  <c r="AJ189" i="4"/>
  <c r="AI189" i="4"/>
  <c r="AL189" i="4"/>
  <c r="AI203" i="4"/>
  <c r="AL203" i="4"/>
  <c r="AI187" i="4"/>
  <c r="AH187" i="4"/>
  <c r="AI191" i="4"/>
  <c r="AH191" i="4"/>
  <c r="AI197" i="4"/>
  <c r="AL197" i="4"/>
  <c r="AE201" i="4"/>
  <c r="AH201" i="4"/>
  <c r="AJ205" i="4"/>
  <c r="AE205" i="4"/>
  <c r="AH205" i="4"/>
  <c r="AJ188" i="4"/>
  <c r="AI188" i="4"/>
  <c r="AH188" i="4"/>
  <c r="AE198" i="4"/>
  <c r="AD198" i="4"/>
  <c r="AE202" i="4"/>
  <c r="AD202" i="4"/>
  <c r="AG199" i="4"/>
  <c r="AE190" i="4"/>
  <c r="AM196" i="4"/>
  <c r="AC196" i="4"/>
  <c r="AM200" i="4"/>
  <c r="AC200" i="4"/>
  <c r="AL204" i="4"/>
  <c r="AG189" i="4"/>
  <c r="AD189" i="4"/>
  <c r="AG203" i="4"/>
  <c r="AD203" i="4"/>
  <c r="AK187" i="4"/>
  <c r="AK191" i="4"/>
  <c r="AC191" i="4"/>
  <c r="AG197" i="4"/>
  <c r="AD197" i="4"/>
  <c r="AC201" i="4"/>
  <c r="AM205" i="4"/>
  <c r="AK205" i="4"/>
  <c r="AG188" i="4"/>
  <c r="AK188" i="4"/>
  <c r="AF199" i="4"/>
  <c r="AK199" i="4"/>
  <c r="AD199" i="4"/>
  <c r="AF208" i="4"/>
  <c r="AK208" i="4"/>
  <c r="AD208" i="4"/>
  <c r="AF190" i="4"/>
  <c r="AI190" i="4"/>
  <c r="AD190" i="4"/>
  <c r="AF196" i="4"/>
  <c r="AG196" i="4"/>
  <c r="AK196" i="4"/>
  <c r="AF200" i="4"/>
  <c r="AG200" i="4"/>
  <c r="AK200" i="4"/>
  <c r="AF204" i="4"/>
  <c r="AG204" i="4"/>
  <c r="AK204" i="4"/>
  <c r="AF189" i="4"/>
  <c r="AE189" i="4"/>
  <c r="AH189" i="4"/>
  <c r="AF203" i="4"/>
  <c r="AE203" i="4"/>
  <c r="AH203" i="4"/>
  <c r="AF187" i="4"/>
  <c r="AE187" i="4"/>
  <c r="AD187" i="4"/>
  <c r="AF191" i="4"/>
  <c r="AE191" i="4"/>
  <c r="AD191" i="4"/>
  <c r="AF197" i="4"/>
  <c r="AE197" i="4"/>
  <c r="AH197" i="4"/>
  <c r="AF201" i="4"/>
  <c r="AK201" i="4"/>
  <c r="AD201" i="4"/>
  <c r="AF205" i="4"/>
  <c r="AG205" i="4"/>
  <c r="AD205" i="4"/>
  <c r="AF188" i="4"/>
  <c r="AE188" i="4"/>
  <c r="AD188" i="4"/>
  <c r="AF198" i="4"/>
  <c r="AG198" i="4"/>
  <c r="AK198" i="4"/>
  <c r="AF202" i="4"/>
  <c r="AG202" i="4"/>
  <c r="AK202" i="4"/>
  <c r="AM199" i="4"/>
  <c r="AC199" i="4"/>
  <c r="AC208" i="4"/>
  <c r="AG208" i="4"/>
  <c r="AL198" i="4"/>
  <c r="AC202" i="4"/>
  <c r="AL202" i="4"/>
  <c r="AC198" i="4"/>
  <c r="AM202" i="4"/>
  <c r="AM198" i="4"/>
  <c r="AJ71" i="8"/>
  <c r="T4" i="10"/>
  <c r="U5" i="10"/>
  <c r="AB196" i="4"/>
  <c r="W196" i="4"/>
  <c r="R196" i="4"/>
  <c r="AB200" i="4"/>
  <c r="W200" i="4"/>
  <c r="R200" i="4"/>
  <c r="AB187" i="4"/>
  <c r="W187" i="4"/>
  <c r="R187" i="4"/>
  <c r="AB191" i="4"/>
  <c r="W191" i="4"/>
  <c r="R191" i="4"/>
  <c r="AB201" i="4"/>
  <c r="W201" i="4"/>
  <c r="R201" i="4"/>
  <c r="AB205" i="4"/>
  <c r="W205" i="4"/>
  <c r="R205" i="4"/>
  <c r="AB188" i="4"/>
  <c r="W188" i="4"/>
  <c r="R188" i="4"/>
  <c r="W194" i="4"/>
  <c r="R194" i="4"/>
  <c r="AB198" i="4"/>
  <c r="W198" i="4"/>
  <c r="R198" i="4"/>
  <c r="AB202" i="4"/>
  <c r="W202" i="4"/>
  <c r="R202" i="4"/>
  <c r="W206" i="4"/>
  <c r="R206" i="4"/>
  <c r="AB190" i="4"/>
  <c r="S190" i="4"/>
  <c r="Q190" i="4"/>
  <c r="AB204" i="4"/>
  <c r="W204" i="4"/>
  <c r="R204" i="4"/>
  <c r="AB197" i="4"/>
  <c r="W197" i="4"/>
  <c r="R197" i="4"/>
  <c r="AA189" i="4"/>
  <c r="R189" i="4"/>
  <c r="Y189" i="4"/>
  <c r="W195" i="4"/>
  <c r="R195" i="4"/>
  <c r="AB199" i="4"/>
  <c r="W199" i="4"/>
  <c r="R199" i="4"/>
  <c r="AB203" i="4"/>
  <c r="W203" i="4"/>
  <c r="R203" i="4"/>
  <c r="AB208" i="4"/>
  <c r="W208" i="4"/>
  <c r="R208" i="4"/>
  <c r="Y190" i="4"/>
  <c r="S204" i="4"/>
  <c r="Y204" i="4"/>
  <c r="S197" i="4"/>
  <c r="Q197" i="4"/>
  <c r="W189" i="4"/>
  <c r="U189" i="4"/>
  <c r="S189" i="4"/>
  <c r="S195" i="4"/>
  <c r="S199" i="4"/>
  <c r="Y199" i="4"/>
  <c r="S203" i="4"/>
  <c r="Y203" i="4"/>
  <c r="S208" i="4"/>
  <c r="Y208" i="4"/>
  <c r="X196" i="4"/>
  <c r="S196" i="4"/>
  <c r="Y196" i="4"/>
  <c r="S200" i="4"/>
  <c r="Y200" i="4"/>
  <c r="S187" i="4"/>
  <c r="Y187" i="4"/>
  <c r="S191" i="4"/>
  <c r="Q191" i="4"/>
  <c r="S201" i="4"/>
  <c r="Q201" i="4"/>
  <c r="X205" i="4"/>
  <c r="S205" i="4"/>
  <c r="Q205" i="4"/>
  <c r="X188" i="4"/>
  <c r="S188" i="4"/>
  <c r="Y188" i="4"/>
  <c r="S194" i="4"/>
  <c r="U194" i="4"/>
  <c r="S198" i="4"/>
  <c r="U198" i="4"/>
  <c r="S202" i="4"/>
  <c r="U202" i="4"/>
  <c r="S206" i="4"/>
  <c r="U206" i="4"/>
  <c r="Z190" i="4"/>
  <c r="T196" i="4"/>
  <c r="Z196" i="4"/>
  <c r="U196" i="4"/>
  <c r="T200" i="4"/>
  <c r="Z200" i="4"/>
  <c r="U200" i="4"/>
  <c r="T187" i="4"/>
  <c r="Z187" i="4"/>
  <c r="U187" i="4"/>
  <c r="T191" i="4"/>
  <c r="Z191" i="4"/>
  <c r="Y191" i="4"/>
  <c r="T201" i="4"/>
  <c r="Z201" i="4"/>
  <c r="Y201" i="4"/>
  <c r="T205" i="4"/>
  <c r="Z205" i="4"/>
  <c r="Y205" i="4"/>
  <c r="T188" i="4"/>
  <c r="Z188" i="4"/>
  <c r="U188" i="4"/>
  <c r="T194" i="4"/>
  <c r="Q194" i="4"/>
  <c r="T198" i="4"/>
  <c r="Z198" i="4"/>
  <c r="Q198" i="4"/>
  <c r="T202" i="4"/>
  <c r="Z202" i="4"/>
  <c r="Q202" i="4"/>
  <c r="T206" i="4"/>
  <c r="Q206" i="4"/>
  <c r="AA190" i="4"/>
  <c r="V190" i="4"/>
  <c r="U190" i="4"/>
  <c r="T204" i="4"/>
  <c r="Z204" i="4"/>
  <c r="U204" i="4"/>
  <c r="T197" i="4"/>
  <c r="Z197" i="4"/>
  <c r="Y197" i="4"/>
  <c r="Z189" i="4"/>
  <c r="AB189" i="4"/>
  <c r="X189" i="4"/>
  <c r="T195" i="4"/>
  <c r="U195" i="4"/>
  <c r="T199" i="4"/>
  <c r="Z199" i="4"/>
  <c r="U199" i="4"/>
  <c r="T203" i="4"/>
  <c r="Z203" i="4"/>
  <c r="U203" i="4"/>
  <c r="T208" i="4"/>
  <c r="Z208" i="4"/>
  <c r="U208" i="4"/>
  <c r="AA196" i="4"/>
  <c r="V196" i="4"/>
  <c r="Q196" i="4"/>
  <c r="AA200" i="4"/>
  <c r="V200" i="4"/>
  <c r="Q200" i="4"/>
  <c r="AA187" i="4"/>
  <c r="V187" i="4"/>
  <c r="Q187" i="4"/>
  <c r="AA191" i="4"/>
  <c r="V191" i="4"/>
  <c r="U191" i="4"/>
  <c r="AA201" i="4"/>
  <c r="V201" i="4"/>
  <c r="U201" i="4"/>
  <c r="AA205" i="4"/>
  <c r="V205" i="4"/>
  <c r="U205" i="4"/>
  <c r="AA188" i="4"/>
  <c r="V188" i="4"/>
  <c r="Q188" i="4"/>
  <c r="V194" i="4"/>
  <c r="AA198" i="4"/>
  <c r="V198" i="4"/>
  <c r="Y198" i="4"/>
  <c r="R190" i="4"/>
  <c r="Q204" i="4"/>
  <c r="V189" i="4"/>
  <c r="V195" i="4"/>
  <c r="Q199" i="4"/>
  <c r="AA208" i="4"/>
  <c r="V202" i="4"/>
  <c r="AA204" i="4"/>
  <c r="V197" i="4"/>
  <c r="AA199" i="4"/>
  <c r="Q208" i="4"/>
  <c r="Y202" i="4"/>
  <c r="U197" i="4"/>
  <c r="Q203" i="4"/>
  <c r="AA202" i="4"/>
  <c r="V206" i="4"/>
  <c r="T190" i="4"/>
  <c r="AA197" i="4"/>
  <c r="T189" i="4"/>
  <c r="Q195" i="4"/>
  <c r="AA203" i="4"/>
  <c r="V208" i="4"/>
  <c r="Y206" i="4"/>
  <c r="Q189" i="4"/>
  <c r="V203" i="4"/>
  <c r="W190" i="4"/>
  <c r="V204" i="4"/>
  <c r="V199" i="4"/>
  <c r="J202" i="2"/>
  <c r="P89" i="8"/>
  <c r="P88" i="8"/>
  <c r="P4" i="8"/>
  <c r="Q5" i="8"/>
  <c r="N193" i="2"/>
  <c r="M193" i="2"/>
  <c r="J203" i="4"/>
  <c r="J187" i="4"/>
  <c r="F191" i="4"/>
  <c r="H194" i="4"/>
  <c r="J195" i="4"/>
  <c r="F197" i="4"/>
  <c r="H198" i="4"/>
  <c r="J199" i="4"/>
  <c r="F201" i="4"/>
  <c r="F203" i="4"/>
  <c r="E187" i="4"/>
  <c r="G187" i="4"/>
  <c r="E188" i="4"/>
  <c r="I188" i="4"/>
  <c r="G189" i="4"/>
  <c r="E190" i="4"/>
  <c r="I190" i="4"/>
  <c r="G191" i="4"/>
  <c r="E194" i="4"/>
  <c r="I194" i="4"/>
  <c r="G195" i="4"/>
  <c r="E196" i="4"/>
  <c r="I196" i="4"/>
  <c r="G197" i="4"/>
  <c r="E198" i="4"/>
  <c r="I198" i="4"/>
  <c r="G199" i="4"/>
  <c r="E200" i="4"/>
  <c r="I200" i="4"/>
  <c r="G201" i="4"/>
  <c r="E202" i="4"/>
  <c r="I202" i="4"/>
  <c r="M208" i="4"/>
  <c r="O206" i="4"/>
  <c r="K206" i="4"/>
  <c r="M205" i="4"/>
  <c r="O204" i="4"/>
  <c r="K204" i="4"/>
  <c r="M203" i="4"/>
  <c r="O202" i="4"/>
  <c r="K202" i="4"/>
  <c r="M201" i="4"/>
  <c r="O200" i="4"/>
  <c r="K200" i="4"/>
  <c r="M199" i="4"/>
  <c r="O198" i="4"/>
  <c r="K198" i="4"/>
  <c r="M197" i="4"/>
  <c r="O196" i="4"/>
  <c r="K196" i="4"/>
  <c r="M195" i="4"/>
  <c r="O194" i="4"/>
  <c r="K194" i="4"/>
  <c r="M191" i="4"/>
  <c r="O190" i="4"/>
  <c r="K190" i="4"/>
  <c r="M189" i="4"/>
  <c r="O188" i="4"/>
  <c r="K188" i="4"/>
  <c r="M187" i="4"/>
  <c r="J208" i="4"/>
  <c r="F208" i="4"/>
  <c r="H206" i="4"/>
  <c r="J205" i="4"/>
  <c r="F205" i="4"/>
  <c r="H204" i="4"/>
  <c r="P208" i="4"/>
  <c r="N206" i="4"/>
  <c r="P205" i="4"/>
  <c r="L205" i="4"/>
  <c r="N204" i="4"/>
  <c r="P203" i="4"/>
  <c r="N202" i="4"/>
  <c r="P201" i="4"/>
  <c r="N200" i="4"/>
  <c r="P199" i="4"/>
  <c r="N198" i="4"/>
  <c r="P197" i="4"/>
  <c r="N196" i="4"/>
  <c r="P195" i="4"/>
  <c r="N194" i="4"/>
  <c r="P191" i="4"/>
  <c r="N190" i="4"/>
  <c r="P189" i="4"/>
  <c r="N188" i="4"/>
  <c r="P187" i="4"/>
  <c r="I208" i="4"/>
  <c r="E208" i="4"/>
  <c r="G206" i="4"/>
  <c r="I205" i="4"/>
  <c r="E205" i="4"/>
  <c r="G204" i="4"/>
  <c r="I203" i="4"/>
  <c r="O208" i="4"/>
  <c r="K208" i="4"/>
  <c r="M206" i="4"/>
  <c r="O205" i="4"/>
  <c r="K205" i="4"/>
  <c r="M204" i="4"/>
  <c r="O203" i="4"/>
  <c r="K203" i="4"/>
  <c r="M202" i="4"/>
  <c r="O201" i="4"/>
  <c r="K201" i="4"/>
  <c r="M200" i="4"/>
  <c r="O199" i="4"/>
  <c r="K199" i="4"/>
  <c r="M198" i="4"/>
  <c r="O197" i="4"/>
  <c r="K197" i="4"/>
  <c r="M196" i="4"/>
  <c r="O195" i="4"/>
  <c r="K195" i="4"/>
  <c r="M194" i="4"/>
  <c r="O191" i="4"/>
  <c r="K191" i="4"/>
  <c r="M190" i="4"/>
  <c r="O189" i="4"/>
  <c r="K189" i="4"/>
  <c r="M188" i="4"/>
  <c r="O187" i="4"/>
  <c r="K187" i="4"/>
  <c r="H208" i="4"/>
  <c r="J206" i="4"/>
  <c r="F206" i="4"/>
  <c r="H205" i="4"/>
  <c r="J204" i="4"/>
  <c r="F204" i="4"/>
  <c r="H203" i="4"/>
  <c r="N208" i="4"/>
  <c r="P206" i="4"/>
  <c r="N205" i="4"/>
  <c r="P204" i="4"/>
  <c r="N203" i="4"/>
  <c r="P202" i="4"/>
  <c r="N201" i="4"/>
  <c r="P200" i="4"/>
  <c r="N199" i="4"/>
  <c r="P198" i="4"/>
  <c r="N197" i="4"/>
  <c r="P196" i="4"/>
  <c r="N195" i="4"/>
  <c r="P194" i="4"/>
  <c r="N191" i="4"/>
  <c r="P190" i="4"/>
  <c r="N189" i="4"/>
  <c r="P188" i="4"/>
  <c r="N187" i="4"/>
  <c r="G208" i="4"/>
  <c r="I206" i="4"/>
  <c r="E206" i="4"/>
  <c r="G205" i="4"/>
  <c r="I204" i="4"/>
  <c r="E204" i="4"/>
  <c r="G203" i="4"/>
  <c r="F187" i="4"/>
  <c r="F189" i="4"/>
  <c r="H190" i="4"/>
  <c r="J191" i="4"/>
  <c r="F195" i="4"/>
  <c r="H196" i="4"/>
  <c r="J197" i="4"/>
  <c r="F199" i="4"/>
  <c r="H200" i="4"/>
  <c r="J201" i="4"/>
  <c r="H202" i="4"/>
  <c r="H187" i="4"/>
  <c r="F188" i="4"/>
  <c r="J188" i="4"/>
  <c r="H189" i="4"/>
  <c r="F190" i="4"/>
  <c r="J190" i="4"/>
  <c r="H191" i="4"/>
  <c r="F194" i="4"/>
  <c r="J194" i="4"/>
  <c r="H195" i="4"/>
  <c r="F196" i="4"/>
  <c r="J196" i="4"/>
  <c r="H197" i="4"/>
  <c r="F198" i="4"/>
  <c r="J198" i="4"/>
  <c r="H199" i="4"/>
  <c r="F200" i="4"/>
  <c r="J200" i="4"/>
  <c r="H201" i="4"/>
  <c r="F202" i="4"/>
  <c r="J202" i="4"/>
  <c r="H188" i="4"/>
  <c r="J189" i="4"/>
  <c r="I187" i="4"/>
  <c r="G188" i="4"/>
  <c r="E189" i="4"/>
  <c r="I189" i="4"/>
  <c r="G190" i="4"/>
  <c r="E191" i="4"/>
  <c r="I191" i="4"/>
  <c r="G194" i="4"/>
  <c r="E195" i="4"/>
  <c r="I195" i="4"/>
  <c r="G196" i="4"/>
  <c r="E197" i="4"/>
  <c r="I197" i="4"/>
  <c r="G198" i="4"/>
  <c r="E199" i="4"/>
  <c r="I199" i="4"/>
  <c r="G200" i="4"/>
  <c r="E201" i="4"/>
  <c r="I201" i="4"/>
  <c r="G202" i="4"/>
  <c r="E203" i="4"/>
  <c r="K193" i="2"/>
  <c r="O193" i="2"/>
  <c r="P193" i="2"/>
  <c r="K210" i="2"/>
  <c r="BJ204" i="4" l="1"/>
  <c r="BJ200" i="4"/>
  <c r="BJ199" i="4"/>
  <c r="BJ203" i="4"/>
  <c r="BJ197" i="4"/>
  <c r="BJ138" i="15"/>
  <c r="BJ103" i="15"/>
  <c r="BJ76" i="15"/>
  <c r="BJ204" i="2"/>
  <c r="BJ85" i="2"/>
  <c r="BJ137" i="15"/>
  <c r="BJ132" i="15"/>
  <c r="BJ84" i="15"/>
  <c r="BJ110" i="15"/>
  <c r="BJ208" i="2"/>
  <c r="BJ108" i="15"/>
  <c r="BJ73" i="15"/>
  <c r="BJ202" i="2"/>
  <c r="BJ94" i="15"/>
  <c r="BJ128" i="15"/>
  <c r="BK107" i="2"/>
  <c r="BK71" i="2"/>
  <c r="BK132" i="2"/>
  <c r="BK84" i="2"/>
  <c r="BK133" i="2"/>
  <c r="BK93" i="2"/>
  <c r="BK159" i="2"/>
  <c r="BK135" i="2"/>
  <c r="BK102" i="2"/>
  <c r="BK76" i="2"/>
  <c r="BK68" i="2"/>
  <c r="BK77" i="2"/>
  <c r="BK121" i="2"/>
  <c r="BK83" i="2"/>
  <c r="BK82" i="2"/>
  <c r="BK131" i="2"/>
  <c r="BK72" i="2"/>
  <c r="BK134" i="2"/>
  <c r="BK138" i="2"/>
  <c r="BK126" i="2"/>
  <c r="BK59" i="2"/>
  <c r="BK80" i="2"/>
  <c r="BK108" i="2"/>
  <c r="BK101" i="2"/>
  <c r="BK78" i="2"/>
  <c r="BK69" i="2"/>
  <c r="BK111" i="2"/>
  <c r="BK104" i="2"/>
  <c r="BK81" i="2"/>
  <c r="BK73" i="2"/>
  <c r="BK109" i="2"/>
  <c r="BK79" i="2"/>
  <c r="BK128" i="2"/>
  <c r="BK95" i="2"/>
  <c r="BK137" i="2"/>
  <c r="BK125" i="2"/>
  <c r="BK70" i="2"/>
  <c r="BK94" i="2"/>
  <c r="BK98" i="2"/>
  <c r="BK103" i="2"/>
  <c r="BK110" i="2"/>
  <c r="BK136" i="2"/>
  <c r="BK105" i="2"/>
  <c r="BK112" i="2"/>
  <c r="BK122" i="2"/>
  <c r="BI85" i="15"/>
  <c r="BI113" i="15"/>
  <c r="BI200" i="15"/>
  <c r="BJ85" i="4"/>
  <c r="BK109" i="4"/>
  <c r="BK131" i="4"/>
  <c r="BK112" i="4"/>
  <c r="BK121" i="4"/>
  <c r="BK73" i="4"/>
  <c r="BK82" i="4"/>
  <c r="BK76" i="4"/>
  <c r="BK138" i="4"/>
  <c r="BK126" i="4"/>
  <c r="BK159" i="4"/>
  <c r="BK133" i="4"/>
  <c r="BK101" i="4"/>
  <c r="BK128" i="4"/>
  <c r="BK98" i="4"/>
  <c r="BK95" i="4"/>
  <c r="BK70" i="4"/>
  <c r="BK122" i="4"/>
  <c r="BK136" i="4"/>
  <c r="BK134" i="4"/>
  <c r="BK129" i="4"/>
  <c r="BK78" i="4"/>
  <c r="BK83" i="4"/>
  <c r="BK110" i="4"/>
  <c r="BK125" i="4"/>
  <c r="BK59" i="4"/>
  <c r="BK108" i="4"/>
  <c r="BK135" i="4"/>
  <c r="BK105" i="4"/>
  <c r="BK81" i="4"/>
  <c r="BK68" i="4"/>
  <c r="BK93" i="4"/>
  <c r="BK102" i="4"/>
  <c r="BK104" i="4"/>
  <c r="BK127" i="4"/>
  <c r="BK69" i="4"/>
  <c r="BK137" i="4"/>
  <c r="BK132" i="4"/>
  <c r="BK72" i="4"/>
  <c r="BK77" i="4"/>
  <c r="BK103" i="4"/>
  <c r="BK107" i="4"/>
  <c r="BK79" i="4"/>
  <c r="BK71" i="4"/>
  <c r="BK111" i="4"/>
  <c r="BK84" i="4"/>
  <c r="BK94" i="4"/>
  <c r="BK80" i="4"/>
  <c r="BJ127" i="15"/>
  <c r="BJ78" i="15"/>
  <c r="BJ112" i="15"/>
  <c r="BJ95" i="15"/>
  <c r="BJ83" i="15"/>
  <c r="BJ70" i="15"/>
  <c r="BJ159" i="15"/>
  <c r="BJ135" i="15"/>
  <c r="BJ198" i="15" s="1"/>
  <c r="BJ198" i="2"/>
  <c r="BJ134" i="15"/>
  <c r="BJ101" i="15"/>
  <c r="BJ126" i="15"/>
  <c r="BI99" i="15"/>
  <c r="BJ129" i="15"/>
  <c r="BJ196" i="15" s="1"/>
  <c r="BJ72" i="15"/>
  <c r="BJ105" i="15"/>
  <c r="BJ81" i="15"/>
  <c r="BJ200" i="2"/>
  <c r="BJ71" i="15"/>
  <c r="BJ113" i="2"/>
  <c r="BJ111" i="15"/>
  <c r="BJ82" i="15"/>
  <c r="BJ131" i="15"/>
  <c r="BJ201" i="2"/>
  <c r="BJ136" i="15"/>
  <c r="BJ125" i="15"/>
  <c r="BJ203" i="2"/>
  <c r="BJ93" i="15"/>
  <c r="BJ109" i="15"/>
  <c r="BJ104" i="15"/>
  <c r="BI202" i="15"/>
  <c r="BJ99" i="4"/>
  <c r="BJ113" i="4"/>
  <c r="J218" i="15"/>
  <c r="CE218" i="15" s="1"/>
  <c r="BJ98" i="15"/>
  <c r="BJ99" i="2"/>
  <c r="BJ80" i="15"/>
  <c r="BJ121" i="15"/>
  <c r="BJ77" i="15"/>
  <c r="BJ102" i="15"/>
  <c r="BJ68" i="15"/>
  <c r="BJ107" i="15"/>
  <c r="BJ106" i="15"/>
  <c r="BJ79" i="15"/>
  <c r="BJ69" i="15"/>
  <c r="BJ199" i="2"/>
  <c r="BJ59" i="15"/>
  <c r="BJ122" i="15"/>
  <c r="BI204" i="15"/>
  <c r="BI203" i="15"/>
  <c r="BI208" i="15"/>
  <c r="BI199" i="15"/>
  <c r="BI201" i="15"/>
  <c r="BI197" i="15"/>
  <c r="CF189" i="4"/>
  <c r="BL193" i="4"/>
  <c r="BT193" i="4"/>
  <c r="BA193" i="4"/>
  <c r="CI187" i="4"/>
  <c r="CJ205" i="4"/>
  <c r="BO193" i="4"/>
  <c r="BN193" i="4"/>
  <c r="CJ207" i="4"/>
  <c r="CI191" i="4"/>
  <c r="CJ189" i="4"/>
  <c r="BB193" i="4"/>
  <c r="BQ193" i="4"/>
  <c r="CI205" i="4"/>
  <c r="BW193" i="4"/>
  <c r="BH193" i="4"/>
  <c r="BK193" i="4"/>
  <c r="BC193" i="4"/>
  <c r="BJ193" i="4"/>
  <c r="BM193" i="4"/>
  <c r="CJ188" i="4"/>
  <c r="CJ191" i="4"/>
  <c r="CI189" i="4"/>
  <c r="BD193" i="4"/>
  <c r="CJ190" i="4"/>
  <c r="BX193" i="4"/>
  <c r="BG193" i="4"/>
  <c r="BV193" i="4"/>
  <c r="BF193" i="4"/>
  <c r="CI188" i="4"/>
  <c r="BI193" i="4"/>
  <c r="BP193" i="4"/>
  <c r="BS193" i="4"/>
  <c r="CJ187" i="4"/>
  <c r="CI190" i="4"/>
  <c r="BR193" i="4"/>
  <c r="CI207" i="4"/>
  <c r="BU193" i="4"/>
  <c r="BE193" i="4"/>
  <c r="CF196" i="4"/>
  <c r="CH204" i="4"/>
  <c r="H141" i="2"/>
  <c r="CF207" i="4"/>
  <c r="CH189" i="4"/>
  <c r="CH188" i="4"/>
  <c r="CH208" i="4"/>
  <c r="CG189" i="4"/>
  <c r="H173" i="15"/>
  <c r="J203" i="15"/>
  <c r="CF196" i="15"/>
  <c r="J26" i="14" s="1"/>
  <c r="V26" i="14" s="1"/>
  <c r="CG196" i="15"/>
  <c r="L26" i="14" s="1"/>
  <c r="X26" i="14" s="1"/>
  <c r="CH191" i="4"/>
  <c r="CH187" i="4"/>
  <c r="CH190" i="4"/>
  <c r="CH201" i="4"/>
  <c r="CF188" i="4"/>
  <c r="CF205" i="4"/>
  <c r="CG205" i="4"/>
  <c r="CH196" i="4"/>
  <c r="CH205" i="4"/>
  <c r="CH198" i="4"/>
  <c r="CH199" i="4"/>
  <c r="CE205" i="4"/>
  <c r="CG196" i="4"/>
  <c r="J141" i="2"/>
  <c r="J166" i="2" s="1"/>
  <c r="J167" i="2" s="1"/>
  <c r="J174" i="2" s="1"/>
  <c r="CE74" i="2"/>
  <c r="CE207" i="4"/>
  <c r="CG207" i="4"/>
  <c r="CH200" i="4"/>
  <c r="CH207" i="4"/>
  <c r="CH202" i="4"/>
  <c r="CH203" i="4"/>
  <c r="CH197" i="4"/>
  <c r="AY193" i="4"/>
  <c r="AV193" i="4"/>
  <c r="AU193" i="4"/>
  <c r="AZ193" i="4"/>
  <c r="AS193" i="4"/>
  <c r="AR193" i="4"/>
  <c r="AW193" i="4"/>
  <c r="AX193" i="4"/>
  <c r="AP193" i="4"/>
  <c r="AO193" i="4"/>
  <c r="AQ193" i="4"/>
  <c r="AT193" i="4"/>
  <c r="J173" i="15"/>
  <c r="AV7" i="15"/>
  <c r="AW7" i="4"/>
  <c r="AK68" i="8"/>
  <c r="J74" i="15"/>
  <c r="U37" i="10"/>
  <c r="U36" i="10"/>
  <c r="P113" i="2"/>
  <c r="P141" i="2" s="1"/>
  <c r="P166" i="2" s="1"/>
  <c r="AG52" i="15"/>
  <c r="H203" i="15"/>
  <c r="J202" i="15"/>
  <c r="AL64" i="8"/>
  <c r="AK40" i="8"/>
  <c r="AJ42" i="8"/>
  <c r="AL52" i="4"/>
  <c r="AL53" i="4" s="1"/>
  <c r="AL188" i="4"/>
  <c r="AL193" i="4" s="1"/>
  <c r="AH52" i="2"/>
  <c r="AH53" i="2" s="1"/>
  <c r="O113" i="15"/>
  <c r="J96" i="15"/>
  <c r="M113" i="15"/>
  <c r="D210" i="4"/>
  <c r="CD210" i="4" s="1"/>
  <c r="N113" i="15"/>
  <c r="D193" i="4"/>
  <c r="CD193" i="4" s="1"/>
  <c r="C210" i="4"/>
  <c r="CC210" i="4" s="1"/>
  <c r="C193" i="4"/>
  <c r="CC193" i="4" s="1"/>
  <c r="M93" i="15"/>
  <c r="M96" i="15"/>
  <c r="O73" i="15"/>
  <c r="O74" i="15"/>
  <c r="N73" i="15"/>
  <c r="N74" i="15"/>
  <c r="AG53" i="15"/>
  <c r="V74" i="15"/>
  <c r="M73" i="15"/>
  <c r="M74" i="15"/>
  <c r="N93" i="15"/>
  <c r="N96" i="15"/>
  <c r="T107" i="15"/>
  <c r="H113" i="15"/>
  <c r="X7" i="15"/>
  <c r="P93" i="15"/>
  <c r="P96" i="15"/>
  <c r="O93" i="15"/>
  <c r="O96" i="15"/>
  <c r="P73" i="15"/>
  <c r="P74" i="15"/>
  <c r="AI19" i="15"/>
  <c r="AI20" i="15" s="1"/>
  <c r="X222" i="15"/>
  <c r="AH45" i="15"/>
  <c r="AH188" i="2"/>
  <c r="AH193" i="2" s="1"/>
  <c r="AG188" i="15"/>
  <c r="AG193" i="15" s="1"/>
  <c r="N107" i="15"/>
  <c r="Z224" i="15"/>
  <c r="P107" i="15"/>
  <c r="O107" i="15"/>
  <c r="Y113" i="2"/>
  <c r="CF113" i="2" s="1"/>
  <c r="M107" i="15"/>
  <c r="Z223" i="15"/>
  <c r="V93" i="15"/>
  <c r="V73" i="15"/>
  <c r="AJ252" i="15"/>
  <c r="AJ253" i="15"/>
  <c r="AK4" i="15"/>
  <c r="AJ2" i="15"/>
  <c r="M203" i="2"/>
  <c r="O202" i="2"/>
  <c r="N202" i="2"/>
  <c r="AF193" i="4"/>
  <c r="N203" i="2"/>
  <c r="T203" i="2"/>
  <c r="P203" i="2"/>
  <c r="O203" i="2"/>
  <c r="P202" i="2"/>
  <c r="V203" i="2"/>
  <c r="V202" i="2"/>
  <c r="M202" i="2"/>
  <c r="AC193" i="4"/>
  <c r="AH193" i="4"/>
  <c r="AG193" i="4"/>
  <c r="AD193" i="4"/>
  <c r="AI193" i="4"/>
  <c r="AE193" i="4"/>
  <c r="AK193" i="4"/>
  <c r="AK71" i="8"/>
  <c r="U4" i="10"/>
  <c r="V5" i="10"/>
  <c r="T193" i="4"/>
  <c r="R193" i="4"/>
  <c r="Q193" i="4"/>
  <c r="T210" i="4"/>
  <c r="Y193" i="4"/>
  <c r="R210" i="4"/>
  <c r="W193" i="4"/>
  <c r="V193" i="4"/>
  <c r="U193" i="4"/>
  <c r="U210" i="4"/>
  <c r="S193" i="4"/>
  <c r="W210" i="4"/>
  <c r="AB193" i="4"/>
  <c r="V210" i="4"/>
  <c r="AA193" i="4"/>
  <c r="Q210" i="4"/>
  <c r="Z193" i="4"/>
  <c r="S210" i="4"/>
  <c r="Q89" i="8"/>
  <c r="Q88" i="8"/>
  <c r="R5" i="8"/>
  <c r="R84" i="8" s="1"/>
  <c r="Q4" i="8"/>
  <c r="N193" i="4"/>
  <c r="K210" i="4"/>
  <c r="K211" i="2"/>
  <c r="O210" i="4"/>
  <c r="N210" i="4"/>
  <c r="P193" i="4"/>
  <c r="M193" i="4"/>
  <c r="O193" i="4"/>
  <c r="M210" i="4"/>
  <c r="P210" i="4"/>
  <c r="K193" i="4"/>
  <c r="E252" i="4"/>
  <c r="E252" i="2"/>
  <c r="M231" i="2"/>
  <c r="P248" i="4"/>
  <c r="L248" i="4"/>
  <c r="H248" i="4"/>
  <c r="F231" i="4"/>
  <c r="O248" i="4"/>
  <c r="N248" i="4"/>
  <c r="M248" i="4"/>
  <c r="K248" i="4"/>
  <c r="J248" i="4"/>
  <c r="I248" i="4"/>
  <c r="G248" i="4"/>
  <c r="F248" i="4"/>
  <c r="E248" i="4"/>
  <c r="P248" i="2"/>
  <c r="O248" i="2"/>
  <c r="N248" i="2"/>
  <c r="M248" i="2"/>
  <c r="L248" i="2"/>
  <c r="K248" i="2"/>
  <c r="J248" i="2"/>
  <c r="I248" i="2"/>
  <c r="H248" i="2"/>
  <c r="G248" i="2"/>
  <c r="F248" i="2"/>
  <c r="E248" i="2"/>
  <c r="P231" i="2"/>
  <c r="O231" i="2"/>
  <c r="N231" i="2"/>
  <c r="N249" i="2" s="1"/>
  <c r="L231" i="2"/>
  <c r="K231" i="2"/>
  <c r="J231" i="2"/>
  <c r="H231" i="2"/>
  <c r="G231" i="2"/>
  <c r="F231" i="2"/>
  <c r="J210" i="4"/>
  <c r="I210" i="4"/>
  <c r="H210" i="4"/>
  <c r="G210" i="4"/>
  <c r="F210" i="4"/>
  <c r="E210" i="4"/>
  <c r="J193" i="4"/>
  <c r="I193" i="4"/>
  <c r="H193" i="4"/>
  <c r="G193" i="4"/>
  <c r="F193" i="4"/>
  <c r="E193" i="4"/>
  <c r="J193" i="2"/>
  <c r="I193" i="2"/>
  <c r="H193" i="2"/>
  <c r="G193" i="2"/>
  <c r="F193" i="2"/>
  <c r="E193" i="2"/>
  <c r="I210" i="2"/>
  <c r="H210" i="2"/>
  <c r="G210" i="2"/>
  <c r="F210" i="2"/>
  <c r="E210" i="2"/>
  <c r="BJ208" i="15" l="1"/>
  <c r="K212" i="2"/>
  <c r="K214" i="2"/>
  <c r="K219" i="2" s="1"/>
  <c r="K220" i="2" s="1"/>
  <c r="BJ200" i="15"/>
  <c r="BK129" i="15"/>
  <c r="BK196" i="15" s="1"/>
  <c r="BK196" i="4"/>
  <c r="BK113" i="4"/>
  <c r="BL108" i="4"/>
  <c r="BL102" i="4"/>
  <c r="BL83" i="4"/>
  <c r="BL70" i="4"/>
  <c r="BL128" i="4"/>
  <c r="BL136" i="4"/>
  <c r="BL105" i="4"/>
  <c r="BL79" i="4"/>
  <c r="BL68" i="4"/>
  <c r="BL77" i="4"/>
  <c r="BL104" i="4"/>
  <c r="BL71" i="4"/>
  <c r="BL110" i="4"/>
  <c r="BL72" i="4"/>
  <c r="BL135" i="4"/>
  <c r="BL93" i="4"/>
  <c r="BL95" i="4"/>
  <c r="BL84" i="4"/>
  <c r="BL112" i="4"/>
  <c r="BL82" i="4"/>
  <c r="BL138" i="4"/>
  <c r="BL125" i="4"/>
  <c r="BL121" i="4"/>
  <c r="BL111" i="4"/>
  <c r="BL126" i="4"/>
  <c r="BL127" i="4"/>
  <c r="BL78" i="4"/>
  <c r="BL132" i="4"/>
  <c r="BL107" i="4"/>
  <c r="BL109" i="4"/>
  <c r="BL94" i="4"/>
  <c r="BL81" i="4"/>
  <c r="BL69" i="4"/>
  <c r="BL137" i="4"/>
  <c r="BL73" i="4"/>
  <c r="BL103" i="4"/>
  <c r="BL159" i="4"/>
  <c r="BL134" i="4"/>
  <c r="BL133" i="4"/>
  <c r="BL131" i="4"/>
  <c r="BL122" i="4"/>
  <c r="BL80" i="4"/>
  <c r="BL129" i="4"/>
  <c r="BL101" i="4"/>
  <c r="BL98" i="4"/>
  <c r="BL76" i="4"/>
  <c r="BL59" i="4"/>
  <c r="BK105" i="15"/>
  <c r="BK98" i="15"/>
  <c r="BK99" i="2"/>
  <c r="BK125" i="15"/>
  <c r="BK128" i="15"/>
  <c r="BK81" i="15"/>
  <c r="BK78" i="15"/>
  <c r="BK59" i="15"/>
  <c r="BK72" i="15"/>
  <c r="BK121" i="15"/>
  <c r="BK102" i="15"/>
  <c r="BK133" i="15"/>
  <c r="BK107" i="15"/>
  <c r="BJ85" i="15"/>
  <c r="BJ199" i="15"/>
  <c r="BJ202" i="15"/>
  <c r="BJ201" i="15"/>
  <c r="BK200" i="4"/>
  <c r="BK199" i="4"/>
  <c r="BK203" i="4"/>
  <c r="BK198" i="4"/>
  <c r="BK208" i="4"/>
  <c r="BK85" i="4"/>
  <c r="BK204" i="4"/>
  <c r="BK136" i="15"/>
  <c r="BK94" i="15"/>
  <c r="BK137" i="15"/>
  <c r="BK79" i="15"/>
  <c r="BK104" i="15"/>
  <c r="BK101" i="15"/>
  <c r="BK126" i="15"/>
  <c r="BK131" i="15"/>
  <c r="BK77" i="15"/>
  <c r="BK198" i="2"/>
  <c r="BK135" i="15"/>
  <c r="BK198" i="15" s="1"/>
  <c r="BK84" i="15"/>
  <c r="BL136" i="2"/>
  <c r="BL108" i="2"/>
  <c r="BL80" i="2"/>
  <c r="BL81" i="2"/>
  <c r="BL72" i="2"/>
  <c r="BL82" i="2"/>
  <c r="BL135" i="2"/>
  <c r="BL79" i="2"/>
  <c r="BL77" i="2"/>
  <c r="BL101" i="2"/>
  <c r="BL110" i="2"/>
  <c r="BL95" i="2"/>
  <c r="BL70" i="2"/>
  <c r="BL107" i="2"/>
  <c r="BL138" i="2"/>
  <c r="BL94" i="2"/>
  <c r="BL111" i="2"/>
  <c r="BL98" i="2"/>
  <c r="BL93" i="2"/>
  <c r="BL73" i="2"/>
  <c r="BL112" i="2"/>
  <c r="BL68" i="2"/>
  <c r="BL137" i="2"/>
  <c r="BL69" i="2"/>
  <c r="BL109" i="2"/>
  <c r="BL102" i="2"/>
  <c r="BL122" i="2"/>
  <c r="BL103" i="2"/>
  <c r="BL83" i="2"/>
  <c r="BL59" i="2"/>
  <c r="BL105" i="2"/>
  <c r="BL132" i="2"/>
  <c r="BL104" i="2"/>
  <c r="BL131" i="2"/>
  <c r="BL78" i="2"/>
  <c r="BL159" i="2"/>
  <c r="BL76" i="2"/>
  <c r="BL133" i="2"/>
  <c r="BL125" i="2"/>
  <c r="BL71" i="2"/>
  <c r="BL128" i="2"/>
  <c r="BL126" i="2"/>
  <c r="BL134" i="2"/>
  <c r="BL121" i="2"/>
  <c r="BL84" i="2"/>
  <c r="BJ113" i="15"/>
  <c r="BK197" i="4"/>
  <c r="BK99" i="4"/>
  <c r="BK201" i="4"/>
  <c r="BK122" i="15"/>
  <c r="BK110" i="15"/>
  <c r="BK208" i="2"/>
  <c r="BK127" i="15"/>
  <c r="BK95" i="15"/>
  <c r="BK109" i="15"/>
  <c r="BK113" i="2"/>
  <c r="BK111" i="15"/>
  <c r="BK108" i="15"/>
  <c r="BK138" i="15"/>
  <c r="BK82" i="15"/>
  <c r="BK68" i="15"/>
  <c r="BK197" i="2"/>
  <c r="BK159" i="15"/>
  <c r="BK201" i="2"/>
  <c r="BK132" i="15"/>
  <c r="BJ99" i="15"/>
  <c r="BJ203" i="15"/>
  <c r="BK202" i="4"/>
  <c r="BK112" i="15"/>
  <c r="BK103" i="15"/>
  <c r="BK70" i="15"/>
  <c r="BK106" i="15"/>
  <c r="BK202" i="2"/>
  <c r="BK73" i="15"/>
  <c r="BK69" i="15"/>
  <c r="BK199" i="2"/>
  <c r="BK80" i="15"/>
  <c r="BK134" i="15"/>
  <c r="BK83" i="15"/>
  <c r="BK204" i="2"/>
  <c r="BK76" i="15"/>
  <c r="BK85" i="2"/>
  <c r="BK203" i="2"/>
  <c r="BK93" i="15"/>
  <c r="BK71" i="15"/>
  <c r="BK200" i="2"/>
  <c r="BJ204" i="15"/>
  <c r="G7" i="10"/>
  <c r="H176" i="15"/>
  <c r="H183" i="15" s="1"/>
  <c r="I7" i="10"/>
  <c r="J176" i="15"/>
  <c r="J183" i="15" s="1"/>
  <c r="CJ193" i="4"/>
  <c r="CI193" i="4"/>
  <c r="CH193" i="4"/>
  <c r="T210" i="2"/>
  <c r="T173" i="15"/>
  <c r="T176" i="15" s="1"/>
  <c r="T183" i="15" s="1"/>
  <c r="CE113" i="2"/>
  <c r="H166" i="2"/>
  <c r="M173" i="15"/>
  <c r="O173" i="15"/>
  <c r="V173" i="15"/>
  <c r="V176" i="15" s="1"/>
  <c r="V183" i="15" s="1"/>
  <c r="P173" i="15"/>
  <c r="AW7" i="15"/>
  <c r="AX7" i="4"/>
  <c r="T203" i="15"/>
  <c r="J210" i="15"/>
  <c r="J211" i="15" s="1"/>
  <c r="H210" i="15"/>
  <c r="AL68" i="8"/>
  <c r="V37" i="10"/>
  <c r="V36" i="10"/>
  <c r="P203" i="15"/>
  <c r="T174" i="2"/>
  <c r="AB113" i="15"/>
  <c r="P113" i="15"/>
  <c r="V96" i="15"/>
  <c r="V141" i="15"/>
  <c r="AH188" i="15"/>
  <c r="AH193" i="15" s="1"/>
  <c r="M202" i="15"/>
  <c r="AH52" i="15"/>
  <c r="O203" i="15"/>
  <c r="AM64" i="8"/>
  <c r="AL40" i="8"/>
  <c r="AK42" i="8"/>
  <c r="AM52" i="4"/>
  <c r="AM53" i="4" s="1"/>
  <c r="AI52" i="2"/>
  <c r="AI53" i="2" s="1"/>
  <c r="P202" i="15"/>
  <c r="N202" i="15"/>
  <c r="C211" i="4"/>
  <c r="C214" i="4" s="1"/>
  <c r="C219" i="4" s="1"/>
  <c r="C220" i="4" s="1"/>
  <c r="D211" i="4"/>
  <c r="D214" i="4" s="1"/>
  <c r="D219" i="4" s="1"/>
  <c r="D220" i="4" s="1"/>
  <c r="J141" i="15"/>
  <c r="Z113" i="15"/>
  <c r="AA113" i="15"/>
  <c r="Y113" i="15"/>
  <c r="M203" i="15"/>
  <c r="O202" i="15"/>
  <c r="AH73" i="15"/>
  <c r="Y73" i="15"/>
  <c r="AB73" i="15"/>
  <c r="AB93" i="15"/>
  <c r="Z93" i="15"/>
  <c r="Y93" i="15"/>
  <c r="N203" i="15"/>
  <c r="AM188" i="4"/>
  <c r="AM193" i="4" s="1"/>
  <c r="H141" i="15"/>
  <c r="AH53" i="15"/>
  <c r="AF107" i="15"/>
  <c r="Z73" i="15"/>
  <c r="AA93" i="15"/>
  <c r="AA73" i="15"/>
  <c r="Y7" i="15"/>
  <c r="T113" i="15"/>
  <c r="Y222" i="15"/>
  <c r="AI45" i="15"/>
  <c r="AI188" i="2"/>
  <c r="AI193" i="2" s="1"/>
  <c r="AJ19" i="15"/>
  <c r="AJ20" i="15" s="1"/>
  <c r="Y107" i="15"/>
  <c r="AA107" i="15"/>
  <c r="AA224" i="15"/>
  <c r="Z107" i="15"/>
  <c r="AA223" i="15"/>
  <c r="AB107" i="15"/>
  <c r="V202" i="15"/>
  <c r="AH203" i="2"/>
  <c r="AH93" i="15"/>
  <c r="V203" i="15"/>
  <c r="AK253" i="15"/>
  <c r="AK252" i="15"/>
  <c r="AK2" i="15"/>
  <c r="AL4" i="15"/>
  <c r="M210" i="2"/>
  <c r="M211" i="2" s="1"/>
  <c r="K211" i="4"/>
  <c r="V210" i="2"/>
  <c r="V211" i="2" s="1"/>
  <c r="P210" i="2"/>
  <c r="P211" i="2" s="1"/>
  <c r="AA203" i="2"/>
  <c r="AA202" i="2"/>
  <c r="AH202" i="2"/>
  <c r="AF203" i="2"/>
  <c r="Z202" i="2"/>
  <c r="Y202" i="2"/>
  <c r="AB202" i="2"/>
  <c r="AB203" i="2"/>
  <c r="Z203" i="2"/>
  <c r="O210" i="2"/>
  <c r="O211" i="2" s="1"/>
  <c r="Y203" i="2"/>
  <c r="AL71" i="8"/>
  <c r="V4" i="10"/>
  <c r="W5" i="10"/>
  <c r="U211" i="4"/>
  <c r="S211" i="4"/>
  <c r="T211" i="4"/>
  <c r="W211" i="4"/>
  <c r="Q211" i="4"/>
  <c r="Q214" i="4" s="1"/>
  <c r="Q219" i="4" s="1"/>
  <c r="Q220" i="4" s="1"/>
  <c r="V211" i="4"/>
  <c r="R211" i="4"/>
  <c r="N211" i="4"/>
  <c r="R89" i="8"/>
  <c r="R88" i="8"/>
  <c r="R4" i="8"/>
  <c r="S5" i="8"/>
  <c r="S84" i="8" s="1"/>
  <c r="H211" i="4"/>
  <c r="E211" i="4"/>
  <c r="E214" i="4" s="1"/>
  <c r="E219" i="4" s="1"/>
  <c r="E220" i="4" s="1"/>
  <c r="I211" i="4"/>
  <c r="F211" i="4"/>
  <c r="M211" i="4"/>
  <c r="O211" i="4"/>
  <c r="P211" i="4"/>
  <c r="J211" i="4"/>
  <c r="E211" i="2"/>
  <c r="E214" i="2" s="1"/>
  <c r="E219" i="2" s="1"/>
  <c r="E220" i="2" s="1"/>
  <c r="I211" i="2"/>
  <c r="G211" i="4"/>
  <c r="F211" i="2"/>
  <c r="G249" i="2"/>
  <c r="G211" i="2"/>
  <c r="H211" i="2"/>
  <c r="K249" i="2"/>
  <c r="O249" i="2"/>
  <c r="M249" i="2"/>
  <c r="E231" i="2"/>
  <c r="E249" i="2" s="1"/>
  <c r="I231" i="2"/>
  <c r="I249" i="2" s="1"/>
  <c r="H249" i="2"/>
  <c r="L249" i="2"/>
  <c r="P249" i="2"/>
  <c r="J249" i="2"/>
  <c r="F249" i="2"/>
  <c r="E231" i="4"/>
  <c r="E249" i="4" s="1"/>
  <c r="F249" i="4"/>
  <c r="J210" i="2"/>
  <c r="J211" i="2" s="1"/>
  <c r="AF1" i="6"/>
  <c r="F4" i="4"/>
  <c r="F4" i="2"/>
  <c r="BK85" i="15" l="1"/>
  <c r="S7" i="10"/>
  <c r="BK202" i="15"/>
  <c r="BK200" i="15"/>
  <c r="M212" i="2"/>
  <c r="M214" i="2"/>
  <c r="M219" i="2" s="1"/>
  <c r="M220" i="2" s="1"/>
  <c r="V212" i="2"/>
  <c r="V214" i="2"/>
  <c r="V219" i="2" s="1"/>
  <c r="V220" i="2" s="1"/>
  <c r="BK203" i="15"/>
  <c r="BK197" i="15"/>
  <c r="M212" i="4"/>
  <c r="M214" i="4"/>
  <c r="M219" i="4" s="1"/>
  <c r="M220" i="4" s="1"/>
  <c r="H212" i="4"/>
  <c r="H214" i="4"/>
  <c r="H219" i="4" s="1"/>
  <c r="H220" i="4" s="1"/>
  <c r="U212" i="4"/>
  <c r="U214" i="4"/>
  <c r="U219" i="4" s="1"/>
  <c r="U220" i="4" s="1"/>
  <c r="J212" i="2"/>
  <c r="J214" i="2"/>
  <c r="J219" i="2" s="1"/>
  <c r="J220" i="2" s="1"/>
  <c r="F212" i="2"/>
  <c r="F214" i="2"/>
  <c r="F219" i="2" s="1"/>
  <c r="F220" i="2" s="1"/>
  <c r="J212" i="4"/>
  <c r="J214" i="4"/>
  <c r="J219" i="4" s="1"/>
  <c r="J220" i="4" s="1"/>
  <c r="F212" i="4"/>
  <c r="F214" i="4"/>
  <c r="F219" i="4" s="1"/>
  <c r="F220" i="4" s="1"/>
  <c r="N212" i="4"/>
  <c r="N214" i="4"/>
  <c r="N219" i="4" s="1"/>
  <c r="N220" i="4" s="1"/>
  <c r="W212" i="4"/>
  <c r="W214" i="4"/>
  <c r="W219" i="4" s="1"/>
  <c r="W220" i="4" s="1"/>
  <c r="H212" i="2"/>
  <c r="H214" i="2"/>
  <c r="H219" i="2" s="1"/>
  <c r="H220" i="2" s="1"/>
  <c r="G212" i="4"/>
  <c r="G214" i="4"/>
  <c r="G219" i="4" s="1"/>
  <c r="G220" i="4" s="1"/>
  <c r="P212" i="4"/>
  <c r="P214" i="4"/>
  <c r="P219" i="4" s="1"/>
  <c r="P220" i="4" s="1"/>
  <c r="I212" i="4"/>
  <c r="I214" i="4"/>
  <c r="I219" i="4" s="1"/>
  <c r="I220" i="4" s="1"/>
  <c r="R212" i="4"/>
  <c r="R214" i="4"/>
  <c r="R219" i="4" s="1"/>
  <c r="R220" i="4" s="1"/>
  <c r="T212" i="4"/>
  <c r="T214" i="4"/>
  <c r="T219" i="4" s="1"/>
  <c r="T220" i="4" s="1"/>
  <c r="O212" i="2"/>
  <c r="O214" i="2"/>
  <c r="O219" i="2" s="1"/>
  <c r="O220" i="2" s="1"/>
  <c r="BK113" i="15"/>
  <c r="P212" i="2"/>
  <c r="P214" i="2"/>
  <c r="P219" i="2" s="1"/>
  <c r="P220" i="2" s="1"/>
  <c r="G212" i="2"/>
  <c r="G214" i="2"/>
  <c r="G219" i="2" s="1"/>
  <c r="G220" i="2" s="1"/>
  <c r="I212" i="2"/>
  <c r="I214" i="2"/>
  <c r="I219" i="2" s="1"/>
  <c r="I220" i="2" s="1"/>
  <c r="O212" i="4"/>
  <c r="O214" i="4"/>
  <c r="O219" i="4" s="1"/>
  <c r="O220" i="4" s="1"/>
  <c r="V212" i="4"/>
  <c r="V214" i="4"/>
  <c r="V219" i="4" s="1"/>
  <c r="V220" i="4" s="1"/>
  <c r="S212" i="4"/>
  <c r="S214" i="4"/>
  <c r="S219" i="4" s="1"/>
  <c r="S220" i="4" s="1"/>
  <c r="K212" i="4"/>
  <c r="K214" i="4"/>
  <c r="K219" i="4" s="1"/>
  <c r="K220" i="4" s="1"/>
  <c r="BL126" i="15"/>
  <c r="BL133" i="15"/>
  <c r="BL131" i="15"/>
  <c r="BL201" i="2"/>
  <c r="CI201" i="2" s="1"/>
  <c r="BL59" i="15"/>
  <c r="BL102" i="15"/>
  <c r="BL68" i="15"/>
  <c r="BL197" i="2"/>
  <c r="BL98" i="15"/>
  <c r="BL99" i="2"/>
  <c r="BL127" i="15"/>
  <c r="BL110" i="15"/>
  <c r="BL208" i="2"/>
  <c r="BL106" i="15"/>
  <c r="BL81" i="15"/>
  <c r="BM98" i="2"/>
  <c r="BM137" i="2"/>
  <c r="BM83" i="2"/>
  <c r="BM122" i="2"/>
  <c r="BM68" i="2"/>
  <c r="BM125" i="2"/>
  <c r="BM132" i="2"/>
  <c r="BM69" i="2"/>
  <c r="BM70" i="2"/>
  <c r="BM135" i="2"/>
  <c r="BM133" i="2"/>
  <c r="BM72" i="2"/>
  <c r="BM138" i="2"/>
  <c r="BM103" i="2"/>
  <c r="BM82" i="2"/>
  <c r="BM76" i="2"/>
  <c r="BM107" i="2"/>
  <c r="BM136" i="2"/>
  <c r="BM134" i="2"/>
  <c r="BM101" i="2"/>
  <c r="BM93" i="2"/>
  <c r="BM126" i="2"/>
  <c r="BM80" i="2"/>
  <c r="BM108" i="2"/>
  <c r="BM94" i="2"/>
  <c r="BM79" i="2"/>
  <c r="BM111" i="2"/>
  <c r="BM109" i="2"/>
  <c r="BM128" i="2"/>
  <c r="BM84" i="2"/>
  <c r="BM78" i="2"/>
  <c r="BM77" i="2"/>
  <c r="BM102" i="2"/>
  <c r="BM121" i="2"/>
  <c r="BM159" i="2"/>
  <c r="BM95" i="2"/>
  <c r="BM105" i="2"/>
  <c r="BM59" i="2"/>
  <c r="BM112" i="2"/>
  <c r="BM73" i="2"/>
  <c r="BM71" i="2"/>
  <c r="BM110" i="2"/>
  <c r="BM104" i="2"/>
  <c r="BM131" i="2"/>
  <c r="BM81" i="2"/>
  <c r="BL99" i="4"/>
  <c r="BL199" i="4"/>
  <c r="CI199" i="4" s="1"/>
  <c r="BL208" i="4"/>
  <c r="CI208" i="4" s="1"/>
  <c r="BL197" i="4"/>
  <c r="CI197" i="4" s="1"/>
  <c r="J212" i="15"/>
  <c r="J214" i="15"/>
  <c r="J219" i="15" s="1"/>
  <c r="J220" i="15" s="1"/>
  <c r="BL84" i="15"/>
  <c r="BL128" i="15"/>
  <c r="BL76" i="15"/>
  <c r="BL204" i="2"/>
  <c r="CI204" i="2" s="1"/>
  <c r="BL85" i="2"/>
  <c r="BL104" i="15"/>
  <c r="BL83" i="15"/>
  <c r="BL109" i="15"/>
  <c r="BL112" i="15"/>
  <c r="BL111" i="15"/>
  <c r="BL107" i="15"/>
  <c r="BL101" i="15"/>
  <c r="BL113" i="2"/>
  <c r="BL135" i="15"/>
  <c r="BL198" i="15" s="1"/>
  <c r="BL198" i="2"/>
  <c r="CI198" i="2" s="1"/>
  <c r="BL80" i="15"/>
  <c r="BK99" i="15"/>
  <c r="BL113" i="4"/>
  <c r="BL201" i="4"/>
  <c r="CI201" i="4" s="1"/>
  <c r="BL203" i="4"/>
  <c r="CI203" i="4" s="1"/>
  <c r="BL200" i="4"/>
  <c r="CI200" i="4" s="1"/>
  <c r="BK204" i="15"/>
  <c r="BK199" i="15"/>
  <c r="BK201" i="15"/>
  <c r="BL121" i="15"/>
  <c r="BL200" i="2"/>
  <c r="BL71" i="15"/>
  <c r="BL159" i="15"/>
  <c r="BL132" i="15"/>
  <c r="BL103" i="15"/>
  <c r="BL69" i="15"/>
  <c r="BL199" i="2"/>
  <c r="BL202" i="2"/>
  <c r="CI202" i="2" s="1"/>
  <c r="BL73" i="15"/>
  <c r="BL202" i="15" s="1"/>
  <c r="BL94" i="15"/>
  <c r="BL70" i="15"/>
  <c r="BL77" i="15"/>
  <c r="BL82" i="15"/>
  <c r="BL108" i="15"/>
  <c r="BL129" i="15"/>
  <c r="BL196" i="15" s="1"/>
  <c r="BL196" i="4"/>
  <c r="CI196" i="4" s="1"/>
  <c r="BL202" i="4"/>
  <c r="CI202" i="4" s="1"/>
  <c r="BL198" i="4"/>
  <c r="CI198" i="4" s="1"/>
  <c r="BM103" i="4"/>
  <c r="BM108" i="4"/>
  <c r="BM95" i="4"/>
  <c r="BM122" i="4"/>
  <c r="BM125" i="4"/>
  <c r="BM102" i="4"/>
  <c r="BM112" i="4"/>
  <c r="BM104" i="4"/>
  <c r="BM135" i="4"/>
  <c r="BM76" i="4"/>
  <c r="BM79" i="4"/>
  <c r="BM109" i="4"/>
  <c r="BM110" i="4"/>
  <c r="BM101" i="4"/>
  <c r="BM70" i="4"/>
  <c r="BM136" i="4"/>
  <c r="BM137" i="4"/>
  <c r="BM77" i="4"/>
  <c r="BM133" i="4"/>
  <c r="BM69" i="4"/>
  <c r="BM131" i="4"/>
  <c r="BM78" i="4"/>
  <c r="BM68" i="4"/>
  <c r="BM132" i="4"/>
  <c r="BM138" i="4"/>
  <c r="BM98" i="4"/>
  <c r="BM127" i="4"/>
  <c r="BM107" i="4"/>
  <c r="BM134" i="4"/>
  <c r="BM80" i="4"/>
  <c r="BM83" i="4"/>
  <c r="BM59" i="4"/>
  <c r="BM105" i="4"/>
  <c r="BM121" i="4"/>
  <c r="BM94" i="4"/>
  <c r="BM71" i="4"/>
  <c r="BM111" i="4"/>
  <c r="BM84" i="4"/>
  <c r="BM129" i="4"/>
  <c r="BM72" i="4"/>
  <c r="BM159" i="4"/>
  <c r="BM93" i="4"/>
  <c r="BM73" i="4"/>
  <c r="BM82" i="4"/>
  <c r="BM81" i="4"/>
  <c r="BM128" i="4"/>
  <c r="BM126" i="4"/>
  <c r="BK208" i="15"/>
  <c r="BL134" i="15"/>
  <c r="BL125" i="15"/>
  <c r="BL78" i="15"/>
  <c r="BL105" i="15"/>
  <c r="BL122" i="15"/>
  <c r="BL137" i="15"/>
  <c r="BL93" i="15"/>
  <c r="BL203" i="2"/>
  <c r="CI203" i="2" s="1"/>
  <c r="BL138" i="15"/>
  <c r="BL95" i="15"/>
  <c r="BL79" i="15"/>
  <c r="BL72" i="15"/>
  <c r="BL136" i="15"/>
  <c r="BL85" i="4"/>
  <c r="BL204" i="4"/>
  <c r="CI204" i="4" s="1"/>
  <c r="N7" i="10"/>
  <c r="N12" i="10" s="1"/>
  <c r="O176" i="15"/>
  <c r="O183" i="15" s="1"/>
  <c r="O7" i="10"/>
  <c r="O12" i="10" s="1"/>
  <c r="P176" i="15"/>
  <c r="P183" i="15" s="1"/>
  <c r="L7" i="10"/>
  <c r="M176" i="15"/>
  <c r="M183" i="15" s="1"/>
  <c r="H167" i="2"/>
  <c r="Q212" i="4"/>
  <c r="D212" i="4"/>
  <c r="CD211" i="4"/>
  <c r="T211" i="2"/>
  <c r="T214" i="2" s="1"/>
  <c r="T219" i="2" s="1"/>
  <c r="T220" i="2" s="1"/>
  <c r="AH203" i="15"/>
  <c r="C212" i="4"/>
  <c r="CC211" i="4"/>
  <c r="T210" i="15"/>
  <c r="F2" i="4"/>
  <c r="F2" i="2"/>
  <c r="AY7" i="4"/>
  <c r="AX7" i="15"/>
  <c r="V167" i="15"/>
  <c r="V174" i="15" s="1"/>
  <c r="V174" i="2"/>
  <c r="E212" i="2"/>
  <c r="E212" i="4"/>
  <c r="H211" i="15"/>
  <c r="H214" i="15" s="1"/>
  <c r="H219" i="15" s="1"/>
  <c r="H220" i="15" s="1"/>
  <c r="AM68" i="8"/>
  <c r="V166" i="15"/>
  <c r="W37" i="10"/>
  <c r="W36" i="10"/>
  <c r="P210" i="15"/>
  <c r="P211" i="15" s="1"/>
  <c r="P167" i="2"/>
  <c r="P174" i="2" s="1"/>
  <c r="AB203" i="15"/>
  <c r="AF203" i="15"/>
  <c r="Z202" i="15"/>
  <c r="M210" i="15"/>
  <c r="M211" i="15" s="1"/>
  <c r="O210" i="15"/>
  <c r="O211" i="15" s="1"/>
  <c r="AI52" i="15"/>
  <c r="AN64" i="8"/>
  <c r="AM40" i="8"/>
  <c r="AL42" i="8"/>
  <c r="AN52" i="4"/>
  <c r="AH202" i="15"/>
  <c r="AB202" i="15"/>
  <c r="AA202" i="15"/>
  <c r="Y202" i="15"/>
  <c r="J166" i="15"/>
  <c r="AF113" i="15"/>
  <c r="U7" i="10"/>
  <c r="U12" i="10" s="1"/>
  <c r="AL73" i="15"/>
  <c r="AK73" i="15"/>
  <c r="AL107" i="15"/>
  <c r="Y203" i="15"/>
  <c r="AM107" i="15"/>
  <c r="AN188" i="4"/>
  <c r="H166" i="15"/>
  <c r="T141" i="15"/>
  <c r="AN107" i="15"/>
  <c r="Z203" i="15"/>
  <c r="Z7" i="15"/>
  <c r="M141" i="15"/>
  <c r="O141" i="15"/>
  <c r="AI53" i="15"/>
  <c r="AN73" i="15"/>
  <c r="AM73" i="15"/>
  <c r="AK107" i="15"/>
  <c r="P141" i="15"/>
  <c r="AK19" i="15"/>
  <c r="AK20" i="15" s="1"/>
  <c r="AA203" i="15"/>
  <c r="AJ45" i="15"/>
  <c r="AJ188" i="15" s="1"/>
  <c r="AJ188" i="2"/>
  <c r="AI188" i="15"/>
  <c r="AI193" i="15" s="1"/>
  <c r="Z222" i="15"/>
  <c r="AB224" i="15"/>
  <c r="AB223" i="15"/>
  <c r="AN203" i="2"/>
  <c r="AN93" i="15"/>
  <c r="AL203" i="2"/>
  <c r="AL93" i="15"/>
  <c r="AK203" i="2"/>
  <c r="AK93" i="15"/>
  <c r="AM203" i="2"/>
  <c r="AM93" i="15"/>
  <c r="V210" i="15"/>
  <c r="V211" i="15" s="1"/>
  <c r="AL253" i="15"/>
  <c r="AL252" i="15"/>
  <c r="AM4" i="15"/>
  <c r="AL2" i="15"/>
  <c r="AN202" i="2"/>
  <c r="AM202" i="2"/>
  <c r="S12" i="10"/>
  <c r="AL202" i="2"/>
  <c r="AK202" i="2"/>
  <c r="AM71" i="8"/>
  <c r="X5" i="10"/>
  <c r="W4" i="10"/>
  <c r="S88" i="8"/>
  <c r="S89" i="8"/>
  <c r="S4" i="8"/>
  <c r="T5" i="8"/>
  <c r="T84" i="8" s="1"/>
  <c r="F252" i="2"/>
  <c r="G4" i="4"/>
  <c r="G2" i="4" s="1"/>
  <c r="F252" i="4"/>
  <c r="G231" i="4"/>
  <c r="G249" i="4" s="1"/>
  <c r="G4" i="2"/>
  <c r="G2" i="2" s="1"/>
  <c r="CI202" i="15" l="1"/>
  <c r="P32" i="14" s="1"/>
  <c r="AB32" i="14" s="1"/>
  <c r="CC212" i="4"/>
  <c r="CC214" i="4"/>
  <c r="CC219" i="4" s="1"/>
  <c r="CC220" i="4" s="1"/>
  <c r="CD212" i="4"/>
  <c r="CD214" i="4"/>
  <c r="CD219" i="4" s="1"/>
  <c r="CD220" i="4" s="1"/>
  <c r="BL203" i="15"/>
  <c r="P212" i="15"/>
  <c r="P214" i="15"/>
  <c r="P219" i="15" s="1"/>
  <c r="P220" i="15" s="1"/>
  <c r="BM200" i="4"/>
  <c r="BM199" i="4"/>
  <c r="BN134" i="4"/>
  <c r="BN102" i="4"/>
  <c r="BN108" i="4"/>
  <c r="BN83" i="4"/>
  <c r="BN110" i="4"/>
  <c r="BN84" i="4"/>
  <c r="BN78" i="4"/>
  <c r="BN126" i="4"/>
  <c r="BN77" i="4"/>
  <c r="BN128" i="4"/>
  <c r="BN135" i="4"/>
  <c r="BN198" i="4" s="1"/>
  <c r="BN159" i="4"/>
  <c r="BN103" i="4"/>
  <c r="BN136" i="4"/>
  <c r="BN127" i="4"/>
  <c r="BN105" i="4"/>
  <c r="BN93" i="4"/>
  <c r="BN98" i="4"/>
  <c r="BN99" i="4" s="1"/>
  <c r="BN73" i="4"/>
  <c r="BN81" i="4"/>
  <c r="BN137" i="4"/>
  <c r="BN107" i="4"/>
  <c r="BN59" i="4"/>
  <c r="BN94" i="4"/>
  <c r="BN121" i="4"/>
  <c r="BN122" i="4"/>
  <c r="BN68" i="4"/>
  <c r="BN82" i="4"/>
  <c r="BN104" i="4"/>
  <c r="BN138" i="4"/>
  <c r="BN131" i="4"/>
  <c r="BN70" i="4"/>
  <c r="BN79" i="4"/>
  <c r="BN112" i="4"/>
  <c r="BN69" i="4"/>
  <c r="BN111" i="4"/>
  <c r="BN125" i="4"/>
  <c r="BN95" i="4"/>
  <c r="BN71" i="4"/>
  <c r="BN76" i="4"/>
  <c r="BN109" i="4"/>
  <c r="BN72" i="4"/>
  <c r="BN80" i="4"/>
  <c r="BN132" i="4"/>
  <c r="BN133" i="4"/>
  <c r="BN101" i="4"/>
  <c r="BN129" i="4"/>
  <c r="CI71" i="15"/>
  <c r="BL200" i="15"/>
  <c r="BL208" i="15"/>
  <c r="BL204" i="15"/>
  <c r="BM104" i="15"/>
  <c r="BM112" i="15"/>
  <c r="BM159" i="15"/>
  <c r="BM77" i="15"/>
  <c r="BM109" i="15"/>
  <c r="BM108" i="15"/>
  <c r="BM113" i="2"/>
  <c r="BM101" i="15"/>
  <c r="BM76" i="15"/>
  <c r="BM204" i="2"/>
  <c r="BM85" i="2"/>
  <c r="BM72" i="15"/>
  <c r="BM69" i="15"/>
  <c r="BM199" i="2"/>
  <c r="BM197" i="2"/>
  <c r="BM68" i="15"/>
  <c r="BM99" i="2"/>
  <c r="BM98" i="15"/>
  <c r="BL99" i="15"/>
  <c r="BL197" i="15"/>
  <c r="V212" i="15"/>
  <c r="V214" i="15"/>
  <c r="V219" i="15" s="1"/>
  <c r="V220" i="15" s="1"/>
  <c r="BM202" i="4"/>
  <c r="BM129" i="15"/>
  <c r="BM196" i="4"/>
  <c r="BM197" i="4"/>
  <c r="BL199" i="15"/>
  <c r="BL85" i="15"/>
  <c r="BM208" i="2"/>
  <c r="BM110" i="15"/>
  <c r="BM59" i="15"/>
  <c r="BM121" i="15"/>
  <c r="BM78" i="15"/>
  <c r="BM111" i="15"/>
  <c r="BM80" i="15"/>
  <c r="BM134" i="15"/>
  <c r="BM82" i="15"/>
  <c r="BM133" i="15"/>
  <c r="BM132" i="15"/>
  <c r="BM122" i="15"/>
  <c r="BN59" i="2"/>
  <c r="BN110" i="2"/>
  <c r="BN103" i="2"/>
  <c r="BN103" i="15" s="1"/>
  <c r="BN72" i="2"/>
  <c r="BN69" i="2"/>
  <c r="BN81" i="2"/>
  <c r="BN132" i="2"/>
  <c r="BN78" i="2"/>
  <c r="BN78" i="15" s="1"/>
  <c r="BN121" i="2"/>
  <c r="BN121" i="15" s="1"/>
  <c r="BN71" i="2"/>
  <c r="BN84" i="2"/>
  <c r="BN84" i="15" s="1"/>
  <c r="BN131" i="2"/>
  <c r="BN122" i="2"/>
  <c r="BN73" i="2"/>
  <c r="BN101" i="2"/>
  <c r="BN138" i="2"/>
  <c r="BN94" i="2"/>
  <c r="BN94" i="15" s="1"/>
  <c r="BN125" i="2"/>
  <c r="BN111" i="2"/>
  <c r="BN102" i="2"/>
  <c r="BN126" i="2"/>
  <c r="BN126" i="15" s="1"/>
  <c r="BN68" i="2"/>
  <c r="BN95" i="2"/>
  <c r="BN80" i="2"/>
  <c r="BN80" i="15" s="1"/>
  <c r="BN107" i="2"/>
  <c r="BN83" i="2"/>
  <c r="BN79" i="2"/>
  <c r="BN79" i="15" s="1"/>
  <c r="BN93" i="2"/>
  <c r="BN98" i="2"/>
  <c r="BN159" i="2"/>
  <c r="BN133" i="2"/>
  <c r="BN133" i="15" s="1"/>
  <c r="BN135" i="2"/>
  <c r="BN137" i="2"/>
  <c r="BN137" i="15" s="1"/>
  <c r="BN109" i="2"/>
  <c r="BN109" i="15" s="1"/>
  <c r="BN134" i="2"/>
  <c r="BN134" i="15" s="1"/>
  <c r="BN77" i="2"/>
  <c r="BN77" i="15" s="1"/>
  <c r="BN76" i="2"/>
  <c r="BN105" i="2"/>
  <c r="BN106" i="15"/>
  <c r="BN112" i="2"/>
  <c r="BN104" i="2"/>
  <c r="BN104" i="15" s="1"/>
  <c r="BN70" i="2"/>
  <c r="BN128" i="2"/>
  <c r="BN128" i="15" s="1"/>
  <c r="BN82" i="2"/>
  <c r="BN136" i="2"/>
  <c r="BN108" i="2"/>
  <c r="O212" i="15"/>
  <c r="O214" i="15"/>
  <c r="O219" i="15" s="1"/>
  <c r="O220" i="15" s="1"/>
  <c r="BM203" i="4"/>
  <c r="BM99" i="4"/>
  <c r="BM113" i="4"/>
  <c r="BM85" i="4"/>
  <c r="BM204" i="4"/>
  <c r="BL113" i="15"/>
  <c r="BM81" i="15"/>
  <c r="BM71" i="15"/>
  <c r="BM200" i="2"/>
  <c r="BM105" i="15"/>
  <c r="BM102" i="15"/>
  <c r="BM84" i="15"/>
  <c r="BM79" i="15"/>
  <c r="BM126" i="15"/>
  <c r="BM136" i="15"/>
  <c r="BM103" i="15"/>
  <c r="BM198" i="2"/>
  <c r="BM135" i="15"/>
  <c r="BM127" i="15"/>
  <c r="BM83" i="15"/>
  <c r="M212" i="15"/>
  <c r="M214" i="15"/>
  <c r="M219" i="15" s="1"/>
  <c r="M220" i="15" s="1"/>
  <c r="BM201" i="4"/>
  <c r="BM208" i="4"/>
  <c r="BM198" i="4"/>
  <c r="BM131" i="15"/>
  <c r="BM201" i="2"/>
  <c r="BM202" i="2"/>
  <c r="BM73" i="15"/>
  <c r="BM95" i="15"/>
  <c r="BM106" i="15"/>
  <c r="BM128" i="15"/>
  <c r="BM94" i="15"/>
  <c r="BM203" i="2"/>
  <c r="BM93" i="15"/>
  <c r="BM107" i="15"/>
  <c r="BM138" i="15"/>
  <c r="BM70" i="15"/>
  <c r="BM125" i="15"/>
  <c r="BM137" i="15"/>
  <c r="BL201" i="15"/>
  <c r="T211" i="15"/>
  <c r="T214" i="15" s="1"/>
  <c r="T219" i="15" s="1"/>
  <c r="T220" i="15" s="1"/>
  <c r="T212" i="2"/>
  <c r="H174" i="2"/>
  <c r="AN53" i="4"/>
  <c r="AN193" i="4"/>
  <c r="CG188" i="4"/>
  <c r="AY7" i="15"/>
  <c r="AZ7" i="4"/>
  <c r="H212" i="15"/>
  <c r="AN68" i="8"/>
  <c r="X37" i="10"/>
  <c r="X36" i="10"/>
  <c r="AK52" i="2"/>
  <c r="AK53" i="2" s="1"/>
  <c r="AM202" i="15"/>
  <c r="AO64" i="8"/>
  <c r="AP64" i="8" s="1"/>
  <c r="AN40" i="8"/>
  <c r="AM42" i="8"/>
  <c r="AL202" i="15"/>
  <c r="AN202" i="15"/>
  <c r="AK202" i="15"/>
  <c r="J167" i="15"/>
  <c r="J174" i="15" s="1"/>
  <c r="AN113" i="15"/>
  <c r="AL113" i="15"/>
  <c r="AM113" i="15"/>
  <c r="AK113" i="15"/>
  <c r="M166" i="15"/>
  <c r="T166" i="15"/>
  <c r="H167" i="15"/>
  <c r="O166" i="15"/>
  <c r="P166" i="15"/>
  <c r="AM203" i="15"/>
  <c r="AL203" i="15"/>
  <c r="AN203" i="15"/>
  <c r="AK203" i="15"/>
  <c r="AA7" i="15"/>
  <c r="AA222" i="15"/>
  <c r="AK45" i="15"/>
  <c r="AK188" i="2"/>
  <c r="AK193" i="2" s="1"/>
  <c r="AL19" i="15"/>
  <c r="AL20" i="15" s="1"/>
  <c r="AD223" i="2"/>
  <c r="AC223" i="15"/>
  <c r="AD224" i="2"/>
  <c r="AC224" i="15"/>
  <c r="AM253" i="15"/>
  <c r="AM252" i="15"/>
  <c r="AN4" i="15"/>
  <c r="AO4" i="15" s="1"/>
  <c r="AM2" i="15"/>
  <c r="AN71" i="8"/>
  <c r="X4" i="10"/>
  <c r="Y5" i="10"/>
  <c r="Z5" i="10" s="1"/>
  <c r="T88" i="8"/>
  <c r="T89" i="8"/>
  <c r="U5" i="8"/>
  <c r="T4" i="8"/>
  <c r="H4" i="4"/>
  <c r="H2" i="4" s="1"/>
  <c r="G252" i="4"/>
  <c r="H4" i="2"/>
  <c r="H2" i="2" s="1"/>
  <c r="G252" i="2"/>
  <c r="H231" i="4"/>
  <c r="H249" i="4" s="1"/>
  <c r="BN102" i="15" l="1"/>
  <c r="BN138" i="15"/>
  <c r="BN111" i="15"/>
  <c r="BN132" i="15"/>
  <c r="BN136" i="15"/>
  <c r="BN107" i="15"/>
  <c r="BN122" i="15"/>
  <c r="BN82" i="15"/>
  <c r="BN202" i="4"/>
  <c r="BN127" i="15"/>
  <c r="BN108" i="15"/>
  <c r="BN59" i="15"/>
  <c r="BN201" i="4"/>
  <c r="BN197" i="4"/>
  <c r="BN113" i="4"/>
  <c r="BN70" i="15"/>
  <c r="BN105" i="15"/>
  <c r="BN159" i="15"/>
  <c r="BN83" i="15"/>
  <c r="BN81" i="15"/>
  <c r="U84" i="8"/>
  <c r="AP68" i="8"/>
  <c r="AQ64" i="8"/>
  <c r="BN95" i="15"/>
  <c r="BN112" i="15"/>
  <c r="BN72" i="15"/>
  <c r="BN197" i="2"/>
  <c r="BN68" i="15"/>
  <c r="BN125" i="15"/>
  <c r="BN73" i="15"/>
  <c r="BN202" i="2"/>
  <c r="BN71" i="15"/>
  <c r="BN200" i="2"/>
  <c r="BN110" i="15"/>
  <c r="BN208" i="2"/>
  <c r="BM208" i="15"/>
  <c r="BM197" i="15"/>
  <c r="BM199" i="15"/>
  <c r="BM85" i="15"/>
  <c r="BM202" i="15"/>
  <c r="BM201" i="15"/>
  <c r="BM198" i="15"/>
  <c r="BN204" i="2"/>
  <c r="BN76" i="15"/>
  <c r="BN204" i="15" s="1"/>
  <c r="BN85" i="2"/>
  <c r="BN99" i="2"/>
  <c r="BN99" i="15" s="1"/>
  <c r="BN98" i="15"/>
  <c r="BN69" i="15"/>
  <c r="BN199" i="15" s="1"/>
  <c r="BN199" i="2"/>
  <c r="BM196" i="15"/>
  <c r="BM113" i="15"/>
  <c r="BN85" i="4"/>
  <c r="BN204" i="4"/>
  <c r="BN203" i="4"/>
  <c r="BN208" i="4"/>
  <c r="BM203" i="15"/>
  <c r="BN198" i="2"/>
  <c r="BN135" i="15"/>
  <c r="BN198" i="15" s="1"/>
  <c r="BN203" i="2"/>
  <c r="BN93" i="15"/>
  <c r="BN201" i="2"/>
  <c r="BN131" i="15"/>
  <c r="BO131" i="2"/>
  <c r="BO76" i="2"/>
  <c r="BO137" i="2"/>
  <c r="BO104" i="2"/>
  <c r="BO111" i="2"/>
  <c r="BO83" i="2"/>
  <c r="BO78" i="2"/>
  <c r="BO128" i="2"/>
  <c r="BO59" i="2"/>
  <c r="BO132" i="2"/>
  <c r="BO125" i="2"/>
  <c r="BO102" i="2"/>
  <c r="BO71" i="2"/>
  <c r="BO109" i="2"/>
  <c r="BO95" i="2"/>
  <c r="BO105" i="2"/>
  <c r="BO81" i="2"/>
  <c r="BO93" i="2"/>
  <c r="BO136" i="2"/>
  <c r="BO79" i="2"/>
  <c r="BO94" i="2"/>
  <c r="BO70" i="2"/>
  <c r="BO121" i="2"/>
  <c r="BO122" i="2"/>
  <c r="BO110" i="2"/>
  <c r="BO107" i="2"/>
  <c r="BO135" i="2"/>
  <c r="BO69" i="2"/>
  <c r="BO98" i="2"/>
  <c r="BO134" i="2"/>
  <c r="BO159" i="2"/>
  <c r="BO138" i="2"/>
  <c r="BO77" i="2"/>
  <c r="BO72" i="2"/>
  <c r="BO112" i="2"/>
  <c r="BO126" i="2"/>
  <c r="BO84" i="2"/>
  <c r="BO68" i="2"/>
  <c r="BO80" i="2"/>
  <c r="BO82" i="2"/>
  <c r="BO101" i="2"/>
  <c r="BO133" i="2"/>
  <c r="BO73" i="2"/>
  <c r="BO103" i="2"/>
  <c r="BO108" i="2"/>
  <c r="BM99" i="15"/>
  <c r="BM204" i="15"/>
  <c r="BN129" i="15"/>
  <c r="BN196" i="15" s="1"/>
  <c r="BN196" i="4"/>
  <c r="BN200" i="4"/>
  <c r="BN199" i="4"/>
  <c r="BO77" i="4"/>
  <c r="BO129" i="4"/>
  <c r="BO72" i="4"/>
  <c r="BO94" i="4"/>
  <c r="BO103" i="4"/>
  <c r="BO83" i="4"/>
  <c r="BO133" i="4"/>
  <c r="BO126" i="4"/>
  <c r="BO79" i="4"/>
  <c r="BO80" i="4"/>
  <c r="BO101" i="4"/>
  <c r="BO59" i="4"/>
  <c r="BO95" i="4"/>
  <c r="BO131" i="4"/>
  <c r="BO111" i="4"/>
  <c r="BO107" i="4"/>
  <c r="BO93" i="4"/>
  <c r="BO159" i="4"/>
  <c r="BO136" i="4"/>
  <c r="BO110" i="4"/>
  <c r="BO137" i="4"/>
  <c r="BO73" i="4"/>
  <c r="BO68" i="4"/>
  <c r="BO135" i="4"/>
  <c r="BO98" i="4"/>
  <c r="BO105" i="4"/>
  <c r="BO109" i="4"/>
  <c r="BO121" i="4"/>
  <c r="BO71" i="4"/>
  <c r="BO102" i="4"/>
  <c r="BO108" i="4"/>
  <c r="BO125" i="4"/>
  <c r="BO69" i="4"/>
  <c r="BO112" i="4"/>
  <c r="BO122" i="4"/>
  <c r="BO82" i="4"/>
  <c r="BO78" i="4"/>
  <c r="BO128" i="4"/>
  <c r="BO76" i="4"/>
  <c r="BO132" i="4"/>
  <c r="BO138" i="4"/>
  <c r="BO127" i="4"/>
  <c r="BO104" i="4"/>
  <c r="BO84" i="4"/>
  <c r="BO70" i="4"/>
  <c r="BO134" i="4"/>
  <c r="BO81" i="4"/>
  <c r="BM200" i="15"/>
  <c r="BN101" i="15"/>
  <c r="BN113" i="2"/>
  <c r="BN113" i="15" s="1"/>
  <c r="AZ7" i="15"/>
  <c r="BA7" i="4"/>
  <c r="H174" i="15"/>
  <c r="T212" i="15"/>
  <c r="AO253" i="15"/>
  <c r="AO252" i="15"/>
  <c r="AP4" i="15"/>
  <c r="AO2" i="15"/>
  <c r="AO68" i="8"/>
  <c r="AC222" i="4"/>
  <c r="AD222" i="4" s="1"/>
  <c r="AE222" i="4" s="1"/>
  <c r="AF222" i="4" s="1"/>
  <c r="AG222" i="4" s="1"/>
  <c r="AH222" i="4" s="1"/>
  <c r="AI222" i="4" s="1"/>
  <c r="AJ222" i="4" s="1"/>
  <c r="AK222" i="4" s="1"/>
  <c r="AL222" i="4" s="1"/>
  <c r="AM222" i="4" s="1"/>
  <c r="AN222" i="4" s="1"/>
  <c r="AK52" i="15"/>
  <c r="Y37" i="10"/>
  <c r="Y36" i="10"/>
  <c r="Z37" i="10"/>
  <c r="Z36" i="10"/>
  <c r="AK188" i="15"/>
  <c r="AO40" i="8"/>
  <c r="AN42" i="8"/>
  <c r="AL52" i="2"/>
  <c r="AL53" i="2" s="1"/>
  <c r="AK53" i="15"/>
  <c r="M167" i="15"/>
  <c r="M174" i="15" s="1"/>
  <c r="P167" i="15"/>
  <c r="P174" i="15" s="1"/>
  <c r="O167" i="15"/>
  <c r="O174" i="15" s="1"/>
  <c r="AB7" i="15"/>
  <c r="T167" i="15"/>
  <c r="AM19" i="15"/>
  <c r="AM20" i="15" s="1"/>
  <c r="AL45" i="15"/>
  <c r="AL188" i="2"/>
  <c r="AL193" i="2" s="1"/>
  <c r="AB222" i="15"/>
  <c r="AE223" i="2"/>
  <c r="AD223" i="15"/>
  <c r="AE224" i="2"/>
  <c r="AD224" i="15"/>
  <c r="AN253" i="15"/>
  <c r="AN252" i="15"/>
  <c r="AN2" i="15"/>
  <c r="AO71" i="8"/>
  <c r="AP71" i="8" s="1"/>
  <c r="AQ71" i="8" s="1"/>
  <c r="AR71" i="8" s="1"/>
  <c r="AS71" i="8" s="1"/>
  <c r="AT71" i="8" s="1"/>
  <c r="AU71" i="8" s="1"/>
  <c r="AV71" i="8" s="1"/>
  <c r="AW71" i="8" s="1"/>
  <c r="AX71" i="8" s="1"/>
  <c r="AY71" i="8" s="1"/>
  <c r="AZ71" i="8" s="1"/>
  <c r="BA71" i="8" s="1"/>
  <c r="BB71" i="8" s="1"/>
  <c r="BC71" i="8" s="1"/>
  <c r="BD71" i="8" s="1"/>
  <c r="BE71" i="8" s="1"/>
  <c r="BF71" i="8" s="1"/>
  <c r="BG71" i="8" s="1"/>
  <c r="BH71" i="8" s="1"/>
  <c r="BI71" i="8" s="1"/>
  <c r="BJ71" i="8" s="1"/>
  <c r="BK71" i="8" s="1"/>
  <c r="BL71" i="8" s="1"/>
  <c r="BM71" i="8" s="1"/>
  <c r="BN71" i="8" s="1"/>
  <c r="BO71" i="8" s="1"/>
  <c r="BP71" i="8" s="1"/>
  <c r="BQ71" i="8" s="1"/>
  <c r="BR71" i="8" s="1"/>
  <c r="BS71" i="8" s="1"/>
  <c r="BT71" i="8" s="1"/>
  <c r="BU71" i="8" s="1"/>
  <c r="BV71" i="8" s="1"/>
  <c r="BW71" i="8" s="1"/>
  <c r="BX71" i="8" s="1"/>
  <c r="BY71" i="8" s="1"/>
  <c r="Y4" i="10"/>
  <c r="AA5" i="10"/>
  <c r="AA36" i="10" s="1"/>
  <c r="Z4" i="10"/>
  <c r="U89" i="8"/>
  <c r="U88" i="8"/>
  <c r="V5" i="8"/>
  <c r="V84" i="8" s="1"/>
  <c r="U4" i="8"/>
  <c r="I4" i="2"/>
  <c r="H252" i="2"/>
  <c r="I4" i="4"/>
  <c r="H252" i="4"/>
  <c r="I231" i="4"/>
  <c r="I249" i="4" s="1"/>
  <c r="BN201" i="15" l="1"/>
  <c r="BN202" i="15"/>
  <c r="BN197" i="15"/>
  <c r="BN200" i="15"/>
  <c r="BN203" i="15"/>
  <c r="BN208" i="15"/>
  <c r="AQ68" i="8"/>
  <c r="AR64" i="8"/>
  <c r="AO42" i="8"/>
  <c r="AP40" i="8"/>
  <c r="BO85" i="4"/>
  <c r="BO204" i="4"/>
  <c r="BO198" i="4"/>
  <c r="BO208" i="4"/>
  <c r="BP98" i="4"/>
  <c r="BP99" i="4" s="1"/>
  <c r="BP84" i="4"/>
  <c r="BP126" i="4"/>
  <c r="BP73" i="4"/>
  <c r="BP136" i="4"/>
  <c r="BP77" i="4"/>
  <c r="BP83" i="4"/>
  <c r="BP79" i="4"/>
  <c r="BP111" i="4"/>
  <c r="BP131" i="4"/>
  <c r="BP127" i="4"/>
  <c r="BP125" i="4"/>
  <c r="BP128" i="4"/>
  <c r="BP70" i="4"/>
  <c r="BP68" i="4"/>
  <c r="BP122" i="4"/>
  <c r="BP102" i="4"/>
  <c r="BP59" i="4"/>
  <c r="BP95" i="4"/>
  <c r="BP129" i="4"/>
  <c r="BP81" i="4"/>
  <c r="BP104" i="4"/>
  <c r="BP121" i="4"/>
  <c r="BP94" i="4"/>
  <c r="BP103" i="4"/>
  <c r="BP134" i="4"/>
  <c r="BP101" i="4"/>
  <c r="BP69" i="4"/>
  <c r="BP137" i="4"/>
  <c r="BP132" i="4"/>
  <c r="BP133" i="4"/>
  <c r="BP71" i="4"/>
  <c r="BP82" i="4"/>
  <c r="BP76" i="4"/>
  <c r="BP105" i="4"/>
  <c r="BP108" i="4"/>
  <c r="BP78" i="4"/>
  <c r="BP93" i="4"/>
  <c r="BP138" i="4"/>
  <c r="BP107" i="4"/>
  <c r="BP80" i="4"/>
  <c r="BP159" i="4"/>
  <c r="BP112" i="4"/>
  <c r="BP109" i="4"/>
  <c r="BP72" i="4"/>
  <c r="BP135" i="4"/>
  <c r="BP198" i="4" s="1"/>
  <c r="BP110" i="4"/>
  <c r="BO108" i="15"/>
  <c r="BO113" i="2"/>
  <c r="BO101" i="15"/>
  <c r="BO84" i="15"/>
  <c r="BO72" i="15"/>
  <c r="BO134" i="15"/>
  <c r="BO107" i="15"/>
  <c r="BO70" i="15"/>
  <c r="BO93" i="15"/>
  <c r="BO203" i="2"/>
  <c r="BO109" i="15"/>
  <c r="BO125" i="15"/>
  <c r="BO78" i="15"/>
  <c r="BO137" i="15"/>
  <c r="BN85" i="15"/>
  <c r="BO197" i="4"/>
  <c r="BO113" i="4"/>
  <c r="BO103" i="15"/>
  <c r="BO82" i="15"/>
  <c r="BO126" i="15"/>
  <c r="BO77" i="15"/>
  <c r="BO99" i="2"/>
  <c r="BO98" i="15"/>
  <c r="BO110" i="15"/>
  <c r="BO208" i="2"/>
  <c r="BO94" i="15"/>
  <c r="BO81" i="15"/>
  <c r="BO71" i="15"/>
  <c r="BO200" i="2"/>
  <c r="BO132" i="15"/>
  <c r="BO83" i="15"/>
  <c r="BO85" i="2"/>
  <c r="BO204" i="2"/>
  <c r="BO76" i="15"/>
  <c r="BO199" i="4"/>
  <c r="BO200" i="4"/>
  <c r="BO202" i="4"/>
  <c r="BO201" i="4"/>
  <c r="BO129" i="15"/>
  <c r="BO196" i="15" s="1"/>
  <c r="BO196" i="4"/>
  <c r="BO73" i="15"/>
  <c r="BO202" i="2"/>
  <c r="BO80" i="15"/>
  <c r="BO112" i="15"/>
  <c r="BO138" i="15"/>
  <c r="BO69" i="15"/>
  <c r="BO199" i="2"/>
  <c r="BO122" i="15"/>
  <c r="BO79" i="15"/>
  <c r="BO105" i="15"/>
  <c r="BO127" i="15"/>
  <c r="BO59" i="15"/>
  <c r="BO111" i="15"/>
  <c r="BO131" i="15"/>
  <c r="BO201" i="15" s="1"/>
  <c r="BO201" i="2"/>
  <c r="BO99" i="4"/>
  <c r="BO203" i="4"/>
  <c r="BO133" i="15"/>
  <c r="BO68" i="15"/>
  <c r="BO197" i="2"/>
  <c r="BO106" i="15"/>
  <c r="BO159" i="15"/>
  <c r="BO135" i="15"/>
  <c r="BO198" i="15" s="1"/>
  <c r="BO198" i="2"/>
  <c r="BO121" i="15"/>
  <c r="BO136" i="15"/>
  <c r="BO95" i="15"/>
  <c r="BO102" i="15"/>
  <c r="BO128" i="15"/>
  <c r="BO104" i="15"/>
  <c r="BP122" i="2"/>
  <c r="BP122" i="15" s="1"/>
  <c r="BP94" i="2"/>
  <c r="BP83" i="2"/>
  <c r="BP83" i="15" s="1"/>
  <c r="BP131" i="2"/>
  <c r="BP59" i="2"/>
  <c r="BP110" i="2"/>
  <c r="BP121" i="2"/>
  <c r="BP121" i="15" s="1"/>
  <c r="BP138" i="2"/>
  <c r="BP138" i="15" s="1"/>
  <c r="BP82" i="2"/>
  <c r="BP93" i="2"/>
  <c r="BP106" i="15"/>
  <c r="BP125" i="2"/>
  <c r="BP126" i="2"/>
  <c r="BP126" i="15" s="1"/>
  <c r="BP72" i="2"/>
  <c r="BP72" i="15" s="1"/>
  <c r="BP73" i="2"/>
  <c r="BP103" i="2"/>
  <c r="BP77" i="2"/>
  <c r="BP98" i="2"/>
  <c r="BP135" i="2"/>
  <c r="BP76" i="2"/>
  <c r="BP137" i="2"/>
  <c r="BP95" i="2"/>
  <c r="BP95" i="15" s="1"/>
  <c r="BP105" i="2"/>
  <c r="BP105" i="15" s="1"/>
  <c r="BP68" i="2"/>
  <c r="BP107" i="2"/>
  <c r="BP107" i="15" s="1"/>
  <c r="BP78" i="2"/>
  <c r="BP78" i="15" s="1"/>
  <c r="BP71" i="2"/>
  <c r="BP80" i="2"/>
  <c r="BP108" i="2"/>
  <c r="BP133" i="2"/>
  <c r="BP101" i="2"/>
  <c r="BP111" i="2"/>
  <c r="BP81" i="2"/>
  <c r="BP104" i="2"/>
  <c r="BP112" i="2"/>
  <c r="BP69" i="2"/>
  <c r="BP134" i="2"/>
  <c r="BP79" i="2"/>
  <c r="BP102" i="2"/>
  <c r="BP159" i="2"/>
  <c r="BP70" i="2"/>
  <c r="BP136" i="2"/>
  <c r="BP136" i="15" s="1"/>
  <c r="BP127" i="15"/>
  <c r="BP84" i="2"/>
  <c r="BP109" i="2"/>
  <c r="BP109" i="15" s="1"/>
  <c r="BP132" i="2"/>
  <c r="BP128" i="2"/>
  <c r="BB7" i="4"/>
  <c r="BA7" i="15"/>
  <c r="T174" i="15"/>
  <c r="I2" i="2"/>
  <c r="I2" i="4"/>
  <c r="AP253" i="15"/>
  <c r="AP252" i="15"/>
  <c r="AP2" i="15"/>
  <c r="AQ4" i="15"/>
  <c r="AK193" i="15"/>
  <c r="AL52" i="15"/>
  <c r="AM52" i="2"/>
  <c r="AM53" i="2" s="1"/>
  <c r="AL53" i="15"/>
  <c r="AC7" i="15"/>
  <c r="AL188" i="15"/>
  <c r="AL193" i="15" s="1"/>
  <c r="AM45" i="15"/>
  <c r="AM188" i="2"/>
  <c r="AM193" i="2" s="1"/>
  <c r="AD222" i="2"/>
  <c r="AC222" i="15"/>
  <c r="AN19" i="15"/>
  <c r="AF224" i="2"/>
  <c r="AE224" i="15"/>
  <c r="AF223" i="2"/>
  <c r="AE223" i="15"/>
  <c r="AB5" i="10"/>
  <c r="AB36" i="10" s="1"/>
  <c r="AA37" i="10"/>
  <c r="AA4" i="10"/>
  <c r="V88" i="8"/>
  <c r="V89" i="8"/>
  <c r="V4" i="8"/>
  <c r="W5" i="8"/>
  <c r="W84" i="8" s="1"/>
  <c r="J4" i="2"/>
  <c r="J2" i="2" s="1"/>
  <c r="I252" i="2"/>
  <c r="J4" i="4"/>
  <c r="J2" i="4" s="1"/>
  <c r="I252" i="4"/>
  <c r="J231" i="4"/>
  <c r="J249" i="4" s="1"/>
  <c r="BP81" i="15" l="1"/>
  <c r="BP137" i="15"/>
  <c r="BP82" i="15"/>
  <c r="BO85" i="15"/>
  <c r="BP80" i="15"/>
  <c r="BP103" i="15"/>
  <c r="BP128" i="15"/>
  <c r="BP102" i="15"/>
  <c r="BO199" i="15"/>
  <c r="AN20" i="15"/>
  <c r="AO20" i="15"/>
  <c r="BP70" i="15"/>
  <c r="BP59" i="15"/>
  <c r="BP84" i="15"/>
  <c r="BP159" i="15"/>
  <c r="BP132" i="15"/>
  <c r="BP79" i="15"/>
  <c r="BP104" i="15"/>
  <c r="BP94" i="15"/>
  <c r="AQ40" i="8"/>
  <c r="AP42" i="8"/>
  <c r="AR68" i="8"/>
  <c r="AS64" i="8"/>
  <c r="BP203" i="4"/>
  <c r="BP202" i="4"/>
  <c r="BP133" i="15"/>
  <c r="BP98" i="15"/>
  <c r="BP99" i="2"/>
  <c r="BP99" i="15" s="1"/>
  <c r="BP208" i="2"/>
  <c r="BP110" i="15"/>
  <c r="BP134" i="15"/>
  <c r="BP69" i="15"/>
  <c r="BP199" i="2"/>
  <c r="BP76" i="15"/>
  <c r="BP204" i="2"/>
  <c r="BP85" i="2"/>
  <c r="BP125" i="15"/>
  <c r="BP201" i="2"/>
  <c r="BP131" i="15"/>
  <c r="BQ73" i="2"/>
  <c r="BQ128" i="2"/>
  <c r="BQ112" i="2"/>
  <c r="BQ159" i="2"/>
  <c r="BQ71" i="2"/>
  <c r="BQ138" i="2"/>
  <c r="BQ95" i="2"/>
  <c r="BQ122" i="2"/>
  <c r="BQ111" i="2"/>
  <c r="BQ81" i="2"/>
  <c r="BQ105" i="2"/>
  <c r="BQ135" i="2"/>
  <c r="BQ68" i="2"/>
  <c r="BQ77" i="2"/>
  <c r="BQ137" i="2"/>
  <c r="BQ84" i="2"/>
  <c r="BQ133" i="2"/>
  <c r="BQ59" i="2"/>
  <c r="BQ80" i="2"/>
  <c r="BQ131" i="2"/>
  <c r="BQ79" i="2"/>
  <c r="BQ101" i="2"/>
  <c r="BQ83" i="2"/>
  <c r="BQ126" i="2"/>
  <c r="BQ104" i="2"/>
  <c r="BQ76" i="2"/>
  <c r="BQ108" i="2"/>
  <c r="BQ109" i="2"/>
  <c r="BQ103" i="2"/>
  <c r="BQ136" i="2"/>
  <c r="BQ107" i="2"/>
  <c r="BQ98" i="2"/>
  <c r="BQ94" i="2"/>
  <c r="BQ70" i="2"/>
  <c r="BQ72" i="2"/>
  <c r="BQ110" i="2"/>
  <c r="BQ121" i="2"/>
  <c r="BQ78" i="2"/>
  <c r="BQ82" i="2"/>
  <c r="BQ69" i="2"/>
  <c r="BQ93" i="2"/>
  <c r="BQ132" i="2"/>
  <c r="BQ125" i="2"/>
  <c r="BQ134" i="2"/>
  <c r="BQ102" i="2"/>
  <c r="BO202" i="15"/>
  <c r="BO113" i="15"/>
  <c r="BP85" i="4"/>
  <c r="BP204" i="4"/>
  <c r="BP201" i="4"/>
  <c r="BP108" i="15"/>
  <c r="BP77" i="15"/>
  <c r="BP111" i="15"/>
  <c r="BP197" i="2"/>
  <c r="BP68" i="15"/>
  <c r="BO197" i="15"/>
  <c r="BP112" i="15"/>
  <c r="BP101" i="15"/>
  <c r="BP113" i="2"/>
  <c r="BP71" i="15"/>
  <c r="BP200" i="2"/>
  <c r="BP198" i="2"/>
  <c r="BP135" i="15"/>
  <c r="BP198" i="15" s="1"/>
  <c r="BP218" i="15"/>
  <c r="BP73" i="15"/>
  <c r="BP202" i="2"/>
  <c r="BO218" i="15"/>
  <c r="BO99" i="15"/>
  <c r="BP203" i="2"/>
  <c r="BP93" i="15"/>
  <c r="BO203" i="15"/>
  <c r="BP208" i="4"/>
  <c r="BP200" i="4"/>
  <c r="BP199" i="4"/>
  <c r="BP129" i="15"/>
  <c r="BP196" i="15" s="1"/>
  <c r="BP196" i="4"/>
  <c r="BQ81" i="4"/>
  <c r="BQ104" i="4"/>
  <c r="BQ70" i="4"/>
  <c r="BQ69" i="4"/>
  <c r="BQ137" i="4"/>
  <c r="BQ133" i="4"/>
  <c r="BQ121" i="4"/>
  <c r="BQ59" i="4"/>
  <c r="BQ105" i="4"/>
  <c r="BQ68" i="4"/>
  <c r="BQ107" i="4"/>
  <c r="BQ94" i="4"/>
  <c r="BQ98" i="4"/>
  <c r="BQ111" i="4"/>
  <c r="BQ134" i="4"/>
  <c r="BQ80" i="4"/>
  <c r="BQ127" i="4"/>
  <c r="BQ76" i="4"/>
  <c r="BQ82" i="4"/>
  <c r="BQ79" i="4"/>
  <c r="BQ83" i="4"/>
  <c r="BQ101" i="4"/>
  <c r="BQ136" i="4"/>
  <c r="BQ135" i="4"/>
  <c r="BQ198" i="4" s="1"/>
  <c r="BQ108" i="4"/>
  <c r="BQ126" i="4"/>
  <c r="BQ93" i="4"/>
  <c r="BQ128" i="4"/>
  <c r="BQ110" i="4"/>
  <c r="BQ73" i="4"/>
  <c r="BQ122" i="4"/>
  <c r="BQ84" i="4"/>
  <c r="BQ132" i="4"/>
  <c r="BQ77" i="4"/>
  <c r="BQ129" i="4"/>
  <c r="BQ78" i="4"/>
  <c r="BQ131" i="4"/>
  <c r="BQ125" i="4"/>
  <c r="BQ102" i="4"/>
  <c r="BQ103" i="4"/>
  <c r="BQ112" i="4"/>
  <c r="BQ159" i="4"/>
  <c r="BQ109" i="4"/>
  <c r="BQ95" i="4"/>
  <c r="BQ71" i="4"/>
  <c r="BQ72" i="4"/>
  <c r="BQ138" i="4"/>
  <c r="BO204" i="15"/>
  <c r="BO200" i="15"/>
  <c r="BO208" i="15"/>
  <c r="BP113" i="4"/>
  <c r="BP197" i="4"/>
  <c r="BC7" i="4"/>
  <c r="BB7" i="15"/>
  <c r="AQ253" i="15"/>
  <c r="AQ252" i="15"/>
  <c r="AQ2" i="15"/>
  <c r="AR4" i="15"/>
  <c r="AM52" i="15"/>
  <c r="AN52" i="2"/>
  <c r="AD7" i="15"/>
  <c r="AM53" i="15"/>
  <c r="AN45" i="15"/>
  <c r="AN188" i="2"/>
  <c r="AM188" i="15"/>
  <c r="AM193" i="15" s="1"/>
  <c r="AE222" i="2"/>
  <c r="AD222" i="15"/>
  <c r="AG223" i="2"/>
  <c r="AF223" i="15"/>
  <c r="AG224" i="2"/>
  <c r="AF224" i="15"/>
  <c r="AC5" i="10"/>
  <c r="AC36" i="10" s="1"/>
  <c r="AB37" i="10"/>
  <c r="AB4" i="10"/>
  <c r="W88" i="8"/>
  <c r="W89" i="8"/>
  <c r="W4" i="8"/>
  <c r="X5" i="8"/>
  <c r="X84" i="8" s="1"/>
  <c r="K4" i="4"/>
  <c r="K2" i="4" s="1"/>
  <c r="J252" i="4"/>
  <c r="K4" i="2"/>
  <c r="K2" i="2" s="1"/>
  <c r="J252" i="2"/>
  <c r="K231" i="4"/>
  <c r="K249" i="4" s="1"/>
  <c r="BP201" i="15" l="1"/>
  <c r="BP197" i="15"/>
  <c r="BP200" i="15"/>
  <c r="BP202" i="15"/>
  <c r="BP204" i="15"/>
  <c r="AS68" i="8"/>
  <c r="AT64" i="8"/>
  <c r="AR40" i="8"/>
  <c r="AQ42" i="8"/>
  <c r="BQ208" i="4"/>
  <c r="CJ218" i="15"/>
  <c r="BQ99" i="4"/>
  <c r="BQ102" i="15"/>
  <c r="BQ93" i="15"/>
  <c r="BQ203" i="2"/>
  <c r="BQ121" i="15"/>
  <c r="BQ70" i="15"/>
  <c r="BQ136" i="15"/>
  <c r="BQ204" i="2"/>
  <c r="BQ76" i="15"/>
  <c r="BQ85" i="2"/>
  <c r="BQ101" i="15"/>
  <c r="BQ113" i="2"/>
  <c r="BQ59" i="15"/>
  <c r="BQ77" i="15"/>
  <c r="BQ81" i="15"/>
  <c r="BQ138" i="15"/>
  <c r="BQ128" i="15"/>
  <c r="BQ129" i="15"/>
  <c r="BQ196" i="15" s="1"/>
  <c r="BQ196" i="4"/>
  <c r="BQ199" i="4"/>
  <c r="BR77" i="4"/>
  <c r="BR110" i="4"/>
  <c r="BR73" i="4"/>
  <c r="BR101" i="4"/>
  <c r="BR131" i="4"/>
  <c r="BR137" i="4"/>
  <c r="BR132" i="4"/>
  <c r="BR128" i="4"/>
  <c r="BR104" i="4"/>
  <c r="BR71" i="4"/>
  <c r="BR80" i="4"/>
  <c r="BR84" i="4"/>
  <c r="BR107" i="4"/>
  <c r="BR95" i="4"/>
  <c r="BR109" i="4"/>
  <c r="BR68" i="4"/>
  <c r="BR105" i="4"/>
  <c r="BR83" i="4"/>
  <c r="BR122" i="4"/>
  <c r="BR135" i="4"/>
  <c r="BR198" i="4" s="1"/>
  <c r="BR82" i="4"/>
  <c r="BR112" i="4"/>
  <c r="BR159" i="4"/>
  <c r="BR78" i="4"/>
  <c r="BR76" i="4"/>
  <c r="BR72" i="4"/>
  <c r="BR103" i="4"/>
  <c r="BR59" i="4"/>
  <c r="BR93" i="4"/>
  <c r="BR125" i="4"/>
  <c r="BR81" i="4"/>
  <c r="BR136" i="4"/>
  <c r="BR121" i="4"/>
  <c r="BR127" i="4"/>
  <c r="BR129" i="4"/>
  <c r="BR133" i="4"/>
  <c r="BR138" i="4"/>
  <c r="BR102" i="4"/>
  <c r="BR70" i="4"/>
  <c r="BR69" i="4"/>
  <c r="BR79" i="4"/>
  <c r="BR134" i="4"/>
  <c r="BR108" i="4"/>
  <c r="BR98" i="4"/>
  <c r="BR99" i="4" s="1"/>
  <c r="BR111" i="4"/>
  <c r="BR94" i="4"/>
  <c r="BR126" i="4"/>
  <c r="BQ134" i="15"/>
  <c r="BQ69" i="15"/>
  <c r="BQ199" i="2"/>
  <c r="BQ110" i="15"/>
  <c r="BQ208" i="2"/>
  <c r="BQ94" i="15"/>
  <c r="BQ103" i="15"/>
  <c r="BQ104" i="15"/>
  <c r="BQ79" i="15"/>
  <c r="BQ133" i="15"/>
  <c r="BQ68" i="15"/>
  <c r="BQ197" i="2"/>
  <c r="BQ111" i="15"/>
  <c r="BQ71" i="15"/>
  <c r="BQ200" i="2"/>
  <c r="BQ106" i="15"/>
  <c r="BP85" i="15"/>
  <c r="BQ203" i="4"/>
  <c r="BP203" i="15"/>
  <c r="BQ125" i="15"/>
  <c r="BQ82" i="15"/>
  <c r="BQ127" i="15"/>
  <c r="BQ99" i="2"/>
  <c r="BQ98" i="15"/>
  <c r="BQ109" i="15"/>
  <c r="BQ126" i="15"/>
  <c r="BQ131" i="15"/>
  <c r="BQ201" i="2"/>
  <c r="BQ84" i="15"/>
  <c r="BQ198" i="2"/>
  <c r="BQ135" i="15"/>
  <c r="BQ122" i="15"/>
  <c r="BQ159" i="15"/>
  <c r="BQ73" i="15"/>
  <c r="BQ202" i="2"/>
  <c r="BP199" i="15"/>
  <c r="BP208" i="15"/>
  <c r="BQ200" i="4"/>
  <c r="BQ201" i="4"/>
  <c r="BQ202" i="4"/>
  <c r="BQ113" i="4"/>
  <c r="BQ85" i="4"/>
  <c r="BQ204" i="4"/>
  <c r="BQ197" i="4"/>
  <c r="BP113" i="15"/>
  <c r="BQ132" i="15"/>
  <c r="BQ78" i="15"/>
  <c r="BQ72" i="15"/>
  <c r="BQ107" i="15"/>
  <c r="BQ108" i="15"/>
  <c r="BQ83" i="15"/>
  <c r="BQ80" i="15"/>
  <c r="BQ137" i="15"/>
  <c r="BQ105" i="15"/>
  <c r="BQ95" i="15"/>
  <c r="BQ112" i="15"/>
  <c r="BR103" i="2"/>
  <c r="BR121" i="2"/>
  <c r="BR121" i="15" s="1"/>
  <c r="BR131" i="2"/>
  <c r="BR105" i="2"/>
  <c r="BR109" i="2"/>
  <c r="BR138" i="2"/>
  <c r="BR69" i="2"/>
  <c r="BR133" i="2"/>
  <c r="BR80" i="2"/>
  <c r="BR102" i="2"/>
  <c r="BR102" i="15" s="1"/>
  <c r="BR136" i="2"/>
  <c r="BR137" i="2"/>
  <c r="BR59" i="2"/>
  <c r="BR68" i="2"/>
  <c r="BR73" i="2"/>
  <c r="BR84" i="2"/>
  <c r="BR83" i="2"/>
  <c r="BR135" i="2"/>
  <c r="BR126" i="2"/>
  <c r="BR93" i="2"/>
  <c r="BR76" i="2"/>
  <c r="BR79" i="2"/>
  <c r="BR79" i="15" s="1"/>
  <c r="BR132" i="2"/>
  <c r="BR94" i="2"/>
  <c r="BR81" i="2"/>
  <c r="BR104" i="2"/>
  <c r="BR104" i="15" s="1"/>
  <c r="BR110" i="2"/>
  <c r="BR95" i="2"/>
  <c r="BR95" i="15" s="1"/>
  <c r="BR78" i="2"/>
  <c r="BR122" i="2"/>
  <c r="BR77" i="2"/>
  <c r="BR72" i="2"/>
  <c r="BR159" i="2"/>
  <c r="BR159" i="15" s="1"/>
  <c r="BR101" i="2"/>
  <c r="BR108" i="2"/>
  <c r="BR134" i="2"/>
  <c r="BR134" i="15" s="1"/>
  <c r="BR98" i="2"/>
  <c r="BR82" i="2"/>
  <c r="BR128" i="2"/>
  <c r="BR112" i="2"/>
  <c r="BR70" i="2"/>
  <c r="BR71" i="2"/>
  <c r="BR125" i="2"/>
  <c r="BR111" i="2"/>
  <c r="BR107" i="2"/>
  <c r="BD7" i="4"/>
  <c r="BC7" i="15"/>
  <c r="CF188" i="2"/>
  <c r="CG188" i="2"/>
  <c r="AN53" i="2"/>
  <c r="AN53" i="15" s="1"/>
  <c r="CF45" i="15"/>
  <c r="CG45" i="15"/>
  <c r="AR253" i="15"/>
  <c r="AR252" i="15"/>
  <c r="AS4" i="15"/>
  <c r="AR2" i="15"/>
  <c r="AN52" i="15"/>
  <c r="AE7" i="15"/>
  <c r="AF222" i="2"/>
  <c r="AE222" i="15"/>
  <c r="AN193" i="2"/>
  <c r="AN188" i="15"/>
  <c r="AH224" i="2"/>
  <c r="AG224" i="15"/>
  <c r="AH223" i="2"/>
  <c r="AG223" i="15"/>
  <c r="AC37" i="10"/>
  <c r="AC4" i="10"/>
  <c r="AD5" i="10"/>
  <c r="AD36" i="10" s="1"/>
  <c r="X89" i="8"/>
  <c r="X88" i="8"/>
  <c r="Y5" i="8"/>
  <c r="X4" i="8"/>
  <c r="L4" i="4"/>
  <c r="L2" i="4" s="1"/>
  <c r="K252" i="4"/>
  <c r="L4" i="2"/>
  <c r="L2" i="2" s="1"/>
  <c r="K252" i="2"/>
  <c r="L231" i="4"/>
  <c r="L249" i="4" s="1"/>
  <c r="BR105" i="15" l="1"/>
  <c r="BR128" i="15"/>
  <c r="BR133" i="15"/>
  <c r="BR59" i="15"/>
  <c r="AU64" i="8"/>
  <c r="AT68" i="8"/>
  <c r="AR42" i="8"/>
  <c r="AS40" i="8"/>
  <c r="BR106" i="15"/>
  <c r="BR201" i="4"/>
  <c r="BR125" i="15"/>
  <c r="BR108" i="15"/>
  <c r="BR94" i="15"/>
  <c r="BR203" i="2"/>
  <c r="BR93" i="15"/>
  <c r="BR84" i="15"/>
  <c r="BR137" i="15"/>
  <c r="BR103" i="15"/>
  <c r="BR107" i="15"/>
  <c r="BR127" i="15"/>
  <c r="BR131" i="15"/>
  <c r="BR201" i="2"/>
  <c r="BQ202" i="15"/>
  <c r="BR129" i="15"/>
  <c r="BR196" i="4"/>
  <c r="BR202" i="4"/>
  <c r="BQ85" i="15"/>
  <c r="BQ203" i="15"/>
  <c r="BR70" i="15"/>
  <c r="BR98" i="15"/>
  <c r="BR99" i="2"/>
  <c r="BR99" i="15" s="1"/>
  <c r="BR122" i="15"/>
  <c r="BR135" i="15"/>
  <c r="BR198" i="15" s="1"/>
  <c r="BR198" i="2"/>
  <c r="BR68" i="15"/>
  <c r="BR197" i="2"/>
  <c r="BR138" i="15"/>
  <c r="BR111" i="15"/>
  <c r="BR112" i="15"/>
  <c r="BR78" i="15"/>
  <c r="BR81" i="15"/>
  <c r="BR76" i="15"/>
  <c r="BR204" i="15" s="1"/>
  <c r="BR85" i="2"/>
  <c r="BR204" i="2"/>
  <c r="BR83" i="15"/>
  <c r="BR80" i="15"/>
  <c r="BR109" i="15"/>
  <c r="BQ198" i="15"/>
  <c r="BQ201" i="15"/>
  <c r="BQ99" i="15"/>
  <c r="BQ208" i="15"/>
  <c r="BR200" i="4"/>
  <c r="BR208" i="4"/>
  <c r="BQ204" i="15"/>
  <c r="BR72" i="15"/>
  <c r="BQ200" i="15"/>
  <c r="BQ197" i="15"/>
  <c r="BR199" i="4"/>
  <c r="BR203" i="4"/>
  <c r="BR85" i="4"/>
  <c r="BR204" i="4"/>
  <c r="BQ113" i="15"/>
  <c r="BR200" i="2"/>
  <c r="BR71" i="15"/>
  <c r="BR82" i="15"/>
  <c r="BR101" i="15"/>
  <c r="BR113" i="2"/>
  <c r="BR77" i="15"/>
  <c r="BR110" i="15"/>
  <c r="BR208" i="2"/>
  <c r="BR132" i="15"/>
  <c r="BR126" i="15"/>
  <c r="BR202" i="2"/>
  <c r="BR73" i="15"/>
  <c r="BR202" i="15" s="1"/>
  <c r="BR136" i="15"/>
  <c r="BR69" i="15"/>
  <c r="BR199" i="2"/>
  <c r="BS59" i="2"/>
  <c r="BS70" i="2"/>
  <c r="BS79" i="2"/>
  <c r="BS71" i="2"/>
  <c r="BS98" i="2"/>
  <c r="BS77" i="2"/>
  <c r="BS134" i="2"/>
  <c r="BS69" i="2"/>
  <c r="BS73" i="2"/>
  <c r="BS132" i="2"/>
  <c r="BS133" i="2"/>
  <c r="BS80" i="2"/>
  <c r="BS93" i="2"/>
  <c r="BS83" i="2"/>
  <c r="BS109" i="2"/>
  <c r="BS78" i="2"/>
  <c r="BS136" i="2"/>
  <c r="BS137" i="2"/>
  <c r="BS84" i="2"/>
  <c r="BS81" i="2"/>
  <c r="BS159" i="2"/>
  <c r="BS108" i="2"/>
  <c r="BS122" i="2"/>
  <c r="BS121" i="2"/>
  <c r="BS102" i="2"/>
  <c r="BS94" i="2"/>
  <c r="BS76" i="2"/>
  <c r="BS125" i="2"/>
  <c r="BS110" i="2"/>
  <c r="BS112" i="2"/>
  <c r="BS128" i="2"/>
  <c r="BS105" i="2"/>
  <c r="BS95" i="2"/>
  <c r="BS131" i="2"/>
  <c r="BS126" i="2"/>
  <c r="BS107" i="2"/>
  <c r="BS104" i="2"/>
  <c r="BS135" i="2"/>
  <c r="BS68" i="2"/>
  <c r="BS138" i="2"/>
  <c r="BS101" i="2"/>
  <c r="BS72" i="2"/>
  <c r="BS111" i="2"/>
  <c r="BS103" i="2"/>
  <c r="BS82" i="2"/>
  <c r="BQ199" i="15"/>
  <c r="BR197" i="4"/>
  <c r="BR113" i="4"/>
  <c r="BS101" i="4"/>
  <c r="BS94" i="4"/>
  <c r="BS93" i="4"/>
  <c r="BS125" i="4"/>
  <c r="BS108" i="4"/>
  <c r="BS126" i="4"/>
  <c r="BS111" i="4"/>
  <c r="BS121" i="4"/>
  <c r="BS110" i="4"/>
  <c r="BS159" i="4"/>
  <c r="BS83" i="4"/>
  <c r="BS136" i="4"/>
  <c r="BS72" i="4"/>
  <c r="BS95" i="4"/>
  <c r="BS68" i="4"/>
  <c r="BS73" i="4"/>
  <c r="BS109" i="4"/>
  <c r="BS134" i="4"/>
  <c r="BS138" i="4"/>
  <c r="BS112" i="4"/>
  <c r="BS79" i="4"/>
  <c r="BS133" i="4"/>
  <c r="BS107" i="4"/>
  <c r="BS128" i="4"/>
  <c r="BS84" i="4"/>
  <c r="BS105" i="4"/>
  <c r="BS131" i="4"/>
  <c r="BS59" i="4"/>
  <c r="BS70" i="4"/>
  <c r="BS82" i="4"/>
  <c r="BS129" i="4"/>
  <c r="BS104" i="4"/>
  <c r="BS103" i="4"/>
  <c r="BS81" i="4"/>
  <c r="BS135" i="4"/>
  <c r="BS132" i="4"/>
  <c r="BS71" i="4"/>
  <c r="BS78" i="4"/>
  <c r="BS80" i="4"/>
  <c r="BS137" i="4"/>
  <c r="BS122" i="4"/>
  <c r="BS76" i="4"/>
  <c r="BS127" i="4"/>
  <c r="BS102" i="4"/>
  <c r="BS77" i="4"/>
  <c r="BS98" i="4"/>
  <c r="BS99" i="4" s="1"/>
  <c r="BS69" i="4"/>
  <c r="BE7" i="4"/>
  <c r="BD7" i="15"/>
  <c r="CF188" i="15"/>
  <c r="J15" i="14" s="1"/>
  <c r="V15" i="14" s="1"/>
  <c r="CG188" i="15"/>
  <c r="L15" i="14" s="1"/>
  <c r="X15" i="14" s="1"/>
  <c r="AS252" i="15"/>
  <c r="AS253" i="15"/>
  <c r="AT4" i="15"/>
  <c r="AS2" i="15"/>
  <c r="AN193" i="15"/>
  <c r="AF7" i="15"/>
  <c r="AG222" i="2"/>
  <c r="AF222" i="15"/>
  <c r="AI224" i="2"/>
  <c r="AH224" i="15"/>
  <c r="AI223" i="2"/>
  <c r="AH223" i="15"/>
  <c r="AD37" i="10"/>
  <c r="AD4" i="10"/>
  <c r="AE5" i="10"/>
  <c r="AE36" i="10" s="1"/>
  <c r="Y89" i="8"/>
  <c r="Y88" i="8"/>
  <c r="Z5" i="8"/>
  <c r="Y4" i="8"/>
  <c r="M4" i="2"/>
  <c r="M2" i="2" s="1"/>
  <c r="L252" i="2"/>
  <c r="M4" i="4"/>
  <c r="M2" i="4" s="1"/>
  <c r="L252" i="4"/>
  <c r="M231" i="4"/>
  <c r="M249" i="4" s="1"/>
  <c r="BS208" i="4" l="1"/>
  <c r="BS200" i="4"/>
  <c r="BR208" i="15"/>
  <c r="AS42" i="8"/>
  <c r="AT40" i="8"/>
  <c r="AU68" i="8"/>
  <c r="AV64" i="8"/>
  <c r="BS83" i="15"/>
  <c r="BS113" i="4"/>
  <c r="BS82" i="15"/>
  <c r="BS101" i="15"/>
  <c r="BS113" i="2"/>
  <c r="BS95" i="15"/>
  <c r="BS110" i="15"/>
  <c r="BS208" i="2"/>
  <c r="BS108" i="15"/>
  <c r="BS134" i="15"/>
  <c r="BS85" i="4"/>
  <c r="BS204" i="4"/>
  <c r="BS198" i="4"/>
  <c r="BS129" i="15"/>
  <c r="BS196" i="15" s="1"/>
  <c r="BS196" i="4"/>
  <c r="BS201" i="4"/>
  <c r="BS197" i="4"/>
  <c r="BS203" i="4"/>
  <c r="BS103" i="15"/>
  <c r="BS138" i="15"/>
  <c r="BS107" i="15"/>
  <c r="BS105" i="15"/>
  <c r="BS127" i="15"/>
  <c r="BS102" i="15"/>
  <c r="BS159" i="15"/>
  <c r="BS136" i="15"/>
  <c r="BS203" i="2"/>
  <c r="BS93" i="15"/>
  <c r="BS132" i="15"/>
  <c r="BS77" i="15"/>
  <c r="BS70" i="15"/>
  <c r="BR199" i="15"/>
  <c r="BR200" i="15"/>
  <c r="BR196" i="15"/>
  <c r="BS111" i="15"/>
  <c r="BS68" i="15"/>
  <c r="BS197" i="2"/>
  <c r="BS126" i="15"/>
  <c r="BS128" i="15"/>
  <c r="BS125" i="15"/>
  <c r="BS121" i="15"/>
  <c r="BS81" i="15"/>
  <c r="BS78" i="15"/>
  <c r="BS80" i="15"/>
  <c r="BS202" i="2"/>
  <c r="BS73" i="15"/>
  <c r="BS98" i="15"/>
  <c r="BS99" i="2"/>
  <c r="BS59" i="15"/>
  <c r="BR85" i="15"/>
  <c r="BR203" i="15"/>
  <c r="BS72" i="15"/>
  <c r="BS198" i="2"/>
  <c r="BS135" i="15"/>
  <c r="BS131" i="15"/>
  <c r="BS201" i="2"/>
  <c r="BS112" i="15"/>
  <c r="BS204" i="2"/>
  <c r="BS76" i="15"/>
  <c r="BS85" i="2"/>
  <c r="BS85" i="15" s="1"/>
  <c r="BS122" i="15"/>
  <c r="BS84" i="15"/>
  <c r="BS109" i="15"/>
  <c r="BS133" i="15"/>
  <c r="BS69" i="15"/>
  <c r="BS199" i="2"/>
  <c r="BS200" i="2"/>
  <c r="BS71" i="15"/>
  <c r="BT104" i="2"/>
  <c r="BT121" i="2"/>
  <c r="BT72" i="2"/>
  <c r="BT78" i="2"/>
  <c r="BT137" i="2"/>
  <c r="BT81" i="2"/>
  <c r="BT159" i="2"/>
  <c r="BT132" i="2"/>
  <c r="BT70" i="2"/>
  <c r="BT135" i="2"/>
  <c r="BT98" i="2"/>
  <c r="BT59" i="2"/>
  <c r="BT128" i="2"/>
  <c r="BT107" i="2"/>
  <c r="BT122" i="2"/>
  <c r="BT134" i="2"/>
  <c r="BT68" i="2"/>
  <c r="BT69" i="2"/>
  <c r="BT84" i="2"/>
  <c r="BT73" i="2"/>
  <c r="BT105" i="2"/>
  <c r="BT79" i="2"/>
  <c r="BT76" i="2"/>
  <c r="BT94" i="2"/>
  <c r="BT125" i="2"/>
  <c r="BT102" i="2"/>
  <c r="BT131" i="2"/>
  <c r="BT136" i="2"/>
  <c r="BT112" i="2"/>
  <c r="BT126" i="2"/>
  <c r="BT101" i="2"/>
  <c r="BT93" i="2"/>
  <c r="BT108" i="2"/>
  <c r="BT111" i="2"/>
  <c r="BT103" i="2"/>
  <c r="BT95" i="2"/>
  <c r="BT71" i="2"/>
  <c r="BT82" i="2"/>
  <c r="BT133" i="2"/>
  <c r="BT80" i="2"/>
  <c r="BT83" i="2"/>
  <c r="BT77" i="2"/>
  <c r="BT110" i="2"/>
  <c r="BT109" i="2"/>
  <c r="BT138" i="2"/>
  <c r="BR201" i="15"/>
  <c r="BS199" i="4"/>
  <c r="BS202" i="4"/>
  <c r="BT102" i="4"/>
  <c r="BT138" i="4"/>
  <c r="BT77" i="4"/>
  <c r="BT68" i="4"/>
  <c r="BT109" i="4"/>
  <c r="BT84" i="4"/>
  <c r="BT82" i="4"/>
  <c r="BT94" i="4"/>
  <c r="BT127" i="4"/>
  <c r="BT121" i="4"/>
  <c r="BT73" i="4"/>
  <c r="BT95" i="4"/>
  <c r="BT111" i="4"/>
  <c r="BT103" i="4"/>
  <c r="BT101" i="4"/>
  <c r="BT131" i="4"/>
  <c r="BT76" i="4"/>
  <c r="BT79" i="4"/>
  <c r="BT136" i="4"/>
  <c r="BT107" i="4"/>
  <c r="BT112" i="4"/>
  <c r="BT71" i="4"/>
  <c r="BT128" i="4"/>
  <c r="BT72" i="4"/>
  <c r="BT110" i="4"/>
  <c r="BT135" i="4"/>
  <c r="BT198" i="4" s="1"/>
  <c r="BT70" i="4"/>
  <c r="BT132" i="4"/>
  <c r="BT59" i="4"/>
  <c r="BT80" i="4"/>
  <c r="BT125" i="4"/>
  <c r="BT159" i="4"/>
  <c r="BT105" i="4"/>
  <c r="BT98" i="4"/>
  <c r="BT99" i="4" s="1"/>
  <c r="BT129" i="4"/>
  <c r="BT126" i="4"/>
  <c r="BT78" i="4"/>
  <c r="BT83" i="4"/>
  <c r="BT81" i="4"/>
  <c r="BT69" i="4"/>
  <c r="BT93" i="4"/>
  <c r="BT104" i="4"/>
  <c r="BT133" i="4"/>
  <c r="BT134" i="4"/>
  <c r="BT122" i="4"/>
  <c r="BT108" i="4"/>
  <c r="BT137" i="4"/>
  <c r="BS104" i="15"/>
  <c r="BS94" i="15"/>
  <c r="BS137" i="15"/>
  <c r="BS106" i="15"/>
  <c r="BS79" i="15"/>
  <c r="BR113" i="15"/>
  <c r="BR197" i="15"/>
  <c r="BF7" i="4"/>
  <c r="BE7" i="15"/>
  <c r="AT253" i="15"/>
  <c r="AT252" i="15"/>
  <c r="AT2" i="15"/>
  <c r="AU4" i="15"/>
  <c r="AG7" i="15"/>
  <c r="AH222" i="2"/>
  <c r="AG222" i="15"/>
  <c r="AJ223" i="2"/>
  <c r="AI223" i="15"/>
  <c r="AJ224" i="2"/>
  <c r="AI224" i="15"/>
  <c r="AE37" i="10"/>
  <c r="AE4" i="10"/>
  <c r="AF5" i="10"/>
  <c r="AF36" i="10" s="1"/>
  <c r="Z89" i="8"/>
  <c r="Z88" i="8"/>
  <c r="AA5" i="8"/>
  <c r="Z4" i="8"/>
  <c r="N4" i="4"/>
  <c r="N2" i="4" s="1"/>
  <c r="M252" i="4"/>
  <c r="N4" i="2"/>
  <c r="N2" i="2" s="1"/>
  <c r="M252" i="2"/>
  <c r="N231" i="4"/>
  <c r="N249" i="4" s="1"/>
  <c r="BS113" i="15" l="1"/>
  <c r="BT208" i="4"/>
  <c r="AW64" i="8"/>
  <c r="AV68" i="8"/>
  <c r="AU40" i="8"/>
  <c r="AT42" i="8"/>
  <c r="BT203" i="4"/>
  <c r="BT85" i="4"/>
  <c r="BT204" i="4"/>
  <c r="BT138" i="15"/>
  <c r="BT83" i="15"/>
  <c r="BT71" i="15"/>
  <c r="BT200" i="2"/>
  <c r="BT108" i="15"/>
  <c r="BT112" i="15"/>
  <c r="BT125" i="15"/>
  <c r="BT105" i="15"/>
  <c r="BT68" i="15"/>
  <c r="BT197" i="2"/>
  <c r="BT128" i="15"/>
  <c r="BT70" i="15"/>
  <c r="BT137" i="15"/>
  <c r="BT106" i="15"/>
  <c r="BS204" i="15"/>
  <c r="BS201" i="15"/>
  <c r="BT199" i="4"/>
  <c r="BT201" i="4"/>
  <c r="BT197" i="4"/>
  <c r="BU129" i="4"/>
  <c r="BU109" i="4"/>
  <c r="BU107" i="4"/>
  <c r="BU72" i="4"/>
  <c r="BU131" i="4"/>
  <c r="BU128" i="4"/>
  <c r="BU95" i="4"/>
  <c r="BU77" i="4"/>
  <c r="BU82" i="4"/>
  <c r="BU69" i="4"/>
  <c r="BU68" i="4"/>
  <c r="BU76" i="4"/>
  <c r="BU108" i="4"/>
  <c r="BU133" i="4"/>
  <c r="BU135" i="4"/>
  <c r="BU198" i="4" s="1"/>
  <c r="BU103" i="4"/>
  <c r="BU132" i="4"/>
  <c r="BU121" i="4"/>
  <c r="BU137" i="4"/>
  <c r="BU93" i="4"/>
  <c r="BU73" i="4"/>
  <c r="BU78" i="4"/>
  <c r="BU81" i="4"/>
  <c r="BU111" i="4"/>
  <c r="BU83" i="4"/>
  <c r="BU80" i="4"/>
  <c r="BU125" i="4"/>
  <c r="BU126" i="4"/>
  <c r="BU79" i="4"/>
  <c r="BU112" i="4"/>
  <c r="BU70" i="4"/>
  <c r="BU138" i="4"/>
  <c r="BU102" i="4"/>
  <c r="BU59" i="4"/>
  <c r="BU136" i="4"/>
  <c r="BU94" i="4"/>
  <c r="BU84" i="4"/>
  <c r="BU159" i="4"/>
  <c r="BU98" i="4"/>
  <c r="BU99" i="4" s="1"/>
  <c r="BU127" i="4"/>
  <c r="BU134" i="4"/>
  <c r="BU110" i="4"/>
  <c r="BU105" i="4"/>
  <c r="BU101" i="4"/>
  <c r="BU122" i="4"/>
  <c r="BU71" i="4"/>
  <c r="BU104" i="4"/>
  <c r="BT109" i="15"/>
  <c r="BT80" i="15"/>
  <c r="BT95" i="15"/>
  <c r="BT203" i="2"/>
  <c r="BT93" i="15"/>
  <c r="BT136" i="15"/>
  <c r="BT94" i="15"/>
  <c r="BT73" i="15"/>
  <c r="BT202" i="2"/>
  <c r="BT134" i="15"/>
  <c r="BT59" i="15"/>
  <c r="BT132" i="15"/>
  <c r="BT78" i="15"/>
  <c r="BT104" i="15"/>
  <c r="BS198" i="15"/>
  <c r="BS202" i="15"/>
  <c r="BS208" i="15"/>
  <c r="BT129" i="15"/>
  <c r="BT196" i="15" s="1"/>
  <c r="BT196" i="4"/>
  <c r="BT113" i="4"/>
  <c r="BT202" i="4"/>
  <c r="BT110" i="15"/>
  <c r="BT208" i="2"/>
  <c r="BT133" i="15"/>
  <c r="BT103" i="15"/>
  <c r="BT101" i="15"/>
  <c r="BT131" i="15"/>
  <c r="BT201" i="2"/>
  <c r="BT204" i="2"/>
  <c r="BT76" i="15"/>
  <c r="BT85" i="2"/>
  <c r="BT84" i="15"/>
  <c r="BT122" i="15"/>
  <c r="BT99" i="2"/>
  <c r="BT99" i="15" s="1"/>
  <c r="BT98" i="15"/>
  <c r="BT159" i="15"/>
  <c r="BT72" i="15"/>
  <c r="BU136" i="2"/>
  <c r="BU126" i="2"/>
  <c r="BU105" i="2"/>
  <c r="BU105" i="15" s="1"/>
  <c r="BU73" i="2"/>
  <c r="BU125" i="2"/>
  <c r="BU108" i="2"/>
  <c r="BU68" i="2"/>
  <c r="BU132" i="2"/>
  <c r="BU70" i="2"/>
  <c r="BU77" i="2"/>
  <c r="BU79" i="2"/>
  <c r="BU112" i="2"/>
  <c r="BU93" i="2"/>
  <c r="BU101" i="2"/>
  <c r="BU95" i="2"/>
  <c r="BU95" i="15" s="1"/>
  <c r="BU76" i="2"/>
  <c r="BU110" i="2"/>
  <c r="BU106" i="15"/>
  <c r="BU78" i="2"/>
  <c r="BU131" i="2"/>
  <c r="BU135" i="2"/>
  <c r="BU134" i="2"/>
  <c r="BU69" i="2"/>
  <c r="BU59" i="2"/>
  <c r="BU59" i="15" s="1"/>
  <c r="BU137" i="2"/>
  <c r="BU71" i="2"/>
  <c r="BU72" i="2"/>
  <c r="BU102" i="2"/>
  <c r="BU84" i="2"/>
  <c r="BU84" i="15" s="1"/>
  <c r="BU159" i="2"/>
  <c r="BU138" i="2"/>
  <c r="BU94" i="2"/>
  <c r="BU133" i="2"/>
  <c r="BU80" i="2"/>
  <c r="BU80" i="15" s="1"/>
  <c r="BU83" i="2"/>
  <c r="BU104" i="2"/>
  <c r="BU111" i="2"/>
  <c r="BU107" i="2"/>
  <c r="BU103" i="2"/>
  <c r="BU98" i="2"/>
  <c r="BU82" i="2"/>
  <c r="BU82" i="15" s="1"/>
  <c r="BU122" i="2"/>
  <c r="BU109" i="2"/>
  <c r="BU121" i="2"/>
  <c r="BU121" i="15" s="1"/>
  <c r="BU81" i="2"/>
  <c r="BU128" i="2"/>
  <c r="BU128" i="15" s="1"/>
  <c r="BS203" i="15"/>
  <c r="BT200" i="4"/>
  <c r="BT127" i="15"/>
  <c r="BT77" i="15"/>
  <c r="BT82" i="15"/>
  <c r="BT113" i="2"/>
  <c r="BT111" i="15"/>
  <c r="BT126" i="15"/>
  <c r="BT102" i="15"/>
  <c r="BT79" i="15"/>
  <c r="BT69" i="15"/>
  <c r="BT199" i="2"/>
  <c r="BT107" i="15"/>
  <c r="BT198" i="2"/>
  <c r="BT135" i="15"/>
  <c r="BT198" i="15" s="1"/>
  <c r="BT81" i="15"/>
  <c r="BT121" i="15"/>
  <c r="BS200" i="15"/>
  <c r="BS99" i="15"/>
  <c r="BS199" i="15"/>
  <c r="BS197" i="15"/>
  <c r="BG7" i="4"/>
  <c r="BF7" i="15"/>
  <c r="AU253" i="15"/>
  <c r="AU252" i="15"/>
  <c r="AU2" i="15"/>
  <c r="AV4" i="15"/>
  <c r="AH7" i="15"/>
  <c r="AI222" i="2"/>
  <c r="AH222" i="15"/>
  <c r="AK224" i="2"/>
  <c r="AJ224" i="15"/>
  <c r="AK223" i="2"/>
  <c r="AJ223" i="15"/>
  <c r="AF37" i="10"/>
  <c r="AF4" i="10"/>
  <c r="AG5" i="10"/>
  <c r="AG36" i="10" s="1"/>
  <c r="AA88" i="8"/>
  <c r="AA89" i="8"/>
  <c r="AA4" i="8"/>
  <c r="AB5" i="8"/>
  <c r="O4" i="4"/>
  <c r="O2" i="4" s="1"/>
  <c r="N252" i="4"/>
  <c r="O4" i="2"/>
  <c r="O2" i="2" s="1"/>
  <c r="N252" i="2"/>
  <c r="O231" i="4"/>
  <c r="O249" i="4" s="1"/>
  <c r="BT85" i="15" l="1"/>
  <c r="BT201" i="15"/>
  <c r="BT202" i="15"/>
  <c r="BU112" i="15"/>
  <c r="BU83" i="15"/>
  <c r="BU79" i="15"/>
  <c r="BU122" i="15"/>
  <c r="BU134" i="15"/>
  <c r="BU108" i="15"/>
  <c r="BU109" i="15"/>
  <c r="BU78" i="15"/>
  <c r="BU133" i="15"/>
  <c r="BU137" i="15"/>
  <c r="BU70" i="15"/>
  <c r="BU136" i="15"/>
  <c r="BU107" i="15"/>
  <c r="BU102" i="15"/>
  <c r="BU132" i="15"/>
  <c r="BU159" i="15"/>
  <c r="BU104" i="15"/>
  <c r="BU81" i="15"/>
  <c r="BT204" i="15"/>
  <c r="BU111" i="15"/>
  <c r="BU94" i="15"/>
  <c r="BU127" i="15"/>
  <c r="BU200" i="4"/>
  <c r="BU77" i="15"/>
  <c r="BU126" i="15"/>
  <c r="BU103" i="15"/>
  <c r="BU138" i="15"/>
  <c r="BU72" i="15"/>
  <c r="BU202" i="4"/>
  <c r="BU208" i="4"/>
  <c r="AV40" i="8"/>
  <c r="AU42" i="8"/>
  <c r="AW68" i="8"/>
  <c r="AX64" i="8"/>
  <c r="BU197" i="4"/>
  <c r="BT208" i="15"/>
  <c r="BU99" i="2"/>
  <c r="BU98" i="15"/>
  <c r="BU198" i="2"/>
  <c r="BU135" i="15"/>
  <c r="BU198" i="15" s="1"/>
  <c r="BU110" i="15"/>
  <c r="BU208" i="2"/>
  <c r="BU93" i="15"/>
  <c r="BU203" i="2"/>
  <c r="BU125" i="15"/>
  <c r="BT199" i="15"/>
  <c r="BU199" i="4"/>
  <c r="BU131" i="15"/>
  <c r="BU201" i="15" s="1"/>
  <c r="BU201" i="2"/>
  <c r="BU204" i="2"/>
  <c r="BU76" i="15"/>
  <c r="BU85" i="2"/>
  <c r="BU202" i="2"/>
  <c r="BU73" i="15"/>
  <c r="BU202" i="15" s="1"/>
  <c r="BV138" i="2"/>
  <c r="BV84" i="2"/>
  <c r="BV128" i="2"/>
  <c r="BV112" i="2"/>
  <c r="BV83" i="2"/>
  <c r="BV134" i="2"/>
  <c r="BV126" i="2"/>
  <c r="BV72" i="2"/>
  <c r="BV81" i="2"/>
  <c r="BV71" i="2"/>
  <c r="BV82" i="2"/>
  <c r="BV102" i="2"/>
  <c r="BV107" i="2"/>
  <c r="BV79" i="2"/>
  <c r="BV76" i="2"/>
  <c r="BV137" i="2"/>
  <c r="BV73" i="2"/>
  <c r="BV70" i="2"/>
  <c r="BV135" i="2"/>
  <c r="BV125" i="2"/>
  <c r="BV109" i="2"/>
  <c r="BV80" i="2"/>
  <c r="BV77" i="2"/>
  <c r="BV68" i="2"/>
  <c r="BV132" i="2"/>
  <c r="BV108" i="2"/>
  <c r="BV94" i="2"/>
  <c r="BV78" i="2"/>
  <c r="BV95" i="2"/>
  <c r="BV101" i="2"/>
  <c r="BV105" i="2"/>
  <c r="BV136" i="2"/>
  <c r="BV93" i="2"/>
  <c r="BV59" i="2"/>
  <c r="BV103" i="2"/>
  <c r="BV110" i="2"/>
  <c r="BV159" i="2"/>
  <c r="BV111" i="2"/>
  <c r="BV131" i="2"/>
  <c r="BV104" i="2"/>
  <c r="BV98" i="2"/>
  <c r="BV121" i="2"/>
  <c r="BV69" i="2"/>
  <c r="BV122" i="2"/>
  <c r="BT203" i="15"/>
  <c r="BU113" i="4"/>
  <c r="BU201" i="4"/>
  <c r="BU129" i="15"/>
  <c r="BU196" i="15" s="1"/>
  <c r="BU196" i="4"/>
  <c r="BT197" i="15"/>
  <c r="BU101" i="15"/>
  <c r="BU113" i="2"/>
  <c r="BT113" i="15"/>
  <c r="BU71" i="15"/>
  <c r="BU200" i="2"/>
  <c r="BU69" i="15"/>
  <c r="BU199" i="2"/>
  <c r="BU68" i="15"/>
  <c r="BU197" i="2"/>
  <c r="BT200" i="15"/>
  <c r="BU203" i="4"/>
  <c r="BU85" i="4"/>
  <c r="BU204" i="4"/>
  <c r="BV76" i="4"/>
  <c r="BV93" i="4"/>
  <c r="BV79" i="4"/>
  <c r="BV95" i="4"/>
  <c r="BV72" i="4"/>
  <c r="BV107" i="4"/>
  <c r="BV98" i="4"/>
  <c r="BV99" i="4" s="1"/>
  <c r="BV137" i="4"/>
  <c r="BV138" i="4"/>
  <c r="BV131" i="4"/>
  <c r="BV108" i="4"/>
  <c r="BV80" i="4"/>
  <c r="BV81" i="4"/>
  <c r="BV82" i="4"/>
  <c r="BV110" i="4"/>
  <c r="BV159" i="4"/>
  <c r="BV135" i="4"/>
  <c r="BV198" i="4" s="1"/>
  <c r="BV132" i="4"/>
  <c r="BV122" i="4"/>
  <c r="BV121" i="4"/>
  <c r="BV136" i="4"/>
  <c r="BV125" i="4"/>
  <c r="BV73" i="4"/>
  <c r="BV202" i="4" s="1"/>
  <c r="BV128" i="4"/>
  <c r="BV71" i="4"/>
  <c r="BV133" i="4"/>
  <c r="BV127" i="4"/>
  <c r="BV109" i="4"/>
  <c r="BV112" i="4"/>
  <c r="BV129" i="4"/>
  <c r="BV111" i="4"/>
  <c r="BV77" i="4"/>
  <c r="BV94" i="4"/>
  <c r="BV83" i="4"/>
  <c r="BV69" i="4"/>
  <c r="BV59" i="4"/>
  <c r="BV103" i="4"/>
  <c r="BV102" i="4"/>
  <c r="BV84" i="4"/>
  <c r="BV70" i="4"/>
  <c r="BV68" i="4"/>
  <c r="BV101" i="4"/>
  <c r="BV78" i="4"/>
  <c r="BV105" i="4"/>
  <c r="BV104" i="4"/>
  <c r="BV126" i="4"/>
  <c r="BV134" i="4"/>
  <c r="BH7" i="4"/>
  <c r="BG7" i="15"/>
  <c r="AV253" i="15"/>
  <c r="AV252" i="15"/>
  <c r="AW4" i="15"/>
  <c r="AV2" i="15"/>
  <c r="AI7" i="15"/>
  <c r="AJ222" i="2"/>
  <c r="AI222" i="15"/>
  <c r="AL224" i="2"/>
  <c r="AK224" i="15"/>
  <c r="AL223" i="2"/>
  <c r="AK223" i="15"/>
  <c r="AG37" i="10"/>
  <c r="AH5" i="10"/>
  <c r="AH36" i="10" s="1"/>
  <c r="AG4" i="10"/>
  <c r="AB88" i="8"/>
  <c r="AB89" i="8"/>
  <c r="AC5" i="8"/>
  <c r="AB4" i="8"/>
  <c r="P4" i="4"/>
  <c r="P256" i="4" s="1"/>
  <c r="O252" i="4"/>
  <c r="P4" i="2"/>
  <c r="P256" i="2" s="1"/>
  <c r="O252" i="2"/>
  <c r="P231" i="4"/>
  <c r="P249" i="4" s="1"/>
  <c r="BU204" i="15" l="1"/>
  <c r="BU203" i="15"/>
  <c r="BU208" i="15"/>
  <c r="BU199" i="15"/>
  <c r="BU200" i="15"/>
  <c r="BU197" i="15"/>
  <c r="BV208" i="4"/>
  <c r="BV201" i="4"/>
  <c r="AX68" i="8"/>
  <c r="AY64" i="8"/>
  <c r="AV42" i="8"/>
  <c r="AW40" i="8"/>
  <c r="BV113" i="4"/>
  <c r="BU113" i="15"/>
  <c r="BV197" i="4"/>
  <c r="BV85" i="4"/>
  <c r="BV204" i="4"/>
  <c r="BV199" i="4"/>
  <c r="BW137" i="4"/>
  <c r="BW125" i="4"/>
  <c r="BW70" i="4"/>
  <c r="BW121" i="4"/>
  <c r="BW77" i="4"/>
  <c r="BW94" i="4"/>
  <c r="BW68" i="4"/>
  <c r="BW136" i="4"/>
  <c r="BW82" i="4"/>
  <c r="BW132" i="4"/>
  <c r="BW78" i="4"/>
  <c r="BW73" i="4"/>
  <c r="BW80" i="4"/>
  <c r="BW102" i="4"/>
  <c r="BW129" i="4"/>
  <c r="BW101" i="4"/>
  <c r="BW69" i="4"/>
  <c r="BW135" i="4"/>
  <c r="BW198" i="4" s="1"/>
  <c r="BW134" i="4"/>
  <c r="BW76" i="4"/>
  <c r="BW79" i="4"/>
  <c r="BW131" i="4"/>
  <c r="BW201" i="4" s="1"/>
  <c r="BW104" i="4"/>
  <c r="BW122" i="4"/>
  <c r="BW111" i="4"/>
  <c r="BW105" i="4"/>
  <c r="BW71" i="4"/>
  <c r="BW95" i="4"/>
  <c r="BW72" i="4"/>
  <c r="BW108" i="4"/>
  <c r="BW98" i="4"/>
  <c r="BW99" i="4" s="1"/>
  <c r="BW84" i="4"/>
  <c r="BW81" i="4"/>
  <c r="BW128" i="4"/>
  <c r="BW109" i="4"/>
  <c r="BW103" i="4"/>
  <c r="BW138" i="4"/>
  <c r="BW93" i="4"/>
  <c r="BW110" i="4"/>
  <c r="BW133" i="4"/>
  <c r="BW112" i="4"/>
  <c r="BW127" i="4"/>
  <c r="BW83" i="4"/>
  <c r="BW159" i="4"/>
  <c r="BW107" i="4"/>
  <c r="BW59" i="4"/>
  <c r="BW126" i="4"/>
  <c r="BV99" i="2"/>
  <c r="BV99" i="15" s="1"/>
  <c r="BV98" i="15"/>
  <c r="BV159" i="15"/>
  <c r="BV106" i="15"/>
  <c r="BV101" i="15"/>
  <c r="BV94" i="15"/>
  <c r="BV77" i="15"/>
  <c r="BV198" i="2"/>
  <c r="BV135" i="15"/>
  <c r="BV198" i="15" s="1"/>
  <c r="BV76" i="15"/>
  <c r="BV204" i="2"/>
  <c r="BV85" i="2"/>
  <c r="BV82" i="15"/>
  <c r="BV126" i="15"/>
  <c r="BV127" i="15"/>
  <c r="BW125" i="2"/>
  <c r="BW81" i="2"/>
  <c r="BW59" i="2"/>
  <c r="BW121" i="2"/>
  <c r="BW136" i="2"/>
  <c r="BW137" i="2"/>
  <c r="BW126" i="2"/>
  <c r="BW68" i="2"/>
  <c r="BW98" i="2"/>
  <c r="BW133" i="2"/>
  <c r="BW104" i="2"/>
  <c r="BW77" i="2"/>
  <c r="BW84" i="2"/>
  <c r="BW84" i="15" s="1"/>
  <c r="BW110" i="2"/>
  <c r="BW109" i="2"/>
  <c r="BW108" i="2"/>
  <c r="BW82" i="2"/>
  <c r="BW103" i="2"/>
  <c r="BW106" i="15"/>
  <c r="BW73" i="2"/>
  <c r="BW83" i="2"/>
  <c r="BW93" i="2"/>
  <c r="BW78" i="2"/>
  <c r="BW72" i="2"/>
  <c r="BW102" i="2"/>
  <c r="BW107" i="2"/>
  <c r="BW94" i="2"/>
  <c r="BW79" i="2"/>
  <c r="BW135" i="2"/>
  <c r="BW95" i="2"/>
  <c r="BW159" i="2"/>
  <c r="BW132" i="2"/>
  <c r="BW80" i="2"/>
  <c r="BW71" i="2"/>
  <c r="BW105" i="2"/>
  <c r="BW128" i="2"/>
  <c r="BW101" i="2"/>
  <c r="BW101" i="15" s="1"/>
  <c r="BW131" i="2"/>
  <c r="BW122" i="2"/>
  <c r="BW111" i="2"/>
  <c r="BW138" i="2"/>
  <c r="BW112" i="2"/>
  <c r="BW70" i="2"/>
  <c r="BW69" i="2"/>
  <c r="BW134" i="2"/>
  <c r="BW76" i="2"/>
  <c r="BU99" i="15"/>
  <c r="BV122" i="15"/>
  <c r="BV104" i="15"/>
  <c r="BV110" i="15"/>
  <c r="BV208" i="2"/>
  <c r="BV203" i="2"/>
  <c r="BV93" i="15"/>
  <c r="BV108" i="15"/>
  <c r="BV80" i="15"/>
  <c r="BV70" i="15"/>
  <c r="BV79" i="15"/>
  <c r="BV200" i="2"/>
  <c r="BV71" i="15"/>
  <c r="BV134" i="15"/>
  <c r="BV128" i="15"/>
  <c r="BV203" i="4"/>
  <c r="BV69" i="15"/>
  <c r="BV199" i="2"/>
  <c r="BV131" i="15"/>
  <c r="BV201" i="2"/>
  <c r="BV103" i="15"/>
  <c r="BV136" i="15"/>
  <c r="BV95" i="15"/>
  <c r="BV132" i="15"/>
  <c r="BV109" i="15"/>
  <c r="BV202" i="2"/>
  <c r="BV73" i="15"/>
  <c r="BV107" i="15"/>
  <c r="BV81" i="15"/>
  <c r="BV83" i="15"/>
  <c r="BV84" i="15"/>
  <c r="BV129" i="15"/>
  <c r="BV196" i="15" s="1"/>
  <c r="BV196" i="4"/>
  <c r="BV200" i="4"/>
  <c r="BV121" i="15"/>
  <c r="BV113" i="2"/>
  <c r="BV113" i="15" s="1"/>
  <c r="BV111" i="15"/>
  <c r="BV59" i="15"/>
  <c r="BV105" i="15"/>
  <c r="BV78" i="15"/>
  <c r="BV68" i="15"/>
  <c r="BV125" i="15"/>
  <c r="BV137" i="15"/>
  <c r="BV102" i="15"/>
  <c r="BV72" i="15"/>
  <c r="BV112" i="15"/>
  <c r="BV138" i="15"/>
  <c r="BU85" i="15"/>
  <c r="BI7" i="4"/>
  <c r="BH7" i="15"/>
  <c r="AW252" i="15"/>
  <c r="AW253" i="15"/>
  <c r="AW2" i="15"/>
  <c r="AX4" i="15"/>
  <c r="AJ7" i="15"/>
  <c r="AK222" i="2"/>
  <c r="AJ222" i="15"/>
  <c r="AM223" i="2"/>
  <c r="AL223" i="15"/>
  <c r="AM224" i="2"/>
  <c r="AL224" i="15"/>
  <c r="AH37" i="10"/>
  <c r="AH4" i="10"/>
  <c r="AI5" i="10"/>
  <c r="AI36" i="10" s="1"/>
  <c r="P2" i="2"/>
  <c r="Q4" i="2"/>
  <c r="Q256" i="2" s="1"/>
  <c r="P2" i="4"/>
  <c r="Q4" i="4"/>
  <c r="AC89" i="8"/>
  <c r="AC88" i="8"/>
  <c r="AD5" i="8"/>
  <c r="AC4" i="8"/>
  <c r="P252" i="4"/>
  <c r="P252" i="2"/>
  <c r="BW112" i="15" l="1"/>
  <c r="BW107" i="15"/>
  <c r="BW121" i="15"/>
  <c r="BW94" i="15"/>
  <c r="BW122" i="15"/>
  <c r="BW105" i="15"/>
  <c r="BW159" i="15"/>
  <c r="BW136" i="15"/>
  <c r="BW95" i="15"/>
  <c r="BW103" i="15"/>
  <c r="BW133" i="15"/>
  <c r="BW78" i="15"/>
  <c r="BW109" i="15"/>
  <c r="BW104" i="15"/>
  <c r="BW203" i="4"/>
  <c r="BW70" i="15"/>
  <c r="BW126" i="15"/>
  <c r="BW134" i="15"/>
  <c r="BW83" i="15"/>
  <c r="BW138" i="15"/>
  <c r="BW80" i="15"/>
  <c r="BW102" i="15"/>
  <c r="BW82" i="15"/>
  <c r="BW137" i="15"/>
  <c r="BW81" i="15"/>
  <c r="BW59" i="15"/>
  <c r="BW132" i="15"/>
  <c r="BW77" i="15"/>
  <c r="BV85" i="15"/>
  <c r="BW208" i="4"/>
  <c r="BV200" i="15"/>
  <c r="AZ64" i="8"/>
  <c r="AY68" i="8"/>
  <c r="AX40" i="8"/>
  <c r="AW42" i="8"/>
  <c r="BV204" i="15"/>
  <c r="BW127" i="15"/>
  <c r="BW76" i="15"/>
  <c r="BW204" i="15" s="1"/>
  <c r="BW204" i="2"/>
  <c r="BW85" i="2"/>
  <c r="BW131" i="15"/>
  <c r="BW201" i="2"/>
  <c r="BW200" i="2"/>
  <c r="BW71" i="15"/>
  <c r="BW203" i="2"/>
  <c r="BW93" i="15"/>
  <c r="BW110" i="15"/>
  <c r="BW208" i="2"/>
  <c r="BW129" i="15"/>
  <c r="BW196" i="15" s="1"/>
  <c r="BW196" i="4"/>
  <c r="BW197" i="4"/>
  <c r="BV201" i="15"/>
  <c r="BW135" i="15"/>
  <c r="BW198" i="15" s="1"/>
  <c r="BW198" i="2"/>
  <c r="BW99" i="2"/>
  <c r="BW99" i="15" s="1"/>
  <c r="BW98" i="15"/>
  <c r="BV202" i="15"/>
  <c r="BW199" i="4"/>
  <c r="BV208" i="15"/>
  <c r="BV203" i="15"/>
  <c r="BW69" i="15"/>
  <c r="BW199" i="2"/>
  <c r="BW113" i="2"/>
  <c r="BW111" i="15"/>
  <c r="BW128" i="15"/>
  <c r="BW79" i="15"/>
  <c r="BW72" i="15"/>
  <c r="BW73" i="15"/>
  <c r="BW202" i="15" s="1"/>
  <c r="BW202" i="2"/>
  <c r="BW108" i="15"/>
  <c r="BW68" i="15"/>
  <c r="BW197" i="2"/>
  <c r="BW125" i="15"/>
  <c r="BW85" i="4"/>
  <c r="BW204" i="4"/>
  <c r="BV199" i="15"/>
  <c r="BX59" i="2"/>
  <c r="BX98" i="2"/>
  <c r="BX110" i="2"/>
  <c r="BX84" i="2"/>
  <c r="BX104" i="2"/>
  <c r="BX109" i="2"/>
  <c r="BX111" i="2"/>
  <c r="BX101" i="2"/>
  <c r="BX135" i="2"/>
  <c r="BX71" i="2"/>
  <c r="BX132" i="2"/>
  <c r="BX69" i="2"/>
  <c r="BX70" i="2"/>
  <c r="BX82" i="2"/>
  <c r="BX125" i="2"/>
  <c r="BX95" i="2"/>
  <c r="BX72" i="2"/>
  <c r="BX126" i="2"/>
  <c r="BX131" i="2"/>
  <c r="BX68" i="2"/>
  <c r="BX81" i="2"/>
  <c r="BX76" i="2"/>
  <c r="BX80" i="2"/>
  <c r="BX121" i="2"/>
  <c r="BX105" i="2"/>
  <c r="BX137" i="2"/>
  <c r="BX138" i="2"/>
  <c r="BX79" i="2"/>
  <c r="BX136" i="2"/>
  <c r="BX102" i="2"/>
  <c r="BX128" i="2"/>
  <c r="BX83" i="2"/>
  <c r="BX112" i="2"/>
  <c r="BX107" i="2"/>
  <c r="BX159" i="2"/>
  <c r="BX103" i="2"/>
  <c r="BX94" i="2"/>
  <c r="BX77" i="2"/>
  <c r="BX108" i="2"/>
  <c r="BX134" i="2"/>
  <c r="BX133" i="2"/>
  <c r="BX73" i="2"/>
  <c r="BX78" i="2"/>
  <c r="BX122" i="2"/>
  <c r="BX93" i="2"/>
  <c r="BW200" i="4"/>
  <c r="BW113" i="4"/>
  <c r="BW202" i="4"/>
  <c r="BX95" i="4"/>
  <c r="BX81" i="4"/>
  <c r="BX93" i="4"/>
  <c r="BX79" i="4"/>
  <c r="BX129" i="4"/>
  <c r="BX73" i="4"/>
  <c r="BX121" i="4"/>
  <c r="BX104" i="4"/>
  <c r="BX80" i="4"/>
  <c r="BX127" i="4"/>
  <c r="BX72" i="4"/>
  <c r="BX122" i="4"/>
  <c r="BX107" i="4"/>
  <c r="BX110" i="4"/>
  <c r="BX128" i="4"/>
  <c r="BX131" i="4"/>
  <c r="BX132" i="4"/>
  <c r="BX112" i="4"/>
  <c r="BX105" i="4"/>
  <c r="BX76" i="4"/>
  <c r="BX134" i="4"/>
  <c r="BX77" i="4"/>
  <c r="BX137" i="4"/>
  <c r="BX125" i="4"/>
  <c r="BX136" i="4"/>
  <c r="BX159" i="4"/>
  <c r="BX126" i="4"/>
  <c r="BX102" i="4"/>
  <c r="BX111" i="4"/>
  <c r="BX71" i="4"/>
  <c r="BX108" i="4"/>
  <c r="BX94" i="4"/>
  <c r="BX135" i="4"/>
  <c r="BX70" i="4"/>
  <c r="BX98" i="4"/>
  <c r="BX69" i="4"/>
  <c r="BX138" i="4"/>
  <c r="BX68" i="4"/>
  <c r="BX101" i="4"/>
  <c r="BX103" i="4"/>
  <c r="BX82" i="4"/>
  <c r="BX59" i="4"/>
  <c r="BX133" i="4"/>
  <c r="BX78" i="4"/>
  <c r="BX109" i="4"/>
  <c r="BX84" i="4"/>
  <c r="BX83" i="4"/>
  <c r="BJ7" i="4"/>
  <c r="BI7" i="15"/>
  <c r="Q253" i="4"/>
  <c r="Q256" i="4"/>
  <c r="AX253" i="15"/>
  <c r="AX252" i="15"/>
  <c r="AX2" i="15"/>
  <c r="AY4" i="15"/>
  <c r="Q252" i="2"/>
  <c r="Q253" i="2"/>
  <c r="AK7" i="15"/>
  <c r="AK222" i="15"/>
  <c r="AL222" i="2"/>
  <c r="AN224" i="2"/>
  <c r="AN224" i="15" s="1"/>
  <c r="AM224" i="15"/>
  <c r="AN223" i="2"/>
  <c r="AN223" i="15" s="1"/>
  <c r="AM223" i="15"/>
  <c r="AI37" i="10"/>
  <c r="AI4" i="10"/>
  <c r="AJ5" i="10"/>
  <c r="AJ36" i="10" s="1"/>
  <c r="Q2" i="4"/>
  <c r="Q252" i="4"/>
  <c r="R4" i="4"/>
  <c r="Q2" i="2"/>
  <c r="R4" i="2"/>
  <c r="R256" i="2" s="1"/>
  <c r="AD88" i="8"/>
  <c r="AD89" i="8"/>
  <c r="AD4" i="8"/>
  <c r="AE5" i="8"/>
  <c r="BW199" i="15" l="1"/>
  <c r="BW201" i="15"/>
  <c r="BW208" i="15"/>
  <c r="BW197" i="15"/>
  <c r="BW200" i="15"/>
  <c r="AX42" i="8"/>
  <c r="AY40" i="8"/>
  <c r="BA64" i="8"/>
  <c r="AZ68" i="8"/>
  <c r="CJ84" i="4"/>
  <c r="CH84" i="4"/>
  <c r="CI84" i="4"/>
  <c r="CJ70" i="4"/>
  <c r="CH70" i="4"/>
  <c r="CI70" i="4"/>
  <c r="CJ77" i="4"/>
  <c r="CH77" i="4"/>
  <c r="CI77" i="4"/>
  <c r="CJ128" i="4"/>
  <c r="CH128" i="4"/>
  <c r="CI128" i="4"/>
  <c r="CJ121" i="4"/>
  <c r="CH121" i="4"/>
  <c r="CI121" i="4"/>
  <c r="BX134" i="15"/>
  <c r="CH134" i="2"/>
  <c r="CI134" i="2"/>
  <c r="CJ134" i="2"/>
  <c r="BX103" i="15"/>
  <c r="CH103" i="2"/>
  <c r="CI103" i="2"/>
  <c r="CJ103" i="2"/>
  <c r="BX83" i="15"/>
  <c r="CH83" i="2"/>
  <c r="CI83" i="2"/>
  <c r="CJ83" i="2"/>
  <c r="BX136" i="15"/>
  <c r="CH136" i="2"/>
  <c r="CI136" i="2"/>
  <c r="CJ136" i="2"/>
  <c r="BX105" i="15"/>
  <c r="CH105" i="2"/>
  <c r="CI105" i="2"/>
  <c r="CJ105" i="2"/>
  <c r="BX81" i="15"/>
  <c r="CH81" i="2"/>
  <c r="CI81" i="2"/>
  <c r="CJ81" i="2"/>
  <c r="BX72" i="15"/>
  <c r="CI72" i="2"/>
  <c r="CJ72" i="2"/>
  <c r="BX70" i="15"/>
  <c r="CH70" i="2"/>
  <c r="CI70" i="2"/>
  <c r="CJ70" i="2"/>
  <c r="BX135" i="15"/>
  <c r="BX198" i="2"/>
  <c r="CJ198" i="2" s="1"/>
  <c r="CH135" i="2"/>
  <c r="CI135" i="2"/>
  <c r="CJ135" i="2"/>
  <c r="BX104" i="15"/>
  <c r="CH104" i="2"/>
  <c r="CI104" i="2"/>
  <c r="CJ104" i="2"/>
  <c r="BX59" i="15"/>
  <c r="CH59" i="2"/>
  <c r="CI59" i="2"/>
  <c r="CJ59" i="2"/>
  <c r="CJ103" i="4"/>
  <c r="CH103" i="4"/>
  <c r="CI103" i="4"/>
  <c r="CJ94" i="4"/>
  <c r="CH94" i="4"/>
  <c r="CI94" i="4"/>
  <c r="CJ102" i="4"/>
  <c r="CH102" i="4"/>
  <c r="CI102" i="4"/>
  <c r="BX85" i="4"/>
  <c r="CH76" i="4"/>
  <c r="CI76" i="4"/>
  <c r="BX204" i="4"/>
  <c r="CJ204" i="4" s="1"/>
  <c r="CJ76" i="4"/>
  <c r="CJ107" i="4"/>
  <c r="CH107" i="4"/>
  <c r="CI107" i="4"/>
  <c r="CJ80" i="4"/>
  <c r="CH80" i="4"/>
  <c r="CI80" i="4"/>
  <c r="CH95" i="4"/>
  <c r="CI95" i="4"/>
  <c r="CJ95" i="4"/>
  <c r="BX106" i="15"/>
  <c r="CH106" i="2"/>
  <c r="CI106" i="2"/>
  <c r="CJ106" i="2"/>
  <c r="BX107" i="15"/>
  <c r="CH107" i="2"/>
  <c r="CI107" i="2"/>
  <c r="CJ107" i="2"/>
  <c r="BX138" i="15"/>
  <c r="CH138" i="2"/>
  <c r="CI138" i="2"/>
  <c r="CJ138" i="2"/>
  <c r="BX132" i="15"/>
  <c r="CH132" i="2"/>
  <c r="CI132" i="2"/>
  <c r="CJ132" i="2"/>
  <c r="BX133" i="15"/>
  <c r="BX112" i="15"/>
  <c r="CH112" i="2"/>
  <c r="CI112" i="2"/>
  <c r="CJ112" i="2"/>
  <c r="BX102" i="15"/>
  <c r="CH102" i="2"/>
  <c r="CI102" i="2"/>
  <c r="CJ102" i="2"/>
  <c r="BX76" i="15"/>
  <c r="BX85" i="2"/>
  <c r="BX204" i="2"/>
  <c r="CJ204" i="2" s="1"/>
  <c r="CH76" i="2"/>
  <c r="CI76" i="2"/>
  <c r="CJ76" i="2"/>
  <c r="BX126" i="15"/>
  <c r="CH126" i="2"/>
  <c r="CI126" i="2"/>
  <c r="CJ126" i="2"/>
  <c r="BX200" i="2"/>
  <c r="BX71" i="15"/>
  <c r="CH71" i="2"/>
  <c r="CI71" i="2"/>
  <c r="CJ71" i="2"/>
  <c r="BX109" i="15"/>
  <c r="CH109" i="2"/>
  <c r="CI109" i="2"/>
  <c r="CJ109" i="2"/>
  <c r="BX98" i="15"/>
  <c r="BX99" i="2"/>
  <c r="CH98" i="2"/>
  <c r="CI98" i="2"/>
  <c r="CJ98" i="2"/>
  <c r="CH59" i="4"/>
  <c r="CI59" i="4"/>
  <c r="CJ59" i="4"/>
  <c r="CH68" i="4"/>
  <c r="CI68" i="4"/>
  <c r="BX197" i="4"/>
  <c r="CJ197" i="4" s="1"/>
  <c r="CJ68" i="4"/>
  <c r="CH71" i="4"/>
  <c r="CI71" i="4"/>
  <c r="BX200" i="4"/>
  <c r="CJ200" i="4" s="1"/>
  <c r="CJ71" i="4"/>
  <c r="CJ159" i="4"/>
  <c r="CH159" i="4"/>
  <c r="CI159" i="4"/>
  <c r="CJ112" i="4"/>
  <c r="CH112" i="4"/>
  <c r="CI112" i="4"/>
  <c r="CJ72" i="4"/>
  <c r="CH72" i="4"/>
  <c r="CI72" i="4"/>
  <c r="CH93" i="4"/>
  <c r="CI93" i="4"/>
  <c r="BX203" i="4"/>
  <c r="CJ203" i="4" s="1"/>
  <c r="CJ93" i="4"/>
  <c r="BX78" i="15"/>
  <c r="CH78" i="2"/>
  <c r="CI78" i="2"/>
  <c r="CJ78" i="2"/>
  <c r="CJ109" i="4"/>
  <c r="CH109" i="4"/>
  <c r="CI109" i="4"/>
  <c r="CJ82" i="4"/>
  <c r="CH82" i="4"/>
  <c r="CI82" i="4"/>
  <c r="CJ138" i="4"/>
  <c r="CH138" i="4"/>
  <c r="CI138" i="4"/>
  <c r="CH135" i="4"/>
  <c r="CI135" i="4"/>
  <c r="BX198" i="4"/>
  <c r="CJ198" i="4" s="1"/>
  <c r="CJ135" i="4"/>
  <c r="CJ111" i="4"/>
  <c r="CH111" i="4"/>
  <c r="CI111" i="4"/>
  <c r="CJ136" i="4"/>
  <c r="CH136" i="4"/>
  <c r="CI136" i="4"/>
  <c r="CJ134" i="4"/>
  <c r="CH134" i="4"/>
  <c r="CI134" i="4"/>
  <c r="CJ106" i="4"/>
  <c r="CH106" i="4"/>
  <c r="CI106" i="4"/>
  <c r="CH110" i="4"/>
  <c r="CI110" i="4"/>
  <c r="BX208" i="4"/>
  <c r="CJ208" i="4" s="1"/>
  <c r="CJ110" i="4"/>
  <c r="CJ127" i="4"/>
  <c r="CH127" i="4"/>
  <c r="CI127" i="4"/>
  <c r="CH73" i="4"/>
  <c r="CI73" i="4"/>
  <c r="BX202" i="4"/>
  <c r="CJ202" i="4" s="1"/>
  <c r="CJ73" i="4"/>
  <c r="CJ81" i="4"/>
  <c r="CH81" i="4"/>
  <c r="CI81" i="4"/>
  <c r="BX202" i="2"/>
  <c r="CJ202" i="2" s="1"/>
  <c r="BX73" i="15"/>
  <c r="CH73" i="2"/>
  <c r="CI73" i="2"/>
  <c r="CJ73" i="2"/>
  <c r="BX108" i="15"/>
  <c r="CH108" i="2"/>
  <c r="CI108" i="2"/>
  <c r="CJ108" i="2"/>
  <c r="BX159" i="15"/>
  <c r="CH159" i="2"/>
  <c r="CI159" i="2"/>
  <c r="CJ159" i="2"/>
  <c r="BX128" i="15"/>
  <c r="CH128" i="2"/>
  <c r="CI128" i="2"/>
  <c r="CJ128" i="2"/>
  <c r="BX79" i="15"/>
  <c r="CH79" i="2"/>
  <c r="CI79" i="2"/>
  <c r="CJ79" i="2"/>
  <c r="BX121" i="15"/>
  <c r="CH121" i="2"/>
  <c r="CI121" i="2"/>
  <c r="CJ121" i="2"/>
  <c r="BX68" i="15"/>
  <c r="BX197" i="2"/>
  <c r="CH68" i="2"/>
  <c r="CI68" i="2"/>
  <c r="CJ68" i="2"/>
  <c r="BX95" i="15"/>
  <c r="CH95" i="2"/>
  <c r="CI95" i="2"/>
  <c r="CJ95" i="2"/>
  <c r="BX69" i="15"/>
  <c r="BX199" i="2"/>
  <c r="CH69" i="2"/>
  <c r="CI69" i="2"/>
  <c r="CJ69" i="2"/>
  <c r="BX101" i="15"/>
  <c r="BX113" i="2"/>
  <c r="CH101" i="2"/>
  <c r="CI101" i="2"/>
  <c r="CJ101" i="2"/>
  <c r="BX84" i="15"/>
  <c r="CH84" i="2"/>
  <c r="CI84" i="2"/>
  <c r="CJ84" i="2"/>
  <c r="BW85" i="15"/>
  <c r="CJ78" i="4"/>
  <c r="CH78" i="4"/>
  <c r="CI78" i="4"/>
  <c r="CH69" i="4"/>
  <c r="CI69" i="4"/>
  <c r="BX199" i="4"/>
  <c r="CJ199" i="4" s="1"/>
  <c r="CJ69" i="4"/>
  <c r="CH125" i="4"/>
  <c r="CI125" i="4"/>
  <c r="CJ125" i="4"/>
  <c r="CJ132" i="4"/>
  <c r="CH132" i="4"/>
  <c r="CI132" i="4"/>
  <c r="BX129" i="15"/>
  <c r="CG129" i="4"/>
  <c r="CH129" i="4"/>
  <c r="CI129" i="4"/>
  <c r="BX196" i="4"/>
  <c r="CJ196" i="4" s="1"/>
  <c r="CJ129" i="4"/>
  <c r="BX93" i="15"/>
  <c r="BX203" i="2"/>
  <c r="CJ203" i="2" s="1"/>
  <c r="CH93" i="2"/>
  <c r="CI93" i="2"/>
  <c r="CJ93" i="2"/>
  <c r="BX77" i="15"/>
  <c r="CH77" i="2"/>
  <c r="CI77" i="2"/>
  <c r="CJ77" i="2"/>
  <c r="BX127" i="15"/>
  <c r="CH127" i="2"/>
  <c r="CI127" i="2"/>
  <c r="CJ127" i="2"/>
  <c r="BX80" i="15"/>
  <c r="CI80" i="2"/>
  <c r="CJ80" i="2"/>
  <c r="BX131" i="15"/>
  <c r="BX201" i="2"/>
  <c r="CJ201" i="2" s="1"/>
  <c r="CH131" i="2"/>
  <c r="CI131" i="2"/>
  <c r="CJ131" i="2"/>
  <c r="BX125" i="15"/>
  <c r="CI125" i="2"/>
  <c r="CJ125" i="2"/>
  <c r="BX111" i="15"/>
  <c r="CI111" i="2"/>
  <c r="CJ111" i="2"/>
  <c r="BX110" i="15"/>
  <c r="BX208" i="2"/>
  <c r="CH110" i="2"/>
  <c r="CI110" i="2"/>
  <c r="CJ110" i="2"/>
  <c r="CJ83" i="4"/>
  <c r="CH83" i="4"/>
  <c r="CI83" i="4"/>
  <c r="CJ133" i="4"/>
  <c r="CH133" i="4"/>
  <c r="CI133" i="4"/>
  <c r="BX113" i="4"/>
  <c r="CH101" i="4"/>
  <c r="CI101" i="4"/>
  <c r="CJ101" i="4"/>
  <c r="BX99" i="4"/>
  <c r="CH98" i="4"/>
  <c r="CI98" i="4"/>
  <c r="CJ98" i="4"/>
  <c r="CJ108" i="4"/>
  <c r="CH108" i="4"/>
  <c r="CI108" i="4"/>
  <c r="CJ126" i="4"/>
  <c r="CH126" i="4"/>
  <c r="CI126" i="4"/>
  <c r="CJ137" i="4"/>
  <c r="CH137" i="4"/>
  <c r="CI137" i="4"/>
  <c r="CJ105" i="4"/>
  <c r="CH105" i="4"/>
  <c r="CI105" i="4"/>
  <c r="CH131" i="4"/>
  <c r="CI131" i="4"/>
  <c r="BX201" i="4"/>
  <c r="CJ201" i="4" s="1"/>
  <c r="CJ131" i="4"/>
  <c r="CJ122" i="4"/>
  <c r="CH122" i="4"/>
  <c r="CI122" i="4"/>
  <c r="CJ104" i="4"/>
  <c r="CH104" i="4"/>
  <c r="CI104" i="4"/>
  <c r="CJ79" i="4"/>
  <c r="CH79" i="4"/>
  <c r="CI79" i="4"/>
  <c r="BX122" i="15"/>
  <c r="CH122" i="2"/>
  <c r="CI122" i="2"/>
  <c r="CJ122" i="2"/>
  <c r="BX94" i="15"/>
  <c r="CH94" i="2"/>
  <c r="CI94" i="2"/>
  <c r="CJ94" i="2"/>
  <c r="BX137" i="15"/>
  <c r="CH137" i="2"/>
  <c r="CI137" i="2"/>
  <c r="CJ137" i="2"/>
  <c r="BX82" i="15"/>
  <c r="CH82" i="2"/>
  <c r="CI82" i="2"/>
  <c r="CJ82" i="2"/>
  <c r="BW113" i="15"/>
  <c r="BW203" i="15"/>
  <c r="BK7" i="4"/>
  <c r="BJ7" i="15"/>
  <c r="R253" i="4"/>
  <c r="R256" i="4"/>
  <c r="AY253" i="15"/>
  <c r="AY252" i="15"/>
  <c r="AZ4" i="15"/>
  <c r="BA4" i="15" s="1"/>
  <c r="AY2" i="15"/>
  <c r="AL7" i="15"/>
  <c r="AM222" i="2"/>
  <c r="AL222" i="15"/>
  <c r="AJ37" i="10"/>
  <c r="AK5" i="10"/>
  <c r="AK36" i="10" s="1"/>
  <c r="AJ4" i="10"/>
  <c r="R252" i="2"/>
  <c r="R253" i="2"/>
  <c r="S4" i="2"/>
  <c r="S256" i="2" s="1"/>
  <c r="R2" i="2"/>
  <c r="R252" i="4"/>
  <c r="S4" i="4"/>
  <c r="S256" i="4" s="1"/>
  <c r="R2" i="4"/>
  <c r="AE88" i="8"/>
  <c r="AE89" i="8"/>
  <c r="AE4" i="8"/>
  <c r="AF5" i="8"/>
  <c r="BB64" i="8" l="1"/>
  <c r="BA68" i="8"/>
  <c r="AZ40" i="8"/>
  <c r="AY42" i="8"/>
  <c r="CH80" i="15"/>
  <c r="CI80" i="15"/>
  <c r="CJ80" i="15"/>
  <c r="CI127" i="15"/>
  <c r="CJ127" i="15"/>
  <c r="CI77" i="15"/>
  <c r="CJ77" i="15"/>
  <c r="BX199" i="15"/>
  <c r="CI69" i="15"/>
  <c r="CJ69" i="15"/>
  <c r="CI95" i="15"/>
  <c r="CJ95" i="15"/>
  <c r="BX85" i="15"/>
  <c r="CH85" i="2"/>
  <c r="CI85" i="2"/>
  <c r="CJ85" i="2"/>
  <c r="CI59" i="15"/>
  <c r="CJ59" i="15"/>
  <c r="CI104" i="15"/>
  <c r="CJ104" i="15"/>
  <c r="CH72" i="15"/>
  <c r="CI72" i="15"/>
  <c r="CJ72" i="15"/>
  <c r="CI81" i="15"/>
  <c r="CJ81" i="15"/>
  <c r="CI105" i="15"/>
  <c r="CJ105" i="15"/>
  <c r="CI136" i="15"/>
  <c r="CJ136" i="15"/>
  <c r="CI83" i="15"/>
  <c r="CJ83" i="15"/>
  <c r="CI103" i="15"/>
  <c r="CJ103" i="15"/>
  <c r="CI134" i="15"/>
  <c r="CJ134" i="15"/>
  <c r="CI208" i="2"/>
  <c r="CJ208" i="2"/>
  <c r="CH111" i="15"/>
  <c r="CI111" i="15"/>
  <c r="CJ111" i="15"/>
  <c r="CH125" i="15"/>
  <c r="CI125" i="15"/>
  <c r="CJ125" i="15"/>
  <c r="CI82" i="15"/>
  <c r="CJ82" i="15"/>
  <c r="CI137" i="15"/>
  <c r="CJ137" i="15"/>
  <c r="CI94" i="15"/>
  <c r="CJ94" i="15"/>
  <c r="CI122" i="15"/>
  <c r="CJ122" i="15"/>
  <c r="BX208" i="15"/>
  <c r="CI110" i="15"/>
  <c r="CJ110" i="15"/>
  <c r="CH131" i="15"/>
  <c r="CI131" i="15"/>
  <c r="CJ131" i="15"/>
  <c r="CI93" i="15"/>
  <c r="CJ93" i="15"/>
  <c r="BX197" i="15"/>
  <c r="CH68" i="15"/>
  <c r="CI68" i="15"/>
  <c r="CJ68" i="15"/>
  <c r="BX203" i="15"/>
  <c r="CI121" i="15"/>
  <c r="CJ121" i="15"/>
  <c r="CH79" i="15"/>
  <c r="CI79" i="15"/>
  <c r="CJ79" i="15"/>
  <c r="CI128" i="15"/>
  <c r="CJ128" i="15"/>
  <c r="CI159" i="15"/>
  <c r="CJ159" i="15"/>
  <c r="CH108" i="15"/>
  <c r="CI108" i="15"/>
  <c r="CJ108" i="15"/>
  <c r="BX202" i="15"/>
  <c r="CJ202" i="15" s="1"/>
  <c r="R32" i="14" s="1"/>
  <c r="AD32" i="14" s="1"/>
  <c r="CI73" i="15"/>
  <c r="CJ73" i="15"/>
  <c r="CI78" i="15"/>
  <c r="CJ78" i="15"/>
  <c r="BX99" i="15"/>
  <c r="CH99" i="2"/>
  <c r="CI99" i="2"/>
  <c r="CJ99" i="2"/>
  <c r="BX204" i="15"/>
  <c r="CH76" i="15"/>
  <c r="CI76" i="15"/>
  <c r="CJ76" i="15"/>
  <c r="CI102" i="15"/>
  <c r="CJ102" i="15"/>
  <c r="CI112" i="15"/>
  <c r="CJ112" i="15"/>
  <c r="BX201" i="15"/>
  <c r="CI132" i="15"/>
  <c r="CJ132" i="15"/>
  <c r="CI138" i="15"/>
  <c r="CJ138" i="15"/>
  <c r="CI107" i="15"/>
  <c r="CJ107" i="15"/>
  <c r="CI106" i="15"/>
  <c r="CJ106" i="15"/>
  <c r="BX198" i="15"/>
  <c r="CH135" i="15"/>
  <c r="CI135" i="15"/>
  <c r="CJ135" i="15"/>
  <c r="CI70" i="15"/>
  <c r="CJ70" i="15"/>
  <c r="CJ99" i="4"/>
  <c r="CH99" i="4"/>
  <c r="CI99" i="4"/>
  <c r="CJ113" i="4"/>
  <c r="CH113" i="4"/>
  <c r="CI113" i="4"/>
  <c r="CH84" i="15"/>
  <c r="CI84" i="15"/>
  <c r="CJ84" i="15"/>
  <c r="BX113" i="15"/>
  <c r="CH113" i="2"/>
  <c r="CI113" i="2"/>
  <c r="CJ113" i="2"/>
  <c r="CH98" i="15"/>
  <c r="CI98" i="15"/>
  <c r="CJ98" i="15"/>
  <c r="CI109" i="15"/>
  <c r="CJ109" i="15"/>
  <c r="CJ71" i="15"/>
  <c r="BX200" i="15"/>
  <c r="BX196" i="15"/>
  <c r="CH129" i="15"/>
  <c r="CI129" i="15"/>
  <c r="CJ129" i="15"/>
  <c r="CI101" i="15"/>
  <c r="CJ101" i="15"/>
  <c r="CI199" i="2"/>
  <c r="CJ199" i="2"/>
  <c r="CJ200" i="2"/>
  <c r="CI200" i="2"/>
  <c r="CI126" i="15"/>
  <c r="CJ126" i="15"/>
  <c r="CJ85" i="4"/>
  <c r="CH85" i="4"/>
  <c r="CI85" i="4"/>
  <c r="BA253" i="15"/>
  <c r="BA252" i="15"/>
  <c r="BA2" i="15"/>
  <c r="BB4" i="15"/>
  <c r="BL7" i="4"/>
  <c r="BK7" i="15"/>
  <c r="AZ2" i="15"/>
  <c r="AZ253" i="15"/>
  <c r="AZ252" i="15"/>
  <c r="AN7" i="15"/>
  <c r="AM7" i="15"/>
  <c r="AM222" i="15"/>
  <c r="AN222" i="2"/>
  <c r="AN222" i="15" s="1"/>
  <c r="AK37" i="10"/>
  <c r="AL5" i="10"/>
  <c r="AL36" i="10" s="1"/>
  <c r="AK4" i="10"/>
  <c r="S253" i="4"/>
  <c r="S252" i="4"/>
  <c r="T4" i="4"/>
  <c r="T256" i="4" s="1"/>
  <c r="S2" i="4"/>
  <c r="S253" i="2"/>
  <c r="S252" i="2"/>
  <c r="T4" i="2"/>
  <c r="T256" i="2" s="1"/>
  <c r="S2" i="2"/>
  <c r="AF89" i="8"/>
  <c r="AF88" i="8"/>
  <c r="AG5" i="8"/>
  <c r="AF4" i="8"/>
  <c r="BA40" i="8" l="1"/>
  <c r="AZ42" i="8"/>
  <c r="BC64" i="8"/>
  <c r="BB68" i="8"/>
  <c r="CH196" i="15"/>
  <c r="N26" i="14" s="1"/>
  <c r="Z26" i="14" s="1"/>
  <c r="CI196" i="15"/>
  <c r="P26" i="14" s="1"/>
  <c r="AB26" i="14" s="1"/>
  <c r="CJ196" i="15"/>
  <c r="R26" i="14" s="1"/>
  <c r="AD26" i="14" s="1"/>
  <c r="CI204" i="15"/>
  <c r="P34" i="14" s="1"/>
  <c r="AB34" i="14" s="1"/>
  <c r="CJ204" i="15"/>
  <c r="R34" i="14" s="1"/>
  <c r="AD34" i="14" s="1"/>
  <c r="CI99" i="15"/>
  <c r="CJ99" i="15"/>
  <c r="CI199" i="15"/>
  <c r="P29" i="14" s="1"/>
  <c r="AB29" i="14" s="1"/>
  <c r="CJ199" i="15"/>
  <c r="R29" i="14" s="1"/>
  <c r="AD29" i="14" s="1"/>
  <c r="CI200" i="15"/>
  <c r="P30" i="14" s="1"/>
  <c r="AB30" i="14" s="1"/>
  <c r="CJ200" i="15"/>
  <c r="R30" i="14" s="1"/>
  <c r="AD30" i="14" s="1"/>
  <c r="CI198" i="15"/>
  <c r="P28" i="14" s="1"/>
  <c r="AB28" i="14" s="1"/>
  <c r="CJ198" i="15"/>
  <c r="R28" i="14" s="1"/>
  <c r="AD28" i="14" s="1"/>
  <c r="CH85" i="15"/>
  <c r="CI85" i="15"/>
  <c r="CJ85" i="15"/>
  <c r="CI201" i="15"/>
  <c r="P31" i="14" s="1"/>
  <c r="AB31" i="14" s="1"/>
  <c r="CJ201" i="15"/>
  <c r="R31" i="14" s="1"/>
  <c r="AD31" i="14" s="1"/>
  <c r="CI203" i="15"/>
  <c r="P33" i="14" s="1"/>
  <c r="AB33" i="14" s="1"/>
  <c r="CJ203" i="15"/>
  <c r="R33" i="14" s="1"/>
  <c r="AD33" i="14" s="1"/>
  <c r="CI208" i="15"/>
  <c r="P37" i="14" s="1"/>
  <c r="AB37" i="14" s="1"/>
  <c r="CJ208" i="15"/>
  <c r="R37" i="14" s="1"/>
  <c r="AD37" i="14" s="1"/>
  <c r="CH113" i="15"/>
  <c r="CI113" i="15"/>
  <c r="CJ113" i="15"/>
  <c r="BB2" i="15"/>
  <c r="BB253" i="15"/>
  <c r="BB252" i="15"/>
  <c r="BC4" i="15"/>
  <c r="BM7" i="4"/>
  <c r="BL7" i="15"/>
  <c r="AL37" i="10"/>
  <c r="AL4" i="10"/>
  <c r="AM5" i="10"/>
  <c r="AN5" i="10" s="1"/>
  <c r="T253" i="4"/>
  <c r="T252" i="4"/>
  <c r="T2" i="4"/>
  <c r="U4" i="4"/>
  <c r="U256" i="4" s="1"/>
  <c r="T253" i="2"/>
  <c r="T252" i="2"/>
  <c r="U4" i="2"/>
  <c r="U256" i="2" s="1"/>
  <c r="T2" i="2"/>
  <c r="AG89" i="8"/>
  <c r="AG88" i="8"/>
  <c r="AH5" i="8"/>
  <c r="AG4" i="8"/>
  <c r="AO5" i="10" l="1"/>
  <c r="AN4" i="10"/>
  <c r="AN37" i="10"/>
  <c r="AN36" i="10"/>
  <c r="BD64" i="8"/>
  <c r="BC68" i="8"/>
  <c r="BB40" i="8"/>
  <c r="BA42" i="8"/>
  <c r="BN7" i="4"/>
  <c r="BM7" i="15"/>
  <c r="BC2" i="15"/>
  <c r="BC253" i="15"/>
  <c r="BC252" i="15"/>
  <c r="BD4" i="15"/>
  <c r="AM36" i="10"/>
  <c r="AM4" i="10"/>
  <c r="AM37" i="10"/>
  <c r="U252" i="4"/>
  <c r="U253" i="4"/>
  <c r="U2" i="4"/>
  <c r="V4" i="4"/>
  <c r="V256" i="4" s="1"/>
  <c r="U253" i="2"/>
  <c r="U252" i="2"/>
  <c r="U2" i="2"/>
  <c r="V4" i="2"/>
  <c r="V256" i="2" s="1"/>
  <c r="AH89" i="8"/>
  <c r="AH88" i="8"/>
  <c r="AH4" i="8"/>
  <c r="AI5" i="8"/>
  <c r="AO4" i="10" l="1"/>
  <c r="AO36" i="10"/>
  <c r="AO37" i="10"/>
  <c r="AP5" i="10"/>
  <c r="BC40" i="8"/>
  <c r="BB42" i="8"/>
  <c r="BE64" i="8"/>
  <c r="BD68" i="8"/>
  <c r="BD2" i="15"/>
  <c r="BD253" i="15"/>
  <c r="BD252" i="15"/>
  <c r="BE4" i="15"/>
  <c r="BO7" i="4"/>
  <c r="BN7" i="15"/>
  <c r="V252" i="2"/>
  <c r="V253" i="2"/>
  <c r="V2" i="2"/>
  <c r="W4" i="2"/>
  <c r="W256" i="2" s="1"/>
  <c r="V253" i="4"/>
  <c r="V252" i="4"/>
  <c r="W4" i="4"/>
  <c r="W256" i="4" s="1"/>
  <c r="V2" i="4"/>
  <c r="AI88" i="8"/>
  <c r="AI89" i="8"/>
  <c r="AI4" i="8"/>
  <c r="AJ5" i="8"/>
  <c r="AP4" i="10" l="1"/>
  <c r="AP37" i="10"/>
  <c r="AP36" i="10"/>
  <c r="AQ5" i="10"/>
  <c r="BC42" i="8"/>
  <c r="BD40" i="8"/>
  <c r="BE68" i="8"/>
  <c r="BF64" i="8"/>
  <c r="BP7" i="4"/>
  <c r="BO7" i="15"/>
  <c r="BE2" i="15"/>
  <c r="BE253" i="15"/>
  <c r="BE252" i="15"/>
  <c r="BF4" i="15"/>
  <c r="W253" i="2"/>
  <c r="W252" i="2"/>
  <c r="X4" i="2"/>
  <c r="X256" i="2" s="1"/>
  <c r="W2" i="2"/>
  <c r="W253" i="4"/>
  <c r="W252" i="4"/>
  <c r="X4" i="4"/>
  <c r="X256" i="4" s="1"/>
  <c r="W2" i="4"/>
  <c r="AJ88" i="8"/>
  <c r="AJ89" i="8"/>
  <c r="AJ4" i="8"/>
  <c r="AK5" i="8"/>
  <c r="AQ37" i="10" l="1"/>
  <c r="AQ36" i="10"/>
  <c r="AQ4" i="10"/>
  <c r="AR5" i="10"/>
  <c r="BF68" i="8"/>
  <c r="BG64" i="8"/>
  <c r="BE40" i="8"/>
  <c r="BD42" i="8"/>
  <c r="BF2" i="15"/>
  <c r="BF252" i="15"/>
  <c r="BF253" i="15"/>
  <c r="BG4" i="15"/>
  <c r="BQ7" i="4"/>
  <c r="BP7" i="15"/>
  <c r="X173" i="2"/>
  <c r="X176" i="2" s="1"/>
  <c r="X183" i="2" s="1"/>
  <c r="X57" i="15"/>
  <c r="X253" i="4"/>
  <c r="X252" i="4"/>
  <c r="X2" i="4"/>
  <c r="Y4" i="4"/>
  <c r="X253" i="2"/>
  <c r="X252" i="2"/>
  <c r="X2" i="2"/>
  <c r="Y4" i="2"/>
  <c r="AK89" i="8"/>
  <c r="AK88" i="8"/>
  <c r="AL5" i="8"/>
  <c r="AK4" i="8"/>
  <c r="AR37" i="10" l="1"/>
  <c r="AR4" i="10"/>
  <c r="AS5" i="10"/>
  <c r="AR36" i="10"/>
  <c r="BE42" i="8"/>
  <c r="BF40" i="8"/>
  <c r="BH64" i="8"/>
  <c r="BG68" i="8"/>
  <c r="BR7" i="4"/>
  <c r="BQ7" i="15"/>
  <c r="BG2" i="15"/>
  <c r="BG253" i="15"/>
  <c r="BG252" i="15"/>
  <c r="BH4" i="15"/>
  <c r="Y256" i="4"/>
  <c r="Y272" i="4"/>
  <c r="Y275" i="4"/>
  <c r="Y277" i="4"/>
  <c r="Y276" i="4"/>
  <c r="Y274" i="4"/>
  <c r="Y273" i="4"/>
  <c r="Y256" i="2"/>
  <c r="Y277" i="2"/>
  <c r="Y276" i="2"/>
  <c r="Y275" i="2"/>
  <c r="Y274" i="2"/>
  <c r="Y272" i="2"/>
  <c r="Y273" i="2"/>
  <c r="Y253" i="2"/>
  <c r="Y252" i="2"/>
  <c r="Y2" i="2"/>
  <c r="Z4" i="2"/>
  <c r="Y252" i="4"/>
  <c r="Y253" i="4"/>
  <c r="Z4" i="4"/>
  <c r="Y2" i="4"/>
  <c r="AL88" i="8"/>
  <c r="AL89" i="8"/>
  <c r="AM5" i="8"/>
  <c r="AL4" i="8"/>
  <c r="AT5" i="10" l="1"/>
  <c r="AS4" i="10"/>
  <c r="AS36" i="10"/>
  <c r="AS37" i="10"/>
  <c r="BI64" i="8"/>
  <c r="BH68" i="8"/>
  <c r="BG40" i="8"/>
  <c r="BF42" i="8"/>
  <c r="BH2" i="15"/>
  <c r="BH253" i="15"/>
  <c r="BH252" i="15"/>
  <c r="BI4" i="15"/>
  <c r="BS7" i="4"/>
  <c r="BR7" i="15"/>
  <c r="Y57" i="15"/>
  <c r="Z60" i="8"/>
  <c r="Y194" i="2"/>
  <c r="Y194" i="4"/>
  <c r="Z256" i="4"/>
  <c r="Z274" i="4"/>
  <c r="Z272" i="4"/>
  <c r="Z277" i="4"/>
  <c r="Z275" i="4"/>
  <c r="Z276" i="4"/>
  <c r="Z273" i="4"/>
  <c r="Y115" i="15"/>
  <c r="Y58" i="15"/>
  <c r="Y144" i="15"/>
  <c r="Y145" i="15"/>
  <c r="Z256" i="2"/>
  <c r="Z275" i="2"/>
  <c r="Z277" i="2"/>
  <c r="Z276" i="2"/>
  <c r="Z274" i="2"/>
  <c r="Z273" i="2"/>
  <c r="Z272" i="2"/>
  <c r="Y87" i="15"/>
  <c r="Z253" i="4"/>
  <c r="Z252" i="4"/>
  <c r="AA4" i="4"/>
  <c r="Z2" i="4"/>
  <c r="Z253" i="2"/>
  <c r="Z252" i="2"/>
  <c r="AA4" i="2"/>
  <c r="Z2" i="2"/>
  <c r="AM88" i="8"/>
  <c r="AM89" i="8"/>
  <c r="AM4" i="8"/>
  <c r="AN5" i="8"/>
  <c r="AU5" i="10" l="1"/>
  <c r="AT4" i="10"/>
  <c r="AT37" i="10"/>
  <c r="AT36" i="10"/>
  <c r="BH40" i="8"/>
  <c r="BG42" i="8"/>
  <c r="BI68" i="8"/>
  <c r="BJ64" i="8"/>
  <c r="BT7" i="4"/>
  <c r="BS7" i="15"/>
  <c r="BI2" i="15"/>
  <c r="BI253" i="15"/>
  <c r="BI252" i="15"/>
  <c r="BJ4" i="15"/>
  <c r="Z145" i="15"/>
  <c r="Y123" i="4"/>
  <c r="Z58" i="15"/>
  <c r="Y194" i="15"/>
  <c r="Y96" i="4"/>
  <c r="Z194" i="4"/>
  <c r="Z194" i="2"/>
  <c r="Z57" i="15"/>
  <c r="AA256" i="4"/>
  <c r="AA274" i="4"/>
  <c r="AA277" i="4"/>
  <c r="AA275" i="4"/>
  <c r="AA272" i="4"/>
  <c r="AA276" i="4"/>
  <c r="AA273" i="4"/>
  <c r="AA60" i="8"/>
  <c r="Y123" i="2"/>
  <c r="Y157" i="4"/>
  <c r="Y158" i="4" s="1"/>
  <c r="Y195" i="4"/>
  <c r="Y210" i="4" s="1"/>
  <c r="Y211" i="4" s="1"/>
  <c r="Y214" i="4" s="1"/>
  <c r="Y219" i="4" s="1"/>
  <c r="Y74" i="4"/>
  <c r="Y173" i="4"/>
  <c r="Y176" i="4" s="1"/>
  <c r="Y183" i="4" s="1"/>
  <c r="Y96" i="2"/>
  <c r="Y92" i="15"/>
  <c r="Z87" i="15"/>
  <c r="Y150" i="15"/>
  <c r="Y60" i="15"/>
  <c r="Y195" i="2"/>
  <c r="Y210" i="2" s="1"/>
  <c r="Y211" i="2" s="1"/>
  <c r="Y214" i="2" s="1"/>
  <c r="Y219" i="2" s="1"/>
  <c r="Y74" i="2"/>
  <c r="Y173" i="2"/>
  <c r="Y176" i="2" s="1"/>
  <c r="Y183" i="2" s="1"/>
  <c r="Y147" i="15"/>
  <c r="Y67" i="15"/>
  <c r="Y119" i="15"/>
  <c r="Y91" i="15"/>
  <c r="Z144" i="15"/>
  <c r="Y154" i="15"/>
  <c r="Y64" i="15"/>
  <c r="Y149" i="15"/>
  <c r="Y63" i="15"/>
  <c r="Y120" i="15"/>
  <c r="AA256" i="2"/>
  <c r="AA276" i="2"/>
  <c r="AA275" i="2"/>
  <c r="AA277" i="2"/>
  <c r="AA273" i="2"/>
  <c r="AA274" i="2"/>
  <c r="AA272" i="2"/>
  <c r="Y89" i="15"/>
  <c r="Y152" i="15"/>
  <c r="Y66" i="15"/>
  <c r="Y157" i="2"/>
  <c r="Y153" i="15"/>
  <c r="Y65" i="15"/>
  <c r="Y118" i="15"/>
  <c r="Y90" i="15"/>
  <c r="Z115" i="15"/>
  <c r="Y148" i="15"/>
  <c r="Y62" i="15"/>
  <c r="Y151" i="15"/>
  <c r="Y61" i="15"/>
  <c r="Y117" i="15"/>
  <c r="AA253" i="2"/>
  <c r="AA252" i="2"/>
  <c r="AB4" i="2"/>
  <c r="AA2" i="2"/>
  <c r="AA253" i="4"/>
  <c r="AA252" i="4"/>
  <c r="AA2" i="4"/>
  <c r="AB4" i="4"/>
  <c r="AN89" i="8"/>
  <c r="AN88" i="8"/>
  <c r="AN4" i="8"/>
  <c r="AO5" i="8"/>
  <c r="AP5" i="8" s="1"/>
  <c r="AA57" i="15" l="1"/>
  <c r="AU37" i="10"/>
  <c r="AU36" i="10"/>
  <c r="AV5" i="10"/>
  <c r="AU4" i="10"/>
  <c r="BK64" i="8"/>
  <c r="BJ68" i="8"/>
  <c r="AQ5" i="8"/>
  <c r="AP4" i="8"/>
  <c r="AP89" i="8"/>
  <c r="AP88" i="8"/>
  <c r="BH42" i="8"/>
  <c r="BI40" i="8"/>
  <c r="Y220" i="4"/>
  <c r="Y220" i="2"/>
  <c r="BJ253" i="15"/>
  <c r="BJ252" i="15"/>
  <c r="BK4" i="15"/>
  <c r="BJ2" i="15"/>
  <c r="BU7" i="4"/>
  <c r="BT7" i="15"/>
  <c r="AB60" i="8"/>
  <c r="Y123" i="15"/>
  <c r="AA194" i="4"/>
  <c r="Y96" i="15"/>
  <c r="Z194" i="15"/>
  <c r="Z157" i="4"/>
  <c r="Z158" i="4" s="1"/>
  <c r="Z96" i="4"/>
  <c r="AA58" i="15"/>
  <c r="Z67" i="15"/>
  <c r="Y141" i="4"/>
  <c r="Y166" i="4" s="1"/>
  <c r="Y167" i="4" s="1"/>
  <c r="Y174" i="4" s="1"/>
  <c r="Y212" i="2"/>
  <c r="Z74" i="4"/>
  <c r="Z123" i="2"/>
  <c r="AA145" i="15"/>
  <c r="Z123" i="4"/>
  <c r="Z195" i="4"/>
  <c r="Y212" i="4"/>
  <c r="AB275" i="4"/>
  <c r="AB115" i="4" s="1"/>
  <c r="AB277" i="4"/>
  <c r="AB145" i="4" s="1"/>
  <c r="AB276" i="4"/>
  <c r="AB144" i="4" s="1"/>
  <c r="AB272" i="4"/>
  <c r="AB57" i="4" s="1"/>
  <c r="AB62" i="4" s="1"/>
  <c r="AB274" i="4"/>
  <c r="AB87" i="4" s="1"/>
  <c r="AB273" i="4"/>
  <c r="AB58" i="4" s="1"/>
  <c r="AA194" i="2"/>
  <c r="Z61" i="15"/>
  <c r="Z90" i="15"/>
  <c r="Z65" i="15"/>
  <c r="Z89" i="15"/>
  <c r="Z151" i="15"/>
  <c r="Z62" i="15"/>
  <c r="Z148" i="15"/>
  <c r="AA115" i="15"/>
  <c r="Z63" i="15"/>
  <c r="Z149" i="15"/>
  <c r="Z154" i="15"/>
  <c r="Z60" i="15"/>
  <c r="Z195" i="2"/>
  <c r="Z153" i="15"/>
  <c r="Z66" i="15"/>
  <c r="AA87" i="15"/>
  <c r="AA144" i="15"/>
  <c r="Y141" i="2"/>
  <c r="Y74" i="15"/>
  <c r="Z120" i="15"/>
  <c r="Z64" i="15"/>
  <c r="Z91" i="15"/>
  <c r="Z119" i="15"/>
  <c r="Z92" i="15"/>
  <c r="AB276" i="2"/>
  <c r="AB144" i="2" s="1"/>
  <c r="AB277" i="2"/>
  <c r="AB145" i="2" s="1"/>
  <c r="AB275" i="2"/>
  <c r="AB115" i="2" s="1"/>
  <c r="AB273" i="2"/>
  <c r="AB58" i="2" s="1"/>
  <c r="AB272" i="2"/>
  <c r="AB57" i="2" s="1"/>
  <c r="AB62" i="2" s="1"/>
  <c r="AB274" i="2"/>
  <c r="AB87" i="2" s="1"/>
  <c r="Z118" i="15"/>
  <c r="Z152" i="15"/>
  <c r="Z117" i="15"/>
  <c r="Y158" i="2"/>
  <c r="Y157" i="15"/>
  <c r="Z74" i="2"/>
  <c r="Z157" i="2"/>
  <c r="Z147" i="15"/>
  <c r="Y195" i="15"/>
  <c r="Y210" i="15" s="1"/>
  <c r="Y211" i="15" s="1"/>
  <c r="Y214" i="15" s="1"/>
  <c r="Y219" i="15" s="1"/>
  <c r="Y173" i="15"/>
  <c r="Z150" i="15"/>
  <c r="Z96" i="2"/>
  <c r="AC4" i="2"/>
  <c r="AC253" i="2" s="1"/>
  <c r="AC4" i="4"/>
  <c r="AD4" i="4" s="1"/>
  <c r="AB2" i="2"/>
  <c r="AB253" i="2"/>
  <c r="AB252" i="2"/>
  <c r="AB2" i="4"/>
  <c r="AB253" i="4"/>
  <c r="AB252" i="4"/>
  <c r="AO89" i="8"/>
  <c r="AO88" i="8"/>
  <c r="AO4" i="8"/>
  <c r="AB154" i="4" l="1"/>
  <c r="AW5" i="10"/>
  <c r="AV37" i="10"/>
  <c r="AV4" i="10"/>
  <c r="AV36" i="10"/>
  <c r="AB151" i="2"/>
  <c r="BI42" i="8"/>
  <c r="BJ40" i="8"/>
  <c r="AQ89" i="8"/>
  <c r="AQ88" i="8"/>
  <c r="AR5" i="8"/>
  <c r="AQ4" i="8"/>
  <c r="BL64" i="8"/>
  <c r="BK68" i="8"/>
  <c r="X7" i="10"/>
  <c r="Y176" i="15"/>
  <c r="Y183" i="15" s="1"/>
  <c r="Y220" i="15" s="1"/>
  <c r="Z96" i="15"/>
  <c r="AB63" i="2"/>
  <c r="BV7" i="4"/>
  <c r="BU7" i="15"/>
  <c r="BK253" i="15"/>
  <c r="BK252" i="15"/>
  <c r="BK2" i="15"/>
  <c r="BL4" i="15"/>
  <c r="AA92" i="15"/>
  <c r="AA194" i="15"/>
  <c r="AA90" i="15"/>
  <c r="AD4" i="2"/>
  <c r="AD256" i="2" s="1"/>
  <c r="AB90" i="4"/>
  <c r="AA149" i="15"/>
  <c r="AA117" i="15"/>
  <c r="AA120" i="15"/>
  <c r="AA66" i="15"/>
  <c r="Z74" i="15"/>
  <c r="AB65" i="2"/>
  <c r="AA74" i="4"/>
  <c r="Z123" i="15"/>
  <c r="AB66" i="2"/>
  <c r="AB153" i="2"/>
  <c r="AB63" i="4"/>
  <c r="AB147" i="4"/>
  <c r="AA152" i="15"/>
  <c r="Y141" i="15"/>
  <c r="AA96" i="4"/>
  <c r="AA119" i="15"/>
  <c r="AB150" i="4"/>
  <c r="AB61" i="4"/>
  <c r="AB152" i="4"/>
  <c r="Y212" i="15"/>
  <c r="AC2" i="2"/>
  <c r="AB145" i="15"/>
  <c r="AB148" i="4"/>
  <c r="AA153" i="15"/>
  <c r="AB91" i="4"/>
  <c r="AA91" i="15"/>
  <c r="AD256" i="4"/>
  <c r="AD277" i="4"/>
  <c r="AD145" i="4" s="1"/>
  <c r="AD274" i="4"/>
  <c r="AD87" i="4" s="1"/>
  <c r="AD276" i="4"/>
  <c r="AD144" i="4" s="1"/>
  <c r="AD272" i="4"/>
  <c r="AD57" i="4" s="1"/>
  <c r="AD62" i="4" s="1"/>
  <c r="AD275" i="4"/>
  <c r="AD115" i="4" s="1"/>
  <c r="AD273" i="4"/>
  <c r="AD58" i="4" s="1"/>
  <c r="AC256" i="4"/>
  <c r="AC276" i="4"/>
  <c r="AC144" i="4" s="1"/>
  <c r="AC272" i="4"/>
  <c r="AC57" i="4" s="1"/>
  <c r="AC62" i="4" s="1"/>
  <c r="AC277" i="4"/>
  <c r="AC145" i="4" s="1"/>
  <c r="AC275" i="4"/>
  <c r="AC115" i="4" s="1"/>
  <c r="AC273" i="4"/>
  <c r="AC58" i="4" s="1"/>
  <c r="AC274" i="4"/>
  <c r="AC87" i="4" s="1"/>
  <c r="AB65" i="4"/>
  <c r="AB67" i="4"/>
  <c r="CF67" i="4" s="1"/>
  <c r="AB120" i="4"/>
  <c r="AB117" i="4"/>
  <c r="AB66" i="4"/>
  <c r="AB66" i="15" s="1"/>
  <c r="AA123" i="4"/>
  <c r="AB89" i="4"/>
  <c r="AB60" i="4"/>
  <c r="AB153" i="4"/>
  <c r="AB92" i="4"/>
  <c r="AB118" i="4"/>
  <c r="AA195" i="4"/>
  <c r="AB151" i="4"/>
  <c r="AB64" i="4"/>
  <c r="AA157" i="4"/>
  <c r="AA158" i="4" s="1"/>
  <c r="AB149" i="4"/>
  <c r="AB119" i="4"/>
  <c r="AA74" i="2"/>
  <c r="AB149" i="2"/>
  <c r="AC252" i="2"/>
  <c r="AA89" i="15"/>
  <c r="AA148" i="15"/>
  <c r="AB148" i="2"/>
  <c r="AB115" i="15"/>
  <c r="AA64" i="15"/>
  <c r="AB154" i="2"/>
  <c r="AA154" i="15"/>
  <c r="AA96" i="2"/>
  <c r="AB118" i="2"/>
  <c r="AA61" i="15"/>
  <c r="AB120" i="2"/>
  <c r="Z158" i="2"/>
  <c r="Z157" i="15"/>
  <c r="AA118" i="15"/>
  <c r="AB87" i="15"/>
  <c r="AA67" i="15"/>
  <c r="AB67" i="2"/>
  <c r="AA147" i="15"/>
  <c r="AB147" i="2"/>
  <c r="AA157" i="2"/>
  <c r="AB89" i="2"/>
  <c r="AB119" i="2"/>
  <c r="AB117" i="2"/>
  <c r="AB60" i="2"/>
  <c r="AA60" i="15"/>
  <c r="AA195" i="2"/>
  <c r="Y158" i="15"/>
  <c r="Y166" i="2"/>
  <c r="AA62" i="15"/>
  <c r="AB64" i="2"/>
  <c r="AB144" i="15"/>
  <c r="AA150" i="15"/>
  <c r="AB150" i="2"/>
  <c r="AA151" i="15"/>
  <c r="Z195" i="15"/>
  <c r="AB152" i="2"/>
  <c r="AC277" i="2"/>
  <c r="AC145" i="2" s="1"/>
  <c r="AC256" i="2"/>
  <c r="AC275" i="2"/>
  <c r="AC115" i="2" s="1"/>
  <c r="AC272" i="2"/>
  <c r="AC57" i="2" s="1"/>
  <c r="AC62" i="2" s="1"/>
  <c r="AC273" i="2"/>
  <c r="AC58" i="2" s="1"/>
  <c r="AC276" i="2"/>
  <c r="AC144" i="2" s="1"/>
  <c r="AC274" i="2"/>
  <c r="AC87" i="2" s="1"/>
  <c r="AB90" i="2"/>
  <c r="AB61" i="2"/>
  <c r="AB58" i="15"/>
  <c r="AB92" i="2"/>
  <c r="AB91" i="2"/>
  <c r="AA63" i="15"/>
  <c r="AA123" i="2"/>
  <c r="AA65" i="15"/>
  <c r="AC252" i="4"/>
  <c r="AC2" i="4"/>
  <c r="AB57" i="15"/>
  <c r="AB194" i="2"/>
  <c r="AC253" i="4"/>
  <c r="AB194" i="4"/>
  <c r="AD253" i="4"/>
  <c r="AD252" i="4"/>
  <c r="AD2" i="4"/>
  <c r="AE4" i="4"/>
  <c r="AX5" i="10" l="1"/>
  <c r="AW4" i="10"/>
  <c r="AW36" i="10"/>
  <c r="AW37" i="10"/>
  <c r="BM64" i="8"/>
  <c r="BL68" i="8"/>
  <c r="BK40" i="8"/>
  <c r="BJ42" i="8"/>
  <c r="AR89" i="8"/>
  <c r="AR88" i="8"/>
  <c r="AS5" i="8"/>
  <c r="AR4" i="8"/>
  <c r="AE4" i="2"/>
  <c r="AD273" i="2"/>
  <c r="AD58" i="2" s="1"/>
  <c r="AD58" i="15" s="1"/>
  <c r="AD2" i="2"/>
  <c r="AD275" i="2"/>
  <c r="AD115" i="2" s="1"/>
  <c r="AD115" i="15" s="1"/>
  <c r="AD252" i="2"/>
  <c r="AD253" i="2"/>
  <c r="AD276" i="2"/>
  <c r="AD144" i="2" s="1"/>
  <c r="AD144" i="15" s="1"/>
  <c r="AD274" i="2"/>
  <c r="AD87" i="2" s="1"/>
  <c r="AD87" i="15" s="1"/>
  <c r="AD277" i="2"/>
  <c r="AD145" i="2" s="1"/>
  <c r="AD145" i="15" s="1"/>
  <c r="AD272" i="2"/>
  <c r="AD57" i="2" s="1"/>
  <c r="AD62" i="2" s="1"/>
  <c r="AB65" i="15"/>
  <c r="AB63" i="15"/>
  <c r="BL2" i="15"/>
  <c r="BL253" i="15"/>
  <c r="BL252" i="15"/>
  <c r="BM4" i="15"/>
  <c r="BW7" i="4"/>
  <c r="BV7" i="15"/>
  <c r="AC57" i="15"/>
  <c r="AC89" i="2"/>
  <c r="AC118" i="2"/>
  <c r="AC194" i="2"/>
  <c r="AA74" i="15"/>
  <c r="AC151" i="4"/>
  <c r="AC91" i="4"/>
  <c r="AC150" i="4"/>
  <c r="AB153" i="15"/>
  <c r="AC63" i="2"/>
  <c r="AC194" i="4"/>
  <c r="AD194" i="4"/>
  <c r="AB151" i="15"/>
  <c r="AD54" i="8"/>
  <c r="AD60" i="8" s="1"/>
  <c r="AB74" i="4"/>
  <c r="AC145" i="15"/>
  <c r="AC118" i="4"/>
  <c r="AA96" i="15"/>
  <c r="AC63" i="4"/>
  <c r="AC153" i="4"/>
  <c r="AC148" i="4"/>
  <c r="AE54" i="8"/>
  <c r="AE60" i="8" s="1"/>
  <c r="AB96" i="4"/>
  <c r="AC147" i="4"/>
  <c r="AC152" i="4"/>
  <c r="AC92" i="4"/>
  <c r="AC120" i="4"/>
  <c r="AC154" i="4"/>
  <c r="AC149" i="4"/>
  <c r="AC64" i="4"/>
  <c r="AB157" i="4"/>
  <c r="AB158" i="4" s="1"/>
  <c r="AC117" i="4"/>
  <c r="AC67" i="4"/>
  <c r="AE256" i="4"/>
  <c r="AE275" i="4"/>
  <c r="AE115" i="4" s="1"/>
  <c r="AE277" i="4"/>
  <c r="AE145" i="4" s="1"/>
  <c r="AE272" i="4"/>
  <c r="AE57" i="4" s="1"/>
  <c r="AE62" i="4" s="1"/>
  <c r="AE274" i="4"/>
  <c r="AE87" i="4" s="1"/>
  <c r="AE276" i="4"/>
  <c r="AE144" i="4" s="1"/>
  <c r="AE273" i="4"/>
  <c r="AE58" i="4" s="1"/>
  <c r="AB256" i="4"/>
  <c r="AC89" i="4"/>
  <c r="AC90" i="4"/>
  <c r="AB149" i="15"/>
  <c r="AC119" i="4"/>
  <c r="AB195" i="4"/>
  <c r="AC60" i="4"/>
  <c r="AB123" i="4"/>
  <c r="AC66" i="4"/>
  <c r="AC65" i="4"/>
  <c r="AC61" i="4"/>
  <c r="AB96" i="2"/>
  <c r="AC154" i="2"/>
  <c r="AC91" i="2"/>
  <c r="AB91" i="15"/>
  <c r="AB61" i="15"/>
  <c r="AB90" i="15"/>
  <c r="AC144" i="15"/>
  <c r="AB152" i="15"/>
  <c r="AC152" i="2"/>
  <c r="AB64" i="15"/>
  <c r="Y166" i="15"/>
  <c r="Y167" i="2"/>
  <c r="AB117" i="15"/>
  <c r="AC117" i="2"/>
  <c r="AC90" i="2"/>
  <c r="AB119" i="15"/>
  <c r="AC119" i="2"/>
  <c r="AC147" i="2"/>
  <c r="Z158" i="15"/>
  <c r="AB120" i="15"/>
  <c r="AC120" i="2"/>
  <c r="AC148" i="2"/>
  <c r="AB123" i="2"/>
  <c r="AC58" i="15"/>
  <c r="AB150" i="15"/>
  <c r="AB157" i="2"/>
  <c r="AA195" i="15"/>
  <c r="AB89" i="15"/>
  <c r="AB67" i="15"/>
  <c r="AB118" i="15"/>
  <c r="AB148" i="15"/>
  <c r="AC65" i="2"/>
  <c r="AC153" i="2"/>
  <c r="AE256" i="2"/>
  <c r="AE276" i="2"/>
  <c r="AE144" i="2" s="1"/>
  <c r="AE275" i="2"/>
  <c r="AE115" i="2" s="1"/>
  <c r="AE277" i="2"/>
  <c r="AE145" i="2" s="1"/>
  <c r="AE273" i="2"/>
  <c r="AE58" i="2" s="1"/>
  <c r="AE274" i="2"/>
  <c r="AE87" i="2" s="1"/>
  <c r="AE272" i="2"/>
  <c r="AE57" i="2" s="1"/>
  <c r="AE62" i="2" s="1"/>
  <c r="AC64" i="2"/>
  <c r="AB92" i="15"/>
  <c r="AC92" i="2"/>
  <c r="AC66" i="2"/>
  <c r="AC149" i="2"/>
  <c r="AA158" i="2"/>
  <c r="AA157" i="15"/>
  <c r="AA123" i="15"/>
  <c r="AC87" i="15"/>
  <c r="AC115" i="15"/>
  <c r="AC150" i="2"/>
  <c r="AB74" i="2"/>
  <c r="AB62" i="15"/>
  <c r="AC60" i="2"/>
  <c r="AB60" i="15"/>
  <c r="AB195" i="2"/>
  <c r="AB256" i="2"/>
  <c r="AC61" i="2"/>
  <c r="AB147" i="15"/>
  <c r="AC67" i="2"/>
  <c r="AB154" i="15"/>
  <c r="AC151" i="2"/>
  <c r="AB194" i="15"/>
  <c r="AE253" i="4"/>
  <c r="AE252" i="4"/>
  <c r="AF4" i="4"/>
  <c r="AE2" i="4"/>
  <c r="AE253" i="2"/>
  <c r="AE252" i="2"/>
  <c r="AE2" i="2"/>
  <c r="AF4" i="2"/>
  <c r="AY5" i="10" l="1"/>
  <c r="AX36" i="10"/>
  <c r="AX37" i="10"/>
  <c r="AX4" i="10"/>
  <c r="Z49" i="8"/>
  <c r="Z61" i="8" s="1"/>
  <c r="Z69" i="8" s="1"/>
  <c r="Z84" i="8"/>
  <c r="AS89" i="8"/>
  <c r="AS88" i="8"/>
  <c r="AT5" i="8"/>
  <c r="AS4" i="8"/>
  <c r="BK42" i="8"/>
  <c r="BL40" i="8"/>
  <c r="BM68" i="8"/>
  <c r="BN64" i="8"/>
  <c r="AD63" i="2"/>
  <c r="AD194" i="2"/>
  <c r="AD57" i="15"/>
  <c r="AD194" i="15" s="1"/>
  <c r="AD89" i="2"/>
  <c r="AE89" i="2" s="1"/>
  <c r="AF54" i="8"/>
  <c r="AF60" i="8" s="1"/>
  <c r="BM2" i="15"/>
  <c r="BM253" i="15"/>
  <c r="BM252" i="15"/>
  <c r="BN4" i="15"/>
  <c r="BX7" i="4"/>
  <c r="BX7" i="15" s="1"/>
  <c r="BW7" i="15"/>
  <c r="AD66" i="4"/>
  <c r="AD64" i="4"/>
  <c r="AE64" i="4" s="1"/>
  <c r="AD120" i="2"/>
  <c r="AE120" i="2" s="1"/>
  <c r="AD118" i="2"/>
  <c r="AE118" i="2" s="1"/>
  <c r="AD67" i="4"/>
  <c r="AE67" i="4" s="1"/>
  <c r="AD149" i="4"/>
  <c r="AE149" i="4" s="1"/>
  <c r="AD152" i="4"/>
  <c r="AE152" i="4" s="1"/>
  <c r="AD91" i="4"/>
  <c r="AE91" i="4" s="1"/>
  <c r="AD150" i="4"/>
  <c r="AE150" i="4" s="1"/>
  <c r="AD60" i="4"/>
  <c r="AE60" i="4" s="1"/>
  <c r="AD151" i="4"/>
  <c r="AD89" i="4"/>
  <c r="AD152" i="2"/>
  <c r="AD154" i="2"/>
  <c r="AD147" i="4"/>
  <c r="AE147" i="4" s="1"/>
  <c r="AD148" i="4"/>
  <c r="AE148" i="4" s="1"/>
  <c r="AD120" i="4"/>
  <c r="AE120" i="4" s="1"/>
  <c r="AD153" i="4"/>
  <c r="AE153" i="4" s="1"/>
  <c r="AD118" i="4"/>
  <c r="AE118" i="4" s="1"/>
  <c r="AB74" i="15"/>
  <c r="AE58" i="15"/>
  <c r="AC63" i="15"/>
  <c r="AE145" i="15"/>
  <c r="AC89" i="15"/>
  <c r="AB96" i="15"/>
  <c r="AD63" i="4"/>
  <c r="AE63" i="4" s="1"/>
  <c r="AC118" i="15"/>
  <c r="AC154" i="15"/>
  <c r="AE194" i="4"/>
  <c r="AC54" i="8"/>
  <c r="AC60" i="8" s="1"/>
  <c r="AC157" i="4"/>
  <c r="AC195" i="4"/>
  <c r="AD119" i="4"/>
  <c r="AC74" i="4"/>
  <c r="AD65" i="4"/>
  <c r="AE65" i="4" s="1"/>
  <c r="AC123" i="4"/>
  <c r="AD117" i="4"/>
  <c r="AF256" i="4"/>
  <c r="AF277" i="4"/>
  <c r="AF145" i="4" s="1"/>
  <c r="AF276" i="4"/>
  <c r="AF144" i="4" s="1"/>
  <c r="AF275" i="4"/>
  <c r="AF115" i="4" s="1"/>
  <c r="AF272" i="4"/>
  <c r="AF57" i="4" s="1"/>
  <c r="AF62" i="4" s="1"/>
  <c r="AF274" i="4"/>
  <c r="AF87" i="4" s="1"/>
  <c r="AF273" i="4"/>
  <c r="AF58" i="4" s="1"/>
  <c r="AD61" i="4"/>
  <c r="AE61" i="4" s="1"/>
  <c r="AD90" i="4"/>
  <c r="AC96" i="4"/>
  <c r="AD154" i="4"/>
  <c r="AD92" i="4"/>
  <c r="AC123" i="2"/>
  <c r="AC194" i="15"/>
  <c r="AB195" i="15"/>
  <c r="AC74" i="2"/>
  <c r="AC151" i="15"/>
  <c r="AD151" i="2"/>
  <c r="AE151" i="2" s="1"/>
  <c r="AC61" i="15"/>
  <c r="AC96" i="2"/>
  <c r="AD60" i="2"/>
  <c r="AE115" i="15"/>
  <c r="AC65" i="15"/>
  <c r="AD65" i="2"/>
  <c r="AE65" i="2" s="1"/>
  <c r="AB158" i="2"/>
  <c r="AB158" i="15" s="1"/>
  <c r="AB157" i="15"/>
  <c r="AD64" i="2"/>
  <c r="AE64" i="2" s="1"/>
  <c r="AC148" i="15"/>
  <c r="AD148" i="2"/>
  <c r="AE148" i="2" s="1"/>
  <c r="AC90" i="15"/>
  <c r="AC117" i="15"/>
  <c r="AC91" i="15"/>
  <c r="AD67" i="2"/>
  <c r="AE67" i="2" s="1"/>
  <c r="AC60" i="15"/>
  <c r="AC195" i="2"/>
  <c r="AA158" i="15"/>
  <c r="AD150" i="2"/>
  <c r="AC66" i="15"/>
  <c r="AD66" i="2"/>
  <c r="AE87" i="15"/>
  <c r="AE144" i="15"/>
  <c r="AB123" i="15"/>
  <c r="AD119" i="2"/>
  <c r="AD117" i="2"/>
  <c r="AE117" i="2" s="1"/>
  <c r="AC152" i="15"/>
  <c r="AD90" i="2"/>
  <c r="AE90" i="2" s="1"/>
  <c r="AD91" i="2"/>
  <c r="AE91" i="2" s="1"/>
  <c r="AC67" i="15"/>
  <c r="AC149" i="15"/>
  <c r="AD149" i="2"/>
  <c r="AC92" i="15"/>
  <c r="AC64" i="15"/>
  <c r="AD61" i="2"/>
  <c r="AE63" i="2"/>
  <c r="AC120" i="15"/>
  <c r="AE152" i="2"/>
  <c r="AF256" i="2"/>
  <c r="AF276" i="2"/>
  <c r="AF144" i="2" s="1"/>
  <c r="AF277" i="2"/>
  <c r="AF145" i="2" s="1"/>
  <c r="AF275" i="2"/>
  <c r="AF115" i="2" s="1"/>
  <c r="AF272" i="2"/>
  <c r="AF57" i="2" s="1"/>
  <c r="AF62" i="2" s="1"/>
  <c r="AF274" i="2"/>
  <c r="AF87" i="2" s="1"/>
  <c r="AF273" i="2"/>
  <c r="AF58" i="2" s="1"/>
  <c r="AC62" i="15"/>
  <c r="AC150" i="15"/>
  <c r="AD92" i="2"/>
  <c r="AE92" i="2" s="1"/>
  <c r="AC153" i="15"/>
  <c r="AD153" i="2"/>
  <c r="AC147" i="15"/>
  <c r="AD147" i="2"/>
  <c r="AC119" i="15"/>
  <c r="Y174" i="2"/>
  <c r="Y167" i="15"/>
  <c r="Y174" i="15" s="1"/>
  <c r="AC157" i="2"/>
  <c r="AE57" i="15"/>
  <c r="AE194" i="2"/>
  <c r="AF252" i="4"/>
  <c r="AF253" i="4"/>
  <c r="AF2" i="4"/>
  <c r="AG4" i="4"/>
  <c r="AF253" i="2"/>
  <c r="AF252" i="2"/>
  <c r="AF2" i="2"/>
  <c r="AG4" i="2"/>
  <c r="AD150" i="15" l="1"/>
  <c r="Z82" i="8"/>
  <c r="X9" i="10" s="1"/>
  <c r="X12" i="10" s="1"/>
  <c r="AY37" i="10"/>
  <c r="AY36" i="10"/>
  <c r="AY4" i="10"/>
  <c r="AZ5" i="10"/>
  <c r="BO64" i="8"/>
  <c r="BN68" i="8"/>
  <c r="AT89" i="8"/>
  <c r="AT88" i="8"/>
  <c r="AT4" i="8"/>
  <c r="AU5" i="8"/>
  <c r="BM40" i="8"/>
  <c r="BL42" i="8"/>
  <c r="AD89" i="15"/>
  <c r="AD152" i="15"/>
  <c r="AE89" i="4"/>
  <c r="AF89" i="4" s="1"/>
  <c r="AD118" i="15"/>
  <c r="AC123" i="15"/>
  <c r="AD120" i="15"/>
  <c r="BN252" i="15"/>
  <c r="BN253" i="15"/>
  <c r="BO4" i="15"/>
  <c r="BN2" i="15"/>
  <c r="AD154" i="15"/>
  <c r="AE151" i="4"/>
  <c r="AE151" i="15" s="1"/>
  <c r="AE66" i="4"/>
  <c r="AE74" i="4" s="1"/>
  <c r="AE154" i="2"/>
  <c r="AF154" i="2" s="1"/>
  <c r="AC158" i="4"/>
  <c r="AD63" i="15"/>
  <c r="AF58" i="15"/>
  <c r="AF150" i="4"/>
  <c r="AF57" i="15"/>
  <c r="AG54" i="8"/>
  <c r="AG60" i="8" s="1"/>
  <c r="AD62" i="15"/>
  <c r="AD157" i="4"/>
  <c r="AD158" i="4" s="1"/>
  <c r="AF67" i="4"/>
  <c r="AF120" i="4"/>
  <c r="AF89" i="2"/>
  <c r="AF147" i="4"/>
  <c r="AF194" i="4"/>
  <c r="AF63" i="4"/>
  <c r="AC74" i="15"/>
  <c r="AF65" i="4"/>
  <c r="AF61" i="4"/>
  <c r="AF91" i="4"/>
  <c r="AF117" i="2"/>
  <c r="AF145" i="15"/>
  <c r="AE65" i="15"/>
  <c r="AC96" i="15"/>
  <c r="AE92" i="4"/>
  <c r="AE92" i="15" s="1"/>
  <c r="AF148" i="4"/>
  <c r="AD74" i="4"/>
  <c r="AE119" i="4"/>
  <c r="AF152" i="4"/>
  <c r="AG256" i="4"/>
  <c r="AG272" i="4"/>
  <c r="AG57" i="4" s="1"/>
  <c r="AG62" i="4" s="1"/>
  <c r="AG274" i="4"/>
  <c r="AG87" i="4" s="1"/>
  <c r="AG276" i="4"/>
  <c r="AG144" i="4" s="1"/>
  <c r="AG275" i="4"/>
  <c r="AG115" i="4" s="1"/>
  <c r="AG277" i="4"/>
  <c r="AG145" i="4" s="1"/>
  <c r="AG273" i="4"/>
  <c r="AG58" i="4" s="1"/>
  <c r="AF194" i="2"/>
  <c r="AD195" i="4"/>
  <c r="AD123" i="4"/>
  <c r="AE117" i="4"/>
  <c r="AE117" i="15" s="1"/>
  <c r="AE154" i="4"/>
  <c r="AE90" i="4"/>
  <c r="AE90" i="15" s="1"/>
  <c r="AF149" i="4"/>
  <c r="AF153" i="4"/>
  <c r="AF60" i="4"/>
  <c r="AF64" i="4"/>
  <c r="AD96" i="4"/>
  <c r="AF118" i="4"/>
  <c r="AE194" i="15"/>
  <c r="AE64" i="15"/>
  <c r="AF64" i="2"/>
  <c r="AD67" i="15"/>
  <c r="AE152" i="15"/>
  <c r="AF67" i="2"/>
  <c r="AD61" i="15"/>
  <c r="AD153" i="15"/>
  <c r="AE150" i="2"/>
  <c r="AE62" i="15"/>
  <c r="AF87" i="15"/>
  <c r="AF144" i="15"/>
  <c r="AE91" i="15"/>
  <c r="AD119" i="15"/>
  <c r="AE119" i="2"/>
  <c r="AE123" i="2" s="1"/>
  <c r="AD66" i="15"/>
  <c r="AC195" i="15"/>
  <c r="AE118" i="15"/>
  <c r="AE148" i="15"/>
  <c r="AF65" i="2"/>
  <c r="AE60" i="2"/>
  <c r="AD60" i="15"/>
  <c r="AD195" i="2"/>
  <c r="AD74" i="2"/>
  <c r="AF151" i="2"/>
  <c r="AG256" i="2"/>
  <c r="AG277" i="2"/>
  <c r="AG145" i="2" s="1"/>
  <c r="AG276" i="2"/>
  <c r="AG144" i="2" s="1"/>
  <c r="AG275" i="2"/>
  <c r="AG115" i="2" s="1"/>
  <c r="AG272" i="2"/>
  <c r="AG57" i="2" s="1"/>
  <c r="AG62" i="2" s="1"/>
  <c r="AG273" i="2"/>
  <c r="AG58" i="2" s="1"/>
  <c r="AG274" i="2"/>
  <c r="AG87" i="2" s="1"/>
  <c r="AF63" i="2"/>
  <c r="AE63" i="15"/>
  <c r="AD149" i="15"/>
  <c r="AC158" i="2"/>
  <c r="AC157" i="15"/>
  <c r="AD92" i="15"/>
  <c r="AD91" i="15"/>
  <c r="AF91" i="2"/>
  <c r="AE120" i="15"/>
  <c r="AF120" i="2"/>
  <c r="AE96" i="2"/>
  <c r="AD64" i="15"/>
  <c r="AD151" i="15"/>
  <c r="AF152" i="2"/>
  <c r="AD147" i="15"/>
  <c r="AD157" i="2"/>
  <c r="AE147" i="2"/>
  <c r="AE61" i="2"/>
  <c r="AE153" i="2"/>
  <c r="AF115" i="15"/>
  <c r="AE149" i="2"/>
  <c r="AE67" i="15"/>
  <c r="AF118" i="2"/>
  <c r="AD90" i="15"/>
  <c r="AD96" i="2"/>
  <c r="AF90" i="2"/>
  <c r="AD117" i="15"/>
  <c r="AD123" i="2"/>
  <c r="AF92" i="2"/>
  <c r="AE66" i="2"/>
  <c r="AD148" i="15"/>
  <c r="AF148" i="2"/>
  <c r="AD65" i="15"/>
  <c r="AG253" i="4"/>
  <c r="AG252" i="4"/>
  <c r="AG2" i="4"/>
  <c r="AH4" i="4"/>
  <c r="AG253" i="2"/>
  <c r="AG252" i="2"/>
  <c r="AH4" i="2"/>
  <c r="AG2" i="2"/>
  <c r="AZ37" i="10" l="1"/>
  <c r="AZ4" i="10"/>
  <c r="BA5" i="10"/>
  <c r="AZ36" i="10"/>
  <c r="AU89" i="8"/>
  <c r="AU88" i="8"/>
  <c r="AU4" i="8"/>
  <c r="AV5" i="8"/>
  <c r="BM42" i="8"/>
  <c r="BN40" i="8"/>
  <c r="BP64" i="8"/>
  <c r="BO68" i="8"/>
  <c r="AG89" i="2"/>
  <c r="AE89" i="15"/>
  <c r="AG120" i="4"/>
  <c r="AF151" i="4"/>
  <c r="AG151" i="4" s="1"/>
  <c r="AF66" i="4"/>
  <c r="AG66" i="4" s="1"/>
  <c r="AG150" i="4"/>
  <c r="BP4" i="15"/>
  <c r="BO253" i="15"/>
  <c r="BO252" i="15"/>
  <c r="BO2" i="15"/>
  <c r="AG147" i="4"/>
  <c r="AD74" i="15"/>
  <c r="AG64" i="2"/>
  <c r="AG67" i="4"/>
  <c r="AG120" i="2"/>
  <c r="AH54" i="8"/>
  <c r="AH60" i="8" s="1"/>
  <c r="AG63" i="4"/>
  <c r="AG89" i="4"/>
  <c r="AG117" i="2"/>
  <c r="AG91" i="4"/>
  <c r="AG148" i="2"/>
  <c r="AG151" i="2"/>
  <c r="AG65" i="4"/>
  <c r="AG194" i="4"/>
  <c r="AG92" i="2"/>
  <c r="AG145" i="15"/>
  <c r="AG148" i="4"/>
  <c r="AG148" i="15" s="1"/>
  <c r="AF89" i="15"/>
  <c r="AH256" i="4"/>
  <c r="AH272" i="4"/>
  <c r="AH57" i="4" s="1"/>
  <c r="AH62" i="4" s="1"/>
  <c r="AH277" i="4"/>
  <c r="AH145" i="4" s="1"/>
  <c r="AH274" i="4"/>
  <c r="AH87" i="4" s="1"/>
  <c r="AH275" i="4"/>
  <c r="AH115" i="4" s="1"/>
  <c r="AH276" i="4"/>
  <c r="AH144" i="4" s="1"/>
  <c r="AH273" i="4"/>
  <c r="AH58" i="4" s="1"/>
  <c r="AD96" i="15"/>
  <c r="AG64" i="4"/>
  <c r="AG60" i="4"/>
  <c r="AG61" i="4"/>
  <c r="AG152" i="4"/>
  <c r="AF119" i="4"/>
  <c r="AF92" i="4"/>
  <c r="AF92" i="15" s="1"/>
  <c r="AE96" i="4"/>
  <c r="AE96" i="15" s="1"/>
  <c r="AE123" i="4"/>
  <c r="AE123" i="15" s="1"/>
  <c r="AG149" i="4"/>
  <c r="AF90" i="4"/>
  <c r="AE154" i="15"/>
  <c r="AF154" i="4"/>
  <c r="AG154" i="4" s="1"/>
  <c r="AG153" i="4"/>
  <c r="AG118" i="4"/>
  <c r="AE195" i="4"/>
  <c r="AF117" i="4"/>
  <c r="AE157" i="4"/>
  <c r="AE158" i="4" s="1"/>
  <c r="AG194" i="2"/>
  <c r="AF194" i="15"/>
  <c r="AG65" i="2"/>
  <c r="AG67" i="2"/>
  <c r="AF67" i="15"/>
  <c r="AF118" i="15"/>
  <c r="AG118" i="2"/>
  <c r="AF91" i="15"/>
  <c r="AG91" i="2"/>
  <c r="AD195" i="15"/>
  <c r="AF65" i="15"/>
  <c r="AF96" i="2"/>
  <c r="AF150" i="2"/>
  <c r="AE150" i="15"/>
  <c r="AF61" i="2"/>
  <c r="AG61" i="2" s="1"/>
  <c r="AF62" i="15"/>
  <c r="AF152" i="15"/>
  <c r="AG152" i="2"/>
  <c r="AG63" i="2"/>
  <c r="AG58" i="15"/>
  <c r="AD123" i="15"/>
  <c r="AG90" i="2"/>
  <c r="AG57" i="15"/>
  <c r="AF148" i="15"/>
  <c r="AE153" i="15"/>
  <c r="AF153" i="2"/>
  <c r="AE147" i="15"/>
  <c r="AE157" i="2"/>
  <c r="AF147" i="2"/>
  <c r="AF120" i="15"/>
  <c r="AG115" i="15"/>
  <c r="AE119" i="15"/>
  <c r="AF119" i="2"/>
  <c r="AF123" i="2" s="1"/>
  <c r="AF64" i="15"/>
  <c r="AE149" i="15"/>
  <c r="AF149" i="2"/>
  <c r="AF63" i="15"/>
  <c r="AH256" i="2"/>
  <c r="AH275" i="2"/>
  <c r="AH115" i="2" s="1"/>
  <c r="AH276" i="2"/>
  <c r="AH144" i="2" s="1"/>
  <c r="AH277" i="2"/>
  <c r="AH145" i="2" s="1"/>
  <c r="AH272" i="2"/>
  <c r="AH57" i="2" s="1"/>
  <c r="AH62" i="2" s="1"/>
  <c r="AH274" i="2"/>
  <c r="AH87" i="2" s="1"/>
  <c r="AH273" i="2"/>
  <c r="AH58" i="2" s="1"/>
  <c r="AE66" i="15"/>
  <c r="AF66" i="2"/>
  <c r="AG66" i="2" s="1"/>
  <c r="AG154" i="2"/>
  <c r="AE61" i="15"/>
  <c r="AD158" i="2"/>
  <c r="AD157" i="15"/>
  <c r="AC158" i="15"/>
  <c r="AG87" i="15"/>
  <c r="AG144" i="15"/>
  <c r="AE60" i="15"/>
  <c r="AE195" i="2"/>
  <c r="AE74" i="2"/>
  <c r="AE74" i="15" s="1"/>
  <c r="AF60" i="2"/>
  <c r="AG60" i="2" s="1"/>
  <c r="AH253" i="4"/>
  <c r="AH252" i="4"/>
  <c r="AI4" i="4"/>
  <c r="AH2" i="4"/>
  <c r="AH253" i="2"/>
  <c r="AH252" i="2"/>
  <c r="AI4" i="2"/>
  <c r="AH2" i="2"/>
  <c r="AG89" i="15" l="1"/>
  <c r="BB5" i="10"/>
  <c r="BA37" i="10"/>
  <c r="BA4" i="10"/>
  <c r="BA36" i="10"/>
  <c r="AF96" i="4"/>
  <c r="AF96" i="15" s="1"/>
  <c r="AH147" i="4"/>
  <c r="AV89" i="8"/>
  <c r="AV88" i="8"/>
  <c r="AW5" i="8"/>
  <c r="AV4" i="8"/>
  <c r="BQ64" i="8"/>
  <c r="BP68" i="8"/>
  <c r="BO40" i="8"/>
  <c r="BN42" i="8"/>
  <c r="AG120" i="15"/>
  <c r="AF151" i="15"/>
  <c r="AH150" i="4"/>
  <c r="AG151" i="15"/>
  <c r="AF74" i="4"/>
  <c r="AH60" i="4"/>
  <c r="AH64" i="2"/>
  <c r="BP253" i="15"/>
  <c r="BP252" i="15"/>
  <c r="BQ4" i="15"/>
  <c r="BP2" i="15"/>
  <c r="AH65" i="4"/>
  <c r="AH151" i="2"/>
  <c r="AF90" i="15"/>
  <c r="AH153" i="4"/>
  <c r="AH194" i="4"/>
  <c r="AH91" i="4"/>
  <c r="AH64" i="4"/>
  <c r="AF195" i="4"/>
  <c r="AH89" i="4"/>
  <c r="AH57" i="15"/>
  <c r="AG96" i="2"/>
  <c r="AG74" i="4"/>
  <c r="AI54" i="8"/>
  <c r="AI60" i="8" s="1"/>
  <c r="AG64" i="15"/>
  <c r="AH58" i="15"/>
  <c r="AH63" i="4"/>
  <c r="AF154" i="15"/>
  <c r="AH67" i="4"/>
  <c r="AG194" i="15"/>
  <c r="AH145" i="15"/>
  <c r="AH148" i="4"/>
  <c r="AH61" i="4"/>
  <c r="AF157" i="4"/>
  <c r="AH66" i="4"/>
  <c r="AH118" i="4"/>
  <c r="AG90" i="4"/>
  <c r="AG90" i="15" s="1"/>
  <c r="AG119" i="4"/>
  <c r="AH120" i="4"/>
  <c r="AI256" i="4"/>
  <c r="AI272" i="4"/>
  <c r="AI57" i="4" s="1"/>
  <c r="AI62" i="4" s="1"/>
  <c r="AI274" i="4"/>
  <c r="AI87" i="4" s="1"/>
  <c r="AI91" i="4" s="1"/>
  <c r="AI275" i="4"/>
  <c r="AI115" i="4" s="1"/>
  <c r="AI276" i="4"/>
  <c r="AI144" i="4" s="1"/>
  <c r="AI277" i="4"/>
  <c r="AI145" i="4" s="1"/>
  <c r="AI273" i="4"/>
  <c r="AI58" i="4" s="1"/>
  <c r="AH194" i="2"/>
  <c r="AG66" i="15"/>
  <c r="AF123" i="4"/>
  <c r="AF117" i="15"/>
  <c r="AH151" i="4"/>
  <c r="AH154" i="4"/>
  <c r="AG157" i="4"/>
  <c r="AG158" i="4" s="1"/>
  <c r="AG92" i="4"/>
  <c r="AH152" i="4"/>
  <c r="AH149" i="4"/>
  <c r="AG117" i="4"/>
  <c r="AG74" i="2"/>
  <c r="AH148" i="2"/>
  <c r="AG61" i="15"/>
  <c r="AH144" i="15"/>
  <c r="AG118" i="15"/>
  <c r="AF60" i="15"/>
  <c r="AF195" i="2"/>
  <c r="AF74" i="2"/>
  <c r="AG154" i="15"/>
  <c r="AF66" i="15"/>
  <c r="AH66" i="2"/>
  <c r="AH87" i="15"/>
  <c r="AH89" i="2"/>
  <c r="AH115" i="15"/>
  <c r="AF147" i="15"/>
  <c r="AF157" i="2"/>
  <c r="AG147" i="2"/>
  <c r="AH90" i="2"/>
  <c r="AH91" i="2"/>
  <c r="AH67" i="2"/>
  <c r="AG67" i="15"/>
  <c r="AH120" i="2"/>
  <c r="AH92" i="2"/>
  <c r="AI256" i="2"/>
  <c r="AI275" i="2"/>
  <c r="AI115" i="2" s="1"/>
  <c r="AI276" i="2"/>
  <c r="AI144" i="2" s="1"/>
  <c r="AI277" i="2"/>
  <c r="AI145" i="2" s="1"/>
  <c r="AI273" i="2"/>
  <c r="AI58" i="2" s="1"/>
  <c r="AI274" i="2"/>
  <c r="AI87" i="2" s="1"/>
  <c r="AI272" i="2"/>
  <c r="AI57" i="2" s="1"/>
  <c r="AI62" i="2" s="1"/>
  <c r="AH154" i="2"/>
  <c r="AF153" i="15"/>
  <c r="AG153" i="2"/>
  <c r="AG63" i="15"/>
  <c r="AG152" i="15"/>
  <c r="AH152" i="2"/>
  <c r="AF61" i="15"/>
  <c r="AH61" i="2"/>
  <c r="AF150" i="15"/>
  <c r="AG150" i="2"/>
  <c r="AH150" i="2" s="1"/>
  <c r="AG91" i="15"/>
  <c r="AH118" i="2"/>
  <c r="AG60" i="15"/>
  <c r="AE195" i="15"/>
  <c r="AH60" i="2"/>
  <c r="AD158" i="15"/>
  <c r="AH63" i="2"/>
  <c r="AF149" i="15"/>
  <c r="AG149" i="2"/>
  <c r="AF119" i="15"/>
  <c r="AG119" i="2"/>
  <c r="AE158" i="2"/>
  <c r="AE157" i="15"/>
  <c r="AG62" i="15"/>
  <c r="AG65" i="15"/>
  <c r="AH65" i="2"/>
  <c r="AH117" i="2"/>
  <c r="AI253" i="4"/>
  <c r="AI252" i="4"/>
  <c r="AI2" i="4"/>
  <c r="AJ4" i="4"/>
  <c r="AI253" i="2"/>
  <c r="AI252" i="2"/>
  <c r="AJ4" i="2"/>
  <c r="AI2" i="2"/>
  <c r="AI153" i="4" l="1"/>
  <c r="AG74" i="15"/>
  <c r="AI151" i="2"/>
  <c r="BC5" i="10"/>
  <c r="BB37" i="10"/>
  <c r="BB36" i="10"/>
  <c r="BB4" i="10"/>
  <c r="AF74" i="15"/>
  <c r="BP40" i="8"/>
  <c r="BO42" i="8"/>
  <c r="BQ68" i="8"/>
  <c r="BR64" i="8"/>
  <c r="AW88" i="8"/>
  <c r="AW89" i="8"/>
  <c r="AX5" i="8"/>
  <c r="AW4" i="8"/>
  <c r="AI58" i="15"/>
  <c r="AH64" i="15"/>
  <c r="BQ253" i="15"/>
  <c r="BQ252" i="15"/>
  <c r="BQ2" i="15"/>
  <c r="BR4" i="15"/>
  <c r="AF158" i="4"/>
  <c r="AH66" i="15"/>
  <c r="AH194" i="15"/>
  <c r="AJ54" i="8"/>
  <c r="AJ60" i="8" s="1"/>
  <c r="AI63" i="4"/>
  <c r="AI194" i="4"/>
  <c r="AF123" i="15"/>
  <c r="AG195" i="2"/>
  <c r="AH148" i="15"/>
  <c r="AH74" i="4"/>
  <c r="AI60" i="2"/>
  <c r="AI154" i="4"/>
  <c r="AH157" i="4"/>
  <c r="AH158" i="4" s="1"/>
  <c r="AI57" i="15"/>
  <c r="AG195" i="4"/>
  <c r="AI67" i="4"/>
  <c r="AJ256" i="4"/>
  <c r="AJ275" i="4"/>
  <c r="AJ115" i="4" s="1"/>
  <c r="AJ274" i="4"/>
  <c r="AJ87" i="4" s="1"/>
  <c r="AJ91" i="4" s="1"/>
  <c r="AJ276" i="4"/>
  <c r="AJ144" i="4" s="1"/>
  <c r="AJ153" i="4" s="1"/>
  <c r="AJ277" i="4"/>
  <c r="AJ145" i="4" s="1"/>
  <c r="AJ272" i="4"/>
  <c r="AJ57" i="4" s="1"/>
  <c r="AJ62" i="4" s="1"/>
  <c r="AJ273" i="4"/>
  <c r="AJ58" i="4" s="1"/>
  <c r="AG123" i="4"/>
  <c r="AG117" i="15"/>
  <c r="AG92" i="15"/>
  <c r="AI150" i="4"/>
  <c r="AI148" i="4"/>
  <c r="AI60" i="4"/>
  <c r="AI194" i="2"/>
  <c r="AH151" i="15"/>
  <c r="AH117" i="4"/>
  <c r="AI151" i="4"/>
  <c r="AI151" i="15" s="1"/>
  <c r="AH119" i="4"/>
  <c r="AI119" i="4" s="1"/>
  <c r="AI147" i="4"/>
  <c r="AI64" i="4"/>
  <c r="AI149" i="4"/>
  <c r="AI152" i="4"/>
  <c r="AG96" i="4"/>
  <c r="AG96" i="15" s="1"/>
  <c r="AH92" i="4"/>
  <c r="AH92" i="15" s="1"/>
  <c r="AI65" i="4"/>
  <c r="AI89" i="4"/>
  <c r="AI120" i="4"/>
  <c r="AH90" i="4"/>
  <c r="AH90" i="15" s="1"/>
  <c r="AI66" i="4"/>
  <c r="AI61" i="4"/>
  <c r="AI118" i="4"/>
  <c r="AI65" i="2"/>
  <c r="AI150" i="2"/>
  <c r="AH118" i="15"/>
  <c r="AI118" i="2"/>
  <c r="AH61" i="15"/>
  <c r="AH62" i="15"/>
  <c r="AH154" i="15"/>
  <c r="AI154" i="2"/>
  <c r="AI145" i="15"/>
  <c r="AI148" i="2"/>
  <c r="AH67" i="15"/>
  <c r="AI67" i="2"/>
  <c r="AH89" i="15"/>
  <c r="AI89" i="2"/>
  <c r="AF195" i="15"/>
  <c r="AH65" i="15"/>
  <c r="AE158" i="15"/>
  <c r="AG119" i="15"/>
  <c r="AG123" i="2"/>
  <c r="AH119" i="2"/>
  <c r="AH123" i="2" s="1"/>
  <c r="AG149" i="15"/>
  <c r="AH149" i="2"/>
  <c r="AH63" i="15"/>
  <c r="AH60" i="15"/>
  <c r="AI63" i="2"/>
  <c r="AG150" i="15"/>
  <c r="AI61" i="2"/>
  <c r="AH152" i="15"/>
  <c r="AH153" i="2"/>
  <c r="AI153" i="2" s="1"/>
  <c r="AG153" i="15"/>
  <c r="AH74" i="2"/>
  <c r="AI144" i="15"/>
  <c r="AI120" i="2"/>
  <c r="AH120" i="15"/>
  <c r="AF158" i="2"/>
  <c r="AF157" i="15"/>
  <c r="AI117" i="2"/>
  <c r="AI152" i="2"/>
  <c r="AI66" i="2"/>
  <c r="AI90" i="2"/>
  <c r="AI87" i="15"/>
  <c r="AI115" i="15"/>
  <c r="AH91" i="15"/>
  <c r="AI91" i="2"/>
  <c r="AG147" i="15"/>
  <c r="AH147" i="2"/>
  <c r="AG157" i="2"/>
  <c r="AH96" i="2"/>
  <c r="AJ256" i="2"/>
  <c r="AJ276" i="2"/>
  <c r="AJ144" i="2" s="1"/>
  <c r="AJ151" i="2" s="1"/>
  <c r="AJ277" i="2"/>
  <c r="AJ145" i="2" s="1"/>
  <c r="AJ275" i="2"/>
  <c r="AJ115" i="2" s="1"/>
  <c r="AJ272" i="2"/>
  <c r="AJ57" i="2" s="1"/>
  <c r="AJ62" i="2" s="1"/>
  <c r="AJ274" i="2"/>
  <c r="AJ87" i="2" s="1"/>
  <c r="AJ273" i="2"/>
  <c r="AJ58" i="2" s="1"/>
  <c r="AH150" i="15"/>
  <c r="AI92" i="2"/>
  <c r="AI64" i="2"/>
  <c r="AJ253" i="4"/>
  <c r="AJ252" i="4"/>
  <c r="AK4" i="4"/>
  <c r="AJ2" i="4"/>
  <c r="AJ253" i="2"/>
  <c r="AJ252" i="2"/>
  <c r="AJ2" i="2"/>
  <c r="AK4" i="2"/>
  <c r="AK18" i="10"/>
  <c r="Z18" i="10"/>
  <c r="AH18" i="10"/>
  <c r="AM18" i="10"/>
  <c r="AI18" i="10"/>
  <c r="AG18" i="10"/>
  <c r="AE18" i="10"/>
  <c r="Y18" i="10"/>
  <c r="AC18" i="10"/>
  <c r="AJ18" i="10"/>
  <c r="AD18" i="10"/>
  <c r="AF18" i="10"/>
  <c r="AB18" i="10"/>
  <c r="AD35" i="8" s="1"/>
  <c r="AA18" i="10"/>
  <c r="AL18" i="10"/>
  <c r="AE35" i="8" l="1"/>
  <c r="AC139" i="2"/>
  <c r="AD36" i="8" s="1"/>
  <c r="AD38" i="8" s="1"/>
  <c r="AI60" i="15"/>
  <c r="BC36" i="10"/>
  <c r="BC4" i="10"/>
  <c r="BD5" i="10"/>
  <c r="BC37" i="10"/>
  <c r="BR68" i="8"/>
  <c r="BS64" i="8"/>
  <c r="AX89" i="8"/>
  <c r="AX88" i="8"/>
  <c r="AX4" i="8"/>
  <c r="AY5" i="8"/>
  <c r="BQ40" i="8"/>
  <c r="BP42" i="8"/>
  <c r="AJ63" i="4"/>
  <c r="BR253" i="15"/>
  <c r="BR252" i="15"/>
  <c r="BS4" i="15"/>
  <c r="BR2" i="15"/>
  <c r="AH74" i="15"/>
  <c r="AJ150" i="2"/>
  <c r="AJ58" i="15"/>
  <c r="AJ152" i="4"/>
  <c r="AJ149" i="4"/>
  <c r="AH195" i="4"/>
  <c r="AJ154" i="4"/>
  <c r="AH195" i="2"/>
  <c r="AH117" i="15"/>
  <c r="AJ67" i="4"/>
  <c r="AI157" i="4"/>
  <c r="AI158" i="4" s="1"/>
  <c r="AK54" i="8"/>
  <c r="AK60" i="8" s="1"/>
  <c r="AJ61" i="4"/>
  <c r="AJ120" i="4"/>
  <c r="AI150" i="15"/>
  <c r="AI65" i="15"/>
  <c r="AI74" i="4"/>
  <c r="AJ60" i="4"/>
  <c r="AJ118" i="4"/>
  <c r="AH96" i="4"/>
  <c r="AI117" i="4"/>
  <c r="AJ117" i="4" s="1"/>
  <c r="AJ150" i="4"/>
  <c r="AJ66" i="4"/>
  <c r="AJ89" i="4"/>
  <c r="AI92" i="4"/>
  <c r="AI92" i="15" s="1"/>
  <c r="AJ64" i="4"/>
  <c r="AJ119" i="4"/>
  <c r="AJ151" i="4"/>
  <c r="AK256" i="4"/>
  <c r="AK274" i="4"/>
  <c r="AK87" i="4" s="1"/>
  <c r="AK272" i="4"/>
  <c r="AK57" i="4" s="1"/>
  <c r="AK62" i="4" s="1"/>
  <c r="AK275" i="4"/>
  <c r="AK115" i="4" s="1"/>
  <c r="AK277" i="4"/>
  <c r="AK145" i="4" s="1"/>
  <c r="AK276" i="4"/>
  <c r="AK144" i="4" s="1"/>
  <c r="AK153" i="4" s="1"/>
  <c r="AK273" i="4"/>
  <c r="AK58" i="4" s="1"/>
  <c r="AH96" i="15"/>
  <c r="AI194" i="15"/>
  <c r="AJ147" i="4"/>
  <c r="AH123" i="4"/>
  <c r="AJ148" i="4"/>
  <c r="AJ65" i="4"/>
  <c r="AI90" i="4"/>
  <c r="AI90" i="15" s="1"/>
  <c r="AI96" i="2"/>
  <c r="AJ63" i="2"/>
  <c r="AH119" i="15"/>
  <c r="AI119" i="2"/>
  <c r="AJ119" i="2" s="1"/>
  <c r="AI154" i="15"/>
  <c r="AG195" i="15"/>
  <c r="AI61" i="15"/>
  <c r="AJ61" i="2"/>
  <c r="AH147" i="15"/>
  <c r="AH157" i="2"/>
  <c r="AI152" i="15"/>
  <c r="AI74" i="2"/>
  <c r="AJ152" i="2"/>
  <c r="AH149" i="15"/>
  <c r="AI149" i="2"/>
  <c r="AI148" i="15"/>
  <c r="AJ148" i="2"/>
  <c r="AI118" i="15"/>
  <c r="AJ60" i="2"/>
  <c r="AI147" i="2"/>
  <c r="AI64" i="15"/>
  <c r="AJ64" i="2"/>
  <c r="AI66" i="15"/>
  <c r="AJ66" i="2"/>
  <c r="AI153" i="15"/>
  <c r="AI63" i="15"/>
  <c r="AK256" i="2"/>
  <c r="AK277" i="2"/>
  <c r="AK145" i="2" s="1"/>
  <c r="AK276" i="2"/>
  <c r="AK144" i="2" s="1"/>
  <c r="AK151" i="2" s="1"/>
  <c r="AK275" i="2"/>
  <c r="AK115" i="2" s="1"/>
  <c r="AK273" i="2"/>
  <c r="AK58" i="2" s="1"/>
  <c r="AK272" i="2"/>
  <c r="AK57" i="2" s="1"/>
  <c r="AK62" i="2" s="1"/>
  <c r="AK274" i="2"/>
  <c r="AK87" i="2" s="1"/>
  <c r="AJ92" i="2"/>
  <c r="AF158" i="15"/>
  <c r="AI120" i="15"/>
  <c r="AG123" i="15"/>
  <c r="AJ65" i="2"/>
  <c r="AI89" i="15"/>
  <c r="AI67" i="15"/>
  <c r="AI62" i="15"/>
  <c r="AG158" i="2"/>
  <c r="AG157" i="15"/>
  <c r="AJ57" i="15"/>
  <c r="AI91" i="15"/>
  <c r="AJ91" i="2"/>
  <c r="AJ90" i="2"/>
  <c r="AJ117" i="2"/>
  <c r="AJ118" i="2"/>
  <c r="AJ120" i="2"/>
  <c r="AH153" i="15"/>
  <c r="AJ89" i="2"/>
  <c r="AJ67" i="2"/>
  <c r="AJ154" i="2"/>
  <c r="AJ153" i="2"/>
  <c r="AK253" i="4"/>
  <c r="AK252" i="4"/>
  <c r="AL4" i="4"/>
  <c r="AK2" i="4"/>
  <c r="AK253" i="2"/>
  <c r="AK252" i="2"/>
  <c r="AL4" i="2"/>
  <c r="AK2" i="2"/>
  <c r="AF35" i="8" l="1"/>
  <c r="AD139" i="2"/>
  <c r="AE36" i="8" s="1"/>
  <c r="BD37" i="10"/>
  <c r="BE5" i="10"/>
  <c r="BD36" i="10"/>
  <c r="BD4" i="10"/>
  <c r="BQ42" i="8"/>
  <c r="BR40" i="8"/>
  <c r="AY89" i="8"/>
  <c r="AY88" i="8"/>
  <c r="AZ5" i="8"/>
  <c r="AY4" i="8"/>
  <c r="BS68" i="8"/>
  <c r="BT64" i="8"/>
  <c r="BS253" i="15"/>
  <c r="BS252" i="15"/>
  <c r="BS2" i="15"/>
  <c r="BT4" i="15"/>
  <c r="AH123" i="15"/>
  <c r="AK58" i="15"/>
  <c r="AL54" i="8"/>
  <c r="AL60" i="8" s="1"/>
  <c r="AK150" i="4"/>
  <c r="AK120" i="4"/>
  <c r="AK119" i="2"/>
  <c r="AK145" i="15"/>
  <c r="AK154" i="4"/>
  <c r="AI195" i="2"/>
  <c r="AI117" i="15"/>
  <c r="AK147" i="4"/>
  <c r="AI74" i="15"/>
  <c r="AK119" i="4"/>
  <c r="AK117" i="4"/>
  <c r="AJ123" i="4"/>
  <c r="AL256" i="4"/>
  <c r="AL274" i="4"/>
  <c r="AL87" i="4" s="1"/>
  <c r="AL275" i="4"/>
  <c r="AL115" i="4" s="1"/>
  <c r="AL272" i="4"/>
  <c r="AL57" i="4" s="1"/>
  <c r="AL62" i="4" s="1"/>
  <c r="AL276" i="4"/>
  <c r="AL144" i="4" s="1"/>
  <c r="AL153" i="4" s="1"/>
  <c r="AL277" i="4"/>
  <c r="AL145" i="4" s="1"/>
  <c r="AL273" i="4"/>
  <c r="AL58" i="4" s="1"/>
  <c r="AK63" i="2"/>
  <c r="AK65" i="4"/>
  <c r="AK67" i="4"/>
  <c r="AK60" i="4"/>
  <c r="AK194" i="4"/>
  <c r="AK64" i="4"/>
  <c r="AK63" i="4"/>
  <c r="AK152" i="4"/>
  <c r="AK153" i="2"/>
  <c r="AK153" i="15" s="1"/>
  <c r="AK148" i="4"/>
  <c r="AK61" i="4"/>
  <c r="AK151" i="4"/>
  <c r="AK151" i="15" s="1"/>
  <c r="AK89" i="4"/>
  <c r="AJ74" i="4"/>
  <c r="AI96" i="4"/>
  <c r="AI96" i="15" s="1"/>
  <c r="AK91" i="4"/>
  <c r="AJ92" i="4"/>
  <c r="AK66" i="4"/>
  <c r="AK118" i="4"/>
  <c r="AJ90" i="4"/>
  <c r="AI123" i="4"/>
  <c r="AI195" i="4"/>
  <c r="AK149" i="4"/>
  <c r="AH195" i="15"/>
  <c r="AK64" i="2"/>
  <c r="AH158" i="2"/>
  <c r="AH157" i="15"/>
  <c r="AK91" i="2"/>
  <c r="AJ67" i="15"/>
  <c r="AK67" i="2"/>
  <c r="AK120" i="2"/>
  <c r="AK65" i="2"/>
  <c r="AK144" i="15"/>
  <c r="AK89" i="2"/>
  <c r="AK118" i="2"/>
  <c r="AJ96" i="2"/>
  <c r="AK194" i="2"/>
  <c r="AK57" i="15"/>
  <c r="AK61" i="2"/>
  <c r="AI149" i="15"/>
  <c r="AJ149" i="2"/>
  <c r="AK149" i="2" s="1"/>
  <c r="AJ74" i="2"/>
  <c r="AK87" i="15"/>
  <c r="AK117" i="2"/>
  <c r="AK90" i="2"/>
  <c r="AG158" i="15"/>
  <c r="AK60" i="2"/>
  <c r="AK148" i="2"/>
  <c r="AJ147" i="2"/>
  <c r="AK147" i="2" s="1"/>
  <c r="AK154" i="2"/>
  <c r="AK66" i="2"/>
  <c r="AK150" i="2"/>
  <c r="AL256" i="2"/>
  <c r="AL275" i="2"/>
  <c r="AL115" i="2" s="1"/>
  <c r="AL277" i="2"/>
  <c r="AL145" i="2" s="1"/>
  <c r="AL276" i="2"/>
  <c r="AL144" i="2" s="1"/>
  <c r="AL274" i="2"/>
  <c r="AL87" i="2" s="1"/>
  <c r="AL272" i="2"/>
  <c r="AL57" i="2" s="1"/>
  <c r="AL62" i="2" s="1"/>
  <c r="AL273" i="2"/>
  <c r="AL58" i="2" s="1"/>
  <c r="AK92" i="2"/>
  <c r="AK115" i="15"/>
  <c r="AJ123" i="2"/>
  <c r="AI147" i="15"/>
  <c r="AI157" i="2"/>
  <c r="AK152" i="2"/>
  <c r="AI119" i="15"/>
  <c r="AI123" i="2"/>
  <c r="AL253" i="4"/>
  <c r="AL252" i="4"/>
  <c r="AM4" i="4"/>
  <c r="AL2" i="4"/>
  <c r="AL253" i="2"/>
  <c r="AL252" i="2"/>
  <c r="AL2" i="2"/>
  <c r="AM4" i="2"/>
  <c r="AL117" i="2" l="1"/>
  <c r="AE139" i="2"/>
  <c r="AF36" i="8" s="1"/>
  <c r="AG35" i="8"/>
  <c r="BE37" i="10"/>
  <c r="BF5" i="10"/>
  <c r="BE36" i="10"/>
  <c r="BE4" i="10"/>
  <c r="BU64" i="8"/>
  <c r="BT68" i="8"/>
  <c r="BR42" i="8"/>
  <c r="BS40" i="8"/>
  <c r="AZ89" i="8"/>
  <c r="AZ88" i="8"/>
  <c r="AZ4" i="8"/>
  <c r="BA5" i="8"/>
  <c r="AK119" i="15"/>
  <c r="BT253" i="15"/>
  <c r="BT252" i="15"/>
  <c r="BU4" i="15"/>
  <c r="BT2" i="15"/>
  <c r="AL150" i="4"/>
  <c r="AK64" i="15"/>
  <c r="AK157" i="4"/>
  <c r="AK158" i="4" s="1"/>
  <c r="AK63" i="15"/>
  <c r="AL153" i="2"/>
  <c r="AL153" i="15" s="1"/>
  <c r="AK123" i="4"/>
  <c r="AI195" i="15"/>
  <c r="AL145" i="15"/>
  <c r="AL119" i="4"/>
  <c r="AL154" i="4"/>
  <c r="AK123" i="2"/>
  <c r="AK74" i="4"/>
  <c r="AL66" i="4"/>
  <c r="AL89" i="4"/>
  <c r="AL63" i="4"/>
  <c r="AL67" i="4"/>
  <c r="AL149" i="4"/>
  <c r="AL147" i="4"/>
  <c r="AL118" i="4"/>
  <c r="AL151" i="4"/>
  <c r="AL64" i="4"/>
  <c r="AL194" i="4"/>
  <c r="AL65" i="4"/>
  <c r="AL64" i="2"/>
  <c r="AM256" i="4"/>
  <c r="AM276" i="4"/>
  <c r="AM144" i="4" s="1"/>
  <c r="AM153" i="4" s="1"/>
  <c r="AM272" i="4"/>
  <c r="AM57" i="4" s="1"/>
  <c r="AM62" i="4" s="1"/>
  <c r="AM274" i="4"/>
  <c r="AM87" i="4" s="1"/>
  <c r="AM277" i="4"/>
  <c r="AM145" i="4" s="1"/>
  <c r="AM275" i="4"/>
  <c r="AM115" i="4" s="1"/>
  <c r="AM273" i="4"/>
  <c r="AM58" i="4" s="1"/>
  <c r="AM54" i="8"/>
  <c r="AM60" i="8" s="1"/>
  <c r="AK90" i="4"/>
  <c r="AK90" i="15" s="1"/>
  <c r="AJ96" i="4"/>
  <c r="AK92" i="4"/>
  <c r="AK92" i="15" s="1"/>
  <c r="AL91" i="4"/>
  <c r="AL61" i="4"/>
  <c r="AL148" i="4"/>
  <c r="AL152" i="4"/>
  <c r="AL60" i="4"/>
  <c r="AL120" i="4"/>
  <c r="AL117" i="4"/>
  <c r="AL120" i="2"/>
  <c r="AL119" i="2"/>
  <c r="AL66" i="2"/>
  <c r="AL92" i="2"/>
  <c r="AL87" i="15"/>
  <c r="AI123" i="15"/>
  <c r="AL147" i="2"/>
  <c r="AL144" i="15"/>
  <c r="AK150" i="15"/>
  <c r="AL150" i="2"/>
  <c r="AK62" i="15"/>
  <c r="AL149" i="2"/>
  <c r="AL90" i="2"/>
  <c r="AK89" i="15"/>
  <c r="AK65" i="15"/>
  <c r="AK152" i="15"/>
  <c r="AL152" i="2"/>
  <c r="AL65" i="2"/>
  <c r="AL58" i="15"/>
  <c r="AK66" i="15"/>
  <c r="AK147" i="15"/>
  <c r="AK157" i="2"/>
  <c r="AK120" i="15"/>
  <c r="AL91" i="2"/>
  <c r="AK148" i="15"/>
  <c r="AL148" i="2"/>
  <c r="AK149" i="15"/>
  <c r="AM256" i="2"/>
  <c r="AM275" i="2"/>
  <c r="AM115" i="2" s="1"/>
  <c r="AM117" i="2" s="1"/>
  <c r="AM276" i="2"/>
  <c r="AM144" i="2" s="1"/>
  <c r="AM277" i="2"/>
  <c r="AM145" i="2" s="1"/>
  <c r="AM274" i="2"/>
  <c r="AM87" i="2" s="1"/>
  <c r="AM272" i="2"/>
  <c r="AM57" i="2" s="1"/>
  <c r="AM62" i="2" s="1"/>
  <c r="AM273" i="2"/>
  <c r="AM58" i="2" s="1"/>
  <c r="AL57" i="15"/>
  <c r="AL194" i="2"/>
  <c r="AL115" i="15"/>
  <c r="AK154" i="15"/>
  <c r="AK60" i="15"/>
  <c r="AK195" i="2"/>
  <c r="AL60" i="2"/>
  <c r="AK117" i="15"/>
  <c r="AK96" i="2"/>
  <c r="AK74" i="2"/>
  <c r="AL118" i="2"/>
  <c r="AL89" i="2"/>
  <c r="AL63" i="2"/>
  <c r="AK67" i="15"/>
  <c r="AK91" i="15"/>
  <c r="AI158" i="2"/>
  <c r="AI157" i="15"/>
  <c r="AL154" i="2"/>
  <c r="AK61" i="15"/>
  <c r="AL61" i="2"/>
  <c r="AK194" i="15"/>
  <c r="AK118" i="15"/>
  <c r="AL67" i="2"/>
  <c r="AH158" i="15"/>
  <c r="AL151" i="2"/>
  <c r="AM253" i="4"/>
  <c r="AM252" i="4"/>
  <c r="AN4" i="4"/>
  <c r="AM2" i="4"/>
  <c r="AM253" i="2"/>
  <c r="AM252" i="2"/>
  <c r="AM2" i="2"/>
  <c r="AN4" i="2"/>
  <c r="AL117" i="15" l="1"/>
  <c r="AL64" i="15"/>
  <c r="AH35" i="8"/>
  <c r="AF139" i="2"/>
  <c r="AG36" i="8" s="1"/>
  <c r="BG5" i="10"/>
  <c r="BF37" i="10"/>
  <c r="BF36" i="10"/>
  <c r="BF4" i="10"/>
  <c r="BA89" i="8"/>
  <c r="BA88" i="8"/>
  <c r="BB5" i="8"/>
  <c r="BA4" i="8"/>
  <c r="BS42" i="8"/>
  <c r="BT40" i="8"/>
  <c r="BU68" i="8"/>
  <c r="BV64" i="8"/>
  <c r="BU253" i="15"/>
  <c r="BU252" i="15"/>
  <c r="BV4" i="15"/>
  <c r="BU2" i="15"/>
  <c r="AL66" i="15"/>
  <c r="AK74" i="15"/>
  <c r="AM58" i="15"/>
  <c r="AL92" i="4"/>
  <c r="AL92" i="15" s="1"/>
  <c r="AM150" i="4"/>
  <c r="AL120" i="15"/>
  <c r="AK123" i="15"/>
  <c r="AM61" i="4"/>
  <c r="AL119" i="15"/>
  <c r="AM60" i="4"/>
  <c r="AM119" i="4"/>
  <c r="AM153" i="2"/>
  <c r="AM153" i="15" s="1"/>
  <c r="AM120" i="2"/>
  <c r="AL123" i="4"/>
  <c r="AL149" i="15"/>
  <c r="AM92" i="2"/>
  <c r="AK195" i="4"/>
  <c r="AN54" i="8"/>
  <c r="AN60" i="8" s="1"/>
  <c r="AM119" i="2"/>
  <c r="AM145" i="15"/>
  <c r="AL90" i="4"/>
  <c r="AM90" i="4" s="1"/>
  <c r="AM147" i="4"/>
  <c r="AO4" i="4"/>
  <c r="AN274" i="4"/>
  <c r="AN87" i="4" s="1"/>
  <c r="AN275" i="4"/>
  <c r="AN115" i="4" s="1"/>
  <c r="AN272" i="4"/>
  <c r="AN57" i="4" s="1"/>
  <c r="AN62" i="4" s="1"/>
  <c r="AN277" i="4"/>
  <c r="AN145" i="4" s="1"/>
  <c r="AN276" i="4"/>
  <c r="AN144" i="4" s="1"/>
  <c r="AN153" i="4" s="1"/>
  <c r="AN273" i="4"/>
  <c r="AN58" i="4" s="1"/>
  <c r="AM92" i="4"/>
  <c r="AL74" i="4"/>
  <c r="AM151" i="4"/>
  <c r="AL157" i="4"/>
  <c r="AL158" i="4" s="1"/>
  <c r="AK96" i="4"/>
  <c r="AM120" i="4"/>
  <c r="AM152" i="4"/>
  <c r="AM91" i="4"/>
  <c r="AM66" i="4"/>
  <c r="AM194" i="4"/>
  <c r="AM65" i="4"/>
  <c r="AM118" i="4"/>
  <c r="AM148" i="4"/>
  <c r="AM117" i="4"/>
  <c r="AM117" i="15" s="1"/>
  <c r="AM149" i="4"/>
  <c r="AM64" i="4"/>
  <c r="AM154" i="4"/>
  <c r="AM67" i="4"/>
  <c r="AM63" i="4"/>
  <c r="AM89" i="4"/>
  <c r="AM150" i="2"/>
  <c r="AM194" i="2"/>
  <c r="AM57" i="15"/>
  <c r="AO4" i="2"/>
  <c r="AN276" i="2"/>
  <c r="AN144" i="2" s="1"/>
  <c r="AN277" i="2"/>
  <c r="AN145" i="2" s="1"/>
  <c r="AN275" i="2"/>
  <c r="AN115" i="2" s="1"/>
  <c r="AN274" i="2"/>
  <c r="AN87" i="2" s="1"/>
  <c r="AN273" i="2"/>
  <c r="AN58" i="2" s="1"/>
  <c r="AN272" i="2"/>
  <c r="AN57" i="2" s="1"/>
  <c r="AN62" i="2" s="1"/>
  <c r="AM149" i="2"/>
  <c r="AL154" i="15"/>
  <c r="AM154" i="2"/>
  <c r="AI158" i="15"/>
  <c r="AM65" i="2"/>
  <c r="AL118" i="15"/>
  <c r="AK195" i="15"/>
  <c r="AL194" i="15"/>
  <c r="AM87" i="15"/>
  <c r="AK158" i="2"/>
  <c r="AK157" i="15"/>
  <c r="AL152" i="15"/>
  <c r="AM152" i="2"/>
  <c r="AL147" i="15"/>
  <c r="AL61" i="15"/>
  <c r="AL63" i="15"/>
  <c r="AM63" i="2"/>
  <c r="AM64" i="2"/>
  <c r="AL148" i="15"/>
  <c r="AL151" i="15"/>
  <c r="AM151" i="2"/>
  <c r="AM115" i="15"/>
  <c r="AM66" i="2"/>
  <c r="AL67" i="15"/>
  <c r="AM67" i="2"/>
  <c r="AL91" i="15"/>
  <c r="AM91" i="2"/>
  <c r="AL150" i="15"/>
  <c r="AL96" i="2"/>
  <c r="AM61" i="2"/>
  <c r="AL89" i="15"/>
  <c r="AM89" i="2"/>
  <c r="AL60" i="15"/>
  <c r="AL195" i="2"/>
  <c r="AM60" i="2"/>
  <c r="AL123" i="2"/>
  <c r="AL74" i="2"/>
  <c r="AM144" i="15"/>
  <c r="AM90" i="2"/>
  <c r="AM148" i="2"/>
  <c r="AM147" i="2"/>
  <c r="AM118" i="2"/>
  <c r="AL62" i="15"/>
  <c r="AL65" i="15"/>
  <c r="AL157" i="2"/>
  <c r="AN2" i="4"/>
  <c r="AN253" i="4"/>
  <c r="AN252" i="4"/>
  <c r="AN2" i="2"/>
  <c r="AN253" i="2"/>
  <c r="AN252" i="2"/>
  <c r="AM120" i="15" l="1"/>
  <c r="AI35" i="8"/>
  <c r="AG139" i="2"/>
  <c r="AH36" i="8" s="1"/>
  <c r="BG37" i="10"/>
  <c r="BG36" i="10"/>
  <c r="BG4" i="10"/>
  <c r="BH5" i="10"/>
  <c r="AL74" i="15"/>
  <c r="BW64" i="8"/>
  <c r="BV68" i="8"/>
  <c r="BB89" i="8"/>
  <c r="BB88" i="8"/>
  <c r="BB4" i="8"/>
  <c r="BC5" i="8"/>
  <c r="BT42" i="8"/>
  <c r="BU40" i="8"/>
  <c r="AP4" i="4"/>
  <c r="AP253" i="4" s="1"/>
  <c r="AO276" i="4"/>
  <c r="BA276" i="4" s="1"/>
  <c r="BM276" i="4" s="1"/>
  <c r="AO272" i="4"/>
  <c r="BA272" i="4" s="1"/>
  <c r="BM272" i="4" s="1"/>
  <c r="AO275" i="4"/>
  <c r="BA275" i="4" s="1"/>
  <c r="BM275" i="4" s="1"/>
  <c r="AO274" i="4"/>
  <c r="BA274" i="4" s="1"/>
  <c r="BM274" i="4" s="1"/>
  <c r="AO273" i="4"/>
  <c r="BA273" i="4" s="1"/>
  <c r="BM273" i="4" s="1"/>
  <c r="AO277" i="4"/>
  <c r="BA277" i="4" s="1"/>
  <c r="BM277" i="4" s="1"/>
  <c r="AP4" i="2"/>
  <c r="AP256" i="2" s="1"/>
  <c r="AO274" i="2"/>
  <c r="BA274" i="2" s="1"/>
  <c r="BM274" i="2" s="1"/>
  <c r="AO277" i="2"/>
  <c r="BA277" i="2" s="1"/>
  <c r="BM277" i="2" s="1"/>
  <c r="AO273" i="2"/>
  <c r="BA273" i="2" s="1"/>
  <c r="BM273" i="2" s="1"/>
  <c r="AO276" i="2"/>
  <c r="BA276" i="2" s="1"/>
  <c r="BM276" i="2" s="1"/>
  <c r="AO272" i="2"/>
  <c r="BA272" i="2" s="1"/>
  <c r="BM272" i="2" s="1"/>
  <c r="AO275" i="2"/>
  <c r="BA275" i="2" s="1"/>
  <c r="BM275" i="2" s="1"/>
  <c r="AM150" i="15"/>
  <c r="AN150" i="4"/>
  <c r="AN92" i="4"/>
  <c r="BV253" i="15"/>
  <c r="BV252" i="15"/>
  <c r="BV2" i="15"/>
  <c r="BW4" i="15"/>
  <c r="AN153" i="2"/>
  <c r="AN153" i="15" s="1"/>
  <c r="AN60" i="4"/>
  <c r="AM119" i="15"/>
  <c r="AN61" i="4"/>
  <c r="AO2" i="4"/>
  <c r="AM92" i="15"/>
  <c r="AM123" i="2"/>
  <c r="AN119" i="4"/>
  <c r="AN149" i="2"/>
  <c r="AN92" i="2"/>
  <c r="AN119" i="2"/>
  <c r="AN58" i="15"/>
  <c r="AO2" i="2"/>
  <c r="AN89" i="2"/>
  <c r="AN67" i="2"/>
  <c r="AL195" i="4"/>
  <c r="AN65" i="2"/>
  <c r="AN90" i="4"/>
  <c r="AN145" i="15"/>
  <c r="AL90" i="15"/>
  <c r="AN152" i="4"/>
  <c r="AN151" i="4"/>
  <c r="AN194" i="4"/>
  <c r="AN154" i="4"/>
  <c r="AN64" i="4"/>
  <c r="AM157" i="4"/>
  <c r="AM158" i="4" s="1"/>
  <c r="AN91" i="4"/>
  <c r="AN120" i="4"/>
  <c r="AN65" i="4"/>
  <c r="AN89" i="4"/>
  <c r="AN67" i="4"/>
  <c r="AN63" i="4"/>
  <c r="AN118" i="4"/>
  <c r="AM74" i="4"/>
  <c r="AM96" i="4"/>
  <c r="AN149" i="4"/>
  <c r="AN147" i="4"/>
  <c r="AM195" i="4"/>
  <c r="AM123" i="4"/>
  <c r="AN66" i="4"/>
  <c r="AN117" i="4"/>
  <c r="AN148" i="4"/>
  <c r="AK96" i="15"/>
  <c r="AO256" i="4"/>
  <c r="AO145" i="4"/>
  <c r="AO144" i="4"/>
  <c r="AO253" i="4"/>
  <c r="AO252" i="4"/>
  <c r="AO57" i="4"/>
  <c r="AL96" i="4"/>
  <c r="AM74" i="2"/>
  <c r="AN150" i="2"/>
  <c r="AM90" i="15"/>
  <c r="AN90" i="2"/>
  <c r="AN120" i="2"/>
  <c r="AN91" i="2"/>
  <c r="AM151" i="15"/>
  <c r="AN151" i="2"/>
  <c r="AN63" i="2"/>
  <c r="AN66" i="2"/>
  <c r="AN57" i="15"/>
  <c r="AN194" i="2"/>
  <c r="AM194" i="15"/>
  <c r="AN117" i="2"/>
  <c r="AL158" i="2"/>
  <c r="AL157" i="15"/>
  <c r="AN147" i="2"/>
  <c r="AM118" i="15"/>
  <c r="AN118" i="2"/>
  <c r="AL123" i="15"/>
  <c r="AN60" i="2"/>
  <c r="AM89" i="15"/>
  <c r="AM67" i="15"/>
  <c r="AM66" i="15"/>
  <c r="AM63" i="15"/>
  <c r="AM65" i="15"/>
  <c r="AM149" i="15"/>
  <c r="AN144" i="15"/>
  <c r="AN61" i="2"/>
  <c r="AM147" i="15"/>
  <c r="AM157" i="2"/>
  <c r="AM62" i="15"/>
  <c r="AM91" i="15"/>
  <c r="AM152" i="15"/>
  <c r="AN152" i="2"/>
  <c r="AK158" i="15"/>
  <c r="AM154" i="15"/>
  <c r="AN154" i="2"/>
  <c r="AN87" i="15"/>
  <c r="AO256" i="2"/>
  <c r="AO253" i="2"/>
  <c r="AO252" i="2"/>
  <c r="AM148" i="15"/>
  <c r="AN148" i="2"/>
  <c r="AM60" i="15"/>
  <c r="AM195" i="2"/>
  <c r="AM61" i="15"/>
  <c r="AM64" i="15"/>
  <c r="AN64" i="2"/>
  <c r="AM96" i="2"/>
  <c r="AN115" i="15"/>
  <c r="AP2" i="4"/>
  <c r="L201" i="4"/>
  <c r="CE201" i="4" s="1"/>
  <c r="L187" i="4"/>
  <c r="CE187" i="4" s="1"/>
  <c r="L199" i="4"/>
  <c r="CE199" i="4" s="1"/>
  <c r="L204" i="4"/>
  <c r="CE204" i="4" s="1"/>
  <c r="L206" i="4"/>
  <c r="CE206" i="4" s="1"/>
  <c r="L198" i="4"/>
  <c r="CE198" i="4" s="1"/>
  <c r="L203" i="4"/>
  <c r="CE203" i="4" s="1"/>
  <c r="L194" i="4"/>
  <c r="CE194" i="4" s="1"/>
  <c r="L188" i="4"/>
  <c r="CE188" i="4" s="1"/>
  <c r="L202" i="4"/>
  <c r="CE202" i="4" s="1"/>
  <c r="L195" i="4"/>
  <c r="CE195" i="4" s="1"/>
  <c r="L196" i="4"/>
  <c r="CE196" i="4" s="1"/>
  <c r="X173" i="4"/>
  <c r="L208" i="4"/>
  <c r="CE208" i="4" s="1"/>
  <c r="L200" i="4"/>
  <c r="CE200" i="4" s="1"/>
  <c r="L190" i="4"/>
  <c r="CE190" i="4" s="1"/>
  <c r="X85" i="4"/>
  <c r="CF85" i="4" s="1"/>
  <c r="AO115" i="4" l="1"/>
  <c r="AO119" i="4" s="1"/>
  <c r="AJ35" i="8"/>
  <c r="AH139" i="2"/>
  <c r="AI36" i="8" s="1"/>
  <c r="BH4" i="10"/>
  <c r="BI5" i="10"/>
  <c r="BH37" i="10"/>
  <c r="BH36" i="10"/>
  <c r="AN92" i="15"/>
  <c r="AP2" i="2"/>
  <c r="AO144" i="2"/>
  <c r="AN149" i="15"/>
  <c r="AP252" i="2"/>
  <c r="AO87" i="2"/>
  <c r="AO92" i="2" s="1"/>
  <c r="AP252" i="4"/>
  <c r="AQ4" i="4"/>
  <c r="AQ275" i="4" s="1"/>
  <c r="BC275" i="4" s="1"/>
  <c r="BO275" i="4" s="1"/>
  <c r="AO57" i="2"/>
  <c r="AO66" i="2" s="1"/>
  <c r="AO87" i="4"/>
  <c r="AO90" i="4" s="1"/>
  <c r="AP256" i="4"/>
  <c r="AQ54" i="8" s="1"/>
  <c r="AQ60" i="8" s="1"/>
  <c r="AP253" i="2"/>
  <c r="AQ4" i="2"/>
  <c r="AQ275" i="2" s="1"/>
  <c r="AO58" i="4"/>
  <c r="AO67" i="4" s="1"/>
  <c r="AO58" i="2"/>
  <c r="AO67" i="2" s="1"/>
  <c r="AO115" i="2"/>
  <c r="AO119" i="2" s="1"/>
  <c r="AO145" i="2"/>
  <c r="AO148" i="2" s="1"/>
  <c r="BC89" i="8"/>
  <c r="BC88" i="8"/>
  <c r="BD5" i="8"/>
  <c r="BC4" i="8"/>
  <c r="BU42" i="8"/>
  <c r="BV40" i="8"/>
  <c r="BW68" i="8"/>
  <c r="BX64" i="8"/>
  <c r="AP277" i="2"/>
  <c r="AP275" i="2"/>
  <c r="AP273" i="2"/>
  <c r="AP276" i="2"/>
  <c r="AP274" i="2"/>
  <c r="AP272" i="2"/>
  <c r="AP276" i="4"/>
  <c r="AP274" i="4"/>
  <c r="AP272" i="4"/>
  <c r="AP277" i="4"/>
  <c r="AP275" i="4"/>
  <c r="AP273" i="4"/>
  <c r="AN150" i="15"/>
  <c r="X176" i="4"/>
  <c r="X183" i="4" s="1"/>
  <c r="AN147" i="15"/>
  <c r="BW253" i="15"/>
  <c r="BW252" i="15"/>
  <c r="BX4" i="15"/>
  <c r="BW2" i="15"/>
  <c r="AP54" i="8"/>
  <c r="AP60" i="8" s="1"/>
  <c r="AO150" i="4"/>
  <c r="AM123" i="15"/>
  <c r="AN67" i="15"/>
  <c r="AN119" i="15"/>
  <c r="AN118" i="15"/>
  <c r="AM96" i="15"/>
  <c r="AN89" i="15"/>
  <c r="AN65" i="15"/>
  <c r="AL195" i="15"/>
  <c r="AN96" i="2"/>
  <c r="AN74" i="4"/>
  <c r="AO61" i="2"/>
  <c r="AQ252" i="4"/>
  <c r="AN157" i="4"/>
  <c r="AN158" i="4" s="1"/>
  <c r="AO60" i="4"/>
  <c r="AO120" i="4"/>
  <c r="AN195" i="4"/>
  <c r="AO64" i="4"/>
  <c r="AL96" i="15"/>
  <c r="AO148" i="4"/>
  <c r="AN123" i="4"/>
  <c r="AO154" i="4"/>
  <c r="AO153" i="4"/>
  <c r="AO65" i="4"/>
  <c r="AO151" i="4"/>
  <c r="AO152" i="4"/>
  <c r="AM74" i="15"/>
  <c r="AO66" i="4"/>
  <c r="AN96" i="4"/>
  <c r="AO149" i="4"/>
  <c r="AO117" i="4"/>
  <c r="AO62" i="4"/>
  <c r="AO147" i="4"/>
  <c r="AN256" i="4"/>
  <c r="AN123" i="2"/>
  <c r="AN148" i="15"/>
  <c r="AO65" i="2"/>
  <c r="AM158" i="2"/>
  <c r="AM157" i="15"/>
  <c r="AN157" i="2"/>
  <c r="AN66" i="15"/>
  <c r="AM195" i="15"/>
  <c r="AO144" i="15"/>
  <c r="AN154" i="15"/>
  <c r="AN152" i="15"/>
  <c r="AN62" i="15"/>
  <c r="AO147" i="2"/>
  <c r="AN117" i="15"/>
  <c r="AO117" i="2"/>
  <c r="AO153" i="2"/>
  <c r="AN90" i="15"/>
  <c r="AN64" i="15"/>
  <c r="AO115" i="15"/>
  <c r="AN61" i="15"/>
  <c r="AN194" i="15"/>
  <c r="AN63" i="15"/>
  <c r="AO63" i="2"/>
  <c r="AN91" i="15"/>
  <c r="AO149" i="2"/>
  <c r="AN60" i="15"/>
  <c r="AN195" i="2"/>
  <c r="AN256" i="2"/>
  <c r="AL158" i="15"/>
  <c r="AN74" i="2"/>
  <c r="AN151" i="15"/>
  <c r="AO151" i="2"/>
  <c r="AN120" i="15"/>
  <c r="AQ2" i="4"/>
  <c r="T53" i="6"/>
  <c r="X123" i="4"/>
  <c r="CF123" i="4" s="1"/>
  <c r="X157" i="4"/>
  <c r="CF157" i="4" s="1"/>
  <c r="X32" i="4"/>
  <c r="CF32" i="4" s="1"/>
  <c r="X96" i="4"/>
  <c r="CF96" i="4" s="1"/>
  <c r="X74" i="4"/>
  <c r="CF74" i="4" s="1"/>
  <c r="I53" i="6"/>
  <c r="X200" i="4"/>
  <c r="CF200" i="4" s="1"/>
  <c r="AJ198" i="4"/>
  <c r="CG198" i="4" s="1"/>
  <c r="X198" i="4"/>
  <c r="CF198" i="4" s="1"/>
  <c r="X204" i="4"/>
  <c r="CF204" i="4" s="1"/>
  <c r="L189" i="4"/>
  <c r="CE189" i="4" s="1"/>
  <c r="AJ190" i="4"/>
  <c r="CG190" i="4" s="1"/>
  <c r="X190" i="4"/>
  <c r="CF190" i="4" s="1"/>
  <c r="X208" i="4"/>
  <c r="CF208" i="4" s="1"/>
  <c r="X194" i="4"/>
  <c r="CF194" i="4" s="1"/>
  <c r="X195" i="4"/>
  <c r="CF195" i="4" s="1"/>
  <c r="L197" i="4"/>
  <c r="CE197" i="4" s="1"/>
  <c r="X202" i="4"/>
  <c r="CF202" i="4" s="1"/>
  <c r="X187" i="4"/>
  <c r="CF187" i="4" s="1"/>
  <c r="X203" i="4"/>
  <c r="CF203" i="4" s="1"/>
  <c r="X206" i="4"/>
  <c r="X199" i="4"/>
  <c r="CF199" i="4" s="1"/>
  <c r="X201" i="4"/>
  <c r="CF201" i="4" s="1"/>
  <c r="L146" i="15"/>
  <c r="CE146" i="15" s="1"/>
  <c r="L82" i="15"/>
  <c r="CE82" i="15" s="1"/>
  <c r="L87" i="15"/>
  <c r="CE87" i="15" s="1"/>
  <c r="L154" i="15"/>
  <c r="CE154" i="15" s="1"/>
  <c r="L71" i="15"/>
  <c r="CE71" i="15" s="1"/>
  <c r="L200" i="2"/>
  <c r="CE200" i="2" s="1"/>
  <c r="L136" i="15"/>
  <c r="CE136" i="15" s="1"/>
  <c r="L86" i="15"/>
  <c r="CE86" i="15" s="1"/>
  <c r="L38" i="15"/>
  <c r="CE38" i="15" s="1"/>
  <c r="L190" i="2"/>
  <c r="CE190" i="2" s="1"/>
  <c r="L74" i="15"/>
  <c r="L153" i="15"/>
  <c r="CE153" i="15" s="1"/>
  <c r="L55" i="15"/>
  <c r="CE55" i="15" s="1"/>
  <c r="L141" i="15"/>
  <c r="L137" i="15"/>
  <c r="CE137" i="15" s="1"/>
  <c r="L119" i="15"/>
  <c r="CE119" i="15" s="1"/>
  <c r="L75" i="15"/>
  <c r="CE75" i="15" s="1"/>
  <c r="X85" i="2"/>
  <c r="CF85" i="2" s="1"/>
  <c r="L144" i="15"/>
  <c r="CE144" i="15" s="1"/>
  <c r="L106" i="15"/>
  <c r="CE106" i="15" s="1"/>
  <c r="L125" i="15"/>
  <c r="CE125" i="15" s="1"/>
  <c r="L59" i="15"/>
  <c r="CE59" i="15" s="1"/>
  <c r="L195" i="2"/>
  <c r="CE195" i="2" s="1"/>
  <c r="L135" i="15"/>
  <c r="CE135" i="15" s="1"/>
  <c r="L198" i="2"/>
  <c r="CE198" i="2" s="1"/>
  <c r="L103" i="15"/>
  <c r="CE103" i="15" s="1"/>
  <c r="L118" i="15"/>
  <c r="CE118" i="15" s="1"/>
  <c r="L81" i="15"/>
  <c r="CE81" i="15" s="1"/>
  <c r="L142" i="15"/>
  <c r="CE142" i="15" s="1"/>
  <c r="L109" i="15"/>
  <c r="CE109" i="15" s="1"/>
  <c r="L58" i="15"/>
  <c r="CE58" i="15" s="1"/>
  <c r="L127" i="15"/>
  <c r="CE127" i="15" s="1"/>
  <c r="L126" i="15"/>
  <c r="CE126" i="15" s="1"/>
  <c r="L89" i="15"/>
  <c r="CE89" i="15" s="1"/>
  <c r="L35" i="15"/>
  <c r="CE35" i="15" s="1"/>
  <c r="L77" i="15"/>
  <c r="CE77" i="15" s="1"/>
  <c r="L98" i="15"/>
  <c r="CE98" i="15" s="1"/>
  <c r="L128" i="15"/>
  <c r="CE128" i="15" s="1"/>
  <c r="L83" i="15"/>
  <c r="CE83" i="15" s="1"/>
  <c r="L68" i="15"/>
  <c r="CE68" i="15" s="1"/>
  <c r="L197" i="2"/>
  <c r="L122" i="15"/>
  <c r="CE122" i="15" s="1"/>
  <c r="L159" i="15"/>
  <c r="CE159" i="15" s="1"/>
  <c r="L90" i="15"/>
  <c r="CE90" i="15" s="1"/>
  <c r="L131" i="15"/>
  <c r="CE131" i="15" s="1"/>
  <c r="L100" i="15"/>
  <c r="CE100" i="15" s="1"/>
  <c r="L208" i="2"/>
  <c r="CE208" i="2" s="1"/>
  <c r="L157" i="15"/>
  <c r="CE157" i="15" s="1"/>
  <c r="L60" i="15"/>
  <c r="CE60" i="15" s="1"/>
  <c r="L134" i="15"/>
  <c r="CE134" i="15" s="1"/>
  <c r="L85" i="15"/>
  <c r="CE85" i="15" s="1"/>
  <c r="L54" i="15"/>
  <c r="CE54" i="15" s="1"/>
  <c r="L51" i="15"/>
  <c r="CE51" i="15" s="1"/>
  <c r="L120" i="15"/>
  <c r="CE120" i="15" s="1"/>
  <c r="L145" i="15"/>
  <c r="CE145" i="15" s="1"/>
  <c r="L117" i="15"/>
  <c r="CE117" i="15" s="1"/>
  <c r="L105" i="15"/>
  <c r="CE105" i="15" s="1"/>
  <c r="L63" i="15"/>
  <c r="CE63" i="15" s="1"/>
  <c r="L101" i="15"/>
  <c r="CE101" i="15" s="1"/>
  <c r="L152" i="15"/>
  <c r="CE152" i="15" s="1"/>
  <c r="L158" i="15"/>
  <c r="CE158" i="15" s="1"/>
  <c r="L156" i="15"/>
  <c r="CE156" i="15" s="1"/>
  <c r="L143" i="15"/>
  <c r="CE143" i="15" s="1"/>
  <c r="L107" i="15"/>
  <c r="CE107" i="15" s="1"/>
  <c r="L31" i="15"/>
  <c r="CE31" i="15" s="1"/>
  <c r="L114" i="15"/>
  <c r="CE114" i="15" s="1"/>
  <c r="L48" i="15"/>
  <c r="CE48" i="15" s="1"/>
  <c r="L24" i="15"/>
  <c r="CE24" i="15" s="1"/>
  <c r="L69" i="15"/>
  <c r="CE69" i="15" s="1"/>
  <c r="L199" i="2"/>
  <c r="CE199" i="2" s="1"/>
  <c r="L140" i="15"/>
  <c r="L65" i="15"/>
  <c r="CE65" i="15" s="1"/>
  <c r="L92" i="15"/>
  <c r="CE92" i="15" s="1"/>
  <c r="L93" i="15"/>
  <c r="CE93" i="15" s="1"/>
  <c r="L203" i="2"/>
  <c r="CE203" i="2" s="1"/>
  <c r="L116" i="15"/>
  <c r="CE116" i="15" s="1"/>
  <c r="L95" i="15"/>
  <c r="CE95" i="15" s="1"/>
  <c r="L133" i="15"/>
  <c r="L56" i="15"/>
  <c r="CE56" i="15" s="1"/>
  <c r="L40" i="15"/>
  <c r="CE40" i="15" s="1"/>
  <c r="L151" i="15"/>
  <c r="CE151" i="15" s="1"/>
  <c r="L46" i="15"/>
  <c r="CE46" i="15" s="1"/>
  <c r="L189" i="2"/>
  <c r="CE189" i="2" s="1"/>
  <c r="L97" i="15"/>
  <c r="CE97" i="15" s="1"/>
  <c r="L110" i="15"/>
  <c r="CE110" i="15" s="1"/>
  <c r="L96" i="15"/>
  <c r="L124" i="15"/>
  <c r="CE124" i="15" s="1"/>
  <c r="L44" i="15"/>
  <c r="CE44" i="15" s="1"/>
  <c r="L57" i="15"/>
  <c r="CE57" i="15" s="1"/>
  <c r="L194" i="2"/>
  <c r="CE194" i="2" s="1"/>
  <c r="L121" i="15"/>
  <c r="CE121" i="15" s="1"/>
  <c r="L94" i="15"/>
  <c r="CE94" i="15" s="1"/>
  <c r="L88" i="15"/>
  <c r="CE88" i="15" s="1"/>
  <c r="L113" i="15"/>
  <c r="CE113" i="15" s="1"/>
  <c r="L45" i="15"/>
  <c r="CE45" i="15" s="1"/>
  <c r="L188" i="2"/>
  <c r="CE188" i="2" s="1"/>
  <c r="L66" i="15"/>
  <c r="CE66" i="15" s="1"/>
  <c r="L201" i="2"/>
  <c r="CE201" i="2" s="1"/>
  <c r="L129" i="15"/>
  <c r="CE129" i="15" s="1"/>
  <c r="L196" i="2"/>
  <c r="CE196" i="2" s="1"/>
  <c r="L70" i="15"/>
  <c r="CE70" i="15" s="1"/>
  <c r="L104" i="15"/>
  <c r="CE104" i="15" s="1"/>
  <c r="L115" i="15"/>
  <c r="CE115" i="15" s="1"/>
  <c r="L112" i="15"/>
  <c r="CE112" i="15" s="1"/>
  <c r="L147" i="15"/>
  <c r="CE147" i="15" s="1"/>
  <c r="L61" i="15"/>
  <c r="CE61" i="15" s="1"/>
  <c r="L36" i="15"/>
  <c r="CE36" i="15" s="1"/>
  <c r="L123" i="15"/>
  <c r="CE123" i="15" s="1"/>
  <c r="L99" i="15"/>
  <c r="CE99" i="15" s="1"/>
  <c r="L150" i="15"/>
  <c r="CE150" i="15" s="1"/>
  <c r="L149" i="15"/>
  <c r="CE149" i="15" s="1"/>
  <c r="L138" i="15"/>
  <c r="CE138" i="15" s="1"/>
  <c r="L91" i="15"/>
  <c r="CE91" i="15" s="1"/>
  <c r="L78" i="15"/>
  <c r="CE78" i="15" s="1"/>
  <c r="L148" i="15"/>
  <c r="CE148" i="15" s="1"/>
  <c r="L42" i="15"/>
  <c r="CE42" i="15" s="1"/>
  <c r="L139" i="15"/>
  <c r="L206" i="2"/>
  <c r="CE206" i="2" s="1"/>
  <c r="L166" i="15"/>
  <c r="L73" i="15"/>
  <c r="CE73" i="15" s="1"/>
  <c r="L202" i="2"/>
  <c r="CE202" i="2" s="1"/>
  <c r="L62" i="15"/>
  <c r="CE62" i="15" s="1"/>
  <c r="L163" i="15"/>
  <c r="L64" i="15"/>
  <c r="CE64" i="15" s="1"/>
  <c r="L102" i="15"/>
  <c r="CE102" i="15" s="1"/>
  <c r="L39" i="15"/>
  <c r="CE39" i="15" s="1"/>
  <c r="L187" i="2"/>
  <c r="CE187" i="2" s="1"/>
  <c r="L76" i="15"/>
  <c r="CE76" i="15" s="1"/>
  <c r="L204" i="2"/>
  <c r="CE204" i="2" s="1"/>
  <c r="L132" i="15"/>
  <c r="CE132" i="15" s="1"/>
  <c r="L32" i="15"/>
  <c r="CE32" i="15" s="1"/>
  <c r="L23" i="15"/>
  <c r="CE23" i="15" s="1"/>
  <c r="L191" i="2"/>
  <c r="CE191" i="2" s="1"/>
  <c r="D53" i="6"/>
  <c r="AO120" i="2" l="1"/>
  <c r="AO58" i="15"/>
  <c r="AO118" i="4"/>
  <c r="AO194" i="4"/>
  <c r="AQ274" i="4"/>
  <c r="BC274" i="4" s="1"/>
  <c r="BO274" i="4" s="1"/>
  <c r="AQ273" i="4"/>
  <c r="BC273" i="4" s="1"/>
  <c r="BO273" i="4" s="1"/>
  <c r="AO90" i="2"/>
  <c r="AO90" i="15" s="1"/>
  <c r="AO89" i="2"/>
  <c r="AO89" i="15" s="1"/>
  <c r="AO63" i="4"/>
  <c r="AO63" i="15" s="1"/>
  <c r="AO89" i="4"/>
  <c r="AO91" i="4"/>
  <c r="AQ277" i="2"/>
  <c r="BC277" i="2" s="1"/>
  <c r="BO277" i="2" s="1"/>
  <c r="AK35" i="8"/>
  <c r="AI139" i="2"/>
  <c r="AJ36" i="8" s="1"/>
  <c r="BJ5" i="10"/>
  <c r="BI4" i="10"/>
  <c r="BI36" i="10"/>
  <c r="BI37" i="10"/>
  <c r="CF8" i="15"/>
  <c r="CJ8" i="15"/>
  <c r="CC8" i="15"/>
  <c r="CD8" i="15"/>
  <c r="CI8" i="15"/>
  <c r="CG8" i="15"/>
  <c r="CE8" i="15"/>
  <c r="CH8" i="15"/>
  <c r="AO87" i="15"/>
  <c r="AR4" i="4"/>
  <c r="AR277" i="4" s="1"/>
  <c r="AO91" i="2"/>
  <c r="AO118" i="2"/>
  <c r="AO92" i="4"/>
  <c r="AO92" i="15" s="1"/>
  <c r="AQ256" i="4"/>
  <c r="AO61" i="4"/>
  <c r="AQ277" i="4"/>
  <c r="BC277" i="4" s="1"/>
  <c r="BO277" i="4" s="1"/>
  <c r="AQ58" i="4"/>
  <c r="AQ253" i="4"/>
  <c r="AQ276" i="4"/>
  <c r="AQ253" i="2"/>
  <c r="AQ272" i="4"/>
  <c r="AQ2" i="2"/>
  <c r="AO194" i="2"/>
  <c r="AO64" i="2"/>
  <c r="AO62" i="2"/>
  <c r="AO62" i="15" s="1"/>
  <c r="AO154" i="2"/>
  <c r="AO154" i="15" s="1"/>
  <c r="AQ87" i="4"/>
  <c r="AR4" i="2"/>
  <c r="AR275" i="2" s="1"/>
  <c r="BD275" i="2" s="1"/>
  <c r="BP275" i="2" s="1"/>
  <c r="AO57" i="15"/>
  <c r="AO145" i="15"/>
  <c r="AQ256" i="2"/>
  <c r="AO60" i="2"/>
  <c r="AO60" i="15" s="1"/>
  <c r="AQ274" i="2"/>
  <c r="BC274" i="2" s="1"/>
  <c r="BO274" i="2" s="1"/>
  <c r="AO152" i="2"/>
  <c r="AO152" i="15" s="1"/>
  <c r="AQ252" i="2"/>
  <c r="AQ276" i="2"/>
  <c r="BC275" i="2"/>
  <c r="BO275" i="2" s="1"/>
  <c r="AQ115" i="2"/>
  <c r="AQ273" i="2"/>
  <c r="AQ272" i="2"/>
  <c r="AO150" i="2"/>
  <c r="AO150" i="15" s="1"/>
  <c r="BY64" i="8"/>
  <c r="BY68" i="8" s="1"/>
  <c r="BX68" i="8"/>
  <c r="BD89" i="8"/>
  <c r="BD88" i="8"/>
  <c r="BD4" i="8"/>
  <c r="BE5" i="8"/>
  <c r="BV42" i="8"/>
  <c r="BW40" i="8"/>
  <c r="AQ115" i="4"/>
  <c r="AR276" i="2"/>
  <c r="BD276" i="2" s="1"/>
  <c r="BP276" i="2" s="1"/>
  <c r="BB273" i="4"/>
  <c r="BN273" i="4" s="1"/>
  <c r="AP58" i="4"/>
  <c r="BB274" i="4"/>
  <c r="BN274" i="4" s="1"/>
  <c r="AP87" i="4"/>
  <c r="BB272" i="2"/>
  <c r="BN272" i="2" s="1"/>
  <c r="AP57" i="2"/>
  <c r="AP66" i="2" s="1"/>
  <c r="BB275" i="2"/>
  <c r="BN275" i="2" s="1"/>
  <c r="AP115" i="2"/>
  <c r="BB275" i="4"/>
  <c r="BN275" i="4" s="1"/>
  <c r="AP115" i="4"/>
  <c r="AP117" i="4" s="1"/>
  <c r="BB276" i="4"/>
  <c r="BN276" i="4" s="1"/>
  <c r="AP144" i="4"/>
  <c r="BB274" i="2"/>
  <c r="BN274" i="2" s="1"/>
  <c r="AP87" i="2"/>
  <c r="BB277" i="2"/>
  <c r="BN277" i="2" s="1"/>
  <c r="AP145" i="2"/>
  <c r="AR274" i="4"/>
  <c r="BD274" i="4" s="1"/>
  <c r="BP274" i="4" s="1"/>
  <c r="BB277" i="4"/>
  <c r="BN277" i="4" s="1"/>
  <c r="AP145" i="4"/>
  <c r="AP150" i="4" s="1"/>
  <c r="BB276" i="2"/>
  <c r="BN276" i="2" s="1"/>
  <c r="AP144" i="2"/>
  <c r="BB272" i="4"/>
  <c r="BN272" i="4" s="1"/>
  <c r="AP57" i="4"/>
  <c r="BB273" i="2"/>
  <c r="BN273" i="2" s="1"/>
  <c r="AP58" i="2"/>
  <c r="AP63" i="2" s="1"/>
  <c r="AO148" i="15"/>
  <c r="P8" i="14"/>
  <c r="R7" i="14"/>
  <c r="P7" i="14"/>
  <c r="R8" i="14"/>
  <c r="BX2" i="15"/>
  <c r="BX253" i="15"/>
  <c r="CA25" i="15" s="1"/>
  <c r="BX252" i="15"/>
  <c r="BZ25" i="15" s="1"/>
  <c r="CF7" i="15"/>
  <c r="CE15" i="15"/>
  <c r="CJ18" i="15"/>
  <c r="J7" i="14"/>
  <c r="CH16" i="15"/>
  <c r="CC13" i="15"/>
  <c r="CC14" i="15"/>
  <c r="CC12" i="15"/>
  <c r="CD13" i="15"/>
  <c r="CJ11" i="15"/>
  <c r="N8" i="14"/>
  <c r="CI18" i="15"/>
  <c r="CF10" i="15"/>
  <c r="CE12" i="15"/>
  <c r="CD7" i="15"/>
  <c r="CI14" i="15"/>
  <c r="CD10" i="15"/>
  <c r="CG12" i="15"/>
  <c r="D8" i="14"/>
  <c r="CH7" i="15"/>
  <c r="CC7" i="15"/>
  <c r="L8" i="14"/>
  <c r="CG18" i="15"/>
  <c r="CC10" i="15"/>
  <c r="CI12" i="15"/>
  <c r="CI15" i="15"/>
  <c r="CI7" i="15"/>
  <c r="CE18" i="15"/>
  <c r="CJ10" i="15"/>
  <c r="CG7" i="15"/>
  <c r="CH12" i="15"/>
  <c r="CH11" i="15"/>
  <c r="CH14" i="15"/>
  <c r="CI13" i="15"/>
  <c r="CH17" i="15"/>
  <c r="CF17" i="15"/>
  <c r="CG11" i="15"/>
  <c r="CH10" i="15"/>
  <c r="CD14" i="15"/>
  <c r="CE14" i="15"/>
  <c r="CE10" i="15"/>
  <c r="CF16" i="15"/>
  <c r="CF13" i="15"/>
  <c r="CF15" i="15"/>
  <c r="CJ16" i="15"/>
  <c r="CG16" i="15"/>
  <c r="CD12" i="15"/>
  <c r="CI10" i="15"/>
  <c r="CG10" i="15"/>
  <c r="CJ12" i="15"/>
  <c r="CH15" i="15"/>
  <c r="CG14" i="15"/>
  <c r="CJ13" i="15"/>
  <c r="CC11" i="15"/>
  <c r="CD15" i="15"/>
  <c r="CD16" i="15"/>
  <c r="CE11" i="15"/>
  <c r="CJ7" i="15"/>
  <c r="J8" i="14"/>
  <c r="H8" i="14"/>
  <c r="CG13" i="15"/>
  <c r="CE7" i="15"/>
  <c r="CG15" i="15"/>
  <c r="F8" i="14"/>
  <c r="CF14" i="15"/>
  <c r="D7" i="14"/>
  <c r="CC17" i="15"/>
  <c r="N7" i="14"/>
  <c r="CC18" i="15"/>
  <c r="L7" i="14"/>
  <c r="CC15" i="15"/>
  <c r="CD17" i="15"/>
  <c r="CF11" i="15"/>
  <c r="CH13" i="15"/>
  <c r="CJ17" i="15"/>
  <c r="CH18" i="15"/>
  <c r="CI11" i="15"/>
  <c r="CJ14" i="15"/>
  <c r="CD18" i="15"/>
  <c r="CC16" i="15"/>
  <c r="CE13" i="15"/>
  <c r="CE17" i="15"/>
  <c r="CF18" i="15"/>
  <c r="CD11" i="15"/>
  <c r="CI16" i="15"/>
  <c r="CF12" i="15"/>
  <c r="F7" i="14"/>
  <c r="CJ15" i="15"/>
  <c r="H7" i="14"/>
  <c r="CE16" i="15"/>
  <c r="CG17" i="15"/>
  <c r="CI17" i="15"/>
  <c r="CE139" i="15"/>
  <c r="CE163" i="15"/>
  <c r="AO61" i="15"/>
  <c r="AO54" i="8"/>
  <c r="AO60" i="8" s="1"/>
  <c r="AN96" i="15"/>
  <c r="AO120" i="15"/>
  <c r="AN74" i="15"/>
  <c r="AN123" i="15"/>
  <c r="AO123" i="4"/>
  <c r="AO117" i="15"/>
  <c r="AR253" i="4"/>
  <c r="AO67" i="15"/>
  <c r="AP151" i="4"/>
  <c r="AP149" i="4"/>
  <c r="AP64" i="4"/>
  <c r="AP60" i="4"/>
  <c r="AO74" i="4"/>
  <c r="AP90" i="4"/>
  <c r="AP89" i="4"/>
  <c r="AP153" i="4"/>
  <c r="AP148" i="4"/>
  <c r="AO157" i="4"/>
  <c r="AP152" i="4"/>
  <c r="AP62" i="4"/>
  <c r="AP66" i="4"/>
  <c r="AP154" i="4"/>
  <c r="AP147" i="4"/>
  <c r="AN195" i="15"/>
  <c r="AO119" i="15"/>
  <c r="AP119" i="2"/>
  <c r="AO64" i="15"/>
  <c r="AO147" i="15"/>
  <c r="AQ115" i="15"/>
  <c r="AO151" i="15"/>
  <c r="AO66" i="15"/>
  <c r="AP118" i="2"/>
  <c r="AM158" i="15"/>
  <c r="AR256" i="2"/>
  <c r="AR253" i="2"/>
  <c r="AR144" i="2"/>
  <c r="AR252" i="2"/>
  <c r="AO153" i="15"/>
  <c r="AP153" i="2"/>
  <c r="AP117" i="2"/>
  <c r="AQ117" i="2" s="1"/>
  <c r="AO65" i="15"/>
  <c r="AP65" i="2"/>
  <c r="AP120" i="2"/>
  <c r="AO149" i="15"/>
  <c r="AP149" i="2"/>
  <c r="AN158" i="2"/>
  <c r="AN157" i="15"/>
  <c r="AE53" i="6"/>
  <c r="L173" i="15"/>
  <c r="AS4" i="2"/>
  <c r="AR2" i="2"/>
  <c r="X158" i="4"/>
  <c r="CF158" i="4" s="1"/>
  <c r="X140" i="2"/>
  <c r="X123" i="2"/>
  <c r="CF123" i="2" s="1"/>
  <c r="AJ157" i="4"/>
  <c r="AJ158" i="4" s="1"/>
  <c r="X157" i="2"/>
  <c r="CF157" i="2" s="1"/>
  <c r="AJ32" i="4"/>
  <c r="CG32" i="4" s="1"/>
  <c r="X141" i="4"/>
  <c r="X74" i="2"/>
  <c r="CF74" i="2" s="1"/>
  <c r="X96" i="2"/>
  <c r="CF96" i="2" s="1"/>
  <c r="X32" i="2"/>
  <c r="CF32" i="2" s="1"/>
  <c r="AJ203" i="4"/>
  <c r="CG203" i="4" s="1"/>
  <c r="BZ129" i="15"/>
  <c r="K8" i="10"/>
  <c r="D9" i="12" s="1"/>
  <c r="BZ45" i="15"/>
  <c r="AJ201" i="4"/>
  <c r="CG201" i="4" s="1"/>
  <c r="X197" i="4"/>
  <c r="CF197" i="4" s="1"/>
  <c r="AJ187" i="4"/>
  <c r="CG187" i="4" s="1"/>
  <c r="L210" i="4"/>
  <c r="CE210" i="4" s="1"/>
  <c r="AJ199" i="4"/>
  <c r="CG199" i="4" s="1"/>
  <c r="AJ202" i="4"/>
  <c r="CG202" i="4" s="1"/>
  <c r="AJ194" i="4"/>
  <c r="AJ208" i="4"/>
  <c r="CG208" i="4" s="1"/>
  <c r="AJ200" i="4"/>
  <c r="CG200" i="4" s="1"/>
  <c r="AJ195" i="4"/>
  <c r="AJ204" i="4"/>
  <c r="CG204" i="4" s="1"/>
  <c r="L196" i="15"/>
  <c r="CE196" i="15" s="1"/>
  <c r="H26" i="14" s="1"/>
  <c r="T26" i="14" s="1"/>
  <c r="X66" i="15"/>
  <c r="CF66" i="15" s="1"/>
  <c r="X201" i="2"/>
  <c r="CF201" i="2" s="1"/>
  <c r="AJ88" i="15"/>
  <c r="CG88" i="15" s="1"/>
  <c r="X88" i="15"/>
  <c r="X143" i="15"/>
  <c r="AJ117" i="15"/>
  <c r="X117" i="15"/>
  <c r="CF117" i="15" s="1"/>
  <c r="AJ54" i="15"/>
  <c r="CG54" i="15" s="1"/>
  <c r="X54" i="15"/>
  <c r="AJ90" i="15"/>
  <c r="X90" i="15"/>
  <c r="X159" i="15"/>
  <c r="X98" i="15"/>
  <c r="X109" i="15"/>
  <c r="AJ109" i="15"/>
  <c r="CG109" i="15" s="1"/>
  <c r="AJ118" i="15"/>
  <c r="X118" i="15"/>
  <c r="AJ31" i="15"/>
  <c r="CG31" i="15" s="1"/>
  <c r="X31" i="15"/>
  <c r="CF31" i="15" s="1"/>
  <c r="AJ105" i="15"/>
  <c r="CG105" i="15" s="1"/>
  <c r="X105" i="15"/>
  <c r="AJ120" i="15"/>
  <c r="X120" i="15"/>
  <c r="AJ51" i="15"/>
  <c r="CG51" i="15" s="1"/>
  <c r="X51" i="15"/>
  <c r="AJ134" i="15"/>
  <c r="CG134" i="15" s="1"/>
  <c r="X134" i="15"/>
  <c r="AJ83" i="15"/>
  <c r="CG83" i="15" s="1"/>
  <c r="X83" i="15"/>
  <c r="AJ128" i="15"/>
  <c r="CG128" i="15" s="1"/>
  <c r="X128" i="15"/>
  <c r="AJ89" i="15"/>
  <c r="X89" i="15"/>
  <c r="AJ81" i="15"/>
  <c r="CG81" i="15" s="1"/>
  <c r="X81" i="15"/>
  <c r="CF81" i="15" s="1"/>
  <c r="X144" i="15"/>
  <c r="CF144" i="15" s="1"/>
  <c r="L190" i="15"/>
  <c r="CE190" i="15" s="1"/>
  <c r="H16" i="14" s="1"/>
  <c r="T16" i="14" s="1"/>
  <c r="AJ154" i="15"/>
  <c r="X154" i="15"/>
  <c r="CF154" i="15" s="1"/>
  <c r="X64" i="15"/>
  <c r="X194" i="2"/>
  <c r="CF194" i="2" s="1"/>
  <c r="X163" i="15"/>
  <c r="AJ163" i="15"/>
  <c r="AJ78" i="15"/>
  <c r="CG78" i="15" s="1"/>
  <c r="X78" i="15"/>
  <c r="L210" i="2"/>
  <c r="X151" i="15"/>
  <c r="AJ151" i="15"/>
  <c r="AJ133" i="15"/>
  <c r="X133" i="15"/>
  <c r="AJ95" i="15"/>
  <c r="CG95" i="15" s="1"/>
  <c r="X95" i="15"/>
  <c r="AJ60" i="15"/>
  <c r="X60" i="15"/>
  <c r="AJ126" i="15"/>
  <c r="CG126" i="15" s="1"/>
  <c r="X126" i="15"/>
  <c r="CF126" i="15" s="1"/>
  <c r="AJ103" i="15"/>
  <c r="CG103" i="15" s="1"/>
  <c r="X103" i="15"/>
  <c r="L198" i="15"/>
  <c r="CE198" i="15" s="1"/>
  <c r="H28" i="14" s="1"/>
  <c r="T28" i="14" s="1"/>
  <c r="X59" i="15"/>
  <c r="CF59" i="15" s="1"/>
  <c r="X195" i="2"/>
  <c r="CF195" i="2" s="1"/>
  <c r="X75" i="15"/>
  <c r="CF75" i="15" s="1"/>
  <c r="X119" i="15"/>
  <c r="AJ119" i="15"/>
  <c r="X38" i="15"/>
  <c r="CF38" i="15" s="1"/>
  <c r="X190" i="2"/>
  <c r="CF190" i="2" s="1"/>
  <c r="AJ86" i="15"/>
  <c r="CG86" i="15" s="1"/>
  <c r="X86" i="15"/>
  <c r="CF86" i="15" s="1"/>
  <c r="X87" i="15"/>
  <c r="CF87" i="15" s="1"/>
  <c r="AJ148" i="15"/>
  <c r="X148" i="15"/>
  <c r="AJ149" i="15"/>
  <c r="X149" i="15"/>
  <c r="AJ61" i="15"/>
  <c r="X61" i="15"/>
  <c r="CF61" i="15" s="1"/>
  <c r="X147" i="15"/>
  <c r="CF147" i="15" s="1"/>
  <c r="AJ147" i="15"/>
  <c r="X70" i="15"/>
  <c r="AJ70" i="15"/>
  <c r="CG70" i="15" s="1"/>
  <c r="L194" i="15"/>
  <c r="CE194" i="15" s="1"/>
  <c r="H24" i="14" s="1"/>
  <c r="T24" i="14" s="1"/>
  <c r="L204" i="15"/>
  <c r="CE204" i="15" s="1"/>
  <c r="H34" i="14" s="1"/>
  <c r="T34" i="14" s="1"/>
  <c r="L187" i="15"/>
  <c r="CE187" i="15" s="1"/>
  <c r="H18" i="14" s="1"/>
  <c r="T18" i="14" s="1"/>
  <c r="AJ102" i="15"/>
  <c r="CG102" i="15" s="1"/>
  <c r="X102" i="15"/>
  <c r="AJ62" i="15"/>
  <c r="X62" i="15"/>
  <c r="X73" i="15"/>
  <c r="CF73" i="15" s="1"/>
  <c r="X202" i="2"/>
  <c r="CF202" i="2" s="1"/>
  <c r="X139" i="15"/>
  <c r="X206" i="2"/>
  <c r="X42" i="15"/>
  <c r="AJ42" i="15"/>
  <c r="CG42" i="15" s="1"/>
  <c r="AJ138" i="15"/>
  <c r="CG138" i="15" s="1"/>
  <c r="X138" i="15"/>
  <c r="AJ36" i="15"/>
  <c r="X36" i="15"/>
  <c r="X115" i="15"/>
  <c r="AJ104" i="15"/>
  <c r="CG104" i="15" s="1"/>
  <c r="X104" i="15"/>
  <c r="AJ121" i="15"/>
  <c r="CG121" i="15" s="1"/>
  <c r="X121" i="15"/>
  <c r="X124" i="15"/>
  <c r="X97" i="15"/>
  <c r="CF97" i="15" s="1"/>
  <c r="X40" i="15"/>
  <c r="AJ40" i="15"/>
  <c r="CG40" i="15" s="1"/>
  <c r="X203" i="2"/>
  <c r="CF203" i="2" s="1"/>
  <c r="X93" i="15"/>
  <c r="CF93" i="15" s="1"/>
  <c r="AJ92" i="15"/>
  <c r="X92" i="15"/>
  <c r="L199" i="15"/>
  <c r="CE199" i="15" s="1"/>
  <c r="H29" i="14" s="1"/>
  <c r="T29" i="14" s="1"/>
  <c r="X24" i="15"/>
  <c r="CF24" i="15" s="1"/>
  <c r="AJ156" i="15"/>
  <c r="CG156" i="15" s="1"/>
  <c r="X156" i="15"/>
  <c r="AJ63" i="15"/>
  <c r="X63" i="15"/>
  <c r="L208" i="15"/>
  <c r="CE208" i="15" s="1"/>
  <c r="H37" i="14" s="1"/>
  <c r="T37" i="14" s="1"/>
  <c r="AJ131" i="15"/>
  <c r="CG131" i="15" s="1"/>
  <c r="X131" i="15"/>
  <c r="CF131" i="15" s="1"/>
  <c r="L197" i="15"/>
  <c r="AJ35" i="15"/>
  <c r="CG35" i="15" s="1"/>
  <c r="X35" i="15"/>
  <c r="X127" i="15"/>
  <c r="AJ127" i="15"/>
  <c r="CG127" i="15" s="1"/>
  <c r="AJ106" i="15"/>
  <c r="CG106" i="15" s="1"/>
  <c r="X106" i="15"/>
  <c r="L200" i="15"/>
  <c r="CE200" i="15" s="1"/>
  <c r="H30" i="14" s="1"/>
  <c r="T30" i="14" s="1"/>
  <c r="AJ152" i="15"/>
  <c r="X152" i="15"/>
  <c r="AJ82" i="15"/>
  <c r="CG82" i="15" s="1"/>
  <c r="X82" i="15"/>
  <c r="L189" i="15"/>
  <c r="CE189" i="15" s="1"/>
  <c r="H17" i="14" s="1"/>
  <c r="T17" i="14" s="1"/>
  <c r="X56" i="15"/>
  <c r="AJ65" i="15"/>
  <c r="X65" i="15"/>
  <c r="AJ132" i="15"/>
  <c r="CG132" i="15" s="1"/>
  <c r="X132" i="15"/>
  <c r="X204" i="2"/>
  <c r="CF204" i="2" s="1"/>
  <c r="X76" i="15"/>
  <c r="CF76" i="15" s="1"/>
  <c r="X39" i="15"/>
  <c r="CF39" i="15" s="1"/>
  <c r="X187" i="2"/>
  <c r="CF187" i="2" s="1"/>
  <c r="L202" i="15"/>
  <c r="CE202" i="15" s="1"/>
  <c r="H32" i="14" s="1"/>
  <c r="T32" i="14" s="1"/>
  <c r="L206" i="15"/>
  <c r="CE206" i="15" s="1"/>
  <c r="H35" i="14" s="1"/>
  <c r="T35" i="14" s="1"/>
  <c r="AJ91" i="15"/>
  <c r="X91" i="15"/>
  <c r="AJ150" i="15"/>
  <c r="X150" i="15"/>
  <c r="AJ112" i="15"/>
  <c r="CG112" i="15" s="1"/>
  <c r="X112" i="15"/>
  <c r="CF112" i="15" s="1"/>
  <c r="L201" i="15"/>
  <c r="CE201" i="15" s="1"/>
  <c r="H31" i="14" s="1"/>
  <c r="T31" i="14" s="1"/>
  <c r="L188" i="15"/>
  <c r="CE188" i="15" s="1"/>
  <c r="H15" i="14" s="1"/>
  <c r="T15" i="14" s="1"/>
  <c r="X94" i="15"/>
  <c r="AJ94" i="15"/>
  <c r="CG94" i="15" s="1"/>
  <c r="AJ110" i="15"/>
  <c r="CG110" i="15" s="1"/>
  <c r="X110" i="15"/>
  <c r="AJ116" i="15"/>
  <c r="CG116" i="15" s="1"/>
  <c r="X116" i="15"/>
  <c r="L203" i="15"/>
  <c r="CE203" i="15" s="1"/>
  <c r="H33" i="14" s="1"/>
  <c r="T33" i="14" s="1"/>
  <c r="X69" i="15"/>
  <c r="CF69" i="15" s="1"/>
  <c r="X199" i="2"/>
  <c r="CF199" i="2" s="1"/>
  <c r="X114" i="15"/>
  <c r="X107" i="15"/>
  <c r="CF107" i="15" s="1"/>
  <c r="AJ107" i="15"/>
  <c r="CG107" i="15" s="1"/>
  <c r="AJ101" i="15"/>
  <c r="CG101" i="15" s="1"/>
  <c r="X101" i="15"/>
  <c r="X145" i="15"/>
  <c r="AJ145" i="15"/>
  <c r="X100" i="15"/>
  <c r="CF100" i="15" s="1"/>
  <c r="X208" i="2"/>
  <c r="CF208" i="2" s="1"/>
  <c r="X122" i="15"/>
  <c r="AJ122" i="15"/>
  <c r="CG122" i="15" s="1"/>
  <c r="X68" i="15"/>
  <c r="CF68" i="15" s="1"/>
  <c r="X197" i="2"/>
  <c r="AJ77" i="15"/>
  <c r="CG77" i="15" s="1"/>
  <c r="X77" i="15"/>
  <c r="X142" i="15"/>
  <c r="AJ142" i="15"/>
  <c r="CG142" i="15" s="1"/>
  <c r="X198" i="2"/>
  <c r="CF198" i="2" s="1"/>
  <c r="X135" i="15"/>
  <c r="CF135" i="15" s="1"/>
  <c r="L195" i="15"/>
  <c r="CE195" i="15" s="1"/>
  <c r="H25" i="14" s="1"/>
  <c r="T25" i="14" s="1"/>
  <c r="AJ125" i="15"/>
  <c r="CG125" i="15" s="1"/>
  <c r="X125" i="15"/>
  <c r="AJ137" i="15"/>
  <c r="CG137" i="15" s="1"/>
  <c r="X137" i="15"/>
  <c r="X55" i="15"/>
  <c r="AJ153" i="15"/>
  <c r="X153" i="15"/>
  <c r="CF153" i="15" s="1"/>
  <c r="AJ136" i="15"/>
  <c r="CG136" i="15" s="1"/>
  <c r="X136" i="15"/>
  <c r="X200" i="2"/>
  <c r="CF200" i="2" s="1"/>
  <c r="X71" i="15"/>
  <c r="CF71" i="15" s="1"/>
  <c r="AJ146" i="15"/>
  <c r="CG146" i="15" s="1"/>
  <c r="X146" i="15"/>
  <c r="L191" i="4"/>
  <c r="CE191" i="4" s="1"/>
  <c r="L52" i="15"/>
  <c r="CE52" i="15" s="1"/>
  <c r="X191" i="2"/>
  <c r="CF191" i="2" s="1"/>
  <c r="L193" i="2"/>
  <c r="CE193" i="2" s="1"/>
  <c r="L191" i="15"/>
  <c r="CE191" i="15" s="1"/>
  <c r="H19" i="14" s="1"/>
  <c r="T19" i="14" s="1"/>
  <c r="CA62" i="15" l="1"/>
  <c r="CA60" i="15"/>
  <c r="CA57" i="15"/>
  <c r="AO118" i="15"/>
  <c r="AP87" i="15"/>
  <c r="AP91" i="4"/>
  <c r="AQ91" i="4" s="1"/>
  <c r="BZ181" i="15"/>
  <c r="BZ50" i="15"/>
  <c r="BZ29" i="15"/>
  <c r="CA181" i="15"/>
  <c r="CA29" i="15"/>
  <c r="CA50" i="15"/>
  <c r="AP61" i="4"/>
  <c r="AQ61" i="4" s="1"/>
  <c r="AO123" i="2"/>
  <c r="AO91" i="15"/>
  <c r="AS4" i="4"/>
  <c r="AO157" i="2"/>
  <c r="AO158" i="2" s="1"/>
  <c r="AR87" i="4"/>
  <c r="AR273" i="4"/>
  <c r="BD273" i="4" s="1"/>
  <c r="BP273" i="4" s="1"/>
  <c r="AR276" i="4"/>
  <c r="AR2" i="4"/>
  <c r="AR256" i="4"/>
  <c r="AR275" i="4"/>
  <c r="AQ145" i="2"/>
  <c r="AR252" i="4"/>
  <c r="AP120" i="4"/>
  <c r="AQ120" i="4" s="1"/>
  <c r="AR272" i="4"/>
  <c r="AQ117" i="4"/>
  <c r="AQ117" i="15" s="1"/>
  <c r="AR272" i="2"/>
  <c r="AR273" i="2"/>
  <c r="AL35" i="8"/>
  <c r="AJ139" i="2"/>
  <c r="AK36" i="8" s="1"/>
  <c r="BK5" i="10"/>
  <c r="BJ36" i="10"/>
  <c r="BJ37" i="10"/>
  <c r="BJ4" i="10"/>
  <c r="CA155" i="15"/>
  <c r="CA28" i="15"/>
  <c r="BZ155" i="15"/>
  <c r="BZ28" i="15"/>
  <c r="BZ57" i="15"/>
  <c r="AP154" i="2"/>
  <c r="AP154" i="15" s="1"/>
  <c r="AP92" i="4"/>
  <c r="AO195" i="4"/>
  <c r="BZ49" i="15"/>
  <c r="BZ130" i="15"/>
  <c r="CA49" i="15"/>
  <c r="CA130" i="15"/>
  <c r="AO96" i="4"/>
  <c r="AO74" i="2"/>
  <c r="AO74" i="15" s="1"/>
  <c r="AP144" i="15"/>
  <c r="AP152" i="2"/>
  <c r="AQ152" i="2" s="1"/>
  <c r="AO96" i="2"/>
  <c r="AO96" i="15" s="1"/>
  <c r="L12" i="14"/>
  <c r="N12" i="14"/>
  <c r="F12" i="14"/>
  <c r="H12" i="14"/>
  <c r="J12" i="14"/>
  <c r="P12" i="14"/>
  <c r="V35" i="11"/>
  <c r="R12" i="14"/>
  <c r="BD277" i="4"/>
  <c r="BP277" i="4" s="1"/>
  <c r="AR145" i="4"/>
  <c r="AR277" i="2"/>
  <c r="AR274" i="2"/>
  <c r="AP60" i="2"/>
  <c r="AQ145" i="4"/>
  <c r="AQ145" i="15" s="1"/>
  <c r="AR54" i="8"/>
  <c r="AR60" i="8" s="1"/>
  <c r="BC276" i="4"/>
  <c r="BO276" i="4" s="1"/>
  <c r="AQ144" i="4"/>
  <c r="AQ153" i="4" s="1"/>
  <c r="AP89" i="2"/>
  <c r="AP150" i="2"/>
  <c r="AQ150" i="2" s="1"/>
  <c r="AQ89" i="4"/>
  <c r="AR89" i="4" s="1"/>
  <c r="AP119" i="4"/>
  <c r="AP62" i="2"/>
  <c r="AP91" i="2"/>
  <c r="AP118" i="4"/>
  <c r="AQ118" i="4" s="1"/>
  <c r="AP65" i="4"/>
  <c r="AQ90" i="4"/>
  <c r="AP63" i="4"/>
  <c r="AQ63" i="4" s="1"/>
  <c r="AP194" i="4"/>
  <c r="BC272" i="4"/>
  <c r="BO272" i="4" s="1"/>
  <c r="AQ57" i="4"/>
  <c r="AQ60" i="4" s="1"/>
  <c r="AO195" i="2"/>
  <c r="AP64" i="2"/>
  <c r="AR58" i="4"/>
  <c r="AP61" i="2"/>
  <c r="AP67" i="4"/>
  <c r="AQ67" i="4" s="1"/>
  <c r="AQ150" i="4"/>
  <c r="AR150" i="4" s="1"/>
  <c r="AQ87" i="2"/>
  <c r="AQ87" i="15" s="1"/>
  <c r="BC276" i="2"/>
  <c r="BO276" i="2" s="1"/>
  <c r="AQ144" i="2"/>
  <c r="AQ144" i="15" s="1"/>
  <c r="BC273" i="2"/>
  <c r="BO273" i="2" s="1"/>
  <c r="AQ58" i="2"/>
  <c r="AQ58" i="15" s="1"/>
  <c r="BC272" i="2"/>
  <c r="BO272" i="2" s="1"/>
  <c r="AQ57" i="2"/>
  <c r="AQ66" i="2" s="1"/>
  <c r="P35" i="11"/>
  <c r="AR115" i="2"/>
  <c r="AP92" i="2"/>
  <c r="AP151" i="2"/>
  <c r="AP151" i="15" s="1"/>
  <c r="AP147" i="2"/>
  <c r="AP147" i="15" s="1"/>
  <c r="AP90" i="2"/>
  <c r="AQ90" i="2" s="1"/>
  <c r="BE88" i="8"/>
  <c r="BE89" i="8"/>
  <c r="BE4" i="8"/>
  <c r="BF5" i="8"/>
  <c r="BX40" i="8"/>
  <c r="BW42" i="8"/>
  <c r="BZ215" i="15"/>
  <c r="BZ218" i="15"/>
  <c r="BZ217" i="15"/>
  <c r="AP58" i="15"/>
  <c r="AP67" i="2"/>
  <c r="AP115" i="15"/>
  <c r="AP61" i="15"/>
  <c r="CA218" i="15"/>
  <c r="CA217" i="15"/>
  <c r="CA215" i="15"/>
  <c r="AS276" i="2"/>
  <c r="BE276" i="2" s="1"/>
  <c r="BQ276" i="2" s="1"/>
  <c r="AS274" i="2"/>
  <c r="BE274" i="2" s="1"/>
  <c r="BQ274" i="2" s="1"/>
  <c r="AS272" i="2"/>
  <c r="BE272" i="2" s="1"/>
  <c r="BQ272" i="2" s="1"/>
  <c r="AS277" i="2"/>
  <c r="BE277" i="2" s="1"/>
  <c r="BQ277" i="2" s="1"/>
  <c r="AS275" i="2"/>
  <c r="BE275" i="2" s="1"/>
  <c r="BQ275" i="2" s="1"/>
  <c r="AS273" i="2"/>
  <c r="BE273" i="2" s="1"/>
  <c r="BQ273" i="2" s="1"/>
  <c r="AP57" i="15"/>
  <c r="AP194" i="2"/>
  <c r="AS276" i="4"/>
  <c r="BE276" i="4" s="1"/>
  <c r="BQ276" i="4" s="1"/>
  <c r="AS274" i="4"/>
  <c r="BE274" i="4" s="1"/>
  <c r="BQ274" i="4" s="1"/>
  <c r="AS272" i="4"/>
  <c r="BE272" i="4" s="1"/>
  <c r="BQ272" i="4" s="1"/>
  <c r="AS277" i="4"/>
  <c r="BE277" i="4" s="1"/>
  <c r="BQ277" i="4" s="1"/>
  <c r="AS275" i="4"/>
  <c r="BE275" i="4" s="1"/>
  <c r="BQ275" i="4" s="1"/>
  <c r="AS273" i="4"/>
  <c r="BE273" i="4" s="1"/>
  <c r="BQ273" i="4" s="1"/>
  <c r="AP145" i="15"/>
  <c r="AP148" i="2"/>
  <c r="AQ148" i="2" s="1"/>
  <c r="L176" i="15"/>
  <c r="L183" i="15" s="1"/>
  <c r="BZ48" i="15"/>
  <c r="BZ180" i="15"/>
  <c r="BZ179" i="15"/>
  <c r="BZ177" i="15"/>
  <c r="CA129" i="15"/>
  <c r="CA177" i="15"/>
  <c r="CA179" i="15"/>
  <c r="CA180" i="15"/>
  <c r="BZ44" i="15"/>
  <c r="BZ46" i="15"/>
  <c r="BZ58" i="15"/>
  <c r="AP62" i="15"/>
  <c r="D10" i="14"/>
  <c r="CA44" i="15"/>
  <c r="CA45" i="15"/>
  <c r="CA46" i="15"/>
  <c r="CA48" i="15"/>
  <c r="CA58" i="15"/>
  <c r="D11" i="14"/>
  <c r="F11" i="14"/>
  <c r="AP91" i="15"/>
  <c r="P10" i="14"/>
  <c r="R11" i="14"/>
  <c r="R10" i="14"/>
  <c r="N11" i="14"/>
  <c r="R35" i="11"/>
  <c r="T35" i="11"/>
  <c r="P11" i="14"/>
  <c r="AS54" i="8"/>
  <c r="AS60" i="8" s="1"/>
  <c r="F10" i="14"/>
  <c r="BZ205" i="15"/>
  <c r="BZ47" i="15"/>
  <c r="BZ237" i="15"/>
  <c r="BZ241" i="15"/>
  <c r="BZ234" i="15"/>
  <c r="BZ225" i="15"/>
  <c r="BZ246" i="15"/>
  <c r="BZ236" i="15"/>
  <c r="BZ161" i="15"/>
  <c r="BZ223" i="15"/>
  <c r="BZ165" i="15"/>
  <c r="BZ228" i="15"/>
  <c r="BZ238" i="15"/>
  <c r="BZ43" i="15"/>
  <c r="BZ224" i="15"/>
  <c r="BZ170" i="15"/>
  <c r="BZ171" i="15"/>
  <c r="BZ41" i="15"/>
  <c r="BZ80" i="15"/>
  <c r="BZ26" i="15"/>
  <c r="BZ72" i="15"/>
  <c r="BZ240" i="15"/>
  <c r="BZ79" i="15"/>
  <c r="BZ37" i="15"/>
  <c r="BZ244" i="15"/>
  <c r="BZ111" i="15"/>
  <c r="BZ207" i="15"/>
  <c r="BZ27" i="15"/>
  <c r="BZ168" i="15"/>
  <c r="BZ34" i="15"/>
  <c r="BZ84" i="15"/>
  <c r="BZ227" i="15"/>
  <c r="BZ239" i="15"/>
  <c r="BZ245" i="15"/>
  <c r="BZ108" i="15"/>
  <c r="BZ67" i="15"/>
  <c r="BZ164" i="15"/>
  <c r="BZ162" i="15"/>
  <c r="BZ33" i="15"/>
  <c r="BZ169" i="15"/>
  <c r="BZ243" i="15"/>
  <c r="BZ222" i="15"/>
  <c r="BZ233" i="15"/>
  <c r="BZ226" i="15"/>
  <c r="BZ232" i="15"/>
  <c r="BZ235" i="15"/>
  <c r="BZ30" i="15"/>
  <c r="BZ242" i="15"/>
  <c r="BZ229" i="15"/>
  <c r="BZ160" i="15"/>
  <c r="N10" i="14"/>
  <c r="CA171" i="15"/>
  <c r="CA84" i="15"/>
  <c r="CA234" i="15"/>
  <c r="CA246" i="15"/>
  <c r="CA205" i="15"/>
  <c r="CA162" i="15"/>
  <c r="CA67" i="15"/>
  <c r="CA72" i="15"/>
  <c r="CA223" i="15"/>
  <c r="CA237" i="15"/>
  <c r="CA240" i="15"/>
  <c r="CA207" i="15"/>
  <c r="CA43" i="15"/>
  <c r="CA33" i="15"/>
  <c r="CA47" i="15"/>
  <c r="CA80" i="15"/>
  <c r="CA239" i="15"/>
  <c r="CA164" i="15"/>
  <c r="CA108" i="15"/>
  <c r="CA27" i="15"/>
  <c r="CA245" i="15"/>
  <c r="CA111" i="15"/>
  <c r="CA165" i="15"/>
  <c r="CA79" i="15"/>
  <c r="CA238" i="15"/>
  <c r="CA233" i="15"/>
  <c r="CA161" i="15"/>
  <c r="CA229" i="15"/>
  <c r="CA224" i="15"/>
  <c r="CA225" i="15"/>
  <c r="CA170" i="15"/>
  <c r="CA242" i="15"/>
  <c r="CA41" i="15"/>
  <c r="CA232" i="15"/>
  <c r="CA226" i="15"/>
  <c r="CA160" i="15"/>
  <c r="CA168" i="15"/>
  <c r="CA236" i="15"/>
  <c r="CA222" i="15"/>
  <c r="CA241" i="15"/>
  <c r="CA228" i="15"/>
  <c r="CA227" i="15"/>
  <c r="CA34" i="15"/>
  <c r="CA37" i="15"/>
  <c r="CA30" i="15"/>
  <c r="CA235" i="15"/>
  <c r="CA243" i="15"/>
  <c r="CA244" i="15"/>
  <c r="CA169" i="15"/>
  <c r="CA26" i="15"/>
  <c r="CA125" i="15"/>
  <c r="CF125" i="15"/>
  <c r="CA122" i="15"/>
  <c r="CF122" i="15"/>
  <c r="CA145" i="15"/>
  <c r="CF145" i="15"/>
  <c r="BZ146" i="15"/>
  <c r="CF146" i="15"/>
  <c r="BZ136" i="15"/>
  <c r="CF136" i="15"/>
  <c r="CA55" i="15"/>
  <c r="CF55" i="15"/>
  <c r="CA101" i="15"/>
  <c r="CF101" i="15"/>
  <c r="CA114" i="15"/>
  <c r="CF114" i="15"/>
  <c r="CA116" i="15"/>
  <c r="CF116" i="15"/>
  <c r="CA91" i="15"/>
  <c r="CF91" i="15"/>
  <c r="BZ132" i="15"/>
  <c r="CF132" i="15"/>
  <c r="BZ56" i="15"/>
  <c r="CF56" i="15"/>
  <c r="CA152" i="15"/>
  <c r="CF152" i="15"/>
  <c r="BZ40" i="15"/>
  <c r="CF40" i="15"/>
  <c r="CA36" i="15"/>
  <c r="CF36" i="15"/>
  <c r="CA102" i="15"/>
  <c r="CF102" i="15"/>
  <c r="CA95" i="15"/>
  <c r="CF95" i="15"/>
  <c r="BZ159" i="15"/>
  <c r="CF159" i="15"/>
  <c r="BZ88" i="15"/>
  <c r="CF88" i="15"/>
  <c r="CA137" i="15"/>
  <c r="CF137" i="15"/>
  <c r="BZ142" i="15"/>
  <c r="CF142" i="15"/>
  <c r="CA94" i="15"/>
  <c r="CF94" i="15"/>
  <c r="BZ63" i="15"/>
  <c r="CF63" i="15"/>
  <c r="BZ104" i="15"/>
  <c r="CF104" i="15"/>
  <c r="CA42" i="15"/>
  <c r="CF42" i="15"/>
  <c r="BZ148" i="15"/>
  <c r="CF148" i="15"/>
  <c r="BZ119" i="15"/>
  <c r="CF119" i="15"/>
  <c r="CA151" i="15"/>
  <c r="CF151" i="15"/>
  <c r="CG163" i="15"/>
  <c r="CA128" i="15"/>
  <c r="CF128" i="15"/>
  <c r="BZ134" i="15"/>
  <c r="CF134" i="15"/>
  <c r="BZ120" i="15"/>
  <c r="CF120" i="15"/>
  <c r="BZ90" i="15"/>
  <c r="CF90" i="15"/>
  <c r="CA77" i="15"/>
  <c r="CF77" i="15"/>
  <c r="BZ110" i="15"/>
  <c r="CF110" i="15"/>
  <c r="CA150" i="15"/>
  <c r="CF150" i="15"/>
  <c r="CA65" i="15"/>
  <c r="CF65" i="15"/>
  <c r="CA82" i="15"/>
  <c r="CF82" i="15"/>
  <c r="CA127" i="15"/>
  <c r="CF127" i="15"/>
  <c r="BZ124" i="15"/>
  <c r="CF124" i="15"/>
  <c r="BZ138" i="15"/>
  <c r="CF138" i="15"/>
  <c r="BZ70" i="15"/>
  <c r="CF70" i="15"/>
  <c r="BZ103" i="15"/>
  <c r="CF103" i="15"/>
  <c r="CA163" i="15"/>
  <c r="CF163" i="15"/>
  <c r="BZ109" i="15"/>
  <c r="CF109" i="15"/>
  <c r="BZ106" i="15"/>
  <c r="CF106" i="15"/>
  <c r="BZ35" i="15"/>
  <c r="CF35" i="15"/>
  <c r="BZ156" i="15"/>
  <c r="CF156" i="15"/>
  <c r="BZ92" i="15"/>
  <c r="CF92" i="15"/>
  <c r="CA121" i="15"/>
  <c r="CF121" i="15"/>
  <c r="BZ115" i="15"/>
  <c r="CF115" i="15"/>
  <c r="W8" i="10"/>
  <c r="CA149" i="15"/>
  <c r="CF149" i="15"/>
  <c r="CA78" i="15"/>
  <c r="CF78" i="15"/>
  <c r="CA89" i="15"/>
  <c r="CF89" i="15"/>
  <c r="CA83" i="15"/>
  <c r="CF83" i="15"/>
  <c r="CA51" i="15"/>
  <c r="CF51" i="15"/>
  <c r="CA105" i="15"/>
  <c r="CF105" i="15"/>
  <c r="BZ118" i="15"/>
  <c r="CF118" i="15"/>
  <c r="CA98" i="15"/>
  <c r="CF98" i="15"/>
  <c r="CA54" i="15"/>
  <c r="CF54" i="15"/>
  <c r="CA143" i="15"/>
  <c r="CF143" i="15"/>
  <c r="AO158" i="4"/>
  <c r="AP119" i="15"/>
  <c r="AR91" i="4"/>
  <c r="AR63" i="4"/>
  <c r="AQ148" i="4"/>
  <c r="AR148" i="4" s="1"/>
  <c r="AP149" i="15"/>
  <c r="AR67" i="4"/>
  <c r="AQ154" i="4"/>
  <c r="AR154" i="4" s="1"/>
  <c r="AR90" i="4"/>
  <c r="AQ62" i="4"/>
  <c r="AQ65" i="4"/>
  <c r="AQ147" i="4"/>
  <c r="AQ66" i="4"/>
  <c r="AQ92" i="4"/>
  <c r="AR92" i="4" s="1"/>
  <c r="AS256" i="4"/>
  <c r="AS252" i="4"/>
  <c r="AS253" i="4"/>
  <c r="AS145" i="4"/>
  <c r="AS144" i="4"/>
  <c r="AS57" i="4"/>
  <c r="AS87" i="4"/>
  <c r="AS58" i="4"/>
  <c r="AP157" i="4"/>
  <c r="AP158" i="4" s="1"/>
  <c r="AQ152" i="4"/>
  <c r="AR152" i="4" s="1"/>
  <c r="AP74" i="4"/>
  <c r="AQ149" i="4"/>
  <c r="AQ151" i="4"/>
  <c r="AQ64" i="4"/>
  <c r="AR61" i="4"/>
  <c r="AP96" i="4"/>
  <c r="AQ119" i="4"/>
  <c r="AQ119" i="2"/>
  <c r="AQ149" i="2"/>
  <c r="BZ114" i="15"/>
  <c r="BZ128" i="15"/>
  <c r="BZ77" i="15"/>
  <c r="CA138" i="15"/>
  <c r="BZ89" i="15"/>
  <c r="CA39" i="15"/>
  <c r="BZ60" i="15"/>
  <c r="CA147" i="15"/>
  <c r="AS256" i="2"/>
  <c r="AS253" i="2"/>
  <c r="AS252" i="2"/>
  <c r="AS145" i="2"/>
  <c r="AS115" i="2"/>
  <c r="AS144" i="2"/>
  <c r="AS87" i="2"/>
  <c r="AS57" i="2"/>
  <c r="CA103" i="15"/>
  <c r="CA110" i="15"/>
  <c r="BZ152" i="15"/>
  <c r="CA68" i="15"/>
  <c r="BZ97" i="15"/>
  <c r="BZ73" i="15"/>
  <c r="BZ95" i="15"/>
  <c r="CA132" i="15"/>
  <c r="CA146" i="15"/>
  <c r="BZ51" i="15"/>
  <c r="CA148" i="15"/>
  <c r="AN158" i="15"/>
  <c r="BZ127" i="15"/>
  <c r="BZ61" i="15"/>
  <c r="BZ93" i="15"/>
  <c r="CA119" i="15"/>
  <c r="CA24" i="15"/>
  <c r="BZ163" i="15"/>
  <c r="BZ151" i="15"/>
  <c r="BZ66" i="15"/>
  <c r="BZ153" i="15"/>
  <c r="AQ120" i="2"/>
  <c r="AP120" i="15"/>
  <c r="BZ98" i="15"/>
  <c r="BZ91" i="15"/>
  <c r="BZ81" i="15"/>
  <c r="BZ75" i="15"/>
  <c r="BZ36" i="15"/>
  <c r="BZ144" i="15"/>
  <c r="CA90" i="15"/>
  <c r="CA70" i="15"/>
  <c r="AP65" i="15"/>
  <c r="AP153" i="15"/>
  <c r="AP89" i="15"/>
  <c r="AO195" i="15"/>
  <c r="AP117" i="15"/>
  <c r="AP123" i="2"/>
  <c r="AQ118" i="2"/>
  <c r="AR118" i="2" s="1"/>
  <c r="AP92" i="15"/>
  <c r="AP64" i="15"/>
  <c r="AQ153" i="2"/>
  <c r="AO123" i="15"/>
  <c r="AP66" i="15"/>
  <c r="BZ55" i="15"/>
  <c r="BZ101" i="15"/>
  <c r="BZ82" i="15"/>
  <c r="CA118" i="15"/>
  <c r="CA59" i="15"/>
  <c r="CA109" i="15"/>
  <c r="BZ126" i="15"/>
  <c r="CA159" i="15"/>
  <c r="BZ145" i="15"/>
  <c r="CA31" i="15"/>
  <c r="BZ69" i="15"/>
  <c r="CA56" i="15"/>
  <c r="BZ94" i="15"/>
  <c r="BZ64" i="15"/>
  <c r="CA87" i="15"/>
  <c r="BZ54" i="15"/>
  <c r="CA156" i="15"/>
  <c r="CA88" i="15"/>
  <c r="CA81" i="15"/>
  <c r="BZ68" i="15"/>
  <c r="CA100" i="15"/>
  <c r="BZ24" i="15"/>
  <c r="CA97" i="15"/>
  <c r="BZ62" i="15"/>
  <c r="BZ38" i="15"/>
  <c r="BZ135" i="15"/>
  <c r="CA117" i="15"/>
  <c r="CA40" i="15"/>
  <c r="CA66" i="15"/>
  <c r="BZ39" i="15"/>
  <c r="BZ71" i="15"/>
  <c r="CA153" i="15"/>
  <c r="CA144" i="15"/>
  <c r="CA35" i="15"/>
  <c r="BZ131" i="15"/>
  <c r="CA134" i="15"/>
  <c r="BZ105" i="15"/>
  <c r="BZ147" i="15"/>
  <c r="BZ150" i="15"/>
  <c r="CA120" i="15"/>
  <c r="BZ116" i="15"/>
  <c r="BZ102" i="15"/>
  <c r="BZ100" i="15"/>
  <c r="BZ143" i="15"/>
  <c r="CA71" i="15"/>
  <c r="BZ59" i="15"/>
  <c r="CA126" i="15"/>
  <c r="BZ31" i="15"/>
  <c r="CA69" i="15"/>
  <c r="CA64" i="15"/>
  <c r="BZ87" i="15"/>
  <c r="CA86" i="15"/>
  <c r="BZ125" i="15"/>
  <c r="CA142" i="15"/>
  <c r="BZ83" i="15"/>
  <c r="BZ122" i="15"/>
  <c r="CA63" i="15"/>
  <c r="CA107" i="15"/>
  <c r="CA92" i="15"/>
  <c r="CA124" i="15"/>
  <c r="BZ121" i="15"/>
  <c r="CA104" i="15"/>
  <c r="BZ42" i="15"/>
  <c r="CA38" i="15"/>
  <c r="CA135" i="15"/>
  <c r="BZ117" i="15"/>
  <c r="CA115" i="15"/>
  <c r="BZ78" i="15"/>
  <c r="BZ76" i="15"/>
  <c r="BZ154" i="15"/>
  <c r="CA136" i="15"/>
  <c r="BZ137" i="15"/>
  <c r="CA106" i="15"/>
  <c r="CA131" i="15"/>
  <c r="BZ65" i="15"/>
  <c r="CA112" i="15"/>
  <c r="BZ149" i="15"/>
  <c r="CA61" i="15"/>
  <c r="CA93" i="15"/>
  <c r="BZ86" i="15"/>
  <c r="BZ107" i="15"/>
  <c r="CA73" i="15"/>
  <c r="CA75" i="15"/>
  <c r="CA76" i="15"/>
  <c r="CA154" i="15"/>
  <c r="BZ112" i="15"/>
  <c r="X166" i="4"/>
  <c r="AJ159" i="15"/>
  <c r="CG159" i="15" s="1"/>
  <c r="AT4" i="4"/>
  <c r="AS2" i="4"/>
  <c r="AT4" i="2"/>
  <c r="AS2" i="2"/>
  <c r="L11" i="14"/>
  <c r="L10" i="14"/>
  <c r="X52" i="2"/>
  <c r="CF52" i="2" s="1"/>
  <c r="X158" i="2"/>
  <c r="CF158" i="2" s="1"/>
  <c r="X141" i="2"/>
  <c r="AJ32" i="2"/>
  <c r="AJ97" i="15"/>
  <c r="CG97" i="15" s="1"/>
  <c r="AJ99" i="15"/>
  <c r="CG99" i="15" s="1"/>
  <c r="X23" i="15"/>
  <c r="CF23" i="15" s="1"/>
  <c r="X52" i="4"/>
  <c r="CF52" i="4" s="1"/>
  <c r="AJ55" i="15"/>
  <c r="CG55" i="15" s="1"/>
  <c r="AJ74" i="15"/>
  <c r="AJ75" i="15"/>
  <c r="CG75" i="15" s="1"/>
  <c r="AJ87" i="15"/>
  <c r="AJ96" i="15"/>
  <c r="AJ144" i="15"/>
  <c r="AJ157" i="2"/>
  <c r="AJ158" i="2" s="1"/>
  <c r="AJ115" i="15"/>
  <c r="AJ123" i="15"/>
  <c r="X210" i="4"/>
  <c r="K7" i="10"/>
  <c r="BZ188" i="15"/>
  <c r="CA188" i="15"/>
  <c r="CA196" i="15"/>
  <c r="BZ196" i="15"/>
  <c r="BZ189" i="15"/>
  <c r="CA189" i="15"/>
  <c r="AJ197" i="4"/>
  <c r="X203" i="15"/>
  <c r="X199" i="15"/>
  <c r="CF199" i="15" s="1"/>
  <c r="J29" i="14" s="1"/>
  <c r="V29" i="14" s="1"/>
  <c r="X113" i="15"/>
  <c r="CF113" i="15" s="1"/>
  <c r="AJ69" i="15"/>
  <c r="AJ199" i="2"/>
  <c r="CG199" i="2" s="1"/>
  <c r="X187" i="15"/>
  <c r="AJ56" i="15"/>
  <c r="CG56" i="15" s="1"/>
  <c r="X32" i="15"/>
  <c r="CF32" i="15" s="1"/>
  <c r="AJ203" i="2"/>
  <c r="CG203" i="2" s="1"/>
  <c r="AJ93" i="15"/>
  <c r="X140" i="15"/>
  <c r="AJ38" i="15"/>
  <c r="AJ190" i="2"/>
  <c r="CG190" i="2" s="1"/>
  <c r="AJ98" i="15"/>
  <c r="CG98" i="15" s="1"/>
  <c r="AJ143" i="15"/>
  <c r="CG143" i="15" s="1"/>
  <c r="AJ66" i="15"/>
  <c r="AJ201" i="15" s="1"/>
  <c r="CG201" i="15" s="1"/>
  <c r="L31" i="14" s="1"/>
  <c r="X31" i="14" s="1"/>
  <c r="AJ201" i="2"/>
  <c r="CG201" i="2" s="1"/>
  <c r="AJ135" i="15"/>
  <c r="AJ198" i="2"/>
  <c r="CG198" i="2" s="1"/>
  <c r="AJ39" i="15"/>
  <c r="AJ187" i="2"/>
  <c r="CG187" i="2" s="1"/>
  <c r="AJ59" i="15"/>
  <c r="CG59" i="15" s="1"/>
  <c r="AJ195" i="2"/>
  <c r="X210" i="2"/>
  <c r="X197" i="15"/>
  <c r="X208" i="15"/>
  <c r="CF208" i="15" s="1"/>
  <c r="J37" i="14" s="1"/>
  <c r="V37" i="14" s="1"/>
  <c r="AJ114" i="15"/>
  <c r="CG114" i="15" s="1"/>
  <c r="X204" i="15"/>
  <c r="X85" i="15"/>
  <c r="CF85" i="15" s="1"/>
  <c r="X74" i="15"/>
  <c r="AJ124" i="15"/>
  <c r="CG124" i="15" s="1"/>
  <c r="X206" i="15"/>
  <c r="AJ202" i="2"/>
  <c r="CG202" i="2" s="1"/>
  <c r="AJ73" i="15"/>
  <c r="CG73" i="15" s="1"/>
  <c r="L210" i="15"/>
  <c r="X194" i="15"/>
  <c r="CF194" i="15" s="1"/>
  <c r="J24" i="14" s="1"/>
  <c r="V24" i="14" s="1"/>
  <c r="X99" i="15"/>
  <c r="CF99" i="15" s="1"/>
  <c r="X157" i="15"/>
  <c r="AJ76" i="15"/>
  <c r="AJ85" i="15"/>
  <c r="CG85" i="15" s="1"/>
  <c r="AJ204" i="2"/>
  <c r="CG204" i="2" s="1"/>
  <c r="L211" i="2"/>
  <c r="AJ71" i="15"/>
  <c r="AJ200" i="2"/>
  <c r="CG200" i="2" s="1"/>
  <c r="X200" i="15"/>
  <c r="X198" i="15"/>
  <c r="AJ68" i="15"/>
  <c r="CG68" i="15" s="1"/>
  <c r="AJ197" i="2"/>
  <c r="AJ100" i="15"/>
  <c r="CG100" i="15" s="1"/>
  <c r="AJ208" i="2"/>
  <c r="CG208" i="2" s="1"/>
  <c r="AJ113" i="15"/>
  <c r="CG113" i="15" s="1"/>
  <c r="X123" i="15"/>
  <c r="AJ24" i="15"/>
  <c r="CG24" i="15" s="1"/>
  <c r="X202" i="15"/>
  <c r="CF202" i="15" s="1"/>
  <c r="J32" i="14" s="1"/>
  <c r="V32" i="14" s="1"/>
  <c r="X96" i="15"/>
  <c r="X190" i="15"/>
  <c r="X195" i="15"/>
  <c r="CF195" i="15" s="1"/>
  <c r="J25" i="14" s="1"/>
  <c r="V25" i="14" s="1"/>
  <c r="AJ64" i="15"/>
  <c r="AJ194" i="2"/>
  <c r="X201" i="15"/>
  <c r="L193" i="4"/>
  <c r="CE193" i="4" s="1"/>
  <c r="L53" i="15"/>
  <c r="CE53" i="15" s="1"/>
  <c r="X191" i="4"/>
  <c r="CF191" i="4" s="1"/>
  <c r="AJ191" i="2"/>
  <c r="X193" i="2"/>
  <c r="CF193" i="2" s="1"/>
  <c r="L193" i="15"/>
  <c r="CE193" i="15" s="1"/>
  <c r="AQ64" i="2" l="1"/>
  <c r="AQ90" i="15"/>
  <c r="AP123" i="4"/>
  <c r="AP195" i="4"/>
  <c r="AP157" i="2"/>
  <c r="AO157" i="15"/>
  <c r="AP118" i="15"/>
  <c r="BD272" i="4"/>
  <c r="BP272" i="4" s="1"/>
  <c r="AR57" i="4"/>
  <c r="AR194" i="4" s="1"/>
  <c r="BD275" i="4"/>
  <c r="BP275" i="4" s="1"/>
  <c r="AR115" i="4"/>
  <c r="AR115" i="15"/>
  <c r="AR153" i="4"/>
  <c r="AR118" i="4"/>
  <c r="BD276" i="4"/>
  <c r="BP276" i="4" s="1"/>
  <c r="AR144" i="4"/>
  <c r="AR144" i="15" s="1"/>
  <c r="AP63" i="15"/>
  <c r="AQ60" i="2"/>
  <c r="BD272" i="2"/>
  <c r="BP272" i="2" s="1"/>
  <c r="AR57" i="2"/>
  <c r="AQ65" i="2"/>
  <c r="AS58" i="2"/>
  <c r="AR119" i="2"/>
  <c r="AQ61" i="2"/>
  <c r="AQ61" i="15" s="1"/>
  <c r="AM35" i="8"/>
  <c r="AK139" i="2"/>
  <c r="AL36" i="8" s="1"/>
  <c r="AR117" i="2"/>
  <c r="AQ89" i="2"/>
  <c r="AQ92" i="2"/>
  <c r="AP96" i="2"/>
  <c r="AP96" i="15" s="1"/>
  <c r="AP60" i="15"/>
  <c r="AQ154" i="2"/>
  <c r="BD273" i="2"/>
  <c r="BP273" i="2" s="1"/>
  <c r="AR58" i="2"/>
  <c r="AR58" i="15" s="1"/>
  <c r="BK37" i="10"/>
  <c r="BK36" i="10"/>
  <c r="BK4" i="10"/>
  <c r="BL5" i="10"/>
  <c r="AP74" i="2"/>
  <c r="AP74" i="15" s="1"/>
  <c r="AP195" i="2"/>
  <c r="AP150" i="15"/>
  <c r="AP152" i="15"/>
  <c r="AQ148" i="15"/>
  <c r="AQ66" i="15"/>
  <c r="AQ147" i="2"/>
  <c r="AR147" i="2" s="1"/>
  <c r="AQ91" i="2"/>
  <c r="AQ91" i="15" s="1"/>
  <c r="AQ62" i="2"/>
  <c r="AP90" i="15"/>
  <c r="AP67" i="15"/>
  <c r="AQ194" i="4"/>
  <c r="BD274" i="2"/>
  <c r="BP274" i="2" s="1"/>
  <c r="AR87" i="2"/>
  <c r="BD277" i="2"/>
  <c r="BP277" i="2" s="1"/>
  <c r="AR145" i="2"/>
  <c r="AS115" i="4"/>
  <c r="AQ67" i="2"/>
  <c r="AQ151" i="2"/>
  <c r="AR151" i="2" s="1"/>
  <c r="AQ57" i="15"/>
  <c r="AQ194" i="2"/>
  <c r="AQ63" i="2"/>
  <c r="BF89" i="8"/>
  <c r="BF88" i="8"/>
  <c r="BG5" i="8"/>
  <c r="BF4" i="8"/>
  <c r="BY40" i="8"/>
  <c r="BY42" i="8" s="1"/>
  <c r="BX42" i="8"/>
  <c r="L214" i="2"/>
  <c r="L219" i="2" s="1"/>
  <c r="L220" i="2" s="1"/>
  <c r="AT277" i="4"/>
  <c r="BF277" i="4" s="1"/>
  <c r="BR277" i="4" s="1"/>
  <c r="AT275" i="4"/>
  <c r="BF275" i="4" s="1"/>
  <c r="BR275" i="4" s="1"/>
  <c r="AT273" i="4"/>
  <c r="BF273" i="4" s="1"/>
  <c r="BR273" i="4" s="1"/>
  <c r="AT272" i="4"/>
  <c r="BF272" i="4" s="1"/>
  <c r="BR272" i="4" s="1"/>
  <c r="AT276" i="4"/>
  <c r="BF276" i="4" s="1"/>
  <c r="BR276" i="4" s="1"/>
  <c r="AT274" i="4"/>
  <c r="BF274" i="4" s="1"/>
  <c r="BR274" i="4" s="1"/>
  <c r="AT277" i="2"/>
  <c r="BF277" i="2" s="1"/>
  <c r="BR277" i="2" s="1"/>
  <c r="AT275" i="2"/>
  <c r="BF275" i="2" s="1"/>
  <c r="BR275" i="2" s="1"/>
  <c r="AT273" i="2"/>
  <c r="BF273" i="2" s="1"/>
  <c r="BR273" i="2" s="1"/>
  <c r="AT276" i="2"/>
  <c r="BF276" i="2" s="1"/>
  <c r="BR276" i="2" s="1"/>
  <c r="AT274" i="2"/>
  <c r="BF274" i="2" s="1"/>
  <c r="BR274" i="2" s="1"/>
  <c r="AT272" i="2"/>
  <c r="BF272" i="2" s="1"/>
  <c r="BR272" i="2" s="1"/>
  <c r="AP148" i="15"/>
  <c r="BZ248" i="15"/>
  <c r="AQ60" i="15"/>
  <c r="AT54" i="8"/>
  <c r="AT60" i="8" s="1"/>
  <c r="BZ231" i="15"/>
  <c r="CA248" i="15"/>
  <c r="CA231" i="15"/>
  <c r="AS148" i="4"/>
  <c r="BZ203" i="15"/>
  <c r="CF203" i="15"/>
  <c r="J33" i="14" s="1"/>
  <c r="V33" i="14" s="1"/>
  <c r="AJ200" i="15"/>
  <c r="CG200" i="15" s="1"/>
  <c r="L30" i="14" s="1"/>
  <c r="X30" i="14" s="1"/>
  <c r="CG71" i="15"/>
  <c r="CA204" i="15"/>
  <c r="CF204" i="15"/>
  <c r="J34" i="14" s="1"/>
  <c r="V34" i="14" s="1"/>
  <c r="AJ187" i="15"/>
  <c r="CG187" i="15" s="1"/>
  <c r="L18" i="14" s="1"/>
  <c r="X18" i="14" s="1"/>
  <c r="CG39" i="15"/>
  <c r="AJ190" i="15"/>
  <c r="CG190" i="15" s="1"/>
  <c r="L16" i="14" s="1"/>
  <c r="X16" i="14" s="1"/>
  <c r="CG38" i="15"/>
  <c r="AJ199" i="15"/>
  <c r="CG199" i="15" s="1"/>
  <c r="L29" i="14" s="1"/>
  <c r="X29" i="14" s="1"/>
  <c r="CG69" i="15"/>
  <c r="CG197" i="4"/>
  <c r="CA201" i="15"/>
  <c r="CF201" i="15"/>
  <c r="J31" i="14" s="1"/>
  <c r="V31" i="14" s="1"/>
  <c r="CA190" i="15"/>
  <c r="CF190" i="15"/>
  <c r="J16" i="14" s="1"/>
  <c r="V16" i="14" s="1"/>
  <c r="BZ198" i="15"/>
  <c r="CF198" i="15"/>
  <c r="J28" i="14" s="1"/>
  <c r="V28" i="14" s="1"/>
  <c r="AJ204" i="15"/>
  <c r="CG204" i="15" s="1"/>
  <c r="L34" i="14" s="1"/>
  <c r="X34" i="14" s="1"/>
  <c r="CG76" i="15"/>
  <c r="BZ200" i="15"/>
  <c r="CF200" i="15"/>
  <c r="J30" i="14" s="1"/>
  <c r="V30" i="14" s="1"/>
  <c r="AJ198" i="15"/>
  <c r="CG198" i="15" s="1"/>
  <c r="L28" i="14" s="1"/>
  <c r="X28" i="14" s="1"/>
  <c r="CG135" i="15"/>
  <c r="AJ203" i="15"/>
  <c r="CG203" i="15" s="1"/>
  <c r="L33" i="14" s="1"/>
  <c r="X33" i="14" s="1"/>
  <c r="CG93" i="15"/>
  <c r="BZ187" i="15"/>
  <c r="CF187" i="15"/>
  <c r="J18" i="14" s="1"/>
  <c r="V18" i="14" s="1"/>
  <c r="AJ52" i="2"/>
  <c r="CG32" i="2"/>
  <c r="AQ119" i="15"/>
  <c r="AS67" i="4"/>
  <c r="AQ154" i="15"/>
  <c r="AS90" i="4"/>
  <c r="AR154" i="2"/>
  <c r="AS154" i="2" s="1"/>
  <c r="AS145" i="15"/>
  <c r="AS58" i="15"/>
  <c r="AS152" i="4"/>
  <c r="AQ149" i="15"/>
  <c r="AS153" i="4"/>
  <c r="AQ123" i="4"/>
  <c r="AS154" i="4"/>
  <c r="AR149" i="2"/>
  <c r="AS149" i="2" s="1"/>
  <c r="AS91" i="4"/>
  <c r="AR64" i="4"/>
  <c r="AS64" i="4" s="1"/>
  <c r="AQ195" i="4"/>
  <c r="AQ152" i="15"/>
  <c r="AQ96" i="4"/>
  <c r="AS92" i="4"/>
  <c r="AR147" i="4"/>
  <c r="AR147" i="15" s="1"/>
  <c r="AQ157" i="4"/>
  <c r="AQ158" i="4" s="1"/>
  <c r="AT256" i="4"/>
  <c r="AT253" i="4"/>
  <c r="AT252" i="4"/>
  <c r="AT144" i="4"/>
  <c r="AT87" i="4"/>
  <c r="AT145" i="4"/>
  <c r="AT115" i="4"/>
  <c r="AT58" i="4"/>
  <c r="AR151" i="4"/>
  <c r="AR151" i="15" s="1"/>
  <c r="AS89" i="4"/>
  <c r="AR66" i="4"/>
  <c r="AS63" i="4"/>
  <c r="X53" i="4"/>
  <c r="CF53" i="4" s="1"/>
  <c r="AR119" i="4"/>
  <c r="AR119" i="15" s="1"/>
  <c r="AS61" i="4"/>
  <c r="AR96" i="4"/>
  <c r="AR149" i="4"/>
  <c r="AR65" i="4"/>
  <c r="AS65" i="4" s="1"/>
  <c r="AS150" i="4"/>
  <c r="AR62" i="4"/>
  <c r="AQ74" i="4"/>
  <c r="AR64" i="2"/>
  <c r="AS64" i="2" s="1"/>
  <c r="AR118" i="15"/>
  <c r="AS118" i="2"/>
  <c r="AS119" i="2"/>
  <c r="AQ150" i="15"/>
  <c r="AQ89" i="15"/>
  <c r="AR89" i="2"/>
  <c r="AT253" i="2"/>
  <c r="AT252" i="2"/>
  <c r="AT256" i="2"/>
  <c r="AT145" i="2"/>
  <c r="AT144" i="2"/>
  <c r="AT58" i="2"/>
  <c r="AT87" i="2"/>
  <c r="AS117" i="2"/>
  <c r="AP158" i="2"/>
  <c r="AP157" i="15"/>
  <c r="AQ64" i="15"/>
  <c r="AQ118" i="15"/>
  <c r="AR150" i="2"/>
  <c r="AS150" i="2" s="1"/>
  <c r="AQ123" i="2"/>
  <c r="AQ120" i="15"/>
  <c r="AS144" i="15"/>
  <c r="AQ153" i="15"/>
  <c r="AR153" i="2"/>
  <c r="AO158" i="15"/>
  <c r="AP123" i="15"/>
  <c r="AR120" i="2"/>
  <c r="AR123" i="2" s="1"/>
  <c r="AS57" i="15"/>
  <c r="AS194" i="2"/>
  <c r="AS147" i="2"/>
  <c r="AS151" i="2"/>
  <c r="AQ92" i="15"/>
  <c r="AQ65" i="15"/>
  <c r="AR65" i="2"/>
  <c r="AS65" i="2" s="1"/>
  <c r="AS87" i="15"/>
  <c r="BZ113" i="15"/>
  <c r="CA113" i="15"/>
  <c r="CA123" i="15"/>
  <c r="BZ123" i="15"/>
  <c r="CA32" i="15"/>
  <c r="BZ32" i="15"/>
  <c r="BZ99" i="15"/>
  <c r="CA99" i="15"/>
  <c r="CA85" i="15"/>
  <c r="BZ85" i="15"/>
  <c r="BZ96" i="15"/>
  <c r="CA96" i="15"/>
  <c r="BZ157" i="15"/>
  <c r="CA157" i="15"/>
  <c r="CA74" i="15"/>
  <c r="BZ74" i="15"/>
  <c r="X173" i="15"/>
  <c r="BZ23" i="15"/>
  <c r="CA23" i="15"/>
  <c r="CA187" i="15"/>
  <c r="CA194" i="15"/>
  <c r="CA200" i="15"/>
  <c r="BZ195" i="15"/>
  <c r="BZ204" i="15"/>
  <c r="BZ202" i="15"/>
  <c r="BZ194" i="15"/>
  <c r="CA203" i="15"/>
  <c r="CA198" i="15"/>
  <c r="BZ201" i="15"/>
  <c r="BZ190" i="15"/>
  <c r="CA208" i="15"/>
  <c r="BZ199" i="15"/>
  <c r="BZ208" i="15"/>
  <c r="CA199" i="15"/>
  <c r="CA195" i="15"/>
  <c r="CA202" i="15"/>
  <c r="AJ32" i="15"/>
  <c r="CG32" i="15" s="1"/>
  <c r="AJ208" i="15"/>
  <c r="CG208" i="15" s="1"/>
  <c r="L37" i="14" s="1"/>
  <c r="X37" i="14" s="1"/>
  <c r="X166" i="2"/>
  <c r="X191" i="15"/>
  <c r="CF191" i="15" s="1"/>
  <c r="J19" i="14" s="1"/>
  <c r="V19" i="14" s="1"/>
  <c r="AT2" i="2"/>
  <c r="AU4" i="2"/>
  <c r="AU4" i="4"/>
  <c r="AT2" i="4"/>
  <c r="L212" i="2"/>
  <c r="L211" i="4"/>
  <c r="X53" i="2"/>
  <c r="CF53" i="2" s="1"/>
  <c r="AJ197" i="15"/>
  <c r="AJ23" i="15"/>
  <c r="CG23" i="15" s="1"/>
  <c r="AJ52" i="4"/>
  <c r="AJ194" i="15"/>
  <c r="AJ195" i="15"/>
  <c r="L211" i="15"/>
  <c r="L214" i="15" s="1"/>
  <c r="L219" i="15" s="1"/>
  <c r="L220" i="15" s="1"/>
  <c r="X211" i="2"/>
  <c r="X214" i="2" s="1"/>
  <c r="X219" i="2" s="1"/>
  <c r="X220" i="2" s="1"/>
  <c r="AJ193" i="2"/>
  <c r="AJ202" i="15"/>
  <c r="CG202" i="15" s="1"/>
  <c r="L32" i="14" s="1"/>
  <c r="X32" i="14" s="1"/>
  <c r="X158" i="15"/>
  <c r="X210" i="15"/>
  <c r="AJ158" i="15"/>
  <c r="AJ157" i="15"/>
  <c r="X141" i="15"/>
  <c r="X52" i="15"/>
  <c r="CF52" i="15" s="1"/>
  <c r="N73" i="8"/>
  <c r="N74" i="8" s="1"/>
  <c r="N79" i="8" s="1"/>
  <c r="X193" i="4"/>
  <c r="AJ191" i="4"/>
  <c r="AR92" i="2" l="1"/>
  <c r="AR57" i="15"/>
  <c r="AR62" i="2"/>
  <c r="AQ147" i="15"/>
  <c r="AQ157" i="2"/>
  <c r="AQ96" i="2"/>
  <c r="AR61" i="2"/>
  <c r="AR61" i="15" s="1"/>
  <c r="AP195" i="15"/>
  <c r="AR120" i="4"/>
  <c r="AR117" i="4"/>
  <c r="AR117" i="15" s="1"/>
  <c r="AR60" i="4"/>
  <c r="AS60" i="4" s="1"/>
  <c r="AT67" i="4"/>
  <c r="AR60" i="2"/>
  <c r="AR66" i="2"/>
  <c r="AS66" i="2" s="1"/>
  <c r="AL139" i="2"/>
  <c r="AM36" i="8" s="1"/>
  <c r="AN35" i="8"/>
  <c r="BM5" i="10"/>
  <c r="BL36" i="10"/>
  <c r="BL37" i="10"/>
  <c r="BL4" i="10"/>
  <c r="AQ74" i="2"/>
  <c r="AQ195" i="2"/>
  <c r="AQ62" i="15"/>
  <c r="AS62" i="2"/>
  <c r="AR154" i="15"/>
  <c r="AS154" i="15"/>
  <c r="AS92" i="2"/>
  <c r="AS92" i="15" s="1"/>
  <c r="AR92" i="15"/>
  <c r="AS115" i="15"/>
  <c r="AS194" i="15" s="1"/>
  <c r="AT57" i="4"/>
  <c r="AS194" i="4"/>
  <c r="AS120" i="4"/>
  <c r="AS118" i="4"/>
  <c r="AR194" i="2"/>
  <c r="AR91" i="2"/>
  <c r="AR90" i="2"/>
  <c r="AR87" i="15"/>
  <c r="AR145" i="15"/>
  <c r="AR148" i="2"/>
  <c r="AR152" i="2"/>
  <c r="AQ67" i="15"/>
  <c r="AR67" i="2"/>
  <c r="AQ151" i="15"/>
  <c r="AR63" i="2"/>
  <c r="AQ63" i="15"/>
  <c r="BG89" i="8"/>
  <c r="BG88" i="8"/>
  <c r="BH5" i="8"/>
  <c r="BG4" i="8"/>
  <c r="CE211" i="4"/>
  <c r="L214" i="4"/>
  <c r="L219" i="4" s="1"/>
  <c r="L220" i="4" s="1"/>
  <c r="AU277" i="2"/>
  <c r="BG277" i="2" s="1"/>
  <c r="BS277" i="2" s="1"/>
  <c r="AU275" i="2"/>
  <c r="BG275" i="2" s="1"/>
  <c r="BS275" i="2" s="1"/>
  <c r="AU273" i="2"/>
  <c r="BG273" i="2" s="1"/>
  <c r="BS273" i="2" s="1"/>
  <c r="AU276" i="2"/>
  <c r="BG276" i="2" s="1"/>
  <c r="BS276" i="2" s="1"/>
  <c r="AU274" i="2"/>
  <c r="BG274" i="2" s="1"/>
  <c r="BS274" i="2" s="1"/>
  <c r="AU272" i="2"/>
  <c r="BG272" i="2" s="1"/>
  <c r="BS272" i="2" s="1"/>
  <c r="AT57" i="2"/>
  <c r="AT57" i="15" s="1"/>
  <c r="AT115" i="2"/>
  <c r="AT118" i="2" s="1"/>
  <c r="AU277" i="4"/>
  <c r="BG277" i="4" s="1"/>
  <c r="BS277" i="4" s="1"/>
  <c r="AU275" i="4"/>
  <c r="BG275" i="4" s="1"/>
  <c r="BS275" i="4" s="1"/>
  <c r="AU273" i="4"/>
  <c r="BG273" i="4" s="1"/>
  <c r="BS273" i="4" s="1"/>
  <c r="AU276" i="4"/>
  <c r="BG276" i="4" s="1"/>
  <c r="BS276" i="4" s="1"/>
  <c r="AU274" i="4"/>
  <c r="BG274" i="4" s="1"/>
  <c r="BS274" i="4" s="1"/>
  <c r="AU272" i="4"/>
  <c r="BG272" i="4" s="1"/>
  <c r="BS272" i="4" s="1"/>
  <c r="X167" i="4"/>
  <c r="W7" i="10"/>
  <c r="W12" i="10" s="1"/>
  <c r="X176" i="15"/>
  <c r="X183" i="15" s="1"/>
  <c r="BZ249" i="15"/>
  <c r="AU54" i="8"/>
  <c r="AU60" i="8" s="1"/>
  <c r="CA249" i="15"/>
  <c r="AJ193" i="4"/>
  <c r="CG191" i="4"/>
  <c r="X211" i="4"/>
  <c r="X214" i="4" s="1"/>
  <c r="X219" i="4" s="1"/>
  <c r="X220" i="4" s="1"/>
  <c r="CF193" i="4"/>
  <c r="X212" i="2"/>
  <c r="AJ53" i="4"/>
  <c r="CG53" i="4" s="1"/>
  <c r="CG52" i="4"/>
  <c r="AT152" i="4"/>
  <c r="AJ53" i="2"/>
  <c r="AQ96" i="15"/>
  <c r="AT89" i="4"/>
  <c r="AT145" i="15"/>
  <c r="AT151" i="2"/>
  <c r="AR64" i="15"/>
  <c r="AS96" i="4"/>
  <c r="AS65" i="15"/>
  <c r="AT58" i="15"/>
  <c r="AT154" i="4"/>
  <c r="AT148" i="4"/>
  <c r="AQ74" i="15"/>
  <c r="AS149" i="4"/>
  <c r="AR149" i="15"/>
  <c r="AS119" i="4"/>
  <c r="AS119" i="15" s="1"/>
  <c r="AR123" i="4"/>
  <c r="AR123" i="15" s="1"/>
  <c r="AT120" i="4"/>
  <c r="AT150" i="4"/>
  <c r="AR62" i="15"/>
  <c r="AS62" i="4"/>
  <c r="AR74" i="4"/>
  <c r="AT65" i="4"/>
  <c r="AT61" i="4"/>
  <c r="AT63" i="4"/>
  <c r="AT90" i="4"/>
  <c r="AU253" i="4"/>
  <c r="AU252" i="4"/>
  <c r="AU256" i="4"/>
  <c r="AT64" i="4"/>
  <c r="AS64" i="15"/>
  <c r="AR195" i="4"/>
  <c r="AS66" i="4"/>
  <c r="AT118" i="4"/>
  <c r="AT194" i="4"/>
  <c r="AT153" i="4"/>
  <c r="AT92" i="4"/>
  <c r="AS147" i="4"/>
  <c r="AT147" i="4" s="1"/>
  <c r="AR157" i="4"/>
  <c r="AR158" i="4" s="1"/>
  <c r="AS151" i="4"/>
  <c r="AS151" i="15" s="1"/>
  <c r="AT91" i="4"/>
  <c r="AT119" i="2"/>
  <c r="AS150" i="15"/>
  <c r="AT150" i="2"/>
  <c r="AU253" i="2"/>
  <c r="AU252" i="2"/>
  <c r="AU256" i="2"/>
  <c r="AU115" i="2"/>
  <c r="AU144" i="2"/>
  <c r="AR65" i="15"/>
  <c r="AQ123" i="15"/>
  <c r="AT147" i="2"/>
  <c r="AR120" i="15"/>
  <c r="AS120" i="2"/>
  <c r="AR150" i="15"/>
  <c r="AT144" i="15"/>
  <c r="AS118" i="15"/>
  <c r="AR153" i="15"/>
  <c r="AP158" i="15"/>
  <c r="AT87" i="15"/>
  <c r="AS89" i="2"/>
  <c r="AT154" i="2"/>
  <c r="AT65" i="2"/>
  <c r="AS153" i="2"/>
  <c r="AT149" i="2"/>
  <c r="AT115" i="15"/>
  <c r="AR89" i="15"/>
  <c r="AQ158" i="2"/>
  <c r="AQ157" i="15"/>
  <c r="CA52" i="15"/>
  <c r="BZ52" i="15"/>
  <c r="BZ158" i="15"/>
  <c r="CA158" i="15"/>
  <c r="BZ191" i="15"/>
  <c r="BZ193" i="15" s="1"/>
  <c r="CA191" i="15"/>
  <c r="CA193" i="15" s="1"/>
  <c r="X193" i="15"/>
  <c r="AU2" i="4"/>
  <c r="AV4" i="4"/>
  <c r="AV4" i="2"/>
  <c r="AU2" i="2"/>
  <c r="X53" i="15"/>
  <c r="CF53" i="15" s="1"/>
  <c r="J21" i="14"/>
  <c r="V21" i="14" s="1"/>
  <c r="L212" i="15"/>
  <c r="X167" i="2"/>
  <c r="L212" i="4"/>
  <c r="AJ191" i="15"/>
  <c r="O73" i="8"/>
  <c r="X166" i="15"/>
  <c r="Y84" i="8" s="1"/>
  <c r="AJ52" i="15"/>
  <c r="L167" i="15"/>
  <c r="L174" i="15" s="1"/>
  <c r="AS61" i="2" l="1"/>
  <c r="AS61" i="15" s="1"/>
  <c r="AT60" i="4"/>
  <c r="AS117" i="4"/>
  <c r="AS60" i="2"/>
  <c r="AR60" i="15"/>
  <c r="AR66" i="15"/>
  <c r="AO35" i="8"/>
  <c r="AM139" i="2"/>
  <c r="AN36" i="8" s="1"/>
  <c r="BN5" i="10"/>
  <c r="BM36" i="10"/>
  <c r="BM37" i="10"/>
  <c r="BM4" i="10"/>
  <c r="AT61" i="2"/>
  <c r="AT61" i="15" s="1"/>
  <c r="AR157" i="2"/>
  <c r="AR74" i="2"/>
  <c r="AR74" i="15" s="1"/>
  <c r="AT92" i="2"/>
  <c r="AT92" i="15" s="1"/>
  <c r="AR96" i="2"/>
  <c r="AR96" i="15" s="1"/>
  <c r="AR195" i="2"/>
  <c r="AU57" i="2"/>
  <c r="AU57" i="4"/>
  <c r="AQ195" i="15"/>
  <c r="AR152" i="15"/>
  <c r="AS152" i="2"/>
  <c r="AR90" i="15"/>
  <c r="AS90" i="2"/>
  <c r="AU145" i="2"/>
  <c r="AU154" i="2" s="1"/>
  <c r="AU145" i="4"/>
  <c r="AU154" i="4" s="1"/>
  <c r="AR148" i="15"/>
  <c r="AS148" i="2"/>
  <c r="AR91" i="15"/>
  <c r="AS91" i="2"/>
  <c r="AU144" i="4"/>
  <c r="AU147" i="4" s="1"/>
  <c r="AU115" i="4"/>
  <c r="AU118" i="4" s="1"/>
  <c r="AR67" i="15"/>
  <c r="AS67" i="2"/>
  <c r="AU87" i="4"/>
  <c r="AU92" i="4" s="1"/>
  <c r="AR63" i="15"/>
  <c r="AS63" i="2"/>
  <c r="AU87" i="2"/>
  <c r="BH89" i="8"/>
  <c r="BH88" i="8"/>
  <c r="BI5" i="8"/>
  <c r="BH4" i="8"/>
  <c r="AT117" i="2"/>
  <c r="CE212" i="4"/>
  <c r="CE214" i="4"/>
  <c r="CE219" i="4" s="1"/>
  <c r="CE220" i="4" s="1"/>
  <c r="AT62" i="2"/>
  <c r="AU62" i="2" s="1"/>
  <c r="AU58" i="2"/>
  <c r="AU58" i="4"/>
  <c r="AU67" i="4" s="1"/>
  <c r="AT64" i="2"/>
  <c r="AT64" i="15" s="1"/>
  <c r="X174" i="4"/>
  <c r="AV276" i="4"/>
  <c r="BH276" i="4" s="1"/>
  <c r="BT276" i="4" s="1"/>
  <c r="AV274" i="4"/>
  <c r="BH274" i="4" s="1"/>
  <c r="BT274" i="4" s="1"/>
  <c r="AV272" i="4"/>
  <c r="BH272" i="4" s="1"/>
  <c r="BT272" i="4" s="1"/>
  <c r="AV275" i="4"/>
  <c r="BH275" i="4" s="1"/>
  <c r="BT275" i="4" s="1"/>
  <c r="AV273" i="4"/>
  <c r="BH273" i="4" s="1"/>
  <c r="BT273" i="4" s="1"/>
  <c r="AV277" i="4"/>
  <c r="BH277" i="4" s="1"/>
  <c r="BT277" i="4" s="1"/>
  <c r="AT194" i="2"/>
  <c r="AT66" i="2"/>
  <c r="AU66" i="2" s="1"/>
  <c r="AV276" i="2"/>
  <c r="BH276" i="2" s="1"/>
  <c r="BT276" i="2" s="1"/>
  <c r="AV274" i="2"/>
  <c r="BH274" i="2" s="1"/>
  <c r="BT274" i="2" s="1"/>
  <c r="AV272" i="2"/>
  <c r="BH272" i="2" s="1"/>
  <c r="BT272" i="2" s="1"/>
  <c r="AV273" i="2"/>
  <c r="BH273" i="2" s="1"/>
  <c r="BT273" i="2" s="1"/>
  <c r="AV277" i="2"/>
  <c r="BH277" i="2" s="1"/>
  <c r="BT277" i="2" s="1"/>
  <c r="AV275" i="2"/>
  <c r="BH275" i="2" s="1"/>
  <c r="BT275" i="2" s="1"/>
  <c r="AJ53" i="15"/>
  <c r="AU151" i="2"/>
  <c r="AU118" i="2"/>
  <c r="AV54" i="8"/>
  <c r="AV60" i="8" s="1"/>
  <c r="X211" i="15"/>
  <c r="X214" i="15" s="1"/>
  <c r="X219" i="15" s="1"/>
  <c r="X220" i="15" s="1"/>
  <c r="CF193" i="15"/>
  <c r="X212" i="4"/>
  <c r="CG193" i="4"/>
  <c r="AU117" i="2"/>
  <c r="AU148" i="4"/>
  <c r="AS195" i="4"/>
  <c r="AT96" i="4"/>
  <c r="AU150" i="4"/>
  <c r="AT65" i="15"/>
  <c r="AS66" i="15"/>
  <c r="AT150" i="15"/>
  <c r="AU91" i="4"/>
  <c r="AU63" i="4"/>
  <c r="AT66" i="4"/>
  <c r="AT149" i="4"/>
  <c r="AT149" i="15" s="1"/>
  <c r="AS62" i="15"/>
  <c r="AT62" i="4"/>
  <c r="AU152" i="4"/>
  <c r="AS123" i="4"/>
  <c r="AT119" i="4"/>
  <c r="AU119" i="4" s="1"/>
  <c r="AV253" i="4"/>
  <c r="AV252" i="4"/>
  <c r="AV256" i="4"/>
  <c r="AV87" i="4"/>
  <c r="AS149" i="15"/>
  <c r="AT118" i="15"/>
  <c r="AU64" i="4"/>
  <c r="AT151" i="4"/>
  <c r="AS157" i="4"/>
  <c r="AS158" i="4" s="1"/>
  <c r="AS74" i="4"/>
  <c r="AU65" i="4"/>
  <c r="AU145" i="15"/>
  <c r="AU61" i="4"/>
  <c r="AS147" i="15"/>
  <c r="AS153" i="15"/>
  <c r="AU147" i="2"/>
  <c r="AT147" i="15"/>
  <c r="AT89" i="2"/>
  <c r="AU65" i="2"/>
  <c r="AS89" i="15"/>
  <c r="AR158" i="2"/>
  <c r="AR157" i="15"/>
  <c r="AS120" i="15"/>
  <c r="AS123" i="2"/>
  <c r="AU57" i="15"/>
  <c r="AU194" i="2"/>
  <c r="AU115" i="15"/>
  <c r="AU119" i="2"/>
  <c r="AQ158" i="15"/>
  <c r="AU149" i="2"/>
  <c r="AT153" i="2"/>
  <c r="AT120" i="2"/>
  <c r="AV256" i="2"/>
  <c r="AV252" i="2"/>
  <c r="AV253" i="2"/>
  <c r="AV87" i="2"/>
  <c r="AT154" i="15"/>
  <c r="BZ53" i="15"/>
  <c r="CA53" i="15"/>
  <c r="AW4" i="2"/>
  <c r="AV2" i="2"/>
  <c r="AV2" i="4"/>
  <c r="AW4" i="4"/>
  <c r="X174" i="2"/>
  <c r="X167" i="15"/>
  <c r="AJ193" i="15"/>
  <c r="O74" i="8"/>
  <c r="O79" i="8" s="1"/>
  <c r="P73" i="8"/>
  <c r="P74" i="8" s="1"/>
  <c r="P79" i="8" s="1"/>
  <c r="AU61" i="2" l="1"/>
  <c r="AU61" i="15" s="1"/>
  <c r="AU60" i="4"/>
  <c r="AT117" i="4"/>
  <c r="AT117" i="15" s="1"/>
  <c r="AS117" i="15"/>
  <c r="AT60" i="2"/>
  <c r="AS60" i="15"/>
  <c r="AU150" i="2"/>
  <c r="AU150" i="15" s="1"/>
  <c r="AN139" i="2"/>
  <c r="AO36" i="8" s="1"/>
  <c r="AP35" i="8"/>
  <c r="AV115" i="2"/>
  <c r="BO5" i="10"/>
  <c r="BN36" i="10"/>
  <c r="BN4" i="10"/>
  <c r="BN37" i="10"/>
  <c r="AU90" i="4"/>
  <c r="AV90" i="4" s="1"/>
  <c r="AV58" i="2"/>
  <c r="AV65" i="2" s="1"/>
  <c r="AU144" i="15"/>
  <c r="AU153" i="4"/>
  <c r="AU89" i="4"/>
  <c r="AR195" i="15"/>
  <c r="AS96" i="2"/>
  <c r="AS96" i="15" s="1"/>
  <c r="AU87" i="15"/>
  <c r="AS195" i="2"/>
  <c r="AS91" i="15"/>
  <c r="AT91" i="2"/>
  <c r="AT91" i="15" s="1"/>
  <c r="AS90" i="15"/>
  <c r="AT90" i="2"/>
  <c r="AS148" i="15"/>
  <c r="AT148" i="2"/>
  <c r="AT152" i="2"/>
  <c r="AS152" i="15"/>
  <c r="AS157" i="2"/>
  <c r="AS158" i="2" s="1"/>
  <c r="AS158" i="15" s="1"/>
  <c r="AU120" i="4"/>
  <c r="AT67" i="2"/>
  <c r="AT67" i="15" s="1"/>
  <c r="AS67" i="15"/>
  <c r="AU92" i="2"/>
  <c r="AV92" i="2" s="1"/>
  <c r="AV145" i="2"/>
  <c r="AV154" i="2" s="1"/>
  <c r="AV58" i="4"/>
  <c r="AV67" i="4" s="1"/>
  <c r="AV144" i="2"/>
  <c r="AV115" i="4"/>
  <c r="AV119" i="4" s="1"/>
  <c r="AS63" i="15"/>
  <c r="AT63" i="2"/>
  <c r="AT74" i="2" s="1"/>
  <c r="AS74" i="2"/>
  <c r="AV145" i="4"/>
  <c r="AV154" i="4" s="1"/>
  <c r="AU194" i="4"/>
  <c r="AV144" i="4"/>
  <c r="AU89" i="2"/>
  <c r="AU89" i="15" s="1"/>
  <c r="BI89" i="8"/>
  <c r="BI88" i="8"/>
  <c r="BI4" i="8"/>
  <c r="BJ5" i="8"/>
  <c r="AT66" i="15"/>
  <c r="AW276" i="4"/>
  <c r="BI276" i="4" s="1"/>
  <c r="BU276" i="4" s="1"/>
  <c r="AW274" i="4"/>
  <c r="BI274" i="4" s="1"/>
  <c r="BU274" i="4" s="1"/>
  <c r="AW272" i="4"/>
  <c r="BI272" i="4" s="1"/>
  <c r="BU272" i="4" s="1"/>
  <c r="AW277" i="4"/>
  <c r="BI277" i="4" s="1"/>
  <c r="BU277" i="4" s="1"/>
  <c r="AW275" i="4"/>
  <c r="BI275" i="4" s="1"/>
  <c r="BU275" i="4" s="1"/>
  <c r="AW273" i="4"/>
  <c r="BI273" i="4" s="1"/>
  <c r="BU273" i="4" s="1"/>
  <c r="AV57" i="2"/>
  <c r="AU64" i="2"/>
  <c r="AU64" i="15" s="1"/>
  <c r="AW276" i="2"/>
  <c r="BI276" i="2" s="1"/>
  <c r="BU276" i="2" s="1"/>
  <c r="AW274" i="2"/>
  <c r="BI274" i="2" s="1"/>
  <c r="BU274" i="2" s="1"/>
  <c r="AW272" i="2"/>
  <c r="BI272" i="2" s="1"/>
  <c r="BU272" i="2" s="1"/>
  <c r="AW277" i="2"/>
  <c r="BI277" i="2" s="1"/>
  <c r="BU277" i="2" s="1"/>
  <c r="AW275" i="2"/>
  <c r="BI275" i="2" s="1"/>
  <c r="BU275" i="2" s="1"/>
  <c r="AW273" i="2"/>
  <c r="BI273" i="2" s="1"/>
  <c r="BU273" i="2" s="1"/>
  <c r="AV57" i="4"/>
  <c r="AU58" i="15"/>
  <c r="AU154" i="15"/>
  <c r="AV117" i="2"/>
  <c r="AW54" i="8"/>
  <c r="AW60" i="8" s="1"/>
  <c r="AU118" i="15"/>
  <c r="AT157" i="4"/>
  <c r="AT158" i="4" s="1"/>
  <c r="AU149" i="4"/>
  <c r="AU149" i="15" s="1"/>
  <c r="X174" i="15"/>
  <c r="X212" i="15"/>
  <c r="AV92" i="4"/>
  <c r="AT74" i="4"/>
  <c r="AV91" i="4"/>
  <c r="AV150" i="2"/>
  <c r="AU65" i="15"/>
  <c r="AT62" i="15"/>
  <c r="AT195" i="4"/>
  <c r="AT119" i="15"/>
  <c r="AV63" i="4"/>
  <c r="H21" i="14"/>
  <c r="T21" i="14" s="1"/>
  <c r="N21" i="14"/>
  <c r="Z21" i="14" s="1"/>
  <c r="AV65" i="4"/>
  <c r="AV89" i="4"/>
  <c r="AU96" i="4"/>
  <c r="AW256" i="4"/>
  <c r="AW253" i="4"/>
  <c r="AW252" i="4"/>
  <c r="AU151" i="4"/>
  <c r="AT151" i="15"/>
  <c r="AV147" i="4"/>
  <c r="AU62" i="4"/>
  <c r="AU66" i="4"/>
  <c r="AT123" i="4"/>
  <c r="AU119" i="15"/>
  <c r="AV119" i="2"/>
  <c r="AR158" i="15"/>
  <c r="AV115" i="15"/>
  <c r="AT120" i="15"/>
  <c r="AU120" i="2"/>
  <c r="AU123" i="2" s="1"/>
  <c r="AT123" i="2"/>
  <c r="AU153" i="2"/>
  <c r="AT153" i="15"/>
  <c r="AS123" i="15"/>
  <c r="AW256" i="2"/>
  <c r="AW253" i="2"/>
  <c r="AW252" i="2"/>
  <c r="AV118" i="2"/>
  <c r="AU147" i="15"/>
  <c r="AV87" i="15"/>
  <c r="AT89" i="15"/>
  <c r="AW2" i="4"/>
  <c r="AX4" i="4"/>
  <c r="AX4" i="2"/>
  <c r="AW2" i="2"/>
  <c r="Q73" i="8"/>
  <c r="AW145" i="4" l="1"/>
  <c r="AU117" i="4"/>
  <c r="AU117" i="15" s="1"/>
  <c r="AV60" i="4"/>
  <c r="AV61" i="2"/>
  <c r="AV144" i="15"/>
  <c r="AV120" i="4"/>
  <c r="AV153" i="4"/>
  <c r="AV147" i="2"/>
  <c r="AV58" i="15"/>
  <c r="AU60" i="2"/>
  <c r="AU60" i="15" s="1"/>
  <c r="AT60" i="15"/>
  <c r="AO139" i="2"/>
  <c r="AP36" i="8" s="1"/>
  <c r="AQ35" i="8"/>
  <c r="AV151" i="2"/>
  <c r="AV149" i="2"/>
  <c r="AU92" i="15"/>
  <c r="AT157" i="2"/>
  <c r="AT157" i="15" s="1"/>
  <c r="AU194" i="15"/>
  <c r="BO37" i="10"/>
  <c r="BO36" i="10"/>
  <c r="BO4" i="10"/>
  <c r="BP5" i="10"/>
  <c r="AV89" i="2"/>
  <c r="AS157" i="15"/>
  <c r="AU67" i="2"/>
  <c r="AS74" i="15"/>
  <c r="P22" i="14"/>
  <c r="H22" i="14"/>
  <c r="J22" i="14"/>
  <c r="AT96" i="2"/>
  <c r="AT96" i="15" s="1"/>
  <c r="AU91" i="2"/>
  <c r="AU91" i="15" s="1"/>
  <c r="AW58" i="2"/>
  <c r="AW65" i="2" s="1"/>
  <c r="AV148" i="4"/>
  <c r="AW148" i="4" s="1"/>
  <c r="AV118" i="4"/>
  <c r="AV118" i="15" s="1"/>
  <c r="AT195" i="2"/>
  <c r="AS195" i="15"/>
  <c r="AW87" i="2"/>
  <c r="AW87" i="4"/>
  <c r="AW92" i="4" s="1"/>
  <c r="AU90" i="2"/>
  <c r="AT90" i="15"/>
  <c r="AW57" i="4"/>
  <c r="AT152" i="15"/>
  <c r="AU152" i="2"/>
  <c r="AU152" i="15" s="1"/>
  <c r="AU148" i="2"/>
  <c r="AU148" i="15" s="1"/>
  <c r="AT148" i="15"/>
  <c r="AV92" i="15"/>
  <c r="AV62" i="2"/>
  <c r="AW57" i="2"/>
  <c r="AW144" i="2"/>
  <c r="AV61" i="4"/>
  <c r="AV61" i="15" s="1"/>
  <c r="AW58" i="4"/>
  <c r="AW65" i="4" s="1"/>
  <c r="AV145" i="15"/>
  <c r="AV194" i="2"/>
  <c r="AT63" i="15"/>
  <c r="AU63" i="2"/>
  <c r="AW144" i="4"/>
  <c r="AV150" i="4"/>
  <c r="AV150" i="15" s="1"/>
  <c r="AW115" i="4"/>
  <c r="AV152" i="4"/>
  <c r="AW152" i="4" s="1"/>
  <c r="AV149" i="4"/>
  <c r="AV149" i="15" s="1"/>
  <c r="AV66" i="2"/>
  <c r="AW115" i="2"/>
  <c r="AW117" i="2" s="1"/>
  <c r="AV64" i="2"/>
  <c r="AT74" i="15"/>
  <c r="BJ89" i="8"/>
  <c r="BJ88" i="8"/>
  <c r="BK5" i="8"/>
  <c r="BJ4" i="8"/>
  <c r="AV194" i="4"/>
  <c r="AV64" i="4"/>
  <c r="AX277" i="2"/>
  <c r="BJ277" i="2" s="1"/>
  <c r="BV277" i="2" s="1"/>
  <c r="AX275" i="2"/>
  <c r="BJ275" i="2" s="1"/>
  <c r="BV275" i="2" s="1"/>
  <c r="AX273" i="2"/>
  <c r="BJ273" i="2" s="1"/>
  <c r="BV273" i="2" s="1"/>
  <c r="AX276" i="2"/>
  <c r="BJ276" i="2" s="1"/>
  <c r="BV276" i="2" s="1"/>
  <c r="AX274" i="2"/>
  <c r="BJ274" i="2" s="1"/>
  <c r="BV274" i="2" s="1"/>
  <c r="AX272" i="2"/>
  <c r="BJ272" i="2" s="1"/>
  <c r="BV272" i="2" s="1"/>
  <c r="AW145" i="2"/>
  <c r="AW145" i="15" s="1"/>
  <c r="AV57" i="15"/>
  <c r="AX277" i="4"/>
  <c r="BJ277" i="4" s="1"/>
  <c r="BV277" i="4" s="1"/>
  <c r="AX275" i="4"/>
  <c r="BJ275" i="4" s="1"/>
  <c r="BV275" i="4" s="1"/>
  <c r="AX273" i="4"/>
  <c r="BJ273" i="4" s="1"/>
  <c r="BV273" i="4" s="1"/>
  <c r="AX276" i="4"/>
  <c r="BJ276" i="4" s="1"/>
  <c r="BV276" i="4" s="1"/>
  <c r="AX274" i="4"/>
  <c r="BJ274" i="4" s="1"/>
  <c r="BV274" i="4" s="1"/>
  <c r="AX272" i="4"/>
  <c r="BJ272" i="4" s="1"/>
  <c r="BV272" i="4" s="1"/>
  <c r="AU157" i="4"/>
  <c r="AU158" i="4" s="1"/>
  <c r="AX54" i="8"/>
  <c r="AX60" i="8" s="1"/>
  <c r="AV147" i="15"/>
  <c r="AW89" i="4"/>
  <c r="AU74" i="4"/>
  <c r="AV96" i="4"/>
  <c r="AX256" i="4"/>
  <c r="AX253" i="4"/>
  <c r="AX252" i="4"/>
  <c r="AX145" i="4"/>
  <c r="AV66" i="4"/>
  <c r="AU151" i="15"/>
  <c r="AV151" i="4"/>
  <c r="AW153" i="4"/>
  <c r="AW90" i="4"/>
  <c r="AW154" i="4"/>
  <c r="AV62" i="4"/>
  <c r="AU62" i="15"/>
  <c r="AU66" i="15"/>
  <c r="AX253" i="2"/>
  <c r="AX252" i="2"/>
  <c r="AX256" i="2"/>
  <c r="AV89" i="15"/>
  <c r="AU153" i="15"/>
  <c r="AV153" i="2"/>
  <c r="AV120" i="2"/>
  <c r="AU120" i="15"/>
  <c r="AW61" i="2"/>
  <c r="AV65" i="15"/>
  <c r="AW144" i="15"/>
  <c r="AT123" i="15"/>
  <c r="AV154" i="15"/>
  <c r="AV119" i="15"/>
  <c r="AY4" i="2"/>
  <c r="AX2" i="2"/>
  <c r="AX2" i="4"/>
  <c r="AY4" i="4"/>
  <c r="Q74" i="8"/>
  <c r="Q79" i="8" s="1"/>
  <c r="R73" i="8"/>
  <c r="R74" i="8" s="1"/>
  <c r="R79" i="8" s="1"/>
  <c r="AV152" i="2" l="1"/>
  <c r="AV152" i="15" s="1"/>
  <c r="AW120" i="4"/>
  <c r="AV117" i="4"/>
  <c r="AV123" i="4" s="1"/>
  <c r="AU123" i="4"/>
  <c r="AU123" i="15" s="1"/>
  <c r="AU195" i="4"/>
  <c r="AW60" i="4"/>
  <c r="AV151" i="15"/>
  <c r="AX87" i="2"/>
  <c r="AW64" i="4"/>
  <c r="AT158" i="2"/>
  <c r="AT158" i="15" s="1"/>
  <c r="AW66" i="4"/>
  <c r="AW57" i="15"/>
  <c r="AW89" i="2"/>
  <c r="AW66" i="2"/>
  <c r="AW147" i="2"/>
  <c r="AV60" i="2"/>
  <c r="AW149" i="2"/>
  <c r="AW58" i="15"/>
  <c r="AW92" i="2"/>
  <c r="AW92" i="15" s="1"/>
  <c r="AR35" i="8"/>
  <c r="AP139" i="2"/>
  <c r="AQ36" i="8" s="1"/>
  <c r="AW64" i="2"/>
  <c r="AW62" i="2"/>
  <c r="AV194" i="15"/>
  <c r="BP37" i="10"/>
  <c r="BP4" i="10"/>
  <c r="BQ5" i="10"/>
  <c r="BP36" i="10"/>
  <c r="AV117" i="15"/>
  <c r="AW151" i="2"/>
  <c r="AX87" i="4"/>
  <c r="AX89" i="4" s="1"/>
  <c r="AV148" i="2"/>
  <c r="AV148" i="15" s="1"/>
  <c r="AW63" i="4"/>
  <c r="AW118" i="4"/>
  <c r="AW150" i="4"/>
  <c r="AW149" i="4"/>
  <c r="AU67" i="15"/>
  <c r="AV67" i="2"/>
  <c r="AV91" i="2"/>
  <c r="AU195" i="2"/>
  <c r="AW194" i="2"/>
  <c r="AT195" i="15"/>
  <c r="AW91" i="4"/>
  <c r="AW96" i="4" s="1"/>
  <c r="AW87" i="15"/>
  <c r="AU157" i="2"/>
  <c r="AU158" i="2" s="1"/>
  <c r="AU158" i="15" s="1"/>
  <c r="AU96" i="2"/>
  <c r="AU96" i="15" s="1"/>
  <c r="AU90" i="15"/>
  <c r="AV90" i="2"/>
  <c r="AX144" i="4"/>
  <c r="AX153" i="4" s="1"/>
  <c r="AW61" i="4"/>
  <c r="AW61" i="15" s="1"/>
  <c r="AW67" i="4"/>
  <c r="AW118" i="2"/>
  <c r="AW154" i="2"/>
  <c r="AW154" i="15" s="1"/>
  <c r="AW119" i="2"/>
  <c r="AW115" i="15"/>
  <c r="AW119" i="4"/>
  <c r="AW194" i="4"/>
  <c r="AW117" i="4"/>
  <c r="AW117" i="15" s="1"/>
  <c r="AW150" i="2"/>
  <c r="AW150" i="15" s="1"/>
  <c r="AX145" i="2"/>
  <c r="AX145" i="15" s="1"/>
  <c r="AX58" i="2"/>
  <c r="AX61" i="2" s="1"/>
  <c r="AV63" i="2"/>
  <c r="AV74" i="2" s="1"/>
  <c r="AU74" i="2"/>
  <c r="AU63" i="15"/>
  <c r="AW147" i="4"/>
  <c r="AW147" i="15" s="1"/>
  <c r="AV64" i="15"/>
  <c r="AX144" i="2"/>
  <c r="AX149" i="2" s="1"/>
  <c r="BK89" i="8"/>
  <c r="BK88" i="8"/>
  <c r="BK4" i="8"/>
  <c r="BL5" i="8"/>
  <c r="AX58" i="4"/>
  <c r="AX57" i="2"/>
  <c r="AX62" i="2" s="1"/>
  <c r="AX115" i="2"/>
  <c r="AX117" i="2" s="1"/>
  <c r="AX57" i="4"/>
  <c r="AY277" i="2"/>
  <c r="BK277" i="2" s="1"/>
  <c r="BW277" i="2" s="1"/>
  <c r="AY275" i="2"/>
  <c r="BK275" i="2" s="1"/>
  <c r="BW275" i="2" s="1"/>
  <c r="AY273" i="2"/>
  <c r="BK273" i="2" s="1"/>
  <c r="BW273" i="2" s="1"/>
  <c r="AY276" i="2"/>
  <c r="BK276" i="2" s="1"/>
  <c r="BW276" i="2" s="1"/>
  <c r="AY274" i="2"/>
  <c r="BK274" i="2" s="1"/>
  <c r="BW274" i="2" s="1"/>
  <c r="AY272" i="2"/>
  <c r="BK272" i="2" s="1"/>
  <c r="BW272" i="2" s="1"/>
  <c r="AY277" i="4"/>
  <c r="BK277" i="4" s="1"/>
  <c r="BW277" i="4" s="1"/>
  <c r="AY275" i="4"/>
  <c r="BK275" i="4" s="1"/>
  <c r="BW275" i="4" s="1"/>
  <c r="AY273" i="4"/>
  <c r="BK273" i="4" s="1"/>
  <c r="BW273" i="4" s="1"/>
  <c r="AY276" i="4"/>
  <c r="BK276" i="4" s="1"/>
  <c r="BW276" i="4" s="1"/>
  <c r="AY274" i="4"/>
  <c r="BK274" i="4" s="1"/>
  <c r="BW274" i="4" s="1"/>
  <c r="AY272" i="4"/>
  <c r="BK272" i="4" s="1"/>
  <c r="BW272" i="4" s="1"/>
  <c r="AX115" i="4"/>
  <c r="AX150" i="4"/>
  <c r="AY54" i="8"/>
  <c r="AY60" i="8" s="1"/>
  <c r="AV66" i="15"/>
  <c r="AV74" i="4"/>
  <c r="AX154" i="4"/>
  <c r="AW66" i="15"/>
  <c r="AV157" i="4"/>
  <c r="AV158" i="4" s="1"/>
  <c r="AW65" i="15"/>
  <c r="AX148" i="4"/>
  <c r="AX90" i="4"/>
  <c r="AX152" i="4"/>
  <c r="AW62" i="4"/>
  <c r="AX91" i="4"/>
  <c r="AV62" i="15"/>
  <c r="AY253" i="4"/>
  <c r="AY252" i="4"/>
  <c r="AY256" i="4"/>
  <c r="AV123" i="2"/>
  <c r="AV123" i="15" s="1"/>
  <c r="AX65" i="2"/>
  <c r="AV195" i="4"/>
  <c r="AW151" i="4"/>
  <c r="AY253" i="2"/>
  <c r="AY252" i="2"/>
  <c r="AY256" i="2"/>
  <c r="AV153" i="15"/>
  <c r="AW153" i="2"/>
  <c r="AW153" i="15" s="1"/>
  <c r="AW89" i="15"/>
  <c r="AX89" i="2"/>
  <c r="AX87" i="15"/>
  <c r="AV120" i="15"/>
  <c r="AW120" i="2"/>
  <c r="AZ4" i="4"/>
  <c r="AY2" i="4"/>
  <c r="AZ4" i="2"/>
  <c r="AY2" i="2"/>
  <c r="S73" i="8"/>
  <c r="S74" i="8" s="1"/>
  <c r="S79" i="8" s="1"/>
  <c r="AX64" i="4" l="1"/>
  <c r="AW194" i="15"/>
  <c r="AW149" i="15"/>
  <c r="AW152" i="2"/>
  <c r="AW152" i="15" s="1"/>
  <c r="AW64" i="15"/>
  <c r="AX152" i="2"/>
  <c r="AX152" i="15" s="1"/>
  <c r="AW118" i="15"/>
  <c r="AX92" i="2"/>
  <c r="AX149" i="4"/>
  <c r="AX149" i="15" s="1"/>
  <c r="AY57" i="2"/>
  <c r="AV60" i="15"/>
  <c r="AW60" i="2"/>
  <c r="AW148" i="2"/>
  <c r="AX148" i="2" s="1"/>
  <c r="AX64" i="2"/>
  <c r="AY64" i="2" s="1"/>
  <c r="AS35" i="8"/>
  <c r="AQ139" i="2"/>
  <c r="AR36" i="8" s="1"/>
  <c r="AX194" i="2"/>
  <c r="AX66" i="2"/>
  <c r="AY115" i="2"/>
  <c r="BR5" i="10"/>
  <c r="BQ4" i="10"/>
  <c r="BQ36" i="10"/>
  <c r="BQ37" i="10"/>
  <c r="AX118" i="4"/>
  <c r="AX92" i="4"/>
  <c r="AV157" i="2"/>
  <c r="AW123" i="4"/>
  <c r="AX151" i="4"/>
  <c r="AV195" i="2"/>
  <c r="AV67" i="15"/>
  <c r="AW67" i="2"/>
  <c r="AW67" i="15" s="1"/>
  <c r="AV91" i="15"/>
  <c r="AW91" i="2"/>
  <c r="AU157" i="15"/>
  <c r="AY87" i="2"/>
  <c r="AY58" i="4"/>
  <c r="AV96" i="2"/>
  <c r="AV96" i="15" s="1"/>
  <c r="AV90" i="15"/>
  <c r="AW90" i="2"/>
  <c r="AX117" i="4"/>
  <c r="AX119" i="2"/>
  <c r="AY119" i="2" s="1"/>
  <c r="AX115" i="15"/>
  <c r="AY58" i="2"/>
  <c r="AU74" i="15"/>
  <c r="AX58" i="15"/>
  <c r="AY145" i="2"/>
  <c r="AX120" i="4"/>
  <c r="AX147" i="4"/>
  <c r="AX144" i="15"/>
  <c r="AX151" i="2"/>
  <c r="AW119" i="15"/>
  <c r="AX150" i="2"/>
  <c r="AY145" i="4"/>
  <c r="AY152" i="4" s="1"/>
  <c r="AX147" i="2"/>
  <c r="AX154" i="2"/>
  <c r="AX154" i="15" s="1"/>
  <c r="AU195" i="15"/>
  <c r="AY87" i="4"/>
  <c r="AY92" i="4" s="1"/>
  <c r="AY144" i="4"/>
  <c r="AY153" i="4" s="1"/>
  <c r="AX67" i="4"/>
  <c r="AX65" i="4"/>
  <c r="AX65" i="15" s="1"/>
  <c r="AX63" i="4"/>
  <c r="AV63" i="15"/>
  <c r="AW63" i="2"/>
  <c r="AX119" i="4"/>
  <c r="AX61" i="4"/>
  <c r="AY115" i="4"/>
  <c r="AY57" i="4"/>
  <c r="AX118" i="2"/>
  <c r="AX118" i="15" s="1"/>
  <c r="BL89" i="8"/>
  <c r="BL88" i="8"/>
  <c r="BM5" i="8"/>
  <c r="BL4" i="8"/>
  <c r="AX60" i="4"/>
  <c r="BA4" i="2"/>
  <c r="BA252" i="2" s="1"/>
  <c r="AZ276" i="2"/>
  <c r="BL276" i="2" s="1"/>
  <c r="BX276" i="2" s="1"/>
  <c r="AZ274" i="2"/>
  <c r="BL274" i="2" s="1"/>
  <c r="BX274" i="2" s="1"/>
  <c r="AZ272" i="2"/>
  <c r="BL272" i="2" s="1"/>
  <c r="BX272" i="2" s="1"/>
  <c r="AZ277" i="2"/>
  <c r="BL277" i="2" s="1"/>
  <c r="BX277" i="2" s="1"/>
  <c r="AZ275" i="2"/>
  <c r="BL275" i="2" s="1"/>
  <c r="BX275" i="2" s="1"/>
  <c r="AZ273" i="2"/>
  <c r="BL273" i="2" s="1"/>
  <c r="BX273" i="2" s="1"/>
  <c r="BA4" i="4"/>
  <c r="BA2" i="4" s="1"/>
  <c r="AZ276" i="4"/>
  <c r="BL276" i="4" s="1"/>
  <c r="BX276" i="4" s="1"/>
  <c r="AZ274" i="4"/>
  <c r="BL274" i="4" s="1"/>
  <c r="BX274" i="4" s="1"/>
  <c r="AZ272" i="4"/>
  <c r="BL272" i="4" s="1"/>
  <c r="BX272" i="4" s="1"/>
  <c r="AZ273" i="4"/>
  <c r="BL273" i="4" s="1"/>
  <c r="BX273" i="4" s="1"/>
  <c r="AZ277" i="4"/>
  <c r="BL277" i="4" s="1"/>
  <c r="BX277" i="4" s="1"/>
  <c r="AZ275" i="4"/>
  <c r="BL275" i="4" s="1"/>
  <c r="BX275" i="4" s="1"/>
  <c r="AX57" i="15"/>
  <c r="AY144" i="2"/>
  <c r="AY194" i="2" s="1"/>
  <c r="AX66" i="4"/>
  <c r="AX194" i="4"/>
  <c r="AZ54" i="8"/>
  <c r="AZ60" i="8" s="1"/>
  <c r="BA145" i="2"/>
  <c r="BA144" i="2"/>
  <c r="BA115" i="2"/>
  <c r="BA87" i="2"/>
  <c r="BA58" i="2"/>
  <c r="BA57" i="2"/>
  <c r="BA145" i="4"/>
  <c r="BA144" i="4"/>
  <c r="BA115" i="4"/>
  <c r="BA87" i="4"/>
  <c r="BA58" i="4"/>
  <c r="BA57" i="4"/>
  <c r="AY154" i="4"/>
  <c r="AV74" i="15"/>
  <c r="AX148" i="15"/>
  <c r="AY62" i="2"/>
  <c r="AY91" i="4"/>
  <c r="AZ2" i="4"/>
  <c r="AZ253" i="4"/>
  <c r="AZ252" i="4"/>
  <c r="AX96" i="4"/>
  <c r="AW157" i="4"/>
  <c r="AW158" i="4" s="1"/>
  <c r="AX62" i="4"/>
  <c r="AW74" i="4"/>
  <c r="AW62" i="15"/>
  <c r="AW195" i="4"/>
  <c r="AY65" i="2"/>
  <c r="AW151" i="15"/>
  <c r="AY148" i="2"/>
  <c r="AY89" i="4"/>
  <c r="AX153" i="2"/>
  <c r="AW120" i="15"/>
  <c r="AX120" i="2"/>
  <c r="AW123" i="2"/>
  <c r="AY87" i="15"/>
  <c r="AX92" i="15"/>
  <c r="AY92" i="2"/>
  <c r="AX89" i="15"/>
  <c r="AY89" i="2"/>
  <c r="AZ2" i="2"/>
  <c r="AZ252" i="2"/>
  <c r="AZ253" i="2"/>
  <c r="AZ145" i="2"/>
  <c r="AY66" i="2"/>
  <c r="AY61" i="2"/>
  <c r="AY117" i="2"/>
  <c r="AY150" i="2" l="1"/>
  <c r="AY147" i="4"/>
  <c r="AZ147" i="4" s="1"/>
  <c r="AY90" i="4"/>
  <c r="AY57" i="15"/>
  <c r="AX151" i="15"/>
  <c r="AY152" i="2"/>
  <c r="AW157" i="2"/>
  <c r="AW148" i="15"/>
  <c r="AY149" i="4"/>
  <c r="AX157" i="4"/>
  <c r="AX158" i="4" s="1"/>
  <c r="AY151" i="4"/>
  <c r="AZ151" i="4" s="1"/>
  <c r="AZ87" i="4"/>
  <c r="AX147" i="15"/>
  <c r="AX64" i="15"/>
  <c r="AX66" i="15"/>
  <c r="AX60" i="2"/>
  <c r="AY60" i="2" s="1"/>
  <c r="AW60" i="15"/>
  <c r="AZ144" i="2"/>
  <c r="AZ115" i="2"/>
  <c r="AX157" i="2"/>
  <c r="BB4" i="2"/>
  <c r="BC4" i="2" s="1"/>
  <c r="AX119" i="15"/>
  <c r="AV195" i="15"/>
  <c r="AT35" i="8"/>
  <c r="AR139" i="2"/>
  <c r="AS36" i="8" s="1"/>
  <c r="AY118" i="2"/>
  <c r="BS5" i="10"/>
  <c r="BR36" i="10"/>
  <c r="BR4" i="10"/>
  <c r="BR37" i="10"/>
  <c r="AY118" i="4"/>
  <c r="AY123" i="4" s="1"/>
  <c r="AY64" i="4"/>
  <c r="AZ145" i="4"/>
  <c r="AY150" i="4"/>
  <c r="BA253" i="2"/>
  <c r="BA256" i="2"/>
  <c r="AZ144" i="4"/>
  <c r="BA2" i="2"/>
  <c r="AV157" i="15"/>
  <c r="AV158" i="2"/>
  <c r="AV158" i="15" s="1"/>
  <c r="AY120" i="4"/>
  <c r="AY117" i="4"/>
  <c r="AY117" i="15" s="1"/>
  <c r="AY58" i="15"/>
  <c r="AY60" i="4"/>
  <c r="AY154" i="2"/>
  <c r="AY154" i="15" s="1"/>
  <c r="AX67" i="2"/>
  <c r="AX91" i="2"/>
  <c r="AW91" i="15"/>
  <c r="AX123" i="4"/>
  <c r="AY61" i="4"/>
  <c r="AY61" i="15" s="1"/>
  <c r="AY63" i="4"/>
  <c r="AY67" i="4"/>
  <c r="AY115" i="15"/>
  <c r="AY145" i="15"/>
  <c r="AY148" i="4"/>
  <c r="AX117" i="15"/>
  <c r="AY149" i="2"/>
  <c r="AY149" i="15" s="1"/>
  <c r="AY119" i="4"/>
  <c r="AY119" i="15" s="1"/>
  <c r="AZ57" i="2"/>
  <c r="AW96" i="2"/>
  <c r="AW96" i="15" s="1"/>
  <c r="AX90" i="2"/>
  <c r="AW90" i="15"/>
  <c r="AX150" i="15"/>
  <c r="AZ58" i="4"/>
  <c r="AZ115" i="4"/>
  <c r="BB4" i="4"/>
  <c r="BB256" i="4" s="1"/>
  <c r="AX61" i="15"/>
  <c r="AY66" i="4"/>
  <c r="AY151" i="2"/>
  <c r="AZ151" i="2" s="1"/>
  <c r="AY65" i="4"/>
  <c r="AY65" i="15" s="1"/>
  <c r="BA252" i="4"/>
  <c r="BA253" i="4"/>
  <c r="AY194" i="4"/>
  <c r="AY147" i="2"/>
  <c r="AY147" i="15" s="1"/>
  <c r="BA256" i="4"/>
  <c r="AW74" i="2"/>
  <c r="AW74" i="15" s="1"/>
  <c r="AW63" i="15"/>
  <c r="AX63" i="2"/>
  <c r="AY144" i="15"/>
  <c r="AW195" i="2"/>
  <c r="BM88" i="8"/>
  <c r="BN5" i="8"/>
  <c r="BM89" i="8"/>
  <c r="BM4" i="8"/>
  <c r="AZ57" i="4"/>
  <c r="AZ58" i="2"/>
  <c r="CH58" i="2" s="1"/>
  <c r="AZ87" i="2"/>
  <c r="CH87" i="2" s="1"/>
  <c r="AZ91" i="4"/>
  <c r="BA91" i="4" s="1"/>
  <c r="BA194" i="4"/>
  <c r="BA194" i="2"/>
  <c r="BA57" i="15"/>
  <c r="BA144" i="15"/>
  <c r="BA58" i="15"/>
  <c r="BA145" i="15"/>
  <c r="BB144" i="4"/>
  <c r="BB87" i="4"/>
  <c r="BB57" i="4"/>
  <c r="BB145" i="4"/>
  <c r="BB115" i="4"/>
  <c r="BB58" i="4"/>
  <c r="BA87" i="15"/>
  <c r="BB145" i="2"/>
  <c r="BB144" i="2"/>
  <c r="BB115" i="2"/>
  <c r="BB87" i="2"/>
  <c r="BB58" i="2"/>
  <c r="BB57" i="2"/>
  <c r="BB253" i="2"/>
  <c r="BA115" i="15"/>
  <c r="CF58" i="2"/>
  <c r="CG58" i="2"/>
  <c r="AZ62" i="2"/>
  <c r="CF57" i="2"/>
  <c r="CG57" i="2"/>
  <c r="CH57" i="2"/>
  <c r="CF144" i="2"/>
  <c r="CG144" i="2"/>
  <c r="CH144" i="2"/>
  <c r="O53" i="6"/>
  <c r="Z53" i="6" s="1"/>
  <c r="CF87" i="4"/>
  <c r="CG87" i="4"/>
  <c r="CH87" i="4"/>
  <c r="CF145" i="2"/>
  <c r="CG145" i="2"/>
  <c r="CH145" i="2"/>
  <c r="CF115" i="2"/>
  <c r="CG115" i="2"/>
  <c r="CH115" i="2"/>
  <c r="CF58" i="4"/>
  <c r="CG58" i="4"/>
  <c r="CF115" i="4"/>
  <c r="CG115" i="4"/>
  <c r="CH115" i="4"/>
  <c r="CF91" i="4"/>
  <c r="CG91" i="4"/>
  <c r="CF144" i="4"/>
  <c r="CG144" i="4"/>
  <c r="CH144" i="4"/>
  <c r="CF57" i="4"/>
  <c r="CG57" i="4"/>
  <c r="CH57" i="4"/>
  <c r="CF87" i="2"/>
  <c r="CG87" i="2"/>
  <c r="CF145" i="4"/>
  <c r="CG145" i="4"/>
  <c r="CH145" i="4"/>
  <c r="AZ89" i="4"/>
  <c r="AZ60" i="4"/>
  <c r="AY148" i="15"/>
  <c r="AZ152" i="4"/>
  <c r="AY92" i="15"/>
  <c r="AZ153" i="4"/>
  <c r="AZ92" i="4"/>
  <c r="AZ66" i="4"/>
  <c r="AX153" i="15"/>
  <c r="AY153" i="2"/>
  <c r="AY153" i="15" s="1"/>
  <c r="AZ119" i="4"/>
  <c r="AZ149" i="4"/>
  <c r="AZ154" i="4"/>
  <c r="AX62" i="15"/>
  <c r="AZ90" i="4"/>
  <c r="AX195" i="4"/>
  <c r="AX74" i="4"/>
  <c r="AY89" i="15"/>
  <c r="AY64" i="15"/>
  <c r="AY62" i="4"/>
  <c r="AY96" i="4"/>
  <c r="AY60" i="15"/>
  <c r="AZ60" i="2"/>
  <c r="AZ115" i="15"/>
  <c r="AW123" i="15"/>
  <c r="AZ57" i="15"/>
  <c r="AZ117" i="2"/>
  <c r="AZ145" i="15"/>
  <c r="AZ148" i="2"/>
  <c r="AZ119" i="2"/>
  <c r="AW158" i="2"/>
  <c r="AW157" i="15"/>
  <c r="AZ64" i="2"/>
  <c r="AZ118" i="2"/>
  <c r="AY152" i="15"/>
  <c r="AZ152" i="2"/>
  <c r="AY66" i="15"/>
  <c r="AZ66" i="2"/>
  <c r="AZ144" i="15"/>
  <c r="AY150" i="15"/>
  <c r="AZ150" i="2"/>
  <c r="AX158" i="2"/>
  <c r="AX157" i="15"/>
  <c r="AX120" i="15"/>
  <c r="AY120" i="2"/>
  <c r="AX123" i="2"/>
  <c r="AZ147" i="2"/>
  <c r="AZ64" i="4" l="1"/>
  <c r="AZ148" i="4"/>
  <c r="AY118" i="15"/>
  <c r="AZ120" i="4"/>
  <c r="AZ117" i="4"/>
  <c r="BA117" i="4" s="1"/>
  <c r="AX60" i="15"/>
  <c r="AZ118" i="4"/>
  <c r="AZ61" i="4"/>
  <c r="AZ150" i="4"/>
  <c r="AZ150" i="15" s="1"/>
  <c r="AZ194" i="4"/>
  <c r="CH194" i="4" s="1"/>
  <c r="BB252" i="2"/>
  <c r="BB2" i="2"/>
  <c r="AZ154" i="2"/>
  <c r="AZ149" i="2"/>
  <c r="BA149" i="2" s="1"/>
  <c r="BB149" i="2" s="1"/>
  <c r="BB256" i="2"/>
  <c r="BC54" i="8" s="1"/>
  <c r="BC60" i="8" s="1"/>
  <c r="AY151" i="15"/>
  <c r="AW195" i="15"/>
  <c r="AU35" i="8"/>
  <c r="AS139" i="2"/>
  <c r="AT36" i="8" s="1"/>
  <c r="AX195" i="2"/>
  <c r="BS37" i="10"/>
  <c r="BS36" i="10"/>
  <c r="BS4" i="10"/>
  <c r="BT5" i="10"/>
  <c r="BB54" i="8"/>
  <c r="BB60" i="8" s="1"/>
  <c r="AY157" i="4"/>
  <c r="AY158" i="4" s="1"/>
  <c r="BC4" i="4"/>
  <c r="AZ65" i="2"/>
  <c r="BA65" i="2" s="1"/>
  <c r="AZ67" i="4"/>
  <c r="BA67" i="4" s="1"/>
  <c r="BB67" i="4" s="1"/>
  <c r="AX67" i="15"/>
  <c r="AY67" i="2"/>
  <c r="AZ67" i="2" s="1"/>
  <c r="AY91" i="2"/>
  <c r="AY91" i="15" s="1"/>
  <c r="AX91" i="15"/>
  <c r="AZ92" i="2"/>
  <c r="CH92" i="2" s="1"/>
  <c r="AZ63" i="4"/>
  <c r="BA63" i="4" s="1"/>
  <c r="BB63" i="4" s="1"/>
  <c r="CH58" i="4"/>
  <c r="AZ65" i="4"/>
  <c r="AZ87" i="15"/>
  <c r="CH87" i="15" s="1"/>
  <c r="AZ89" i="2"/>
  <c r="BA89" i="2" s="1"/>
  <c r="AZ194" i="2"/>
  <c r="CH194" i="2" s="1"/>
  <c r="AY90" i="2"/>
  <c r="AX96" i="2"/>
  <c r="AX96" i="15" s="1"/>
  <c r="AX90" i="15"/>
  <c r="BB2" i="4"/>
  <c r="BB252" i="4"/>
  <c r="BB253" i="4"/>
  <c r="AZ58" i="15"/>
  <c r="AZ61" i="2"/>
  <c r="BA61" i="2" s="1"/>
  <c r="CH91" i="4"/>
  <c r="AX74" i="2"/>
  <c r="AX74" i="15" s="1"/>
  <c r="AY63" i="2"/>
  <c r="AX63" i="15"/>
  <c r="AZ153" i="2"/>
  <c r="AZ153" i="15" s="1"/>
  <c r="BN4" i="8"/>
  <c r="BN88" i="8"/>
  <c r="BO5" i="8"/>
  <c r="BN89" i="8"/>
  <c r="BB145" i="15"/>
  <c r="BB58" i="15"/>
  <c r="BB87" i="15"/>
  <c r="BB115" i="15"/>
  <c r="BB194" i="4"/>
  <c r="BC2" i="2"/>
  <c r="BC256" i="2"/>
  <c r="BC253" i="2"/>
  <c r="BC252" i="2"/>
  <c r="BC144" i="2"/>
  <c r="BC87" i="2"/>
  <c r="BC57" i="2"/>
  <c r="BC145" i="2"/>
  <c r="BC115" i="2"/>
  <c r="BC58" i="2"/>
  <c r="BD4" i="2"/>
  <c r="BB57" i="15"/>
  <c r="BB194" i="2"/>
  <c r="BB144" i="15"/>
  <c r="BA194" i="15"/>
  <c r="BC256" i="4"/>
  <c r="BC253" i="4"/>
  <c r="BC252" i="4"/>
  <c r="BC145" i="4"/>
  <c r="BC144" i="4"/>
  <c r="BC115" i="4"/>
  <c r="BC87" i="4"/>
  <c r="BC58" i="4"/>
  <c r="BC57" i="4"/>
  <c r="BD4" i="4"/>
  <c r="BC2" i="4"/>
  <c r="BA147" i="4"/>
  <c r="BB147" i="4" s="1"/>
  <c r="BA90" i="4"/>
  <c r="BB90" i="4" s="1"/>
  <c r="BA150" i="2"/>
  <c r="BA66" i="2"/>
  <c r="BA151" i="2"/>
  <c r="BA119" i="4"/>
  <c r="BA64" i="4"/>
  <c r="BB64" i="4" s="1"/>
  <c r="BA92" i="4"/>
  <c r="BA65" i="4"/>
  <c r="BA152" i="2"/>
  <c r="BA118" i="2"/>
  <c r="BA154" i="2"/>
  <c r="BA118" i="4"/>
  <c r="BB118" i="4" s="1"/>
  <c r="BA120" i="4"/>
  <c r="BB120" i="4" s="1"/>
  <c r="BA149" i="4"/>
  <c r="BA66" i="4"/>
  <c r="BA153" i="4"/>
  <c r="BB153" i="4" s="1"/>
  <c r="BA148" i="4"/>
  <c r="BA60" i="4"/>
  <c r="BB60" i="4" s="1"/>
  <c r="BA117" i="2"/>
  <c r="BA147" i="2"/>
  <c r="BA64" i="2"/>
  <c r="BA119" i="2"/>
  <c r="BA148" i="2"/>
  <c r="BA60" i="2"/>
  <c r="BA154" i="4"/>
  <c r="BB154" i="4" s="1"/>
  <c r="BA151" i="4"/>
  <c r="BA152" i="4"/>
  <c r="BB152" i="4" s="1"/>
  <c r="BA89" i="4"/>
  <c r="BB89" i="4" s="1"/>
  <c r="BA61" i="4"/>
  <c r="BB61" i="4" s="1"/>
  <c r="BA62" i="2"/>
  <c r="BB91" i="4"/>
  <c r="CF150" i="2"/>
  <c r="CG150" i="2"/>
  <c r="CH150" i="2"/>
  <c r="AZ151" i="15"/>
  <c r="CF151" i="2"/>
  <c r="CG151" i="2"/>
  <c r="CH151" i="2"/>
  <c r="CF67" i="2"/>
  <c r="CG67" i="2"/>
  <c r="AZ154" i="15"/>
  <c r="CF154" i="2"/>
  <c r="CG154" i="2"/>
  <c r="CH154" i="2"/>
  <c r="CF63" i="2"/>
  <c r="CG63" i="2"/>
  <c r="CG115" i="15"/>
  <c r="CH115" i="15"/>
  <c r="CF118" i="4"/>
  <c r="CG118" i="4"/>
  <c r="CH118" i="4"/>
  <c r="CF120" i="4"/>
  <c r="CG120" i="4"/>
  <c r="CH120" i="4"/>
  <c r="CF149" i="4"/>
  <c r="CG149" i="4"/>
  <c r="CH149" i="4"/>
  <c r="CF66" i="4"/>
  <c r="CG66" i="4"/>
  <c r="CH66" i="4"/>
  <c r="CF153" i="4"/>
  <c r="CG153" i="4"/>
  <c r="CH153" i="4"/>
  <c r="CF148" i="4"/>
  <c r="CG148" i="4"/>
  <c r="CH148" i="4"/>
  <c r="CF60" i="4"/>
  <c r="CG60" i="4"/>
  <c r="CH60" i="4"/>
  <c r="CF150" i="4"/>
  <c r="CG150" i="4"/>
  <c r="CH150" i="4"/>
  <c r="CG144" i="15"/>
  <c r="CH144" i="15"/>
  <c r="AZ147" i="15"/>
  <c r="CF147" i="2"/>
  <c r="CG147" i="2"/>
  <c r="CH147" i="2"/>
  <c r="CF92" i="2"/>
  <c r="CG92" i="2"/>
  <c r="AZ64" i="15"/>
  <c r="CF64" i="2"/>
  <c r="CG64" i="2"/>
  <c r="CH64" i="2"/>
  <c r="CF119" i="2"/>
  <c r="CG119" i="2"/>
  <c r="CH119" i="2"/>
  <c r="AZ148" i="15"/>
  <c r="CF148" i="2"/>
  <c r="CG148" i="2"/>
  <c r="CH148" i="2"/>
  <c r="CF153" i="2"/>
  <c r="CG153" i="2"/>
  <c r="CH153" i="2"/>
  <c r="CF149" i="2"/>
  <c r="CG149" i="2"/>
  <c r="CF61" i="2"/>
  <c r="CG61" i="2"/>
  <c r="CH61" i="2"/>
  <c r="CG194" i="2"/>
  <c r="CF60" i="2"/>
  <c r="CG60" i="2"/>
  <c r="CH60" i="2"/>
  <c r="CF63" i="4"/>
  <c r="CG63" i="4"/>
  <c r="CF154" i="4"/>
  <c r="CG154" i="4"/>
  <c r="CH154" i="4"/>
  <c r="CG67" i="4"/>
  <c r="CH67" i="4"/>
  <c r="CF117" i="4"/>
  <c r="CG117" i="4"/>
  <c r="CH117" i="4"/>
  <c r="CF151" i="4"/>
  <c r="CG151" i="4"/>
  <c r="CH151" i="4"/>
  <c r="CF152" i="4"/>
  <c r="CG152" i="4"/>
  <c r="CH152" i="4"/>
  <c r="CF89" i="4"/>
  <c r="CG89" i="4"/>
  <c r="CH89" i="4"/>
  <c r="CF61" i="4"/>
  <c r="CG61" i="4"/>
  <c r="CH61" i="4"/>
  <c r="CF90" i="2"/>
  <c r="CG90" i="2"/>
  <c r="AZ118" i="15"/>
  <c r="CF118" i="2"/>
  <c r="CG118" i="2"/>
  <c r="CH118" i="2"/>
  <c r="CG145" i="15"/>
  <c r="CH145" i="15"/>
  <c r="AZ117" i="15"/>
  <c r="CF117" i="2"/>
  <c r="CG117" i="2"/>
  <c r="CH117" i="2"/>
  <c r="CF57" i="15"/>
  <c r="CG57" i="15"/>
  <c r="CH57" i="15"/>
  <c r="CG194" i="4"/>
  <c r="AZ96" i="4"/>
  <c r="CF90" i="4"/>
  <c r="CG90" i="4"/>
  <c r="CH90" i="4"/>
  <c r="CF147" i="4"/>
  <c r="CG147" i="4"/>
  <c r="CH147" i="4"/>
  <c r="AZ152" i="15"/>
  <c r="CF152" i="2"/>
  <c r="CG152" i="2"/>
  <c r="CH152" i="2"/>
  <c r="CF66" i="2"/>
  <c r="CG66" i="2"/>
  <c r="CH66" i="2"/>
  <c r="CG87" i="15"/>
  <c r="AZ89" i="15"/>
  <c r="CF89" i="2"/>
  <c r="CG89" i="2"/>
  <c r="CH89" i="2"/>
  <c r="CF58" i="15"/>
  <c r="CG58" i="15"/>
  <c r="CH58" i="15"/>
  <c r="CF91" i="2"/>
  <c r="CG91" i="2"/>
  <c r="CF119" i="4"/>
  <c r="CG119" i="4"/>
  <c r="CH119" i="4"/>
  <c r="CF64" i="4"/>
  <c r="CG64" i="4"/>
  <c r="CH64" i="4"/>
  <c r="CF92" i="4"/>
  <c r="CG92" i="4"/>
  <c r="CH92" i="4"/>
  <c r="CF65" i="4"/>
  <c r="CG65" i="4"/>
  <c r="CH65" i="4"/>
  <c r="CF62" i="2"/>
  <c r="CG62" i="2"/>
  <c r="CH62" i="2"/>
  <c r="CF65" i="2"/>
  <c r="CG65" i="2"/>
  <c r="CH65" i="2"/>
  <c r="AZ119" i="15"/>
  <c r="AZ65" i="15"/>
  <c r="AY62" i="15"/>
  <c r="AY157" i="2"/>
  <c r="AY158" i="2" s="1"/>
  <c r="AZ157" i="4"/>
  <c r="AZ66" i="15"/>
  <c r="AZ123" i="4"/>
  <c r="AY74" i="4"/>
  <c r="AZ62" i="4"/>
  <c r="AY195" i="4"/>
  <c r="AY123" i="2"/>
  <c r="AW158" i="15"/>
  <c r="AZ60" i="15"/>
  <c r="AZ120" i="2"/>
  <c r="AY120" i="15"/>
  <c r="AX158" i="15"/>
  <c r="AX123" i="15"/>
  <c r="AY195" i="2"/>
  <c r="U79" i="8"/>
  <c r="BA150" i="4" l="1"/>
  <c r="BB150" i="4" s="1"/>
  <c r="AZ61" i="15"/>
  <c r="CH61" i="15" s="1"/>
  <c r="CH63" i="4"/>
  <c r="AZ149" i="15"/>
  <c r="CH149" i="2"/>
  <c r="AZ92" i="15"/>
  <c r="CH92" i="15" s="1"/>
  <c r="BA92" i="2"/>
  <c r="BA92" i="15" s="1"/>
  <c r="AV35" i="8"/>
  <c r="AT139" i="2"/>
  <c r="AU36" i="8" s="1"/>
  <c r="BT37" i="10"/>
  <c r="BU5" i="10"/>
  <c r="BT4" i="10"/>
  <c r="BT36" i="10"/>
  <c r="AY158" i="15"/>
  <c r="AY67" i="15"/>
  <c r="BC147" i="4"/>
  <c r="CH67" i="2"/>
  <c r="BA67" i="2"/>
  <c r="BB67" i="2" s="1"/>
  <c r="BB67" i="15" s="1"/>
  <c r="AZ67" i="15"/>
  <c r="AX195" i="15"/>
  <c r="AZ91" i="2"/>
  <c r="AZ157" i="2"/>
  <c r="AZ158" i="2" s="1"/>
  <c r="AY90" i="15"/>
  <c r="AZ90" i="2"/>
  <c r="AY96" i="2"/>
  <c r="AY96" i="15" s="1"/>
  <c r="BA153" i="2"/>
  <c r="BA153" i="15" s="1"/>
  <c r="AZ63" i="2"/>
  <c r="AY63" i="15"/>
  <c r="AY74" i="2"/>
  <c r="BO89" i="8"/>
  <c r="BO88" i="8"/>
  <c r="BO4" i="8"/>
  <c r="BP5" i="8"/>
  <c r="BC152" i="4"/>
  <c r="BC154" i="4"/>
  <c r="BA147" i="15"/>
  <c r="BA154" i="15"/>
  <c r="BA152" i="15"/>
  <c r="BA119" i="15"/>
  <c r="BD54" i="8"/>
  <c r="BD60" i="8" s="1"/>
  <c r="BA64" i="15"/>
  <c r="BA65" i="15"/>
  <c r="BC194" i="4"/>
  <c r="BA60" i="15"/>
  <c r="BC64" i="4"/>
  <c r="AY157" i="15"/>
  <c r="BC153" i="4"/>
  <c r="BB118" i="2"/>
  <c r="BB118" i="15" s="1"/>
  <c r="BA118" i="15"/>
  <c r="BB151" i="2"/>
  <c r="BC151" i="2" s="1"/>
  <c r="BA151" i="15"/>
  <c r="BD2" i="2"/>
  <c r="BD256" i="2"/>
  <c r="BD253" i="2"/>
  <c r="BD252" i="2"/>
  <c r="BD145" i="2"/>
  <c r="BD144" i="2"/>
  <c r="BD115" i="2"/>
  <c r="BD87" i="2"/>
  <c r="BD58" i="2"/>
  <c r="BD57" i="2"/>
  <c r="BE4" i="2"/>
  <c r="BC57" i="15"/>
  <c r="BA61" i="15"/>
  <c r="BB148" i="2"/>
  <c r="BC148" i="2" s="1"/>
  <c r="BA148" i="15"/>
  <c r="BA66" i="15"/>
  <c r="BC58" i="15"/>
  <c r="BC87" i="15"/>
  <c r="BC149" i="2"/>
  <c r="BA149" i="15"/>
  <c r="BD256" i="4"/>
  <c r="BD253" i="4"/>
  <c r="BD252" i="4"/>
  <c r="BD145" i="4"/>
  <c r="BD144" i="4"/>
  <c r="BD115" i="4"/>
  <c r="BD87" i="4"/>
  <c r="BD58" i="4"/>
  <c r="BD57" i="4"/>
  <c r="BE4" i="4"/>
  <c r="BD2" i="4"/>
  <c r="BB194" i="15"/>
  <c r="BC115" i="15"/>
  <c r="BC194" i="2"/>
  <c r="BC144" i="15"/>
  <c r="BB117" i="2"/>
  <c r="BC117" i="2" s="1"/>
  <c r="BA117" i="15"/>
  <c r="BA89" i="15"/>
  <c r="BC145" i="15"/>
  <c r="BC61" i="4"/>
  <c r="BB148" i="4"/>
  <c r="BC148" i="4" s="1"/>
  <c r="BC118" i="4"/>
  <c r="BA62" i="4"/>
  <c r="BA62" i="15" s="1"/>
  <c r="BA123" i="4"/>
  <c r="BB61" i="2"/>
  <c r="BB61" i="15" s="1"/>
  <c r="BB64" i="2"/>
  <c r="BB64" i="15" s="1"/>
  <c r="BB147" i="2"/>
  <c r="BB147" i="15" s="1"/>
  <c r="BB66" i="4"/>
  <c r="BC66" i="4" s="1"/>
  <c r="BB152" i="2"/>
  <c r="BB152" i="15" s="1"/>
  <c r="BC91" i="4"/>
  <c r="BB66" i="2"/>
  <c r="BC90" i="4"/>
  <c r="BA157" i="4"/>
  <c r="BA120" i="2"/>
  <c r="BA123" i="2" s="1"/>
  <c r="BC89" i="4"/>
  <c r="BB117" i="4"/>
  <c r="BC67" i="4"/>
  <c r="BC63" i="4"/>
  <c r="BB60" i="2"/>
  <c r="BB60" i="15" s="1"/>
  <c r="BB119" i="2"/>
  <c r="BC150" i="4"/>
  <c r="BC60" i="4"/>
  <c r="BC120" i="4"/>
  <c r="BB154" i="2"/>
  <c r="BB154" i="15" s="1"/>
  <c r="BB65" i="4"/>
  <c r="BC65" i="4" s="1"/>
  <c r="BB92" i="4"/>
  <c r="BB89" i="2"/>
  <c r="BB89" i="15" s="1"/>
  <c r="BB150" i="2"/>
  <c r="BB150" i="15" s="1"/>
  <c r="BB151" i="4"/>
  <c r="BB149" i="4"/>
  <c r="BB149" i="15" s="1"/>
  <c r="BB65" i="2"/>
  <c r="BB62" i="2"/>
  <c r="BA96" i="4"/>
  <c r="BB119" i="4"/>
  <c r="AZ120" i="15"/>
  <c r="CF120" i="2"/>
  <c r="CG120" i="2"/>
  <c r="CH120" i="2"/>
  <c r="CG149" i="15"/>
  <c r="CH149" i="15"/>
  <c r="CG118" i="15"/>
  <c r="CH118" i="15"/>
  <c r="CG90" i="15"/>
  <c r="CG61" i="15"/>
  <c r="CG92" i="15"/>
  <c r="CG147" i="15"/>
  <c r="CH147" i="15"/>
  <c r="CG63" i="15"/>
  <c r="CG154" i="15"/>
  <c r="CH154" i="15"/>
  <c r="CF60" i="15"/>
  <c r="CG60" i="15"/>
  <c r="CH60" i="15"/>
  <c r="CF67" i="15"/>
  <c r="CG67" i="15"/>
  <c r="CG123" i="4"/>
  <c r="CH123" i="4"/>
  <c r="CG65" i="15"/>
  <c r="CH65" i="15"/>
  <c r="CG119" i="15"/>
  <c r="CH119" i="15"/>
  <c r="CG89" i="15"/>
  <c r="CH89" i="15"/>
  <c r="CG96" i="4"/>
  <c r="CH96" i="4"/>
  <c r="CG74" i="2"/>
  <c r="CG157" i="2"/>
  <c r="CF62" i="4"/>
  <c r="CG62" i="4"/>
  <c r="CH62" i="4"/>
  <c r="CG91" i="15"/>
  <c r="CG152" i="15"/>
  <c r="CH152" i="15"/>
  <c r="CG117" i="15"/>
  <c r="CH117" i="15"/>
  <c r="CF64" i="15"/>
  <c r="CG64" i="15"/>
  <c r="CH64" i="15"/>
  <c r="CE96" i="2"/>
  <c r="CG96" i="2"/>
  <c r="CG66" i="15"/>
  <c r="CH66" i="15"/>
  <c r="AZ158" i="4"/>
  <c r="CG157" i="4"/>
  <c r="CH157" i="4"/>
  <c r="CG153" i="15"/>
  <c r="CH153" i="15"/>
  <c r="CG148" i="15"/>
  <c r="CH148" i="15"/>
  <c r="CG151" i="15"/>
  <c r="CH151" i="15"/>
  <c r="CG150" i="15"/>
  <c r="CH150" i="15"/>
  <c r="AZ62" i="15"/>
  <c r="AZ195" i="4"/>
  <c r="AZ74" i="4"/>
  <c r="AZ256" i="4"/>
  <c r="H11" i="14"/>
  <c r="J11" i="14"/>
  <c r="AY123" i="15"/>
  <c r="AZ123" i="2"/>
  <c r="AZ157" i="15"/>
  <c r="V79" i="8"/>
  <c r="BA150" i="15" l="1"/>
  <c r="BD147" i="4"/>
  <c r="BA67" i="15"/>
  <c r="CH157" i="2"/>
  <c r="BA157" i="2"/>
  <c r="BB153" i="2"/>
  <c r="BB153" i="15" s="1"/>
  <c r="CH67" i="15"/>
  <c r="BB92" i="2"/>
  <c r="BC92" i="2" s="1"/>
  <c r="AU139" i="2"/>
  <c r="AV36" i="8" s="1"/>
  <c r="AW35" i="8"/>
  <c r="BU37" i="10"/>
  <c r="BU36" i="10"/>
  <c r="BU4" i="10"/>
  <c r="BV5" i="10"/>
  <c r="AZ256" i="2"/>
  <c r="BA54" i="8" s="1"/>
  <c r="BA60" i="8" s="1"/>
  <c r="AZ195" i="2"/>
  <c r="AY195" i="15"/>
  <c r="BA91" i="2"/>
  <c r="CH91" i="2"/>
  <c r="AZ91" i="15"/>
  <c r="CH91" i="15" s="1"/>
  <c r="CH90" i="2"/>
  <c r="BA90" i="2"/>
  <c r="AZ90" i="15"/>
  <c r="CH90" i="15" s="1"/>
  <c r="AZ96" i="2"/>
  <c r="AY74" i="15"/>
  <c r="AZ63" i="15"/>
  <c r="CH63" i="15" s="1"/>
  <c r="AZ74" i="2"/>
  <c r="CH74" i="2" s="1"/>
  <c r="BA63" i="2"/>
  <c r="CH63" i="2"/>
  <c r="BP4" i="8"/>
  <c r="BP89" i="8"/>
  <c r="BQ5" i="8"/>
  <c r="BP88" i="8"/>
  <c r="BD152" i="4"/>
  <c r="BD154" i="4"/>
  <c r="BC153" i="2"/>
  <c r="BC153" i="15" s="1"/>
  <c r="BA157" i="15"/>
  <c r="BD149" i="2"/>
  <c r="BD153" i="4"/>
  <c r="BC154" i="2"/>
  <c r="BC154" i="15" s="1"/>
  <c r="BC152" i="2"/>
  <c r="BC152" i="15" s="1"/>
  <c r="BD118" i="4"/>
  <c r="BD63" i="4"/>
  <c r="BE54" i="8"/>
  <c r="BE60" i="8" s="1"/>
  <c r="BD64" i="4"/>
  <c r="BA74" i="4"/>
  <c r="BB65" i="15"/>
  <c r="BB92" i="15"/>
  <c r="BB66" i="15"/>
  <c r="BC118" i="2"/>
  <c r="BD194" i="4"/>
  <c r="BA123" i="15"/>
  <c r="BC194" i="15"/>
  <c r="BD58" i="15"/>
  <c r="BD145" i="15"/>
  <c r="BB117" i="15"/>
  <c r="BE145" i="4"/>
  <c r="BE144" i="4"/>
  <c r="BE147" i="4" s="1"/>
  <c r="BE115" i="4"/>
  <c r="BE87" i="4"/>
  <c r="BE58" i="4"/>
  <c r="BE57" i="4"/>
  <c r="BE253" i="4"/>
  <c r="BE256" i="4"/>
  <c r="BE252" i="4"/>
  <c r="BF4" i="4"/>
  <c r="BE2" i="4"/>
  <c r="BD87" i="15"/>
  <c r="BC119" i="2"/>
  <c r="BD119" i="2" s="1"/>
  <c r="BB119" i="15"/>
  <c r="BA120" i="15"/>
  <c r="BB148" i="15"/>
  <c r="BE2" i="2"/>
  <c r="BE256" i="2"/>
  <c r="BE253" i="2"/>
  <c r="BE252" i="2"/>
  <c r="BE145" i="2"/>
  <c r="BE144" i="2"/>
  <c r="BE149" i="2" s="1"/>
  <c r="BE115" i="2"/>
  <c r="BE87" i="2"/>
  <c r="BE58" i="2"/>
  <c r="BE57" i="2"/>
  <c r="BF4" i="2"/>
  <c r="BD115" i="15"/>
  <c r="BD151" i="2"/>
  <c r="BB157" i="4"/>
  <c r="BB158" i="4" s="1"/>
  <c r="BA195" i="4"/>
  <c r="BC148" i="15"/>
  <c r="BD57" i="15"/>
  <c r="BD194" i="2"/>
  <c r="BD144" i="15"/>
  <c r="BB151" i="15"/>
  <c r="BD148" i="4"/>
  <c r="BB62" i="4"/>
  <c r="BD61" i="4"/>
  <c r="BD90" i="4"/>
  <c r="BD65" i="4"/>
  <c r="BC60" i="2"/>
  <c r="BC60" i="15" s="1"/>
  <c r="BB120" i="2"/>
  <c r="BB120" i="15" s="1"/>
  <c r="BA158" i="4"/>
  <c r="BD120" i="4"/>
  <c r="BA158" i="2"/>
  <c r="BD148" i="2"/>
  <c r="BD66" i="4"/>
  <c r="BC62" i="2"/>
  <c r="BC151" i="4"/>
  <c r="BC151" i="15" s="1"/>
  <c r="BB96" i="4"/>
  <c r="BC66" i="2"/>
  <c r="BC66" i="15" s="1"/>
  <c r="BD91" i="4"/>
  <c r="BC149" i="4"/>
  <c r="BC149" i="15" s="1"/>
  <c r="BB157" i="2"/>
  <c r="BC147" i="2"/>
  <c r="BC147" i="15" s="1"/>
  <c r="BD89" i="4"/>
  <c r="BD150" i="4"/>
  <c r="BC150" i="2"/>
  <c r="BC150" i="15" s="1"/>
  <c r="BC89" i="2"/>
  <c r="BD117" i="2"/>
  <c r="BC64" i="2"/>
  <c r="BC61" i="2"/>
  <c r="BC61" i="15" s="1"/>
  <c r="BC65" i="2"/>
  <c r="BC65" i="15" s="1"/>
  <c r="BD60" i="4"/>
  <c r="BD67" i="4"/>
  <c r="BC119" i="4"/>
  <c r="BC92" i="4"/>
  <c r="BB123" i="4"/>
  <c r="BC117" i="4"/>
  <c r="BC117" i="15" s="1"/>
  <c r="BC67" i="2"/>
  <c r="CG195" i="15"/>
  <c r="L25" i="14" s="1"/>
  <c r="X25" i="14" s="1"/>
  <c r="CF62" i="15"/>
  <c r="CG62" i="15"/>
  <c r="CH62" i="15"/>
  <c r="CG74" i="4"/>
  <c r="CH74" i="4"/>
  <c r="CF157" i="15"/>
  <c r="CG157" i="15"/>
  <c r="CH157" i="15"/>
  <c r="CE96" i="15"/>
  <c r="CF96" i="15"/>
  <c r="CG96" i="15"/>
  <c r="CG158" i="2"/>
  <c r="CH158" i="2"/>
  <c r="CG195" i="4"/>
  <c r="CH195" i="4"/>
  <c r="CG123" i="2"/>
  <c r="CH123" i="2"/>
  <c r="CG195" i="2"/>
  <c r="CG158" i="4"/>
  <c r="CH158" i="4"/>
  <c r="CG120" i="15"/>
  <c r="CH120" i="15"/>
  <c r="CC174" i="4"/>
  <c r="H10" i="14"/>
  <c r="AZ123" i="15"/>
  <c r="J10" i="14"/>
  <c r="AZ158" i="15"/>
  <c r="W79" i="8"/>
  <c r="BD153" i="2" l="1"/>
  <c r="BD153" i="15" s="1"/>
  <c r="BA195" i="2"/>
  <c r="BD154" i="2"/>
  <c r="BD154" i="15" s="1"/>
  <c r="AX35" i="8"/>
  <c r="AV139" i="2"/>
  <c r="AW36" i="8" s="1"/>
  <c r="BW5" i="10"/>
  <c r="BV36" i="10"/>
  <c r="BV4" i="10"/>
  <c r="BV37" i="10"/>
  <c r="CH195" i="2"/>
  <c r="BE64" i="4"/>
  <c r="BD152" i="2"/>
  <c r="BD152" i="15" s="1"/>
  <c r="AZ74" i="15"/>
  <c r="CH74" i="15" s="1"/>
  <c r="BA91" i="15"/>
  <c r="BB91" i="2"/>
  <c r="CH96" i="2"/>
  <c r="AZ96" i="15"/>
  <c r="CH96" i="15" s="1"/>
  <c r="BA90" i="15"/>
  <c r="BB90" i="2"/>
  <c r="BA96" i="2"/>
  <c r="BA96" i="15" s="1"/>
  <c r="AZ195" i="15"/>
  <c r="CH195" i="15" s="1"/>
  <c r="N25" i="14" s="1"/>
  <c r="Z25" i="14" s="1"/>
  <c r="BA63" i="15"/>
  <c r="BA74" i="2"/>
  <c r="BB63" i="2"/>
  <c r="BE151" i="2"/>
  <c r="BQ89" i="8"/>
  <c r="BQ4" i="8"/>
  <c r="BQ88" i="8"/>
  <c r="BR5" i="8"/>
  <c r="BE152" i="4"/>
  <c r="BE153" i="4"/>
  <c r="BD148" i="15"/>
  <c r="BE144" i="15"/>
  <c r="BB195" i="4"/>
  <c r="BE154" i="4"/>
  <c r="BE90" i="4"/>
  <c r="BE118" i="4"/>
  <c r="BE57" i="15"/>
  <c r="BE63" i="4"/>
  <c r="BE58" i="15"/>
  <c r="BE120" i="4"/>
  <c r="BB74" i="4"/>
  <c r="BE66" i="4"/>
  <c r="BE67" i="4"/>
  <c r="BD66" i="2"/>
  <c r="BD66" i="15" s="1"/>
  <c r="BC92" i="15"/>
  <c r="BE61" i="4"/>
  <c r="BC118" i="15"/>
  <c r="BD118" i="2"/>
  <c r="BD118" i="15" s="1"/>
  <c r="BD60" i="2"/>
  <c r="BD60" i="15" s="1"/>
  <c r="BD64" i="2"/>
  <c r="BD64" i="15" s="1"/>
  <c r="BC64" i="15"/>
  <c r="BD194" i="15"/>
  <c r="BE194" i="2"/>
  <c r="BE145" i="15"/>
  <c r="BF54" i="8"/>
  <c r="BF60" i="8" s="1"/>
  <c r="BE117" i="2"/>
  <c r="BB158" i="2"/>
  <c r="BB158" i="15" s="1"/>
  <c r="BB157" i="15"/>
  <c r="BE87" i="15"/>
  <c r="BD67" i="2"/>
  <c r="BD67" i="15" s="1"/>
  <c r="BC67" i="15"/>
  <c r="BD89" i="2"/>
  <c r="BD89" i="15" s="1"/>
  <c r="BC89" i="15"/>
  <c r="BA158" i="15"/>
  <c r="BD92" i="2"/>
  <c r="BF2" i="2"/>
  <c r="BF145" i="2"/>
  <c r="BF144" i="2"/>
  <c r="BF149" i="2" s="1"/>
  <c r="BF115" i="2"/>
  <c r="BF87" i="2"/>
  <c r="BF58" i="2"/>
  <c r="BF57" i="2"/>
  <c r="BF253" i="2"/>
  <c r="BF252" i="2"/>
  <c r="BG4" i="2"/>
  <c r="BF256" i="2"/>
  <c r="BE115" i="15"/>
  <c r="BC119" i="15"/>
  <c r="BF256" i="4"/>
  <c r="BF253" i="4"/>
  <c r="BF252" i="4"/>
  <c r="BF145" i="4"/>
  <c r="BF115" i="4"/>
  <c r="BF58" i="4"/>
  <c r="BG4" i="4"/>
  <c r="BF57" i="4"/>
  <c r="BF64" i="4" s="1"/>
  <c r="BF2" i="4"/>
  <c r="BF144" i="4"/>
  <c r="BF87" i="4"/>
  <c r="BE194" i="4"/>
  <c r="BB62" i="15"/>
  <c r="BC62" i="4"/>
  <c r="BC62" i="15" s="1"/>
  <c r="BE60" i="4"/>
  <c r="BE148" i="4"/>
  <c r="BD150" i="2"/>
  <c r="BD150" i="15" s="1"/>
  <c r="BC157" i="2"/>
  <c r="BD147" i="2"/>
  <c r="BD147" i="15" s="1"/>
  <c r="BE91" i="4"/>
  <c r="BD151" i="4"/>
  <c r="BD151" i="15" s="1"/>
  <c r="BC123" i="4"/>
  <c r="BE153" i="2"/>
  <c r="BE150" i="4"/>
  <c r="BD65" i="2"/>
  <c r="BD65" i="15" s="1"/>
  <c r="BC120" i="2"/>
  <c r="BB123" i="2"/>
  <c r="BB123" i="15" s="1"/>
  <c r="BD62" i="2"/>
  <c r="BD92" i="4"/>
  <c r="BE92" i="4" s="1"/>
  <c r="BD119" i="4"/>
  <c r="BE119" i="4" s="1"/>
  <c r="BC96" i="4"/>
  <c r="BC157" i="4"/>
  <c r="BD149" i="4"/>
  <c r="BD149" i="15" s="1"/>
  <c r="BE119" i="2"/>
  <c r="BE152" i="2"/>
  <c r="BD117" i="4"/>
  <c r="BD117" i="15" s="1"/>
  <c r="BE148" i="2"/>
  <c r="BE65" i="4"/>
  <c r="BD61" i="2"/>
  <c r="BD61" i="15" s="1"/>
  <c r="BE89" i="4"/>
  <c r="CE74" i="15"/>
  <c r="CF74" i="15"/>
  <c r="CG74" i="15"/>
  <c r="CF158" i="15"/>
  <c r="CG158" i="15"/>
  <c r="CH158" i="15"/>
  <c r="CF123" i="15"/>
  <c r="CG123" i="15"/>
  <c r="CH123" i="15"/>
  <c r="X79" i="8"/>
  <c r="BF152" i="4" l="1"/>
  <c r="BE154" i="2"/>
  <c r="BF154" i="2" s="1"/>
  <c r="AY35" i="8"/>
  <c r="AW139" i="2"/>
  <c r="AX36" i="8" s="1"/>
  <c r="BW37" i="10"/>
  <c r="BY23" i="10" s="1"/>
  <c r="BW36" i="10"/>
  <c r="BW4" i="10"/>
  <c r="D29" i="12"/>
  <c r="BF90" i="4"/>
  <c r="BA74" i="15"/>
  <c r="BB195" i="2"/>
  <c r="BB91" i="15"/>
  <c r="BC91" i="2"/>
  <c r="BA195" i="15"/>
  <c r="BB90" i="15"/>
  <c r="BB96" i="2"/>
  <c r="BB96" i="15" s="1"/>
  <c r="BC90" i="2"/>
  <c r="BE153" i="15"/>
  <c r="BE64" i="2"/>
  <c r="BE64" i="15" s="1"/>
  <c r="BF153" i="4"/>
  <c r="BB63" i="15"/>
  <c r="BB74" i="2"/>
  <c r="BB74" i="15" s="1"/>
  <c r="BC63" i="2"/>
  <c r="BE154" i="15"/>
  <c r="BR88" i="8"/>
  <c r="BS5" i="8"/>
  <c r="BR89" i="8"/>
  <c r="BR4" i="8"/>
  <c r="BE152" i="15"/>
  <c r="BF154" i="4"/>
  <c r="BE148" i="15"/>
  <c r="BF151" i="2"/>
  <c r="BF118" i="4"/>
  <c r="BG54" i="8"/>
  <c r="BG60" i="8" s="1"/>
  <c r="BE66" i="2"/>
  <c r="BE66" i="15" s="1"/>
  <c r="BE118" i="2"/>
  <c r="BE118" i="15" s="1"/>
  <c r="BF61" i="4"/>
  <c r="BF67" i="4"/>
  <c r="BE89" i="2"/>
  <c r="BF89" i="2" s="1"/>
  <c r="BE65" i="2"/>
  <c r="BE65" i="15" s="1"/>
  <c r="BE67" i="2"/>
  <c r="BE67" i="15" s="1"/>
  <c r="BE60" i="2"/>
  <c r="BE60" i="15" s="1"/>
  <c r="BF63" i="4"/>
  <c r="BE194" i="15"/>
  <c r="BF66" i="4"/>
  <c r="BD96" i="4"/>
  <c r="BE119" i="15"/>
  <c r="BE147" i="2"/>
  <c r="BG256" i="4"/>
  <c r="BG253" i="4"/>
  <c r="BG252" i="4"/>
  <c r="BG145" i="4"/>
  <c r="BG144" i="4"/>
  <c r="BG115" i="4"/>
  <c r="BG87" i="4"/>
  <c r="BG58" i="4"/>
  <c r="BG57" i="4"/>
  <c r="BG64" i="4" s="1"/>
  <c r="BH4" i="4"/>
  <c r="BG2" i="4"/>
  <c r="BG2" i="2"/>
  <c r="BG256" i="2"/>
  <c r="BG253" i="2"/>
  <c r="BG252" i="2"/>
  <c r="BG145" i="2"/>
  <c r="BG115" i="2"/>
  <c r="BG58" i="2"/>
  <c r="BG57" i="2"/>
  <c r="BG87" i="2"/>
  <c r="BH4" i="2"/>
  <c r="BG144" i="2"/>
  <c r="BF58" i="15"/>
  <c r="BF145" i="15"/>
  <c r="BF147" i="4"/>
  <c r="BG147" i="4" s="1"/>
  <c r="BF153" i="2"/>
  <c r="BF120" i="4"/>
  <c r="BD120" i="2"/>
  <c r="BD120" i="15" s="1"/>
  <c r="BC120" i="15"/>
  <c r="BF60" i="4"/>
  <c r="BF87" i="15"/>
  <c r="BF117" i="2"/>
  <c r="BF115" i="15"/>
  <c r="BD119" i="15"/>
  <c r="BF92" i="4"/>
  <c r="BC158" i="2"/>
  <c r="BC157" i="15"/>
  <c r="BF194" i="4"/>
  <c r="BF57" i="15"/>
  <c r="BF194" i="2"/>
  <c r="BF144" i="15"/>
  <c r="BD92" i="15"/>
  <c r="BE92" i="2"/>
  <c r="BC74" i="4"/>
  <c r="BD62" i="4"/>
  <c r="BD62" i="15" s="1"/>
  <c r="BC195" i="4"/>
  <c r="BF148" i="4"/>
  <c r="BF119" i="4"/>
  <c r="BE61" i="2"/>
  <c r="BE61" i="15" s="1"/>
  <c r="BD123" i="4"/>
  <c r="BE117" i="4"/>
  <c r="BE117" i="15" s="1"/>
  <c r="BF119" i="2"/>
  <c r="BF152" i="2"/>
  <c r="BF152" i="15" s="1"/>
  <c r="BE151" i="4"/>
  <c r="BE151" i="15" s="1"/>
  <c r="BE150" i="2"/>
  <c r="BF64" i="2"/>
  <c r="BF64" i="15" s="1"/>
  <c r="BF148" i="2"/>
  <c r="BF65" i="4"/>
  <c r="BE62" i="2"/>
  <c r="BF150" i="4"/>
  <c r="BF91" i="4"/>
  <c r="BD157" i="2"/>
  <c r="BE96" i="4"/>
  <c r="BF89" i="4"/>
  <c r="BE149" i="4"/>
  <c r="BD157" i="4"/>
  <c r="BD158" i="4" s="1"/>
  <c r="BC158" i="4"/>
  <c r="BC123" i="2"/>
  <c r="Y73" i="8"/>
  <c r="BG152" i="4" l="1"/>
  <c r="BG90" i="4"/>
  <c r="AZ35" i="8"/>
  <c r="AX139" i="2"/>
  <c r="AY36" i="8" s="1"/>
  <c r="Z140" i="4"/>
  <c r="Z178" i="4"/>
  <c r="Z206" i="4"/>
  <c r="Z173" i="4"/>
  <c r="Z178" i="2"/>
  <c r="Z206" i="2"/>
  <c r="Z139" i="15"/>
  <c r="BY10" i="10"/>
  <c r="F11" i="12" s="1"/>
  <c r="BY16" i="10"/>
  <c r="F17" i="12" s="1"/>
  <c r="BY21" i="10"/>
  <c r="BY22" i="10"/>
  <c r="F23" i="12" s="1"/>
  <c r="BB195" i="15"/>
  <c r="BC195" i="2"/>
  <c r="BC91" i="15"/>
  <c r="BD91" i="2"/>
  <c r="BG153" i="4"/>
  <c r="BC90" i="15"/>
  <c r="BD90" i="2"/>
  <c r="BC96" i="2"/>
  <c r="BC96" i="15" s="1"/>
  <c r="BC63" i="15"/>
  <c r="BC74" i="2"/>
  <c r="BC74" i="15" s="1"/>
  <c r="BD63" i="2"/>
  <c r="Y74" i="8"/>
  <c r="Y79" i="8" s="1"/>
  <c r="BS4" i="8"/>
  <c r="BS89" i="8"/>
  <c r="BT5" i="8"/>
  <c r="BS88" i="8"/>
  <c r="BG151" i="2"/>
  <c r="BG150" i="4"/>
  <c r="BF151" i="4"/>
  <c r="BF151" i="15" s="1"/>
  <c r="BF154" i="15"/>
  <c r="BG154" i="4"/>
  <c r="BD157" i="15"/>
  <c r="BG152" i="2"/>
  <c r="BG148" i="4"/>
  <c r="BF60" i="2"/>
  <c r="BF60" i="15" s="1"/>
  <c r="BG66" i="4"/>
  <c r="BG58" i="15"/>
  <c r="BF118" i="2"/>
  <c r="BF118" i="15" s="1"/>
  <c r="BG57" i="15"/>
  <c r="BF65" i="2"/>
  <c r="BG65" i="2" s="1"/>
  <c r="BF66" i="2"/>
  <c r="BF66" i="15" s="1"/>
  <c r="BG118" i="4"/>
  <c r="BG87" i="15"/>
  <c r="BF67" i="2"/>
  <c r="BG67" i="2" s="1"/>
  <c r="BG92" i="4"/>
  <c r="BG67" i="4"/>
  <c r="BE89" i="15"/>
  <c r="BE120" i="2"/>
  <c r="BE120" i="15" s="1"/>
  <c r="BG63" i="4"/>
  <c r="BG61" i="4"/>
  <c r="BG65" i="4"/>
  <c r="BG120" i="4"/>
  <c r="BG119" i="4"/>
  <c r="BG60" i="4"/>
  <c r="BF61" i="2"/>
  <c r="BF61" i="15" s="1"/>
  <c r="BD123" i="2"/>
  <c r="BD123" i="15" s="1"/>
  <c r="BF89" i="15"/>
  <c r="BD195" i="4"/>
  <c r="BG115" i="15"/>
  <c r="BC158" i="15"/>
  <c r="BG153" i="2"/>
  <c r="BF153" i="15"/>
  <c r="BH256" i="4"/>
  <c r="BH253" i="4"/>
  <c r="BH252" i="4"/>
  <c r="BH145" i="4"/>
  <c r="BH144" i="4"/>
  <c r="BH147" i="4" s="1"/>
  <c r="BH115" i="4"/>
  <c r="BH87" i="4"/>
  <c r="BH58" i="4"/>
  <c r="BH57" i="4"/>
  <c r="BI4" i="4"/>
  <c r="BH2" i="4"/>
  <c r="BF147" i="2"/>
  <c r="BE147" i="15"/>
  <c r="BC123" i="15"/>
  <c r="BF148" i="15"/>
  <c r="BF119" i="15"/>
  <c r="BE92" i="15"/>
  <c r="BF92" i="2"/>
  <c r="BG144" i="15"/>
  <c r="BG149" i="2"/>
  <c r="BG194" i="4"/>
  <c r="BH54" i="8"/>
  <c r="BH60" i="8" s="1"/>
  <c r="BG117" i="2"/>
  <c r="BH2" i="2"/>
  <c r="BH256" i="2"/>
  <c r="BH253" i="2"/>
  <c r="BH252" i="2"/>
  <c r="BH145" i="2"/>
  <c r="BH144" i="2"/>
  <c r="BH115" i="2"/>
  <c r="BH87" i="2"/>
  <c r="BH58" i="2"/>
  <c r="BH57" i="2"/>
  <c r="BI4" i="2"/>
  <c r="BF149" i="4"/>
  <c r="BF149" i="15" s="1"/>
  <c r="BE149" i="15"/>
  <c r="BE157" i="2"/>
  <c r="BE150" i="15"/>
  <c r="BF194" i="15"/>
  <c r="BG194" i="2"/>
  <c r="BG145" i="15"/>
  <c r="BE62" i="4"/>
  <c r="BF62" i="4" s="1"/>
  <c r="BD74" i="4"/>
  <c r="BF96" i="4"/>
  <c r="BF62" i="2"/>
  <c r="BG154" i="2"/>
  <c r="BG64" i="2"/>
  <c r="BG64" i="15" s="1"/>
  <c r="BG119" i="2"/>
  <c r="BG89" i="2"/>
  <c r="BF150" i="2"/>
  <c r="BG91" i="4"/>
  <c r="BG148" i="2"/>
  <c r="BE123" i="4"/>
  <c r="BF117" i="4"/>
  <c r="BF117" i="15" s="1"/>
  <c r="BE157" i="4"/>
  <c r="BE158" i="4" s="1"/>
  <c r="BD158" i="2"/>
  <c r="BD158" i="15" s="1"/>
  <c r="BG89" i="4"/>
  <c r="Z73" i="8"/>
  <c r="Z74" i="8" s="1"/>
  <c r="Z79" i="8" s="1"/>
  <c r="BZ139" i="15" l="1"/>
  <c r="CA139" i="15"/>
  <c r="BG152" i="15"/>
  <c r="AY139" i="2"/>
  <c r="AZ36" i="8" s="1"/>
  <c r="BA35" i="8"/>
  <c r="Z216" i="4"/>
  <c r="Z176" i="4"/>
  <c r="Z183" i="4" s="1"/>
  <c r="AA178" i="4"/>
  <c r="AA216" i="4" s="1"/>
  <c r="AA140" i="4"/>
  <c r="AA141" i="4" s="1"/>
  <c r="AA166" i="4" s="1"/>
  <c r="AA167" i="4" s="1"/>
  <c r="AA206" i="4"/>
  <c r="AA210" i="4" s="1"/>
  <c r="AA211" i="4" s="1"/>
  <c r="AA173" i="4"/>
  <c r="AA176" i="4" s="1"/>
  <c r="Y8" i="10"/>
  <c r="BY8" i="10" s="1"/>
  <c r="F9" i="12" s="1"/>
  <c r="Z206" i="15"/>
  <c r="AA140" i="2"/>
  <c r="AA178" i="2"/>
  <c r="AA139" i="15"/>
  <c r="AA206" i="2"/>
  <c r="AA210" i="2" s="1"/>
  <c r="AA211" i="2" s="1"/>
  <c r="AA173" i="2"/>
  <c r="AA176" i="2" s="1"/>
  <c r="Z210" i="4"/>
  <c r="Z141" i="4"/>
  <c r="Z216" i="2"/>
  <c r="Z178" i="15"/>
  <c r="F22" i="12"/>
  <c r="F25" i="12" s="1"/>
  <c r="BY25" i="10"/>
  <c r="BD195" i="2"/>
  <c r="BG148" i="15"/>
  <c r="BG60" i="2"/>
  <c r="BG60" i="15" s="1"/>
  <c r="BD91" i="15"/>
  <c r="BE91" i="2"/>
  <c r="BC195" i="15"/>
  <c r="BH145" i="15"/>
  <c r="BD96" i="2"/>
  <c r="BD96" i="15" s="1"/>
  <c r="BD90" i="15"/>
  <c r="BE90" i="2"/>
  <c r="BH151" i="2"/>
  <c r="BD63" i="15"/>
  <c r="BE63" i="2"/>
  <c r="BD74" i="2"/>
  <c r="BD74" i="15" s="1"/>
  <c r="BT88" i="8"/>
  <c r="BT89" i="8"/>
  <c r="BT4" i="8"/>
  <c r="BU5" i="8"/>
  <c r="BH154" i="4"/>
  <c r="BG154" i="15"/>
  <c r="BG66" i="2"/>
  <c r="BG66" i="15" s="1"/>
  <c r="BG151" i="4"/>
  <c r="BH150" i="4"/>
  <c r="BG149" i="4"/>
  <c r="BG149" i="15" s="1"/>
  <c r="BF157" i="4"/>
  <c r="BF158" i="4" s="1"/>
  <c r="BH152" i="2"/>
  <c r="BH152" i="4"/>
  <c r="BH148" i="4"/>
  <c r="BH66" i="4"/>
  <c r="BF67" i="15"/>
  <c r="BG61" i="2"/>
  <c r="BG61" i="15" s="1"/>
  <c r="BG118" i="2"/>
  <c r="BH118" i="2" s="1"/>
  <c r="BG65" i="15"/>
  <c r="BG67" i="15"/>
  <c r="BG119" i="15"/>
  <c r="BF65" i="15"/>
  <c r="BH92" i="4"/>
  <c r="BE123" i="2"/>
  <c r="BE123" i="15" s="1"/>
  <c r="BH64" i="4"/>
  <c r="BF120" i="2"/>
  <c r="BF120" i="15" s="1"/>
  <c r="BH60" i="4"/>
  <c r="BH90" i="4"/>
  <c r="BH120" i="4"/>
  <c r="BH61" i="4"/>
  <c r="BH89" i="2"/>
  <c r="BH119" i="4"/>
  <c r="BH65" i="4"/>
  <c r="BH67" i="2"/>
  <c r="BH63" i="4"/>
  <c r="BH67" i="4"/>
  <c r="BG194" i="15"/>
  <c r="BH58" i="15"/>
  <c r="BG89" i="15"/>
  <c r="BH65" i="2"/>
  <c r="BE195" i="4"/>
  <c r="BH117" i="2"/>
  <c r="BG92" i="2"/>
  <c r="BH92" i="2" s="1"/>
  <c r="BF92" i="15"/>
  <c r="BI145" i="4"/>
  <c r="BI144" i="4"/>
  <c r="BI115" i="4"/>
  <c r="BI87" i="4"/>
  <c r="BI58" i="4"/>
  <c r="BI57" i="4"/>
  <c r="BI256" i="4"/>
  <c r="BI252" i="4"/>
  <c r="BI253" i="4"/>
  <c r="BI2" i="4"/>
  <c r="BJ4" i="4"/>
  <c r="BF157" i="2"/>
  <c r="BF150" i="15"/>
  <c r="BE158" i="2"/>
  <c r="BE158" i="15" s="1"/>
  <c r="BE157" i="15"/>
  <c r="BH87" i="15"/>
  <c r="BE62" i="15"/>
  <c r="BF147" i="15"/>
  <c r="BG147" i="2"/>
  <c r="BH147" i="2" s="1"/>
  <c r="BH147" i="15" s="1"/>
  <c r="BH194" i="4"/>
  <c r="BI54" i="8"/>
  <c r="BI60" i="8" s="1"/>
  <c r="BG153" i="15"/>
  <c r="BH153" i="2"/>
  <c r="BH153" i="4"/>
  <c r="BF62" i="15"/>
  <c r="BI2" i="2"/>
  <c r="BI256" i="2"/>
  <c r="BI253" i="2"/>
  <c r="BI252" i="2"/>
  <c r="BI145" i="2"/>
  <c r="BI144" i="2"/>
  <c r="BI115" i="2"/>
  <c r="BI87" i="2"/>
  <c r="BI58" i="2"/>
  <c r="BI57" i="2"/>
  <c r="BJ4" i="2"/>
  <c r="BH115" i="15"/>
  <c r="BH118" i="4"/>
  <c r="BH57" i="15"/>
  <c r="BH194" i="2"/>
  <c r="BH144" i="15"/>
  <c r="BH149" i="2"/>
  <c r="BF74" i="4"/>
  <c r="BG62" i="4"/>
  <c r="BE74" i="4"/>
  <c r="BG150" i="2"/>
  <c r="BG150" i="15" s="1"/>
  <c r="BG96" i="4"/>
  <c r="BF123" i="4"/>
  <c r="BG117" i="4"/>
  <c r="BG117" i="15" s="1"/>
  <c r="BF195" i="4"/>
  <c r="BH148" i="2"/>
  <c r="BH91" i="4"/>
  <c r="BH60" i="2"/>
  <c r="BH64" i="2"/>
  <c r="BH89" i="4"/>
  <c r="BH119" i="2"/>
  <c r="BH154" i="2"/>
  <c r="BG62" i="2"/>
  <c r="CG194" i="15"/>
  <c r="CC174" i="2"/>
  <c r="CC174" i="15"/>
  <c r="BH149" i="4" l="1"/>
  <c r="BF157" i="15"/>
  <c r="BI151" i="2"/>
  <c r="BB35" i="8"/>
  <c r="AZ139" i="2"/>
  <c r="BA36" i="8" s="1"/>
  <c r="AA183" i="4"/>
  <c r="AA214" i="2"/>
  <c r="AA212" i="2"/>
  <c r="AB178" i="2"/>
  <c r="AB140" i="2"/>
  <c r="AB139" i="15"/>
  <c r="CF139" i="15" s="1"/>
  <c r="AB206" i="2"/>
  <c r="AB210" i="2" s="1"/>
  <c r="AB211" i="2" s="1"/>
  <c r="AB173" i="2"/>
  <c r="AB176" i="2" s="1"/>
  <c r="AB178" i="4"/>
  <c r="AB216" i="4" s="1"/>
  <c r="CF216" i="4" s="1"/>
  <c r="AB140" i="4"/>
  <c r="AB206" i="4"/>
  <c r="AB173" i="4"/>
  <c r="AB176" i="4" s="1"/>
  <c r="CF139" i="4"/>
  <c r="Z216" i="15"/>
  <c r="Z211" i="4"/>
  <c r="AA206" i="15"/>
  <c r="AA210" i="15" s="1"/>
  <c r="AA211" i="15" s="1"/>
  <c r="Z8" i="10"/>
  <c r="AA173" i="15"/>
  <c r="AA174" i="4"/>
  <c r="AA216" i="2"/>
  <c r="AA178" i="15"/>
  <c r="AA216" i="15" s="1"/>
  <c r="Z166" i="4"/>
  <c r="CF139" i="2"/>
  <c r="AC37" i="8"/>
  <c r="AA183" i="2"/>
  <c r="AA140" i="15"/>
  <c r="AA141" i="2"/>
  <c r="AA214" i="4"/>
  <c r="AA219" i="4" s="1"/>
  <c r="AA212" i="4"/>
  <c r="BI148" i="4"/>
  <c r="BH148" i="15"/>
  <c r="BE195" i="2"/>
  <c r="BE91" i="15"/>
  <c r="BF91" i="2"/>
  <c r="BF91" i="15" s="1"/>
  <c r="BF90" i="2"/>
  <c r="BE90" i="15"/>
  <c r="BE96" i="2"/>
  <c r="BE96" i="15" s="1"/>
  <c r="BH154" i="15"/>
  <c r="BE63" i="15"/>
  <c r="BF63" i="2"/>
  <c r="BE74" i="2"/>
  <c r="BD195" i="15"/>
  <c r="BU88" i="8"/>
  <c r="BV5" i="8"/>
  <c r="BU4" i="8"/>
  <c r="BU89" i="8"/>
  <c r="BI154" i="4"/>
  <c r="BH66" i="2"/>
  <c r="BH66" i="15" s="1"/>
  <c r="BF158" i="2"/>
  <c r="BF158" i="15" s="1"/>
  <c r="BG157" i="4"/>
  <c r="BG158" i="4" s="1"/>
  <c r="L24" i="14"/>
  <c r="X24" i="14" s="1"/>
  <c r="BG151" i="15"/>
  <c r="BH151" i="4"/>
  <c r="BH151" i="15" s="1"/>
  <c r="BH152" i="15"/>
  <c r="BI147" i="4"/>
  <c r="BH150" i="2"/>
  <c r="BH150" i="15" s="1"/>
  <c r="BG157" i="2"/>
  <c r="BG158" i="2" s="1"/>
  <c r="BI150" i="4"/>
  <c r="BI152" i="4"/>
  <c r="BH61" i="2"/>
  <c r="BH61" i="15" s="1"/>
  <c r="BH89" i="15"/>
  <c r="BH64" i="15"/>
  <c r="BG118" i="15"/>
  <c r="BH60" i="15"/>
  <c r="BI120" i="4"/>
  <c r="BI64" i="4"/>
  <c r="BH92" i="15"/>
  <c r="BG120" i="2"/>
  <c r="BG120" i="15" s="1"/>
  <c r="BF123" i="2"/>
  <c r="BI90" i="4"/>
  <c r="BI115" i="15"/>
  <c r="BI57" i="15"/>
  <c r="BI65" i="4"/>
  <c r="BH65" i="15"/>
  <c r="BI92" i="4"/>
  <c r="BI66" i="4"/>
  <c r="BH67" i="15"/>
  <c r="BI119" i="4"/>
  <c r="BG195" i="4"/>
  <c r="BI67" i="4"/>
  <c r="BI58" i="15"/>
  <c r="BI63" i="4"/>
  <c r="BI67" i="2"/>
  <c r="BI65" i="2"/>
  <c r="BI87" i="15"/>
  <c r="BI89" i="2"/>
  <c r="BH153" i="15"/>
  <c r="BI153" i="2"/>
  <c r="BI194" i="4"/>
  <c r="BI60" i="4"/>
  <c r="BH149" i="15"/>
  <c r="BI149" i="2"/>
  <c r="BJ145" i="2"/>
  <c r="BJ144" i="2"/>
  <c r="BJ151" i="2" s="1"/>
  <c r="BJ115" i="2"/>
  <c r="BJ87" i="2"/>
  <c r="BJ58" i="2"/>
  <c r="BJ57" i="2"/>
  <c r="BJ253" i="2"/>
  <c r="BJ256" i="2"/>
  <c r="BJ252" i="2"/>
  <c r="BK4" i="2"/>
  <c r="BJ2" i="2"/>
  <c r="BG92" i="15"/>
  <c r="BI92" i="2"/>
  <c r="BI61" i="4"/>
  <c r="BH119" i="15"/>
  <c r="BI194" i="2"/>
  <c r="BI144" i="15"/>
  <c r="BG62" i="15"/>
  <c r="BH194" i="15"/>
  <c r="BI118" i="4"/>
  <c r="BI145" i="15"/>
  <c r="BI152" i="2"/>
  <c r="BI153" i="4"/>
  <c r="BG147" i="15"/>
  <c r="BI147" i="2"/>
  <c r="BI118" i="2"/>
  <c r="BJ256" i="4"/>
  <c r="BJ253" i="4"/>
  <c r="BJ252" i="4"/>
  <c r="BJ145" i="4"/>
  <c r="BJ148" i="4" s="1"/>
  <c r="BJ115" i="4"/>
  <c r="BJ58" i="4"/>
  <c r="BJ144" i="4"/>
  <c r="BJ87" i="4"/>
  <c r="BJ57" i="4"/>
  <c r="BJ2" i="4"/>
  <c r="BK4" i="4"/>
  <c r="BJ54" i="8"/>
  <c r="BJ60" i="8" s="1"/>
  <c r="BI117" i="2"/>
  <c r="BH118" i="15"/>
  <c r="BG74" i="4"/>
  <c r="BH62" i="4"/>
  <c r="BI154" i="2"/>
  <c r="BI154" i="15" s="1"/>
  <c r="BI64" i="2"/>
  <c r="BH62" i="2"/>
  <c r="BI119" i="2"/>
  <c r="BI60" i="2"/>
  <c r="BH96" i="4"/>
  <c r="BI148" i="2"/>
  <c r="BI148" i="15" s="1"/>
  <c r="BI149" i="4"/>
  <c r="BI89" i="4"/>
  <c r="BI91" i="4"/>
  <c r="BG123" i="4"/>
  <c r="BH117" i="4"/>
  <c r="BH117" i="15" s="1"/>
  <c r="CA178" i="15" l="1"/>
  <c r="BZ178" i="15"/>
  <c r="CA206" i="15"/>
  <c r="BZ206" i="15"/>
  <c r="BZ216" i="15"/>
  <c r="CA216" i="15"/>
  <c r="BE195" i="15"/>
  <c r="AB10" i="10"/>
  <c r="J11" i="12" s="1"/>
  <c r="AC36" i="2"/>
  <c r="AC181" i="2" s="1"/>
  <c r="BC35" i="8"/>
  <c r="BA139" i="2"/>
  <c r="BB36" i="8" s="1"/>
  <c r="BF195" i="2"/>
  <c r="AA220" i="4"/>
  <c r="AB183" i="4"/>
  <c r="CF178" i="4"/>
  <c r="CF206" i="2"/>
  <c r="AB183" i="2"/>
  <c r="Z7" i="10"/>
  <c r="AA176" i="15"/>
  <c r="AA183" i="15" s="1"/>
  <c r="Z214" i="4"/>
  <c r="Z219" i="4" s="1"/>
  <c r="Z220" i="4" s="1"/>
  <c r="Z212" i="4"/>
  <c r="AB214" i="2"/>
  <c r="AB212" i="2"/>
  <c r="AB216" i="2"/>
  <c r="CF216" i="2" s="1"/>
  <c r="AB178" i="15"/>
  <c r="CF178" i="2"/>
  <c r="AB210" i="4"/>
  <c r="CF206" i="4"/>
  <c r="AB140" i="15"/>
  <c r="AB141" i="2"/>
  <c r="AB141" i="4"/>
  <c r="CF140" i="4"/>
  <c r="CF173" i="4"/>
  <c r="CF176" i="4" s="1"/>
  <c r="AA166" i="2"/>
  <c r="AA141" i="15"/>
  <c r="Z167" i="4"/>
  <c r="AA214" i="15"/>
  <c r="AA219" i="15" s="1"/>
  <c r="AA212" i="15"/>
  <c r="AC178" i="4"/>
  <c r="AC140" i="4"/>
  <c r="AC206" i="4"/>
  <c r="AC210" i="4" s="1"/>
  <c r="AC173" i="4"/>
  <c r="AA8" i="10"/>
  <c r="H9" i="12" s="1"/>
  <c r="AB206" i="15"/>
  <c r="AB173" i="15"/>
  <c r="AC140" i="2"/>
  <c r="AC178" i="2"/>
  <c r="AC206" i="2"/>
  <c r="AC210" i="2" s="1"/>
  <c r="AC139" i="15"/>
  <c r="AA219" i="2"/>
  <c r="AA220" i="2" s="1"/>
  <c r="BE74" i="15"/>
  <c r="BG158" i="15"/>
  <c r="BG91" i="2"/>
  <c r="BG91" i="15" s="1"/>
  <c r="BI66" i="2"/>
  <c r="BJ66" i="2" s="1"/>
  <c r="BF90" i="15"/>
  <c r="BF96" i="2"/>
  <c r="BF96" i="15" s="1"/>
  <c r="BG90" i="2"/>
  <c r="BF63" i="15"/>
  <c r="BG63" i="2"/>
  <c r="BF74" i="2"/>
  <c r="BF74" i="15" s="1"/>
  <c r="BJ153" i="4"/>
  <c r="BV89" i="8"/>
  <c r="BW5" i="8"/>
  <c r="BV88" i="8"/>
  <c r="BV4" i="8"/>
  <c r="BI61" i="2"/>
  <c r="BI61" i="15" s="1"/>
  <c r="BH157" i="2"/>
  <c r="BH158" i="2" s="1"/>
  <c r="BH157" i="4"/>
  <c r="BH158" i="4" s="1"/>
  <c r="BI151" i="4"/>
  <c r="BI151" i="15" s="1"/>
  <c r="BG157" i="15"/>
  <c r="BJ150" i="4"/>
  <c r="BI150" i="2"/>
  <c r="BJ150" i="2" s="1"/>
  <c r="BJ120" i="4"/>
  <c r="BJ152" i="4"/>
  <c r="BI64" i="15"/>
  <c r="BH120" i="2"/>
  <c r="BH120" i="15" s="1"/>
  <c r="BJ67" i="4"/>
  <c r="BJ90" i="4"/>
  <c r="BG123" i="2"/>
  <c r="BJ67" i="2"/>
  <c r="BJ92" i="4"/>
  <c r="BF123" i="15"/>
  <c r="BJ117" i="2"/>
  <c r="BI65" i="15"/>
  <c r="BJ194" i="4"/>
  <c r="BI60" i="15"/>
  <c r="BK54" i="8"/>
  <c r="BK60" i="8" s="1"/>
  <c r="BI67" i="15"/>
  <c r="BJ65" i="2"/>
  <c r="BI194" i="15"/>
  <c r="BJ63" i="4"/>
  <c r="BJ65" i="4"/>
  <c r="BJ119" i="4"/>
  <c r="BI147" i="15"/>
  <c r="BJ118" i="4"/>
  <c r="BJ115" i="15"/>
  <c r="BI153" i="15"/>
  <c r="BJ66" i="4"/>
  <c r="BI118" i="15"/>
  <c r="BJ118" i="2"/>
  <c r="BK256" i="2"/>
  <c r="BK253" i="2"/>
  <c r="BK252" i="2"/>
  <c r="BK145" i="2"/>
  <c r="BK115" i="2"/>
  <c r="BK58" i="2"/>
  <c r="BK144" i="2"/>
  <c r="BK151" i="2" s="1"/>
  <c r="BK87" i="2"/>
  <c r="BK57" i="2"/>
  <c r="BK2" i="2"/>
  <c r="BL4" i="2"/>
  <c r="BJ57" i="15"/>
  <c r="BJ194" i="2"/>
  <c r="BJ144" i="15"/>
  <c r="BJ147" i="4"/>
  <c r="BI89" i="15"/>
  <c r="BJ89" i="2"/>
  <c r="BI119" i="15"/>
  <c r="BK256" i="4"/>
  <c r="BK253" i="4"/>
  <c r="BK252" i="4"/>
  <c r="BK145" i="4"/>
  <c r="BK148" i="4" s="1"/>
  <c r="BK144" i="4"/>
  <c r="BK115" i="4"/>
  <c r="BK87" i="4"/>
  <c r="BK58" i="4"/>
  <c r="BK57" i="4"/>
  <c r="BL4" i="4"/>
  <c r="BK2" i="4"/>
  <c r="BJ147" i="2"/>
  <c r="BI152" i="15"/>
  <c r="BJ152" i="2"/>
  <c r="BJ61" i="4"/>
  <c r="BJ58" i="15"/>
  <c r="BJ145" i="15"/>
  <c r="BJ153" i="2"/>
  <c r="BH62" i="15"/>
  <c r="BJ64" i="4"/>
  <c r="BI92" i="15"/>
  <c r="BJ92" i="2"/>
  <c r="BJ87" i="15"/>
  <c r="BI149" i="15"/>
  <c r="BJ149" i="2"/>
  <c r="BJ60" i="4"/>
  <c r="BJ154" i="4"/>
  <c r="BJ91" i="4"/>
  <c r="BJ64" i="2"/>
  <c r="BJ60" i="2"/>
  <c r="BI62" i="4"/>
  <c r="BH195" i="4"/>
  <c r="BH74" i="4"/>
  <c r="BI62" i="2"/>
  <c r="BH123" i="4"/>
  <c r="BI117" i="4"/>
  <c r="BI117" i="15" s="1"/>
  <c r="BI96" i="4"/>
  <c r="BJ89" i="4"/>
  <c r="BJ154" i="2"/>
  <c r="BJ148" i="2"/>
  <c r="BJ148" i="15" s="1"/>
  <c r="BJ119" i="2"/>
  <c r="BJ149" i="4"/>
  <c r="AC173" i="2" l="1"/>
  <c r="AC176" i="2" s="1"/>
  <c r="AC183" i="2" s="1"/>
  <c r="CF183" i="4"/>
  <c r="AC181" i="15"/>
  <c r="CG181" i="2"/>
  <c r="AC217" i="2"/>
  <c r="CG217" i="2" s="1"/>
  <c r="BI66" i="15"/>
  <c r="BD35" i="8"/>
  <c r="BB139" i="2"/>
  <c r="BC36" i="8" s="1"/>
  <c r="CG36" i="2"/>
  <c r="AC36" i="15"/>
  <c r="AC173" i="15" s="1"/>
  <c r="AC191" i="2"/>
  <c r="AC52" i="2"/>
  <c r="AA220" i="15"/>
  <c r="AC141" i="4"/>
  <c r="AB210" i="15"/>
  <c r="AB211" i="15" s="1"/>
  <c r="CF206" i="15"/>
  <c r="J35" i="14" s="1"/>
  <c r="V35" i="14" s="1"/>
  <c r="AC216" i="2"/>
  <c r="AC176" i="4"/>
  <c r="AC183" i="4" s="1"/>
  <c r="AC178" i="15"/>
  <c r="AC216" i="4"/>
  <c r="AA166" i="15"/>
  <c r="AA167" i="2"/>
  <c r="AB166" i="4"/>
  <c r="CF141" i="4"/>
  <c r="AB219" i="2"/>
  <c r="AB220" i="2" s="1"/>
  <c r="AB8" i="10"/>
  <c r="AC206" i="15"/>
  <c r="AC210" i="15" s="1"/>
  <c r="AD140" i="2"/>
  <c r="AD178" i="2"/>
  <c r="AD206" i="2"/>
  <c r="AD210" i="2" s="1"/>
  <c r="AD211" i="2" s="1"/>
  <c r="AD139" i="15"/>
  <c r="AD173" i="2"/>
  <c r="AD176" i="2" s="1"/>
  <c r="AC211" i="4"/>
  <c r="AB166" i="2"/>
  <c r="AB141" i="15"/>
  <c r="AB211" i="4"/>
  <c r="CF210" i="4"/>
  <c r="AC140" i="15"/>
  <c r="AC141" i="2"/>
  <c r="AA7" i="10"/>
  <c r="AB176" i="15"/>
  <c r="AB183" i="15" s="1"/>
  <c r="AD140" i="4"/>
  <c r="AD141" i="4" s="1"/>
  <c r="AD166" i="4" s="1"/>
  <c r="AD167" i="4" s="1"/>
  <c r="AD178" i="4"/>
  <c r="AD216" i="4" s="1"/>
  <c r="AD206" i="4"/>
  <c r="AD210" i="4" s="1"/>
  <c r="AD211" i="4" s="1"/>
  <c r="AD173" i="4"/>
  <c r="AD176" i="4" s="1"/>
  <c r="Z174" i="4"/>
  <c r="AB216" i="15"/>
  <c r="CF216" i="15" s="1"/>
  <c r="J46" i="14" s="1"/>
  <c r="CF178" i="15"/>
  <c r="BH91" i="2"/>
  <c r="BI91" i="2" s="1"/>
  <c r="BI157" i="4"/>
  <c r="BG90" i="15"/>
  <c r="BH90" i="2"/>
  <c r="BG96" i="2"/>
  <c r="BG96" i="15" s="1"/>
  <c r="BH63" i="2"/>
  <c r="BG63" i="15"/>
  <c r="BG74" i="2"/>
  <c r="BG74" i="15" s="1"/>
  <c r="BG195" i="2"/>
  <c r="BI63" i="2"/>
  <c r="BI63" i="15" s="1"/>
  <c r="BF195" i="15"/>
  <c r="BJ61" i="2"/>
  <c r="BK61" i="2" s="1"/>
  <c r="BW88" i="8"/>
  <c r="BW4" i="8"/>
  <c r="BX5" i="8"/>
  <c r="BW89" i="8"/>
  <c r="BI157" i="2"/>
  <c r="BI158" i="2" s="1"/>
  <c r="BH157" i="15"/>
  <c r="BH158" i="15"/>
  <c r="BJ151" i="4"/>
  <c r="BJ151" i="15" s="1"/>
  <c r="BJ150" i="15"/>
  <c r="BK153" i="4"/>
  <c r="BG123" i="15"/>
  <c r="BJ118" i="15"/>
  <c r="BI150" i="15"/>
  <c r="BK120" i="4"/>
  <c r="BK150" i="4"/>
  <c r="BH123" i="2"/>
  <c r="BH123" i="15" s="1"/>
  <c r="BK67" i="4"/>
  <c r="BK90" i="4"/>
  <c r="BJ67" i="15"/>
  <c r="BI120" i="2"/>
  <c r="BI120" i="15" s="1"/>
  <c r="BK117" i="2"/>
  <c r="BK66" i="4"/>
  <c r="BJ119" i="15"/>
  <c r="BJ66" i="15"/>
  <c r="BJ65" i="15"/>
  <c r="BK65" i="2"/>
  <c r="BK92" i="4"/>
  <c r="BK65" i="4"/>
  <c r="BK63" i="4"/>
  <c r="BK61" i="4"/>
  <c r="BL54" i="8"/>
  <c r="BL60" i="8" s="1"/>
  <c r="BK64" i="4"/>
  <c r="BK119" i="4"/>
  <c r="BJ60" i="15"/>
  <c r="BK91" i="4"/>
  <c r="BJ61" i="15"/>
  <c r="BK92" i="2"/>
  <c r="BJ92" i="15"/>
  <c r="BJ152" i="15"/>
  <c r="BK152" i="2"/>
  <c r="BK194" i="4"/>
  <c r="BK152" i="4"/>
  <c r="BK89" i="2"/>
  <c r="BJ89" i="15"/>
  <c r="BK58" i="15"/>
  <c r="BK67" i="2"/>
  <c r="BK118" i="2"/>
  <c r="BK154" i="4"/>
  <c r="BJ149" i="15"/>
  <c r="BK149" i="2"/>
  <c r="BK57" i="15"/>
  <c r="BK194" i="2"/>
  <c r="BK66" i="2"/>
  <c r="BK115" i="15"/>
  <c r="BK118" i="4"/>
  <c r="BK154" i="2"/>
  <c r="BJ154" i="15"/>
  <c r="BJ153" i="15"/>
  <c r="BK153" i="2"/>
  <c r="BJ194" i="15"/>
  <c r="BK87" i="15"/>
  <c r="BK145" i="15"/>
  <c r="BK150" i="2"/>
  <c r="BI62" i="15"/>
  <c r="BK64" i="2"/>
  <c r="BJ64" i="15"/>
  <c r="BK60" i="4"/>
  <c r="BJ147" i="15"/>
  <c r="BL253" i="4"/>
  <c r="BL252" i="4"/>
  <c r="BL145" i="4"/>
  <c r="BL148" i="4" s="1"/>
  <c r="BL144" i="4"/>
  <c r="BL115" i="4"/>
  <c r="BL87" i="4"/>
  <c r="BL58" i="4"/>
  <c r="BL57" i="4"/>
  <c r="BM4" i="4"/>
  <c r="BL2" i="4"/>
  <c r="BK147" i="4"/>
  <c r="BL2" i="2"/>
  <c r="BL253" i="2"/>
  <c r="BL252" i="2"/>
  <c r="BL145" i="2"/>
  <c r="BL144" i="2"/>
  <c r="BL115" i="2"/>
  <c r="BL87" i="2"/>
  <c r="BL58" i="2"/>
  <c r="BL57" i="2"/>
  <c r="BM4" i="2"/>
  <c r="BK144" i="15"/>
  <c r="BK147" i="2"/>
  <c r="BK60" i="2"/>
  <c r="BJ62" i="2"/>
  <c r="BI158" i="4"/>
  <c r="BJ157" i="2"/>
  <c r="BI195" i="4"/>
  <c r="BI74" i="4"/>
  <c r="BJ62" i="4"/>
  <c r="BK119" i="2"/>
  <c r="BK148" i="2"/>
  <c r="BK148" i="15" s="1"/>
  <c r="BK149" i="4"/>
  <c r="BJ96" i="4"/>
  <c r="BK89" i="4"/>
  <c r="BI123" i="4"/>
  <c r="BJ117" i="4"/>
  <c r="BJ117" i="15" s="1"/>
  <c r="AB49" i="8" l="1"/>
  <c r="AB61" i="8" s="1"/>
  <c r="AB69" i="8" s="1"/>
  <c r="AB84" i="8"/>
  <c r="CG181" i="15"/>
  <c r="AC217" i="15"/>
  <c r="CG217" i="15" s="1"/>
  <c r="L47" i="14" s="1"/>
  <c r="BH195" i="2"/>
  <c r="AC52" i="15"/>
  <c r="CG52" i="15" s="1"/>
  <c r="AC53" i="2"/>
  <c r="CG52" i="2"/>
  <c r="AC193" i="2"/>
  <c r="CG191" i="2"/>
  <c r="AC191" i="15"/>
  <c r="CG36" i="15"/>
  <c r="BE35" i="8"/>
  <c r="BC139" i="2"/>
  <c r="BD36" i="8" s="1"/>
  <c r="AD183" i="2"/>
  <c r="AD183" i="4"/>
  <c r="AD214" i="4"/>
  <c r="AD219" i="4" s="1"/>
  <c r="AD212" i="4"/>
  <c r="AD214" i="2"/>
  <c r="AD212" i="2"/>
  <c r="AB167" i="2"/>
  <c r="AB166" i="15"/>
  <c r="AC48" i="8" s="1"/>
  <c r="AC49" i="8" s="1"/>
  <c r="AC61" i="8" s="1"/>
  <c r="AD206" i="15"/>
  <c r="AD210" i="15" s="1"/>
  <c r="AD211" i="15" s="1"/>
  <c r="AC8" i="10"/>
  <c r="AD173" i="15"/>
  <c r="AD140" i="15"/>
  <c r="AD141" i="2"/>
  <c r="AA174" i="2"/>
  <c r="AA167" i="15"/>
  <c r="AA174" i="15" s="1"/>
  <c r="AC216" i="15"/>
  <c r="AC166" i="4"/>
  <c r="AD174" i="4"/>
  <c r="AC166" i="2"/>
  <c r="AC141" i="15"/>
  <c r="AB214" i="4"/>
  <c r="AB219" i="4" s="1"/>
  <c r="AB220" i="4" s="1"/>
  <c r="AB212" i="4"/>
  <c r="CF211" i="4"/>
  <c r="AC214" i="4"/>
  <c r="AC219" i="4" s="1"/>
  <c r="AC220" i="4" s="1"/>
  <c r="AC212" i="4"/>
  <c r="AE178" i="2"/>
  <c r="AE140" i="2"/>
  <c r="AE139" i="15"/>
  <c r="AE206" i="2"/>
  <c r="AE210" i="2" s="1"/>
  <c r="AE211" i="2" s="1"/>
  <c r="AE173" i="2"/>
  <c r="AE176" i="2" s="1"/>
  <c r="AC176" i="15"/>
  <c r="AC183" i="15" s="1"/>
  <c r="AB7" i="10"/>
  <c r="AE140" i="4"/>
  <c r="AE141" i="4" s="1"/>
  <c r="AE166" i="4" s="1"/>
  <c r="AE167" i="4" s="1"/>
  <c r="AE178" i="4"/>
  <c r="AE216" i="4" s="1"/>
  <c r="AE206" i="4"/>
  <c r="AE210" i="4" s="1"/>
  <c r="AE211" i="4" s="1"/>
  <c r="AE173" i="4"/>
  <c r="AE176" i="4" s="1"/>
  <c r="AD216" i="2"/>
  <c r="AD178" i="15"/>
  <c r="AD216" i="15" s="1"/>
  <c r="AB167" i="4"/>
  <c r="CF166" i="4"/>
  <c r="AB214" i="15"/>
  <c r="AB219" i="15" s="1"/>
  <c r="AB220" i="15" s="1"/>
  <c r="AB212" i="15"/>
  <c r="BI91" i="15"/>
  <c r="BH91" i="15"/>
  <c r="BJ91" i="2"/>
  <c r="BJ91" i="15" s="1"/>
  <c r="BH90" i="15"/>
  <c r="BI90" i="2"/>
  <c r="BI195" i="2" s="1"/>
  <c r="BH96" i="2"/>
  <c r="BH96" i="15" s="1"/>
  <c r="BI74" i="2"/>
  <c r="BI74" i="15" s="1"/>
  <c r="BG195" i="15"/>
  <c r="BH63" i="15"/>
  <c r="BH74" i="2"/>
  <c r="BJ63" i="2"/>
  <c r="BX88" i="8"/>
  <c r="BY5" i="8"/>
  <c r="BX89" i="8"/>
  <c r="BX4" i="8"/>
  <c r="BI157" i="15"/>
  <c r="BJ157" i="4"/>
  <c r="BJ158" i="4" s="1"/>
  <c r="BK151" i="4"/>
  <c r="BK151" i="15" s="1"/>
  <c r="BL153" i="4"/>
  <c r="CI153" i="4" s="1"/>
  <c r="BL147" i="2"/>
  <c r="BL147" i="4"/>
  <c r="CI147" i="4" s="1"/>
  <c r="BL144" i="15"/>
  <c r="BL145" i="15"/>
  <c r="BK154" i="15"/>
  <c r="BL151" i="2"/>
  <c r="CI151" i="2" s="1"/>
  <c r="BI123" i="2"/>
  <c r="BI123" i="15" s="1"/>
  <c r="BJ120" i="2"/>
  <c r="BK120" i="2" s="1"/>
  <c r="BL65" i="2"/>
  <c r="CI65" i="2" s="1"/>
  <c r="BL64" i="4"/>
  <c r="CI64" i="4" s="1"/>
  <c r="BL66" i="4"/>
  <c r="CI66" i="4" s="1"/>
  <c r="BL115" i="15"/>
  <c r="BL65" i="4"/>
  <c r="CI65" i="4" s="1"/>
  <c r="BK64" i="15"/>
  <c r="BK65" i="15"/>
  <c r="BK119" i="15"/>
  <c r="BL92" i="4"/>
  <c r="CI92" i="4" s="1"/>
  <c r="BL119" i="4"/>
  <c r="CI119" i="4" s="1"/>
  <c r="BL118" i="4"/>
  <c r="BL60" i="4"/>
  <c r="CI60" i="4" s="1"/>
  <c r="BL91" i="4"/>
  <c r="BL58" i="15"/>
  <c r="BL64" i="2"/>
  <c r="CI64" i="2" s="1"/>
  <c r="BL61" i="4"/>
  <c r="CI61" i="4" s="1"/>
  <c r="BL87" i="15"/>
  <c r="BK66" i="15"/>
  <c r="BL66" i="2"/>
  <c r="CI66" i="2" s="1"/>
  <c r="BK118" i="15"/>
  <c r="BK67" i="15"/>
  <c r="BL67" i="2"/>
  <c r="CI67" i="2" s="1"/>
  <c r="BK92" i="15"/>
  <c r="BK61" i="15"/>
  <c r="BL63" i="4"/>
  <c r="BJ158" i="2"/>
  <c r="BJ158" i="15" s="1"/>
  <c r="BK153" i="15"/>
  <c r="BL153" i="2"/>
  <c r="BK149" i="15"/>
  <c r="BL149" i="2"/>
  <c r="CI149" i="2" s="1"/>
  <c r="BK89" i="15"/>
  <c r="BL90" i="4"/>
  <c r="BJ62" i="15"/>
  <c r="BM2" i="2"/>
  <c r="BM253" i="2"/>
  <c r="BM252" i="2"/>
  <c r="BM145" i="2"/>
  <c r="BM144" i="2"/>
  <c r="BM115" i="2"/>
  <c r="BM87" i="2"/>
  <c r="BM58" i="2"/>
  <c r="BM57" i="2"/>
  <c r="BM256" i="2"/>
  <c r="BN4" i="2"/>
  <c r="BM145" i="4"/>
  <c r="BM148" i="4" s="1"/>
  <c r="BM144" i="4"/>
  <c r="BM115" i="4"/>
  <c r="BM87" i="4"/>
  <c r="BM58" i="4"/>
  <c r="BM57" i="4"/>
  <c r="BM256" i="4"/>
  <c r="BM252" i="4"/>
  <c r="BM253" i="4"/>
  <c r="BM2" i="4"/>
  <c r="BN4" i="4"/>
  <c r="BK62" i="2"/>
  <c r="BL60" i="2"/>
  <c r="BK60" i="15"/>
  <c r="BL154" i="2"/>
  <c r="BL118" i="2"/>
  <c r="CI118" i="2" s="1"/>
  <c r="BL57" i="15"/>
  <c r="BL194" i="2"/>
  <c r="CI194" i="2" s="1"/>
  <c r="BL194" i="4"/>
  <c r="CI194" i="4" s="1"/>
  <c r="BL67" i="4"/>
  <c r="BK194" i="15"/>
  <c r="BL152" i="4"/>
  <c r="BK152" i="15"/>
  <c r="BL152" i="2"/>
  <c r="CI152" i="2" s="1"/>
  <c r="BL117" i="2"/>
  <c r="BL92" i="2"/>
  <c r="BL150" i="4"/>
  <c r="BI158" i="15"/>
  <c r="BL147" i="15"/>
  <c r="BK147" i="15"/>
  <c r="BK150" i="15"/>
  <c r="BL150" i="2"/>
  <c r="BL154" i="4"/>
  <c r="BL89" i="2"/>
  <c r="CI89" i="2" s="1"/>
  <c r="BL61" i="2"/>
  <c r="CI61" i="2" s="1"/>
  <c r="BL120" i="4"/>
  <c r="CI147" i="2"/>
  <c r="BL149" i="4"/>
  <c r="BL89" i="4"/>
  <c r="CI89" i="4" s="1"/>
  <c r="BJ195" i="4"/>
  <c r="BJ74" i="4"/>
  <c r="BK62" i="4"/>
  <c r="BL62" i="4" s="1"/>
  <c r="BK157" i="2"/>
  <c r="BL148" i="2"/>
  <c r="BL148" i="15" s="1"/>
  <c r="BL119" i="2"/>
  <c r="BK96" i="4"/>
  <c r="BJ123" i="4"/>
  <c r="BK117" i="4"/>
  <c r="BK117" i="15" s="1"/>
  <c r="AC193" i="15" l="1"/>
  <c r="CG191" i="15"/>
  <c r="L19" i="14" s="1"/>
  <c r="AC53" i="15"/>
  <c r="CG53" i="15" s="1"/>
  <c r="CG53" i="2"/>
  <c r="BF35" i="8"/>
  <c r="BD139" i="2"/>
  <c r="BE36" i="8" s="1"/>
  <c r="CG193" i="2"/>
  <c r="AC211" i="2"/>
  <c r="AD220" i="4"/>
  <c r="AE183" i="2"/>
  <c r="AE214" i="2"/>
  <c r="AE212" i="2"/>
  <c r="AF178" i="2"/>
  <c r="AF140" i="2"/>
  <c r="AF139" i="15"/>
  <c r="AF206" i="2"/>
  <c r="AF210" i="2" s="1"/>
  <c r="AF211" i="2" s="1"/>
  <c r="AF173" i="2"/>
  <c r="AF176" i="2" s="1"/>
  <c r="CF212" i="4"/>
  <c r="CF214" i="4"/>
  <c r="CF219" i="4" s="1"/>
  <c r="CF220" i="4" s="1"/>
  <c r="AC166" i="15"/>
  <c r="AD48" i="8" s="1"/>
  <c r="AD49" i="8" s="1"/>
  <c r="AD61" i="8" s="1"/>
  <c r="AC167" i="2"/>
  <c r="AD176" i="15"/>
  <c r="AD183" i="15" s="1"/>
  <c r="AC7" i="10"/>
  <c r="AB174" i="2"/>
  <c r="AB167" i="15"/>
  <c r="AB174" i="15" s="1"/>
  <c r="AE174" i="4"/>
  <c r="AE206" i="15"/>
  <c r="AE210" i="15" s="1"/>
  <c r="AE211" i="15" s="1"/>
  <c r="AD8" i="10"/>
  <c r="AE173" i="15"/>
  <c r="AC167" i="4"/>
  <c r="AD219" i="2"/>
  <c r="AD220" i="2" s="1"/>
  <c r="AE183" i="4"/>
  <c r="AF178" i="4"/>
  <c r="AF216" i="4" s="1"/>
  <c r="AF140" i="4"/>
  <c r="AF206" i="4"/>
  <c r="AF210" i="4" s="1"/>
  <c r="AF211" i="4" s="1"/>
  <c r="AF173" i="4"/>
  <c r="AF176" i="4" s="1"/>
  <c r="AE140" i="15"/>
  <c r="AE141" i="2"/>
  <c r="AD141" i="15"/>
  <c r="AD166" i="2"/>
  <c r="AD214" i="15"/>
  <c r="AD219" i="15" s="1"/>
  <c r="AD212" i="15"/>
  <c r="AB174" i="4"/>
  <c r="CF167" i="4"/>
  <c r="CF174" i="4" s="1"/>
  <c r="AE214" i="4"/>
  <c r="AE219" i="4" s="1"/>
  <c r="AE212" i="4"/>
  <c r="AE216" i="2"/>
  <c r="AE178" i="15"/>
  <c r="AE216" i="15" s="1"/>
  <c r="AC69" i="8"/>
  <c r="AC82" i="8"/>
  <c r="AA9" i="10" s="1"/>
  <c r="AA12" i="10" s="1"/>
  <c r="AA27" i="10" s="1"/>
  <c r="BL119" i="15"/>
  <c r="BM151" i="2"/>
  <c r="BL151" i="4"/>
  <c r="CI151" i="4" s="1"/>
  <c r="BK91" i="2"/>
  <c r="BN54" i="8"/>
  <c r="BN60" i="8" s="1"/>
  <c r="BI90" i="15"/>
  <c r="BI96" i="2"/>
  <c r="BI96" i="15" s="1"/>
  <c r="BJ90" i="2"/>
  <c r="BK63" i="2"/>
  <c r="BK74" i="2" s="1"/>
  <c r="BJ63" i="15"/>
  <c r="BH74" i="15"/>
  <c r="BJ74" i="2"/>
  <c r="BJ74" i="15" s="1"/>
  <c r="BH195" i="15"/>
  <c r="BK157" i="4"/>
  <c r="BK158" i="4" s="1"/>
  <c r="BM149" i="4"/>
  <c r="BL65" i="15"/>
  <c r="BY89" i="8"/>
  <c r="BY88" i="8"/>
  <c r="BY4" i="8"/>
  <c r="V9" i="11"/>
  <c r="J20" i="11"/>
  <c r="R19" i="11"/>
  <c r="V19" i="11"/>
  <c r="T19" i="11"/>
  <c r="P23" i="11"/>
  <c r="H23" i="11"/>
  <c r="J12" i="11"/>
  <c r="T12" i="11"/>
  <c r="V12" i="11"/>
  <c r="T13" i="11"/>
  <c r="V10" i="11"/>
  <c r="J9" i="11"/>
  <c r="R23" i="11"/>
  <c r="J13" i="11"/>
  <c r="T20" i="11"/>
  <c r="J23" i="11"/>
  <c r="J10" i="11"/>
  <c r="R10" i="11"/>
  <c r="R21" i="11"/>
  <c r="V13" i="11"/>
  <c r="J19" i="11"/>
  <c r="V23" i="11"/>
  <c r="R12" i="11"/>
  <c r="J18" i="11"/>
  <c r="V21" i="11"/>
  <c r="T23" i="11"/>
  <c r="J21" i="11"/>
  <c r="R20" i="11"/>
  <c r="F23" i="11"/>
  <c r="T21" i="11"/>
  <c r="T9" i="11"/>
  <c r="L23" i="11"/>
  <c r="R13" i="11"/>
  <c r="R9" i="11"/>
  <c r="N23" i="11"/>
  <c r="J27" i="11"/>
  <c r="T10" i="11"/>
  <c r="V20" i="11"/>
  <c r="F13" i="11"/>
  <c r="F20" i="11"/>
  <c r="P21" i="11"/>
  <c r="H12" i="11"/>
  <c r="F11" i="11"/>
  <c r="N12" i="11"/>
  <c r="P13" i="11"/>
  <c r="P19" i="11"/>
  <c r="F10" i="11"/>
  <c r="N13" i="11"/>
  <c r="P9" i="11"/>
  <c r="L21" i="11"/>
  <c r="P10" i="11"/>
  <c r="L13" i="11"/>
  <c r="F19" i="11"/>
  <c r="H9" i="11"/>
  <c r="L9" i="11"/>
  <c r="H19" i="11"/>
  <c r="F9" i="11"/>
  <c r="H27" i="11"/>
  <c r="N9" i="11"/>
  <c r="N21" i="11"/>
  <c r="F8" i="11"/>
  <c r="L10" i="11"/>
  <c r="L20" i="11"/>
  <c r="P20" i="11"/>
  <c r="P12" i="11"/>
  <c r="H21" i="11"/>
  <c r="H11" i="11"/>
  <c r="L19" i="11"/>
  <c r="N10" i="11"/>
  <c r="H20" i="11"/>
  <c r="H10" i="11"/>
  <c r="N19" i="11"/>
  <c r="H13" i="11"/>
  <c r="H8" i="11"/>
  <c r="F27" i="11"/>
  <c r="L12" i="11"/>
  <c r="F12" i="11"/>
  <c r="F21" i="11"/>
  <c r="N20" i="11"/>
  <c r="N18" i="11"/>
  <c r="BJ157" i="15"/>
  <c r="BM154" i="4"/>
  <c r="BM65" i="2"/>
  <c r="BM64" i="4"/>
  <c r="BM152" i="2"/>
  <c r="BM60" i="4"/>
  <c r="BL60" i="15"/>
  <c r="BK120" i="15"/>
  <c r="BK123" i="2"/>
  <c r="BJ120" i="15"/>
  <c r="BJ123" i="2"/>
  <c r="BL120" i="2"/>
  <c r="BM120" i="2" s="1"/>
  <c r="CI60" i="2"/>
  <c r="BM118" i="4"/>
  <c r="BM60" i="2"/>
  <c r="BL64" i="15"/>
  <c r="BL62" i="2"/>
  <c r="BL62" i="15" s="1"/>
  <c r="BM91" i="4"/>
  <c r="BM119" i="4"/>
  <c r="BM64" i="2"/>
  <c r="CI152" i="4"/>
  <c r="BM67" i="4"/>
  <c r="CI67" i="4"/>
  <c r="BM194" i="4"/>
  <c r="BM147" i="4"/>
  <c r="BM57" i="15"/>
  <c r="BM194" i="2"/>
  <c r="BM144" i="15"/>
  <c r="BM147" i="2"/>
  <c r="BL153" i="15"/>
  <c r="BM153" i="2"/>
  <c r="BM120" i="4"/>
  <c r="CI120" i="4"/>
  <c r="BM150" i="2"/>
  <c r="BL150" i="15"/>
  <c r="CI150" i="2"/>
  <c r="BM150" i="4"/>
  <c r="CI150" i="4"/>
  <c r="BM89" i="2"/>
  <c r="BL194" i="15"/>
  <c r="BK62" i="15"/>
  <c r="BM65" i="4"/>
  <c r="BM58" i="15"/>
  <c r="BM145" i="15"/>
  <c r="BM149" i="2"/>
  <c r="BL149" i="15"/>
  <c r="BL61" i="15"/>
  <c r="CI154" i="4"/>
  <c r="BL92" i="15"/>
  <c r="CI92" i="2"/>
  <c r="BL118" i="15"/>
  <c r="BN145" i="2"/>
  <c r="BN144" i="2"/>
  <c r="BN151" i="2" s="1"/>
  <c r="BN115" i="2"/>
  <c r="BN87" i="2"/>
  <c r="BN58" i="2"/>
  <c r="BN57" i="2"/>
  <c r="BN256" i="2"/>
  <c r="BN2" i="2"/>
  <c r="BN252" i="2"/>
  <c r="BO4" i="2"/>
  <c r="BN253" i="2"/>
  <c r="BM87" i="15"/>
  <c r="BM151" i="4"/>
  <c r="BM61" i="4"/>
  <c r="CI63" i="4"/>
  <c r="BM63" i="4"/>
  <c r="BL67" i="15"/>
  <c r="BM67" i="2"/>
  <c r="BM118" i="2"/>
  <c r="BM66" i="4"/>
  <c r="BM92" i="2"/>
  <c r="BL89" i="15"/>
  <c r="CI117" i="2"/>
  <c r="BM117" i="2"/>
  <c r="BL152" i="15"/>
  <c r="BM152" i="4"/>
  <c r="BL154" i="15"/>
  <c r="CI154" i="2"/>
  <c r="BM154" i="2"/>
  <c r="BN253" i="4"/>
  <c r="BN252" i="4"/>
  <c r="BN256" i="4"/>
  <c r="BN144" i="4"/>
  <c r="BN87" i="4"/>
  <c r="BN57" i="4"/>
  <c r="BO4" i="4"/>
  <c r="BN115" i="4"/>
  <c r="BN2" i="4"/>
  <c r="BN145" i="4"/>
  <c r="BN148" i="4" s="1"/>
  <c r="BN58" i="4"/>
  <c r="BM115" i="15"/>
  <c r="BM90" i="4"/>
  <c r="CI90" i="4"/>
  <c r="BM61" i="2"/>
  <c r="BL66" i="15"/>
  <c r="BM66" i="2"/>
  <c r="BM92" i="4"/>
  <c r="BM153" i="4"/>
  <c r="BK74" i="4"/>
  <c r="BK195" i="4"/>
  <c r="BM62" i="4"/>
  <c r="BM119" i="2"/>
  <c r="BK158" i="2"/>
  <c r="BL74" i="4"/>
  <c r="CI62" i="4"/>
  <c r="BL96" i="4"/>
  <c r="BL157" i="2"/>
  <c r="BM148" i="2"/>
  <c r="BL117" i="4"/>
  <c r="CI148" i="2"/>
  <c r="BM89" i="4"/>
  <c r="BK123" i="4"/>
  <c r="L21" i="14" l="1"/>
  <c r="X21" i="14" s="1"/>
  <c r="X19" i="14"/>
  <c r="BM65" i="15"/>
  <c r="BK157" i="15"/>
  <c r="BM151" i="15"/>
  <c r="BL157" i="4"/>
  <c r="BL158" i="4" s="1"/>
  <c r="BL151" i="15"/>
  <c r="AC214" i="2"/>
  <c r="AC219" i="2" s="1"/>
  <c r="AC220" i="2" s="1"/>
  <c r="AC212" i="2"/>
  <c r="L22" i="14"/>
  <c r="N22" i="14"/>
  <c r="BG35" i="8"/>
  <c r="BE139" i="2"/>
  <c r="BF36" i="8" s="1"/>
  <c r="CG193" i="15"/>
  <c r="AC211" i="15"/>
  <c r="AE220" i="4"/>
  <c r="AD7" i="10"/>
  <c r="AE176" i="15"/>
  <c r="AE183" i="15" s="1"/>
  <c r="AE166" i="2"/>
  <c r="AE141" i="15"/>
  <c r="AF141" i="4"/>
  <c r="AD220" i="15"/>
  <c r="AE8" i="10"/>
  <c r="AF206" i="15"/>
  <c r="AF210" i="15" s="1"/>
  <c r="AF211" i="15" s="1"/>
  <c r="AF173" i="15"/>
  <c r="AF214" i="4"/>
  <c r="AF219" i="4" s="1"/>
  <c r="AF212" i="4"/>
  <c r="AF214" i="2"/>
  <c r="AF212" i="2"/>
  <c r="AD167" i="2"/>
  <c r="AD166" i="15"/>
  <c r="AE48" i="8" s="1"/>
  <c r="AE49" i="8" s="1"/>
  <c r="AE61" i="8" s="1"/>
  <c r="AE214" i="15"/>
  <c r="AE219" i="15" s="1"/>
  <c r="AE212" i="15"/>
  <c r="AC174" i="2"/>
  <c r="AC167" i="15"/>
  <c r="AC174" i="15" s="1"/>
  <c r="AG140" i="2"/>
  <c r="AG178" i="2"/>
  <c r="AG216" i="2" s="1"/>
  <c r="AG139" i="15"/>
  <c r="AG206" i="2"/>
  <c r="AG210" i="2" s="1"/>
  <c r="AG211" i="2" s="1"/>
  <c r="AG173" i="2"/>
  <c r="AG176" i="2" s="1"/>
  <c r="AE219" i="2"/>
  <c r="AE220" i="2" s="1"/>
  <c r="AF216" i="2"/>
  <c r="AF178" i="15"/>
  <c r="AF216" i="15" s="1"/>
  <c r="AF183" i="4"/>
  <c r="AG140" i="4"/>
  <c r="AG141" i="4" s="1"/>
  <c r="AG166" i="4" s="1"/>
  <c r="AG167" i="4" s="1"/>
  <c r="AG178" i="4"/>
  <c r="AG206" i="4"/>
  <c r="AG210" i="4" s="1"/>
  <c r="AG211" i="4" s="1"/>
  <c r="AG173" i="4"/>
  <c r="AC174" i="4"/>
  <c r="AD69" i="8"/>
  <c r="AD82" i="8"/>
  <c r="AB9" i="10" s="1"/>
  <c r="AB12" i="10" s="1"/>
  <c r="AB27" i="10" s="1"/>
  <c r="AF183" i="2"/>
  <c r="AF140" i="15"/>
  <c r="AF141" i="2"/>
  <c r="J25" i="11"/>
  <c r="J29" i="11" s="1"/>
  <c r="J43" i="11" s="1"/>
  <c r="BN60" i="4"/>
  <c r="BN91" i="4"/>
  <c r="BK91" i="15"/>
  <c r="BL91" i="2"/>
  <c r="BM60" i="15"/>
  <c r="BK90" i="2"/>
  <c r="BL90" i="2" s="1"/>
  <c r="BJ90" i="15"/>
  <c r="BJ96" i="2"/>
  <c r="BJ96" i="15" s="1"/>
  <c r="BJ195" i="2"/>
  <c r="BK74" i="15"/>
  <c r="BL63" i="2"/>
  <c r="BL74" i="2" s="1"/>
  <c r="BL74" i="15" s="1"/>
  <c r="BK63" i="15"/>
  <c r="BM152" i="15"/>
  <c r="F15" i="11"/>
  <c r="N25" i="11"/>
  <c r="H33" i="11"/>
  <c r="H15" i="11"/>
  <c r="H34" i="11"/>
  <c r="BM62" i="2"/>
  <c r="BM62" i="15" s="1"/>
  <c r="BM64" i="15"/>
  <c r="BN60" i="2"/>
  <c r="BN60" i="15" s="1"/>
  <c r="CI157" i="4"/>
  <c r="CI120" i="2"/>
  <c r="BL120" i="15"/>
  <c r="BL123" i="2"/>
  <c r="BN64" i="2"/>
  <c r="BM157" i="4"/>
  <c r="BM158" i="4" s="1"/>
  <c r="BN149" i="2"/>
  <c r="CI158" i="4"/>
  <c r="BO54" i="8"/>
  <c r="BO60" i="8" s="1"/>
  <c r="BJ123" i="15"/>
  <c r="BM119" i="15"/>
  <c r="BN119" i="4"/>
  <c r="BN62" i="4"/>
  <c r="BN90" i="4"/>
  <c r="BN89" i="2"/>
  <c r="BN148" i="2"/>
  <c r="BN148" i="15" s="1"/>
  <c r="BM148" i="15"/>
  <c r="BN119" i="2"/>
  <c r="BN92" i="4"/>
  <c r="BM61" i="15"/>
  <c r="BM67" i="15"/>
  <c r="BN67" i="2"/>
  <c r="BN63" i="4"/>
  <c r="BN58" i="15"/>
  <c r="BN65" i="2"/>
  <c r="BN145" i="15"/>
  <c r="BN154" i="4"/>
  <c r="BM150" i="15"/>
  <c r="BM147" i="15"/>
  <c r="BN147" i="2"/>
  <c r="BK123" i="15"/>
  <c r="BL158" i="2"/>
  <c r="BL158" i="15" s="1"/>
  <c r="BL157" i="15"/>
  <c r="BM66" i="15"/>
  <c r="BN66" i="2"/>
  <c r="BP4" i="4"/>
  <c r="BO253" i="4"/>
  <c r="BO252" i="4"/>
  <c r="BO145" i="4"/>
  <c r="BO148" i="4" s="1"/>
  <c r="BO144" i="4"/>
  <c r="BO115" i="4"/>
  <c r="BO87" i="4"/>
  <c r="BO58" i="4"/>
  <c r="BO57" i="4"/>
  <c r="BO60" i="4" s="1"/>
  <c r="BO256" i="4"/>
  <c r="BO2" i="4"/>
  <c r="BM154" i="15"/>
  <c r="BN154" i="2"/>
  <c r="BN117" i="2"/>
  <c r="BL117" i="15"/>
  <c r="BM92" i="15"/>
  <c r="BN66" i="4"/>
  <c r="BN151" i="4"/>
  <c r="BN151" i="15" s="1"/>
  <c r="BN87" i="15"/>
  <c r="BN92" i="2"/>
  <c r="BN61" i="2"/>
  <c r="BM89" i="15"/>
  <c r="BN150" i="2"/>
  <c r="BM194" i="15"/>
  <c r="BN118" i="2"/>
  <c r="BN194" i="4"/>
  <c r="BN64" i="4"/>
  <c r="BN61" i="4"/>
  <c r="BN115" i="15"/>
  <c r="BM149" i="15"/>
  <c r="BN120" i="4"/>
  <c r="BN147" i="4"/>
  <c r="BN67" i="4"/>
  <c r="BN152" i="2"/>
  <c r="BN118" i="4"/>
  <c r="BK158" i="15"/>
  <c r="BN153" i="4"/>
  <c r="BM118" i="15"/>
  <c r="BP4" i="2"/>
  <c r="BO253" i="2"/>
  <c r="BO252" i="2"/>
  <c r="BO144" i="2"/>
  <c r="BO87" i="2"/>
  <c r="BO57" i="2"/>
  <c r="BO256" i="2"/>
  <c r="BO145" i="2"/>
  <c r="BO115" i="2"/>
  <c r="BO58" i="2"/>
  <c r="BO2" i="2"/>
  <c r="BN57" i="15"/>
  <c r="BN194" i="2"/>
  <c r="BN144" i="15"/>
  <c r="BN65" i="4"/>
  <c r="BN150" i="4"/>
  <c r="BN149" i="4"/>
  <c r="BM120" i="15"/>
  <c r="BN120" i="2"/>
  <c r="BN153" i="2"/>
  <c r="BO153" i="2" s="1"/>
  <c r="BM153" i="15"/>
  <c r="BN152" i="4"/>
  <c r="BM74" i="4"/>
  <c r="BL195" i="4"/>
  <c r="CI157" i="2"/>
  <c r="BL123" i="4"/>
  <c r="BM96" i="4"/>
  <c r="BN89" i="4"/>
  <c r="BM157" i="2"/>
  <c r="BM157" i="15" s="1"/>
  <c r="BL256" i="4"/>
  <c r="BM123" i="2"/>
  <c r="BM117" i="4"/>
  <c r="CI117" i="4"/>
  <c r="BO91" i="4" l="1"/>
  <c r="AF220" i="4"/>
  <c r="AC214" i="15"/>
  <c r="AC219" i="15" s="1"/>
  <c r="AC220" i="15" s="1"/>
  <c r="AC212" i="15"/>
  <c r="BH35" i="8"/>
  <c r="BF139" i="2"/>
  <c r="BG36" i="8" s="1"/>
  <c r="AE220" i="15"/>
  <c r="AF219" i="2"/>
  <c r="AF220" i="2" s="1"/>
  <c r="AG178" i="15"/>
  <c r="AG216" i="15" s="1"/>
  <c r="AG216" i="4"/>
  <c r="AG214" i="2"/>
  <c r="AG219" i="2" s="1"/>
  <c r="AG212" i="2"/>
  <c r="AG140" i="15"/>
  <c r="AG141" i="2"/>
  <c r="AE166" i="15"/>
  <c r="AF48" i="8" s="1"/>
  <c r="AF49" i="8" s="1"/>
  <c r="AF61" i="8" s="1"/>
  <c r="AE167" i="2"/>
  <c r="AG214" i="4"/>
  <c r="AG212" i="4"/>
  <c r="AH178" i="4"/>
  <c r="AH216" i="4" s="1"/>
  <c r="AH140" i="4"/>
  <c r="AH141" i="4" s="1"/>
  <c r="AH166" i="4" s="1"/>
  <c r="AH167" i="4" s="1"/>
  <c r="AH206" i="4"/>
  <c r="AH210" i="4" s="1"/>
  <c r="AH211" i="4" s="1"/>
  <c r="AH173" i="4"/>
  <c r="AH176" i="4" s="1"/>
  <c r="AG206" i="15"/>
  <c r="AG210" i="15" s="1"/>
  <c r="AG211" i="15" s="1"/>
  <c r="AF8" i="10"/>
  <c r="AG173" i="15"/>
  <c r="AE82" i="8"/>
  <c r="AC9" i="10" s="1"/>
  <c r="AC12" i="10" s="1"/>
  <c r="AC27" i="10" s="1"/>
  <c r="AE69" i="8"/>
  <c r="AE7" i="10"/>
  <c r="AF176" i="15"/>
  <c r="AF183" i="15" s="1"/>
  <c r="AF141" i="15"/>
  <c r="AF166" i="2"/>
  <c r="AG183" i="2"/>
  <c r="AG176" i="4"/>
  <c r="AG183" i="4" s="1"/>
  <c r="AG174" i="4"/>
  <c r="AH178" i="2"/>
  <c r="AH140" i="2"/>
  <c r="AH139" i="15"/>
  <c r="AH206" i="2"/>
  <c r="AH210" i="2" s="1"/>
  <c r="AH211" i="2" s="1"/>
  <c r="AH173" i="2"/>
  <c r="AH176" i="2" s="1"/>
  <c r="AD174" i="2"/>
  <c r="AD167" i="15"/>
  <c r="AD174" i="15" s="1"/>
  <c r="AF214" i="15"/>
  <c r="AF219" i="15" s="1"/>
  <c r="AF212" i="15"/>
  <c r="AF166" i="4"/>
  <c r="BL91" i="15"/>
  <c r="BM91" i="2"/>
  <c r="CI91" i="2"/>
  <c r="BL96" i="2"/>
  <c r="BL96" i="15" s="1"/>
  <c r="BL90" i="15"/>
  <c r="BL195" i="2"/>
  <c r="BK96" i="2"/>
  <c r="BK90" i="15"/>
  <c r="BK195" i="15" s="1"/>
  <c r="CI90" i="2"/>
  <c r="BK195" i="2"/>
  <c r="BM90" i="2"/>
  <c r="BL256" i="2"/>
  <c r="BM54" i="8" s="1"/>
  <c r="BM60" i="8" s="1"/>
  <c r="BN62" i="2"/>
  <c r="BO62" i="2" s="1"/>
  <c r="CI63" i="2"/>
  <c r="BM63" i="2"/>
  <c r="BL63" i="15"/>
  <c r="BL123" i="15"/>
  <c r="BO150" i="4"/>
  <c r="BO145" i="15"/>
  <c r="BO153" i="4"/>
  <c r="BO153" i="15" s="1"/>
  <c r="BO149" i="4"/>
  <c r="BO149" i="2"/>
  <c r="CI158" i="2"/>
  <c r="BO148" i="2"/>
  <c r="BO148" i="15" s="1"/>
  <c r="BN157" i="2"/>
  <c r="BN158" i="2" s="1"/>
  <c r="BO150" i="2"/>
  <c r="BO65" i="4"/>
  <c r="BO58" i="15"/>
  <c r="BO63" i="4"/>
  <c r="BO61" i="4"/>
  <c r="BN89" i="15"/>
  <c r="BO60" i="2"/>
  <c r="BO60" i="15" s="1"/>
  <c r="BO62" i="4"/>
  <c r="BO66" i="4"/>
  <c r="BO89" i="2"/>
  <c r="BO64" i="4"/>
  <c r="BO61" i="2"/>
  <c r="BN74" i="4"/>
  <c r="BO89" i="4"/>
  <c r="BN153" i="15"/>
  <c r="BO57" i="15"/>
  <c r="BO194" i="2"/>
  <c r="BN152" i="15"/>
  <c r="BO152" i="2"/>
  <c r="BO120" i="4"/>
  <c r="BO65" i="2"/>
  <c r="BN65" i="15"/>
  <c r="BN67" i="15"/>
  <c r="BO67" i="2"/>
  <c r="BO90" i="4"/>
  <c r="BN120" i="15"/>
  <c r="BO120" i="2"/>
  <c r="BO115" i="15"/>
  <c r="BO87" i="15"/>
  <c r="BO152" i="4"/>
  <c r="BN150" i="15"/>
  <c r="BN154" i="15"/>
  <c r="BO154" i="2"/>
  <c r="BN66" i="15"/>
  <c r="BO66" i="2"/>
  <c r="BN149" i="15"/>
  <c r="BO119" i="2"/>
  <c r="BN119" i="15"/>
  <c r="BO64" i="2"/>
  <c r="BP253" i="2"/>
  <c r="BP252" i="2"/>
  <c r="BP145" i="2"/>
  <c r="BP144" i="2"/>
  <c r="BP153" i="2" s="1"/>
  <c r="BP115" i="2"/>
  <c r="BP87" i="2"/>
  <c r="BP58" i="2"/>
  <c r="BP57" i="2"/>
  <c r="BP256" i="2"/>
  <c r="BQ4" i="2"/>
  <c r="BP2" i="2"/>
  <c r="BN123" i="2"/>
  <c r="BN194" i="15"/>
  <c r="BO144" i="15"/>
  <c r="BO151" i="2"/>
  <c r="BO67" i="4"/>
  <c r="BN118" i="15"/>
  <c r="BO118" i="2"/>
  <c r="BN61" i="15"/>
  <c r="BM117" i="15"/>
  <c r="BP54" i="8"/>
  <c r="BP60" i="8" s="1"/>
  <c r="BO154" i="4"/>
  <c r="BO119" i="4"/>
  <c r="BN64" i="15"/>
  <c r="BO118" i="4"/>
  <c r="BO147" i="4"/>
  <c r="BN157" i="4"/>
  <c r="BN158" i="4" s="1"/>
  <c r="BO92" i="2"/>
  <c r="BN92" i="15"/>
  <c r="BO151" i="4"/>
  <c r="BO117" i="2"/>
  <c r="BO194" i="4"/>
  <c r="BP253" i="4"/>
  <c r="BP252" i="4"/>
  <c r="BP145" i="4"/>
  <c r="BP144" i="4"/>
  <c r="BP115" i="4"/>
  <c r="BP87" i="4"/>
  <c r="BP91" i="4" s="1"/>
  <c r="BP58" i="4"/>
  <c r="BP57" i="4"/>
  <c r="BP256" i="4"/>
  <c r="BQ4" i="4"/>
  <c r="BP2" i="4"/>
  <c r="BO147" i="2"/>
  <c r="BN147" i="15"/>
  <c r="BO92" i="4"/>
  <c r="CI123" i="4"/>
  <c r="BN117" i="4"/>
  <c r="BN117" i="15" s="1"/>
  <c r="BM158" i="2"/>
  <c r="BM158" i="15" s="1"/>
  <c r="BN96" i="4"/>
  <c r="CI195" i="4"/>
  <c r="BM123" i="4"/>
  <c r="BM123" i="15" s="1"/>
  <c r="BM195" i="4"/>
  <c r="BI35" i="8" l="1"/>
  <c r="BG139" i="2"/>
  <c r="BH36" i="8" s="1"/>
  <c r="AG220" i="2"/>
  <c r="AH183" i="2"/>
  <c r="AF220" i="15"/>
  <c r="AH174" i="4"/>
  <c r="AH206" i="15"/>
  <c r="AH210" i="15" s="1"/>
  <c r="AH211" i="15" s="1"/>
  <c r="AG8" i="10"/>
  <c r="AH173" i="15"/>
  <c r="AF82" i="8"/>
  <c r="AD9" i="10" s="1"/>
  <c r="AD12" i="10" s="1"/>
  <c r="AD27" i="10" s="1"/>
  <c r="AF69" i="8"/>
  <c r="AH140" i="15"/>
  <c r="AH141" i="2"/>
  <c r="AF166" i="15"/>
  <c r="AG48" i="8" s="1"/>
  <c r="AG49" i="8" s="1"/>
  <c r="AG61" i="8" s="1"/>
  <c r="AF167" i="2"/>
  <c r="AF7" i="10"/>
  <c r="AG176" i="15"/>
  <c r="AG183" i="15" s="1"/>
  <c r="AH183" i="4"/>
  <c r="AI178" i="4"/>
  <c r="AI216" i="4" s="1"/>
  <c r="AI140" i="4"/>
  <c r="AI206" i="4"/>
  <c r="AI210" i="4" s="1"/>
  <c r="AI211" i="4" s="1"/>
  <c r="AI173" i="4"/>
  <c r="AG219" i="4"/>
  <c r="AG220" i="4" s="1"/>
  <c r="AH216" i="2"/>
  <c r="AH178" i="15"/>
  <c r="AH216" i="15" s="1"/>
  <c r="AH214" i="4"/>
  <c r="AH219" i="4" s="1"/>
  <c r="AH212" i="4"/>
  <c r="AG141" i="15"/>
  <c r="AG166" i="2"/>
  <c r="AF167" i="4"/>
  <c r="AH214" i="2"/>
  <c r="AH212" i="2"/>
  <c r="AI178" i="2"/>
  <c r="AI139" i="15"/>
  <c r="AI140" i="2"/>
  <c r="AI206" i="2"/>
  <c r="AI210" i="2" s="1"/>
  <c r="AI211" i="2" s="1"/>
  <c r="AI173" i="2"/>
  <c r="AI176" i="2" s="1"/>
  <c r="AG214" i="15"/>
  <c r="AG219" i="15" s="1"/>
  <c r="AG212" i="15"/>
  <c r="AE167" i="15"/>
  <c r="AE174" i="15" s="1"/>
  <c r="AE174" i="2"/>
  <c r="BM195" i="2"/>
  <c r="BP149" i="4"/>
  <c r="BN62" i="15"/>
  <c r="BM74" i="2"/>
  <c r="BM74" i="15" s="1"/>
  <c r="BM91" i="15"/>
  <c r="BN91" i="2"/>
  <c r="BP147" i="2"/>
  <c r="CI195" i="2"/>
  <c r="BN90" i="2"/>
  <c r="BM96" i="2"/>
  <c r="BM96" i="15" s="1"/>
  <c r="BM90" i="15"/>
  <c r="BK96" i="15"/>
  <c r="BO90" i="2"/>
  <c r="BO90" i="15" s="1"/>
  <c r="BL195" i="15"/>
  <c r="BO74" i="4"/>
  <c r="BO150" i="15"/>
  <c r="BN63" i="2"/>
  <c r="BM63" i="15"/>
  <c r="BO149" i="15"/>
  <c r="BP148" i="2"/>
  <c r="BP65" i="4"/>
  <c r="BP150" i="2"/>
  <c r="BP152" i="2"/>
  <c r="BO62" i="15"/>
  <c r="BP62" i="2"/>
  <c r="BP61" i="2"/>
  <c r="BO61" i="15"/>
  <c r="BP117" i="2"/>
  <c r="BP60" i="2"/>
  <c r="BQ54" i="8"/>
  <c r="BQ60" i="8" s="1"/>
  <c r="BO117" i="4"/>
  <c r="BO117" i="15" s="1"/>
  <c r="BO89" i="15"/>
  <c r="BP89" i="4"/>
  <c r="BP118" i="2"/>
  <c r="BO120" i="15"/>
  <c r="BP120" i="2"/>
  <c r="BN195" i="4"/>
  <c r="BP63" i="4"/>
  <c r="BP120" i="4"/>
  <c r="BO96" i="4"/>
  <c r="BP66" i="2"/>
  <c r="BP194" i="4"/>
  <c r="BP64" i="4"/>
  <c r="BP62" i="4"/>
  <c r="BO123" i="2"/>
  <c r="BO92" i="15"/>
  <c r="BP67" i="4"/>
  <c r="BQ253" i="2"/>
  <c r="BQ252" i="2"/>
  <c r="BQ145" i="2"/>
  <c r="BQ144" i="2"/>
  <c r="BQ147" i="2" s="1"/>
  <c r="BQ115" i="2"/>
  <c r="BQ87" i="2"/>
  <c r="BQ58" i="2"/>
  <c r="BQ57" i="2"/>
  <c r="BQ256" i="2"/>
  <c r="BR4" i="2"/>
  <c r="BQ2" i="2"/>
  <c r="BP87" i="15"/>
  <c r="BP89" i="2"/>
  <c r="BO194" i="15"/>
  <c r="BP92" i="2"/>
  <c r="BP60" i="4"/>
  <c r="BO157" i="2"/>
  <c r="BP150" i="4"/>
  <c r="BP66" i="4"/>
  <c r="BP118" i="4"/>
  <c r="BP153" i="4"/>
  <c r="BP153" i="15" s="1"/>
  <c r="BP119" i="4"/>
  <c r="BP61" i="4"/>
  <c r="BO151" i="15"/>
  <c r="BP151" i="2"/>
  <c r="BP115" i="15"/>
  <c r="BO119" i="15"/>
  <c r="BP119" i="2"/>
  <c r="BN157" i="15"/>
  <c r="BO67" i="15"/>
  <c r="BP67" i="2"/>
  <c r="BO65" i="15"/>
  <c r="BQ145" i="4"/>
  <c r="BQ144" i="4"/>
  <c r="BQ115" i="4"/>
  <c r="BQ87" i="4"/>
  <c r="BQ91" i="4" s="1"/>
  <c r="BQ58" i="4"/>
  <c r="BQ57" i="4"/>
  <c r="BQ256" i="4"/>
  <c r="BQ253" i="4"/>
  <c r="BQ252" i="4"/>
  <c r="BQ2" i="4"/>
  <c r="BR4" i="4"/>
  <c r="BP151" i="4"/>
  <c r="BO118" i="15"/>
  <c r="BP57" i="15"/>
  <c r="BP144" i="15"/>
  <c r="BO154" i="15"/>
  <c r="BP154" i="2"/>
  <c r="BN158" i="15"/>
  <c r="BP92" i="4"/>
  <c r="BO152" i="15"/>
  <c r="BO147" i="15"/>
  <c r="BO157" i="4"/>
  <c r="BO158" i="4" s="1"/>
  <c r="BP147" i="4"/>
  <c r="BP154" i="4"/>
  <c r="BP58" i="15"/>
  <c r="BP194" i="2"/>
  <c r="BP145" i="15"/>
  <c r="BO64" i="15"/>
  <c r="BP64" i="2"/>
  <c r="BO66" i="15"/>
  <c r="BP152" i="4"/>
  <c r="BP90" i="4"/>
  <c r="BP65" i="2"/>
  <c r="BP148" i="4"/>
  <c r="BP149" i="2"/>
  <c r="BN123" i="4"/>
  <c r="BP90" i="2" l="1"/>
  <c r="BP90" i="15" s="1"/>
  <c r="BQ149" i="4"/>
  <c r="BJ35" i="8"/>
  <c r="BH139" i="2"/>
  <c r="BI36" i="8" s="1"/>
  <c r="AH219" i="2"/>
  <c r="AH220" i="2" s="1"/>
  <c r="AI206" i="15"/>
  <c r="AI210" i="15" s="1"/>
  <c r="AI211" i="15" s="1"/>
  <c r="AH8" i="10"/>
  <c r="AI173" i="15"/>
  <c r="AH220" i="4"/>
  <c r="AG7" i="10"/>
  <c r="AH176" i="15"/>
  <c r="AH183" i="15" s="1"/>
  <c r="AI183" i="2"/>
  <c r="AG166" i="15"/>
  <c r="AH48" i="8" s="1"/>
  <c r="AH49" i="8" s="1"/>
  <c r="AH61" i="8" s="1"/>
  <c r="AG167" i="2"/>
  <c r="AI214" i="2"/>
  <c r="AI212" i="2"/>
  <c r="AJ178" i="2"/>
  <c r="AJ140" i="2"/>
  <c r="AJ173" i="2"/>
  <c r="AJ176" i="2" s="1"/>
  <c r="AJ206" i="2"/>
  <c r="AJ139" i="15"/>
  <c r="AF174" i="4"/>
  <c r="AH214" i="15"/>
  <c r="AH219" i="15" s="1"/>
  <c r="AH212" i="15"/>
  <c r="AI214" i="4"/>
  <c r="AI219" i="4" s="1"/>
  <c r="AI212" i="4"/>
  <c r="AG82" i="8"/>
  <c r="AE9" i="10" s="1"/>
  <c r="AE12" i="10" s="1"/>
  <c r="AE27" i="10" s="1"/>
  <c r="AG69" i="8"/>
  <c r="AI216" i="2"/>
  <c r="AI178" i="15"/>
  <c r="AI216" i="15" s="1"/>
  <c r="AI141" i="4"/>
  <c r="AG220" i="15"/>
  <c r="AH141" i="15"/>
  <c r="AH166" i="2"/>
  <c r="AI140" i="15"/>
  <c r="AI141" i="2"/>
  <c r="AI176" i="4"/>
  <c r="AI183" i="4" s="1"/>
  <c r="AJ140" i="4"/>
  <c r="AJ141" i="4" s="1"/>
  <c r="AJ166" i="4" s="1"/>
  <c r="AJ167" i="4" s="1"/>
  <c r="AJ178" i="4"/>
  <c r="AJ216" i="4" s="1"/>
  <c r="AJ206" i="4"/>
  <c r="AJ173" i="4"/>
  <c r="AJ176" i="4" s="1"/>
  <c r="AF174" i="2"/>
  <c r="AF167" i="15"/>
  <c r="AF174" i="15" s="1"/>
  <c r="BP62" i="15"/>
  <c r="BQ150" i="2"/>
  <c r="BO91" i="2"/>
  <c r="BN91" i="15"/>
  <c r="BN90" i="15"/>
  <c r="BN96" i="2"/>
  <c r="BN96" i="15" s="1"/>
  <c r="BO195" i="4"/>
  <c r="BP150" i="15"/>
  <c r="BM195" i="15"/>
  <c r="BN195" i="2"/>
  <c r="BN74" i="2"/>
  <c r="BN63" i="15"/>
  <c r="BO63" i="2"/>
  <c r="BP61" i="15"/>
  <c r="BQ151" i="2"/>
  <c r="BQ117" i="2"/>
  <c r="BP157" i="2"/>
  <c r="BP157" i="4"/>
  <c r="BP158" i="4" s="1"/>
  <c r="BQ147" i="4"/>
  <c r="BQ147" i="15" s="1"/>
  <c r="BQ148" i="2"/>
  <c r="BP120" i="15"/>
  <c r="BO123" i="4"/>
  <c r="BP117" i="4"/>
  <c r="BP117" i="15" s="1"/>
  <c r="BP96" i="4"/>
  <c r="BP118" i="15"/>
  <c r="BQ66" i="2"/>
  <c r="BR54" i="8"/>
  <c r="BR60" i="8" s="1"/>
  <c r="BQ120" i="4"/>
  <c r="BQ64" i="2"/>
  <c r="BQ60" i="2"/>
  <c r="BQ119" i="2"/>
  <c r="BQ67" i="4"/>
  <c r="BQ89" i="4"/>
  <c r="BQ90" i="4"/>
  <c r="BQ148" i="4"/>
  <c r="BQ60" i="4"/>
  <c r="BP74" i="4"/>
  <c r="BQ115" i="15"/>
  <c r="BQ120" i="2"/>
  <c r="BQ118" i="2"/>
  <c r="BP65" i="15"/>
  <c r="BQ154" i="4"/>
  <c r="BQ63" i="4"/>
  <c r="BQ151" i="4"/>
  <c r="BP67" i="15"/>
  <c r="BQ67" i="2"/>
  <c r="BQ153" i="4"/>
  <c r="BQ66" i="4"/>
  <c r="BO158" i="2"/>
  <c r="BO158" i="15" s="1"/>
  <c r="BO157" i="15"/>
  <c r="BQ57" i="15"/>
  <c r="BQ194" i="2"/>
  <c r="BQ144" i="15"/>
  <c r="BN123" i="15"/>
  <c r="BP148" i="15"/>
  <c r="BQ62" i="4"/>
  <c r="BQ153" i="2"/>
  <c r="BQ65" i="4"/>
  <c r="BQ90" i="2"/>
  <c r="BP64" i="15"/>
  <c r="BR253" i="4"/>
  <c r="BR252" i="4"/>
  <c r="BR144" i="4"/>
  <c r="BR87" i="4"/>
  <c r="BR57" i="4"/>
  <c r="BR145" i="4"/>
  <c r="BR115" i="4"/>
  <c r="BR58" i="4"/>
  <c r="BR256" i="4"/>
  <c r="BS4" i="4"/>
  <c r="BR2" i="4"/>
  <c r="BQ118" i="4"/>
  <c r="BP92" i="15"/>
  <c r="BQ58" i="15"/>
  <c r="BQ145" i="15"/>
  <c r="BQ62" i="2"/>
  <c r="BQ92" i="2"/>
  <c r="BQ152" i="4"/>
  <c r="BQ152" i="2"/>
  <c r="BP66" i="15"/>
  <c r="BQ61" i="2"/>
  <c r="BP149" i="15"/>
  <c r="BQ149" i="2"/>
  <c r="BP154" i="15"/>
  <c r="BQ154" i="2"/>
  <c r="BP194" i="15"/>
  <c r="BQ194" i="4"/>
  <c r="BP60" i="15"/>
  <c r="BQ65" i="2"/>
  <c r="BP119" i="15"/>
  <c r="BP123" i="2"/>
  <c r="BP151" i="15"/>
  <c r="BQ61" i="4"/>
  <c r="BQ119" i="4"/>
  <c r="BQ150" i="4"/>
  <c r="BQ92" i="4"/>
  <c r="BP89" i="15"/>
  <c r="BQ89" i="2"/>
  <c r="BR145" i="2"/>
  <c r="BR144" i="2"/>
  <c r="BR115" i="2"/>
  <c r="BR87" i="2"/>
  <c r="BR58" i="2"/>
  <c r="BR57" i="2"/>
  <c r="BR256" i="2"/>
  <c r="BR252" i="2"/>
  <c r="BR253" i="2"/>
  <c r="BS4" i="2"/>
  <c r="BR2" i="2"/>
  <c r="BQ87" i="15"/>
  <c r="BQ64" i="4"/>
  <c r="BP152" i="15"/>
  <c r="BP147" i="15"/>
  <c r="BK35" i="8" l="1"/>
  <c r="BI139" i="2"/>
  <c r="BJ36" i="8" s="1"/>
  <c r="AI220" i="4"/>
  <c r="AJ183" i="4"/>
  <c r="AJ183" i="2"/>
  <c r="AJ174" i="4"/>
  <c r="AH82" i="8"/>
  <c r="AF9" i="10" s="1"/>
  <c r="AF12" i="10" s="1"/>
  <c r="AF27" i="10" s="1"/>
  <c r="AH69" i="8"/>
  <c r="AI214" i="15"/>
  <c r="AI219" i="15" s="1"/>
  <c r="AI212" i="15"/>
  <c r="AJ210" i="4"/>
  <c r="AJ211" i="4" s="1"/>
  <c r="AJ141" i="2"/>
  <c r="AJ140" i="15"/>
  <c r="AI219" i="2"/>
  <c r="AI220" i="2" s="1"/>
  <c r="AH167" i="2"/>
  <c r="AH166" i="15"/>
  <c r="AI48" i="8" s="1"/>
  <c r="AI49" i="8" s="1"/>
  <c r="AI61" i="8" s="1"/>
  <c r="AI166" i="4"/>
  <c r="AJ206" i="15"/>
  <c r="AI8" i="10"/>
  <c r="AJ173" i="15"/>
  <c r="AJ216" i="2"/>
  <c r="AJ178" i="15"/>
  <c r="AJ216" i="15" s="1"/>
  <c r="AH7" i="10"/>
  <c r="AI176" i="15"/>
  <c r="AI183" i="15" s="1"/>
  <c r="AK140" i="4"/>
  <c r="AK141" i="4" s="1"/>
  <c r="AK166" i="4" s="1"/>
  <c r="AK167" i="4" s="1"/>
  <c r="AK178" i="4"/>
  <c r="AK216" i="4" s="1"/>
  <c r="AK206" i="4"/>
  <c r="AK210" i="4" s="1"/>
  <c r="AK211" i="4" s="1"/>
  <c r="AK173" i="4"/>
  <c r="AK176" i="4" s="1"/>
  <c r="AI166" i="2"/>
  <c r="AI141" i="15"/>
  <c r="AJ210" i="2"/>
  <c r="AJ211" i="2" s="1"/>
  <c r="AK178" i="2"/>
  <c r="AK206" i="2"/>
  <c r="AK210" i="2" s="1"/>
  <c r="AK211" i="2" s="1"/>
  <c r="AK140" i="2"/>
  <c r="AK139" i="15"/>
  <c r="AK173" i="2"/>
  <c r="AK176" i="2" s="1"/>
  <c r="AG167" i="15"/>
  <c r="AG174" i="15" s="1"/>
  <c r="AG174" i="2"/>
  <c r="AH220" i="15"/>
  <c r="BP91" i="2"/>
  <c r="BO96" i="2"/>
  <c r="BO96" i="15" s="1"/>
  <c r="BO91" i="15"/>
  <c r="BP63" i="2"/>
  <c r="BO195" i="2"/>
  <c r="BO74" i="2"/>
  <c r="BO63" i="15"/>
  <c r="BN195" i="15"/>
  <c r="BN74" i="15"/>
  <c r="BQ148" i="15"/>
  <c r="BR147" i="4"/>
  <c r="BQ151" i="15"/>
  <c r="BQ117" i="4"/>
  <c r="BQ117" i="15" s="1"/>
  <c r="BP195" i="4"/>
  <c r="BP157" i="15"/>
  <c r="BR152" i="4"/>
  <c r="BR66" i="2"/>
  <c r="BP158" i="2"/>
  <c r="BP158" i="15" s="1"/>
  <c r="BR150" i="4"/>
  <c r="BR144" i="15"/>
  <c r="BR145" i="15"/>
  <c r="BR67" i="4"/>
  <c r="BP123" i="4"/>
  <c r="BO123" i="15"/>
  <c r="BR120" i="4"/>
  <c r="BR90" i="4"/>
  <c r="BR118" i="4"/>
  <c r="BQ66" i="15"/>
  <c r="BR60" i="2"/>
  <c r="BR58" i="15"/>
  <c r="BQ60" i="15"/>
  <c r="BR92" i="4"/>
  <c r="BR61" i="4"/>
  <c r="BR119" i="4"/>
  <c r="BQ96" i="4"/>
  <c r="BR89" i="4"/>
  <c r="BR64" i="4"/>
  <c r="BQ74" i="4"/>
  <c r="BR62" i="4"/>
  <c r="BR115" i="15"/>
  <c r="BR119" i="2"/>
  <c r="BQ65" i="15"/>
  <c r="BQ154" i="15"/>
  <c r="BR154" i="2"/>
  <c r="BQ92" i="15"/>
  <c r="BR151" i="2"/>
  <c r="BR65" i="4"/>
  <c r="BQ67" i="15"/>
  <c r="BR67" i="2"/>
  <c r="BR154" i="4"/>
  <c r="BQ118" i="15"/>
  <c r="BR118" i="2"/>
  <c r="BR148" i="4"/>
  <c r="BR87" i="15"/>
  <c r="BS253" i="2"/>
  <c r="BS252" i="2"/>
  <c r="BS144" i="2"/>
  <c r="BS87" i="2"/>
  <c r="BS57" i="2"/>
  <c r="BS256" i="2"/>
  <c r="BS145" i="2"/>
  <c r="BS115" i="2"/>
  <c r="BS58" i="2"/>
  <c r="BS2" i="2"/>
  <c r="BT4" i="2"/>
  <c r="BR57" i="15"/>
  <c r="BR194" i="2"/>
  <c r="BR89" i="2"/>
  <c r="BR64" i="2"/>
  <c r="BQ149" i="15"/>
  <c r="BQ157" i="2"/>
  <c r="BQ61" i="15"/>
  <c r="BR61" i="2"/>
  <c r="BQ152" i="15"/>
  <c r="BR152" i="2"/>
  <c r="BQ62" i="15"/>
  <c r="BR62" i="2"/>
  <c r="BQ119" i="15"/>
  <c r="BQ90" i="15"/>
  <c r="BR153" i="4"/>
  <c r="BQ120" i="15"/>
  <c r="BR120" i="2"/>
  <c r="BQ64" i="15"/>
  <c r="BQ157" i="4"/>
  <c r="BQ158" i="4" s="1"/>
  <c r="BR150" i="2"/>
  <c r="BQ150" i="15"/>
  <c r="BR91" i="4"/>
  <c r="BR147" i="2"/>
  <c r="BQ89" i="15"/>
  <c r="BR149" i="4"/>
  <c r="BR149" i="2"/>
  <c r="BS253" i="4"/>
  <c r="BS252" i="4"/>
  <c r="BS145" i="4"/>
  <c r="BS144" i="4"/>
  <c r="BS115" i="4"/>
  <c r="BS87" i="4"/>
  <c r="BS58" i="4"/>
  <c r="BS57" i="4"/>
  <c r="BS256" i="4"/>
  <c r="BT4" i="4"/>
  <c r="BS2" i="4"/>
  <c r="BQ194" i="15"/>
  <c r="BR63" i="4"/>
  <c r="BR148" i="2"/>
  <c r="BQ123" i="2"/>
  <c r="BR92" i="2"/>
  <c r="BS54" i="8"/>
  <c r="BS60" i="8" s="1"/>
  <c r="BR194" i="4"/>
  <c r="BR90" i="2"/>
  <c r="BQ153" i="15"/>
  <c r="BR153" i="2"/>
  <c r="BR66" i="4"/>
  <c r="BR151" i="4"/>
  <c r="BR65" i="2"/>
  <c r="BR60" i="4"/>
  <c r="BR117" i="2"/>
  <c r="BQ195" i="4"/>
  <c r="CI118" i="4"/>
  <c r="BL35" i="8" l="1"/>
  <c r="BJ139" i="2"/>
  <c r="BK36" i="8" s="1"/>
  <c r="AI220" i="15"/>
  <c r="AK183" i="2"/>
  <c r="AK216" i="2"/>
  <c r="AK178" i="15"/>
  <c r="AK216" i="15" s="1"/>
  <c r="AJ210" i="15"/>
  <c r="AJ211" i="15" s="1"/>
  <c r="AH167" i="15"/>
  <c r="AH174" i="15" s="1"/>
  <c r="AH174" i="2"/>
  <c r="AK206" i="15"/>
  <c r="AK210" i="15" s="1"/>
  <c r="AK211" i="15" s="1"/>
  <c r="AJ8" i="10"/>
  <c r="AK173" i="15"/>
  <c r="AL206" i="2"/>
  <c r="AL178" i="2"/>
  <c r="AI166" i="15"/>
  <c r="AJ48" i="8" s="1"/>
  <c r="AJ49" i="8" s="1"/>
  <c r="AJ61" i="8" s="1"/>
  <c r="AI167" i="2"/>
  <c r="AL139" i="15"/>
  <c r="AL140" i="4"/>
  <c r="AL141" i="4" s="1"/>
  <c r="AL166" i="4" s="1"/>
  <c r="AL167" i="4" s="1"/>
  <c r="AL178" i="4"/>
  <c r="AL216" i="4" s="1"/>
  <c r="AL206" i="4"/>
  <c r="AL173" i="4"/>
  <c r="AL176" i="4" s="1"/>
  <c r="AK140" i="15"/>
  <c r="AK141" i="2"/>
  <c r="AJ212" i="2"/>
  <c r="AJ214" i="2"/>
  <c r="AJ219" i="2" s="1"/>
  <c r="AJ220" i="2" s="1"/>
  <c r="AK183" i="4"/>
  <c r="AK174" i="4"/>
  <c r="AJ176" i="15"/>
  <c r="AJ183" i="15" s="1"/>
  <c r="AI7" i="10"/>
  <c r="AI167" i="4"/>
  <c r="AJ166" i="2"/>
  <c r="AJ141" i="15"/>
  <c r="AK214" i="2"/>
  <c r="AK212" i="2"/>
  <c r="AK214" i="4"/>
  <c r="AK219" i="4" s="1"/>
  <c r="AK212" i="4"/>
  <c r="AI69" i="8"/>
  <c r="AI82" i="8"/>
  <c r="AG9" i="10" s="1"/>
  <c r="AG12" i="10" s="1"/>
  <c r="AG27" i="10" s="1"/>
  <c r="AJ214" i="4"/>
  <c r="AJ219" i="4" s="1"/>
  <c r="AJ220" i="4" s="1"/>
  <c r="AJ212" i="4"/>
  <c r="BR60" i="15"/>
  <c r="BP91" i="15"/>
  <c r="BQ91" i="2"/>
  <c r="BP96" i="2"/>
  <c r="BP96" i="15" s="1"/>
  <c r="BS147" i="4"/>
  <c r="BR153" i="15"/>
  <c r="BO195" i="15"/>
  <c r="BO74" i="15"/>
  <c r="BP63" i="15"/>
  <c r="BP74" i="2"/>
  <c r="BQ63" i="2"/>
  <c r="BP195" i="2"/>
  <c r="BS152" i="4"/>
  <c r="BR117" i="4"/>
  <c r="BR123" i="4" s="1"/>
  <c r="BQ123" i="4"/>
  <c r="BS152" i="2"/>
  <c r="BS90" i="4"/>
  <c r="BS61" i="4"/>
  <c r="BP123" i="15"/>
  <c r="BS151" i="4"/>
  <c r="BS153" i="2"/>
  <c r="BS144" i="15"/>
  <c r="BS120" i="4"/>
  <c r="BR118" i="15"/>
  <c r="BR96" i="4"/>
  <c r="BR61" i="15"/>
  <c r="BS66" i="4"/>
  <c r="BS62" i="4"/>
  <c r="BS89" i="4"/>
  <c r="BS63" i="4"/>
  <c r="BT54" i="8"/>
  <c r="BT60" i="8" s="1"/>
  <c r="BS118" i="2"/>
  <c r="BR90" i="15"/>
  <c r="BS91" i="4"/>
  <c r="BR62" i="15"/>
  <c r="BS117" i="2"/>
  <c r="BR74" i="4"/>
  <c r="BS60" i="4"/>
  <c r="BS194" i="4"/>
  <c r="BR157" i="4"/>
  <c r="BR158" i="4" s="1"/>
  <c r="BS149" i="4"/>
  <c r="BS92" i="4"/>
  <c r="BS119" i="4"/>
  <c r="BS118" i="4"/>
  <c r="BR152" i="15"/>
  <c r="BS61" i="2"/>
  <c r="BS154" i="4"/>
  <c r="BS65" i="4"/>
  <c r="BR151" i="15"/>
  <c r="BS151" i="2"/>
  <c r="BS150" i="2"/>
  <c r="BR150" i="15"/>
  <c r="BS58" i="15"/>
  <c r="BS57" i="15"/>
  <c r="BS194" i="2"/>
  <c r="BR157" i="2"/>
  <c r="BR154" i="15"/>
  <c r="BS154" i="2"/>
  <c r="BR119" i="15"/>
  <c r="BS119" i="2"/>
  <c r="BR123" i="2"/>
  <c r="BS64" i="4"/>
  <c r="BR149" i="15"/>
  <c r="BR64" i="15"/>
  <c r="BS64" i="2"/>
  <c r="BS150" i="4"/>
  <c r="BR65" i="15"/>
  <c r="BS92" i="2"/>
  <c r="BR92" i="15"/>
  <c r="BR148" i="15"/>
  <c r="BS148" i="2"/>
  <c r="BT253" i="4"/>
  <c r="BT252" i="4"/>
  <c r="BT145" i="4"/>
  <c r="BT144" i="4"/>
  <c r="BT115" i="4"/>
  <c r="BT87" i="4"/>
  <c r="BT58" i="4"/>
  <c r="BT57" i="4"/>
  <c r="BT256" i="4"/>
  <c r="BU4" i="4"/>
  <c r="BT2" i="4"/>
  <c r="BR147" i="15"/>
  <c r="BS147" i="2"/>
  <c r="BS120" i="2"/>
  <c r="BR120" i="15"/>
  <c r="BS153" i="4"/>
  <c r="BT153" i="4" s="1"/>
  <c r="BS62" i="2"/>
  <c r="BQ158" i="2"/>
  <c r="BQ158" i="15" s="1"/>
  <c r="BQ157" i="15"/>
  <c r="BR194" i="15"/>
  <c r="BS115" i="15"/>
  <c r="BS87" i="15"/>
  <c r="BR67" i="15"/>
  <c r="BS67" i="2"/>
  <c r="BS66" i="2"/>
  <c r="BS60" i="2"/>
  <c r="BS149" i="2"/>
  <c r="BS148" i="4"/>
  <c r="BS67" i="4"/>
  <c r="BS90" i="2"/>
  <c r="BR89" i="15"/>
  <c r="BS89" i="2"/>
  <c r="BT253" i="2"/>
  <c r="BT252" i="2"/>
  <c r="BT145" i="2"/>
  <c r="BT144" i="2"/>
  <c r="BT115" i="2"/>
  <c r="BT87" i="2"/>
  <c r="BT58" i="2"/>
  <c r="BT57" i="2"/>
  <c r="BT256" i="2"/>
  <c r="BT2" i="2"/>
  <c r="BU4" i="2"/>
  <c r="BS145" i="15"/>
  <c r="BS65" i="2"/>
  <c r="BR66" i="15"/>
  <c r="BR195" i="4"/>
  <c r="BM35" i="8" l="1"/>
  <c r="BK139" i="2"/>
  <c r="BL36" i="8" s="1"/>
  <c r="AK219" i="2"/>
  <c r="AK220" i="2" s="1"/>
  <c r="AK220" i="4"/>
  <c r="AL210" i="4"/>
  <c r="AL211" i="4" s="1"/>
  <c r="AL206" i="15"/>
  <c r="AK8" i="10"/>
  <c r="AM140" i="2"/>
  <c r="AM206" i="2"/>
  <c r="AM178" i="2"/>
  <c r="AM139" i="15"/>
  <c r="AM173" i="2"/>
  <c r="AM176" i="2" s="1"/>
  <c r="AI167" i="15"/>
  <c r="AI174" i="15" s="1"/>
  <c r="AI174" i="2"/>
  <c r="AK214" i="15"/>
  <c r="AK219" i="15" s="1"/>
  <c r="AK212" i="15"/>
  <c r="AJ214" i="15"/>
  <c r="AJ219" i="15" s="1"/>
  <c r="AJ220" i="15" s="1"/>
  <c r="AJ212" i="15"/>
  <c r="AK141" i="15"/>
  <c r="AK166" i="2"/>
  <c r="AM140" i="4"/>
  <c r="AM141" i="4" s="1"/>
  <c r="AM166" i="4" s="1"/>
  <c r="AM167" i="4" s="1"/>
  <c r="AM178" i="4"/>
  <c r="AM216" i="4" s="1"/>
  <c r="AM206" i="4"/>
  <c r="AM210" i="4" s="1"/>
  <c r="AM211" i="4" s="1"/>
  <c r="AM173" i="4"/>
  <c r="AM176" i="4" s="1"/>
  <c r="AJ82" i="8"/>
  <c r="AH9" i="10" s="1"/>
  <c r="AH12" i="10" s="1"/>
  <c r="AH27" i="10" s="1"/>
  <c r="AJ69" i="8"/>
  <c r="AJ7" i="10"/>
  <c r="AK176" i="15"/>
  <c r="AK183" i="15" s="1"/>
  <c r="AJ166" i="15"/>
  <c r="AK48" i="8" s="1"/>
  <c r="AK49" i="8" s="1"/>
  <c r="AK61" i="8" s="1"/>
  <c r="AJ167" i="2"/>
  <c r="AI174" i="4"/>
  <c r="AL183" i="4"/>
  <c r="AL174" i="4"/>
  <c r="AL216" i="2"/>
  <c r="AL178" i="15"/>
  <c r="AL216" i="15" s="1"/>
  <c r="BQ91" i="15"/>
  <c r="BQ96" i="2"/>
  <c r="BQ96" i="15" s="1"/>
  <c r="BR91" i="2"/>
  <c r="BQ123" i="15"/>
  <c r="BS117" i="4"/>
  <c r="BS117" i="15" s="1"/>
  <c r="BS152" i="15"/>
  <c r="BT91" i="4"/>
  <c r="BQ195" i="2"/>
  <c r="BQ63" i="15"/>
  <c r="BQ74" i="2"/>
  <c r="BR63" i="2"/>
  <c r="BP74" i="15"/>
  <c r="BP195" i="15"/>
  <c r="BT120" i="4"/>
  <c r="BR123" i="15"/>
  <c r="BS118" i="15"/>
  <c r="BT149" i="4"/>
  <c r="BR117" i="15"/>
  <c r="BT144" i="15"/>
  <c r="BT62" i="4"/>
  <c r="BT63" i="4"/>
  <c r="BT154" i="4"/>
  <c r="BS64" i="15"/>
  <c r="BS96" i="4"/>
  <c r="BT57" i="15"/>
  <c r="BT115" i="15"/>
  <c r="BT66" i="4"/>
  <c r="BT60" i="4"/>
  <c r="BT65" i="2"/>
  <c r="BT67" i="2"/>
  <c r="BS74" i="4"/>
  <c r="BT117" i="2"/>
  <c r="BT89" i="4"/>
  <c r="BT58" i="15"/>
  <c r="BT87" i="15"/>
  <c r="BS89" i="15"/>
  <c r="BT67" i="4"/>
  <c r="BS66" i="15"/>
  <c r="BT66" i="2"/>
  <c r="BS148" i="15"/>
  <c r="BS92" i="15"/>
  <c r="BT150" i="4"/>
  <c r="BT64" i="2"/>
  <c r="BS123" i="2"/>
  <c r="BS119" i="15"/>
  <c r="BR158" i="2"/>
  <c r="BR158" i="15" s="1"/>
  <c r="BR157" i="15"/>
  <c r="BT65" i="4"/>
  <c r="BT118" i="2"/>
  <c r="BS61" i="15"/>
  <c r="BT61" i="2"/>
  <c r="BT118" i="4"/>
  <c r="BT119" i="4"/>
  <c r="BT89" i="2"/>
  <c r="BT148" i="4"/>
  <c r="BT92" i="2"/>
  <c r="BS62" i="15"/>
  <c r="BS147" i="15"/>
  <c r="BS157" i="2"/>
  <c r="BU145" i="4"/>
  <c r="BU144" i="4"/>
  <c r="BU153" i="4" s="1"/>
  <c r="BU115" i="4"/>
  <c r="BU87" i="4"/>
  <c r="BU58" i="4"/>
  <c r="BU57" i="4"/>
  <c r="BU256" i="4"/>
  <c r="BU253" i="4"/>
  <c r="BU252" i="4"/>
  <c r="BU2" i="4"/>
  <c r="BV4" i="4"/>
  <c r="BT64" i="4"/>
  <c r="BS150" i="15"/>
  <c r="BS151" i="15"/>
  <c r="BT90" i="2"/>
  <c r="BT92" i="4"/>
  <c r="BT153" i="2"/>
  <c r="BT90" i="4"/>
  <c r="BS149" i="15"/>
  <c r="BT147" i="2"/>
  <c r="BU54" i="8"/>
  <c r="BU60" i="8" s="1"/>
  <c r="BT148" i="2"/>
  <c r="BS154" i="15"/>
  <c r="BT154" i="2"/>
  <c r="BT151" i="4"/>
  <c r="BS194" i="15"/>
  <c r="BT150" i="2"/>
  <c r="BT151" i="2"/>
  <c r="BT152" i="4"/>
  <c r="BT61" i="4"/>
  <c r="BT149" i="2"/>
  <c r="BS65" i="15"/>
  <c r="BU253" i="2"/>
  <c r="BU252" i="2"/>
  <c r="BU145" i="2"/>
  <c r="BU144" i="2"/>
  <c r="BU115" i="2"/>
  <c r="BU87" i="2"/>
  <c r="BU58" i="2"/>
  <c r="BU57" i="2"/>
  <c r="BU256" i="2"/>
  <c r="BU2" i="2"/>
  <c r="BV4" i="2"/>
  <c r="BT194" i="2"/>
  <c r="BT145" i="15"/>
  <c r="BT152" i="2"/>
  <c r="BS90" i="15"/>
  <c r="BS60" i="15"/>
  <c r="BT60" i="2"/>
  <c r="BS67" i="15"/>
  <c r="BS120" i="15"/>
  <c r="BT120" i="2"/>
  <c r="BT194" i="4"/>
  <c r="BT147" i="4"/>
  <c r="BT119" i="2"/>
  <c r="BS153" i="15"/>
  <c r="BS157" i="4"/>
  <c r="BS158" i="4" s="1"/>
  <c r="BT62" i="2"/>
  <c r="CI62" i="2"/>
  <c r="BS123" i="4"/>
  <c r="BT117" i="4"/>
  <c r="CI91" i="4"/>
  <c r="CI74" i="4"/>
  <c r="BN35" i="8" l="1"/>
  <c r="BL139" i="2"/>
  <c r="BM36" i="8" s="1"/>
  <c r="AK220" i="15"/>
  <c r="AM174" i="4"/>
  <c r="AJ174" i="2"/>
  <c r="AJ167" i="15"/>
  <c r="AJ174" i="15" s="1"/>
  <c r="AN139" i="15"/>
  <c r="AN140" i="2"/>
  <c r="AN206" i="2"/>
  <c r="AN210" i="2" s="1"/>
  <c r="AN211" i="2" s="1"/>
  <c r="AN178" i="2"/>
  <c r="AN173" i="2"/>
  <c r="AN176" i="2" s="1"/>
  <c r="AK82" i="8"/>
  <c r="AI9" i="10" s="1"/>
  <c r="AI12" i="10" s="1"/>
  <c r="AI27" i="10" s="1"/>
  <c r="AK69" i="8"/>
  <c r="AM183" i="2"/>
  <c r="AM210" i="2"/>
  <c r="AM211" i="2" s="1"/>
  <c r="AK167" i="2"/>
  <c r="AK166" i="15"/>
  <c r="AL48" i="8" s="1"/>
  <c r="AL49" i="8" s="1"/>
  <c r="AL61" i="8" s="1"/>
  <c r="AM183" i="4"/>
  <c r="AN178" i="4"/>
  <c r="AN216" i="4" s="1"/>
  <c r="AN140" i="4"/>
  <c r="AN141" i="4" s="1"/>
  <c r="AN166" i="4" s="1"/>
  <c r="AN167" i="4" s="1"/>
  <c r="AN206" i="4"/>
  <c r="AN210" i="4" s="1"/>
  <c r="AN211" i="4" s="1"/>
  <c r="AN173" i="4"/>
  <c r="AN176" i="4" s="1"/>
  <c r="AL8" i="10"/>
  <c r="AM206" i="15"/>
  <c r="AM173" i="15"/>
  <c r="AM140" i="15"/>
  <c r="AM141" i="2"/>
  <c r="AL212" i="4"/>
  <c r="AL214" i="4"/>
  <c r="AL219" i="4" s="1"/>
  <c r="AL220" i="4" s="1"/>
  <c r="AM212" i="4"/>
  <c r="AM214" i="4"/>
  <c r="AM219" i="4" s="1"/>
  <c r="AM216" i="2"/>
  <c r="AM178" i="15"/>
  <c r="AM216" i="15" s="1"/>
  <c r="BS195" i="4"/>
  <c r="BR96" i="2"/>
  <c r="BR96" i="15" s="1"/>
  <c r="BS91" i="2"/>
  <c r="BR91" i="15"/>
  <c r="BQ74" i="15"/>
  <c r="BQ195" i="15"/>
  <c r="BR74" i="2"/>
  <c r="BR63" i="15"/>
  <c r="BR195" i="2"/>
  <c r="BS63" i="2"/>
  <c r="BU120" i="4"/>
  <c r="BU62" i="4"/>
  <c r="BU154" i="4"/>
  <c r="BU144" i="15"/>
  <c r="BU149" i="4"/>
  <c r="BT157" i="4"/>
  <c r="BT158" i="4" s="1"/>
  <c r="BU145" i="15"/>
  <c r="BT96" i="4"/>
  <c r="BU89" i="4"/>
  <c r="BT66" i="15"/>
  <c r="BU66" i="4"/>
  <c r="BT123" i="4"/>
  <c r="BU115" i="15"/>
  <c r="BU58" i="15"/>
  <c r="BT67" i="15"/>
  <c r="BT89" i="15"/>
  <c r="BT65" i="15"/>
  <c r="BU67" i="4"/>
  <c r="BU87" i="15"/>
  <c r="BU89" i="2"/>
  <c r="BT74" i="4"/>
  <c r="BU119" i="4"/>
  <c r="BU118" i="4"/>
  <c r="BT194" i="15"/>
  <c r="BU66" i="2"/>
  <c r="BU65" i="4"/>
  <c r="BU117" i="4"/>
  <c r="BT62" i="15"/>
  <c r="BT120" i="15"/>
  <c r="BU120" i="2"/>
  <c r="BT60" i="15"/>
  <c r="BV145" i="2"/>
  <c r="BV144" i="2"/>
  <c r="BV115" i="2"/>
  <c r="BV87" i="2"/>
  <c r="BV58" i="2"/>
  <c r="BV57" i="2"/>
  <c r="BV256" i="2"/>
  <c r="BV253" i="2"/>
  <c r="BV252" i="2"/>
  <c r="BV2" i="2"/>
  <c r="BW4" i="2"/>
  <c r="BU61" i="4"/>
  <c r="BT148" i="15"/>
  <c r="BU148" i="2"/>
  <c r="BT90" i="15"/>
  <c r="BU64" i="2"/>
  <c r="BV253" i="4"/>
  <c r="BV252" i="4"/>
  <c r="BV145" i="4"/>
  <c r="BV115" i="4"/>
  <c r="BV58" i="4"/>
  <c r="BV256" i="4"/>
  <c r="BV57" i="4"/>
  <c r="BV87" i="4"/>
  <c r="BV144" i="4"/>
  <c r="BV153" i="4" s="1"/>
  <c r="BW4" i="4"/>
  <c r="BV2" i="4"/>
  <c r="BV54" i="8"/>
  <c r="BV60" i="8" s="1"/>
  <c r="BU117" i="2"/>
  <c r="BU61" i="2"/>
  <c r="BS123" i="15"/>
  <c r="BU63" i="4"/>
  <c r="BU90" i="2"/>
  <c r="BT195" i="4"/>
  <c r="BU152" i="2"/>
  <c r="BT152" i="15"/>
  <c r="BU152" i="4"/>
  <c r="BT151" i="15"/>
  <c r="BU151" i="2"/>
  <c r="BU90" i="4"/>
  <c r="BT153" i="15"/>
  <c r="BU153" i="2"/>
  <c r="BU153" i="15" s="1"/>
  <c r="BU92" i="4"/>
  <c r="BU64" i="4"/>
  <c r="BU62" i="2"/>
  <c r="BU194" i="4"/>
  <c r="BU60" i="4"/>
  <c r="BT64" i="15"/>
  <c r="BU150" i="4"/>
  <c r="BU67" i="2"/>
  <c r="BT123" i="2"/>
  <c r="BT119" i="15"/>
  <c r="BU60" i="2"/>
  <c r="BU151" i="4"/>
  <c r="BU147" i="2"/>
  <c r="BT147" i="15"/>
  <c r="BT92" i="15"/>
  <c r="BU92" i="2"/>
  <c r="BT118" i="15"/>
  <c r="BU118" i="2"/>
  <c r="BU119" i="2"/>
  <c r="BT117" i="15"/>
  <c r="BU91" i="4"/>
  <c r="BU147" i="4"/>
  <c r="BU57" i="15"/>
  <c r="BU194" i="2"/>
  <c r="BT149" i="15"/>
  <c r="BT150" i="15"/>
  <c r="BU150" i="2"/>
  <c r="BT157" i="2"/>
  <c r="BT154" i="15"/>
  <c r="BU154" i="2"/>
  <c r="BS157" i="15"/>
  <c r="BS158" i="2"/>
  <c r="BU148" i="4"/>
  <c r="BT61" i="15"/>
  <c r="BU149" i="2"/>
  <c r="BU65" i="2"/>
  <c r="D61" i="8"/>
  <c r="CG166" i="4" l="1"/>
  <c r="BO35" i="8"/>
  <c r="BM139" i="2"/>
  <c r="BN36" i="8" s="1"/>
  <c r="CG206" i="2"/>
  <c r="AM220" i="4"/>
  <c r="AL69" i="8"/>
  <c r="AL82" i="8"/>
  <c r="AJ9" i="10" s="1"/>
  <c r="AJ12" i="10" s="1"/>
  <c r="AJ27" i="10" s="1"/>
  <c r="AM214" i="2"/>
  <c r="AM219" i="2" s="1"/>
  <c r="AM220" i="2" s="1"/>
  <c r="AM212" i="2"/>
  <c r="AN216" i="2"/>
  <c r="AN178" i="15"/>
  <c r="AN216" i="15" s="1"/>
  <c r="AN206" i="15"/>
  <c r="AN210" i="15" s="1"/>
  <c r="AN211" i="15" s="1"/>
  <c r="AM8" i="10"/>
  <c r="J9" i="12" s="1"/>
  <c r="AN173" i="15"/>
  <c r="AL7" i="10"/>
  <c r="AM176" i="15"/>
  <c r="AM183" i="15" s="1"/>
  <c r="AN183" i="4"/>
  <c r="AO139" i="15"/>
  <c r="AO178" i="4"/>
  <c r="AO140" i="4"/>
  <c r="AO206" i="4"/>
  <c r="AO173" i="4"/>
  <c r="AK167" i="15"/>
  <c r="AK174" i="15" s="1"/>
  <c r="AK174" i="2"/>
  <c r="AN214" i="2"/>
  <c r="AN212" i="2"/>
  <c r="AM210" i="15"/>
  <c r="AM211" i="15" s="1"/>
  <c r="AN214" i="4"/>
  <c r="AN219" i="4" s="1"/>
  <c r="AN212" i="4"/>
  <c r="CG206" i="4"/>
  <c r="AO206" i="2"/>
  <c r="AO178" i="2"/>
  <c r="AO140" i="2"/>
  <c r="AO141" i="2" s="1"/>
  <c r="AO173" i="2"/>
  <c r="AO176" i="2" s="1"/>
  <c r="AM141" i="15"/>
  <c r="AM166" i="2"/>
  <c r="AN174" i="4"/>
  <c r="CG167" i="4"/>
  <c r="AN183" i="2"/>
  <c r="AN140" i="15"/>
  <c r="AN141" i="2"/>
  <c r="BR195" i="15"/>
  <c r="BT91" i="2"/>
  <c r="BS91" i="15"/>
  <c r="BS96" i="2"/>
  <c r="BS96" i="15" s="1"/>
  <c r="BV117" i="4"/>
  <c r="BS63" i="15"/>
  <c r="BS195" i="2"/>
  <c r="BS74" i="2"/>
  <c r="BR74" i="15"/>
  <c r="BT63" i="2"/>
  <c r="BV147" i="4"/>
  <c r="BU149" i="15"/>
  <c r="BV62" i="4"/>
  <c r="BV151" i="2"/>
  <c r="BV154" i="4"/>
  <c r="BV152" i="4"/>
  <c r="BV151" i="4"/>
  <c r="BV149" i="4"/>
  <c r="BV89" i="4"/>
  <c r="BU89" i="15"/>
  <c r="BV63" i="4"/>
  <c r="BT123" i="15"/>
  <c r="BV62" i="2"/>
  <c r="BV119" i="4"/>
  <c r="BV67" i="4"/>
  <c r="BU66" i="15"/>
  <c r="BV89" i="2"/>
  <c r="BU92" i="15"/>
  <c r="BV118" i="4"/>
  <c r="BU74" i="4"/>
  <c r="BV65" i="4"/>
  <c r="BU123" i="4"/>
  <c r="BV61" i="4"/>
  <c r="BV64" i="4"/>
  <c r="BV115" i="15"/>
  <c r="BV92" i="2"/>
  <c r="BV90" i="4"/>
  <c r="BU61" i="15"/>
  <c r="BW54" i="8"/>
  <c r="BW60" i="8" s="1"/>
  <c r="BV58" i="15"/>
  <c r="BS158" i="15"/>
  <c r="BU154" i="15"/>
  <c r="BV154" i="2"/>
  <c r="BU147" i="15"/>
  <c r="BV147" i="2"/>
  <c r="BU157" i="2"/>
  <c r="BV60" i="4"/>
  <c r="BV153" i="2"/>
  <c r="BV148" i="2"/>
  <c r="BU117" i="15"/>
  <c r="BV117" i="2"/>
  <c r="BV57" i="15"/>
  <c r="BV144" i="15"/>
  <c r="BV120" i="4"/>
  <c r="BV66" i="2"/>
  <c r="BV148" i="4"/>
  <c r="BU194" i="15"/>
  <c r="BU123" i="2"/>
  <c r="BU119" i="15"/>
  <c r="BU152" i="15"/>
  <c r="BV150" i="4"/>
  <c r="BU64" i="15"/>
  <c r="BV64" i="2"/>
  <c r="BU148" i="15"/>
  <c r="BV194" i="2"/>
  <c r="BV145" i="15"/>
  <c r="BV120" i="2"/>
  <c r="BU120" i="15"/>
  <c r="BV61" i="2"/>
  <c r="BV118" i="2"/>
  <c r="BU118" i="15"/>
  <c r="BU60" i="15"/>
  <c r="BU195" i="4"/>
  <c r="BT158" i="2"/>
  <c r="BT158" i="15" s="1"/>
  <c r="BT157" i="15"/>
  <c r="BV91" i="4"/>
  <c r="BV92" i="4"/>
  <c r="BU96" i="4"/>
  <c r="BU151" i="15"/>
  <c r="BV152" i="2"/>
  <c r="BV60" i="2"/>
  <c r="BV194" i="4"/>
  <c r="BV66" i="4"/>
  <c r="BV87" i="15"/>
  <c r="BV149" i="2"/>
  <c r="BU65" i="15"/>
  <c r="BV65" i="2"/>
  <c r="BV150" i="2"/>
  <c r="BU150" i="15"/>
  <c r="BV119" i="2"/>
  <c r="BU67" i="15"/>
  <c r="BV67" i="2"/>
  <c r="BU157" i="4"/>
  <c r="BU158" i="4" s="1"/>
  <c r="BU62" i="15"/>
  <c r="BU90" i="15"/>
  <c r="BV90" i="2"/>
  <c r="BW253" i="4"/>
  <c r="BW252" i="4"/>
  <c r="BW145" i="4"/>
  <c r="BW144" i="4"/>
  <c r="BW115" i="4"/>
  <c r="BW117" i="4" s="1"/>
  <c r="BW87" i="4"/>
  <c r="BW58" i="4"/>
  <c r="BW57" i="4"/>
  <c r="BW256" i="4"/>
  <c r="BX4" i="4"/>
  <c r="BW2" i="4"/>
  <c r="BW253" i="2"/>
  <c r="BW252" i="2"/>
  <c r="BW145" i="2"/>
  <c r="BW115" i="2"/>
  <c r="BW58" i="2"/>
  <c r="BW87" i="2"/>
  <c r="BW144" i="2"/>
  <c r="BW256" i="2"/>
  <c r="BW57" i="2"/>
  <c r="BX4" i="2"/>
  <c r="BW2" i="2"/>
  <c r="CI149" i="4"/>
  <c r="CI119" i="2"/>
  <c r="CI96" i="2"/>
  <c r="CI74" i="2"/>
  <c r="D69" i="8"/>
  <c r="D74" i="8" s="1"/>
  <c r="D79" i="8" s="1"/>
  <c r="F18" i="11"/>
  <c r="BW152" i="4" l="1"/>
  <c r="BV117" i="15"/>
  <c r="BP35" i="8"/>
  <c r="BN139" i="2"/>
  <c r="BO36" i="8" s="1"/>
  <c r="CG206" i="15"/>
  <c r="L35" i="14" s="1"/>
  <c r="X35" i="14" s="1"/>
  <c r="AN219" i="2"/>
  <c r="AN220" i="2" s="1"/>
  <c r="AP206" i="2"/>
  <c r="AP210" i="2" s="1"/>
  <c r="AP211" i="2" s="1"/>
  <c r="AP178" i="2"/>
  <c r="AP140" i="2"/>
  <c r="AP141" i="2" s="1"/>
  <c r="AP139" i="15"/>
  <c r="AP173" i="2"/>
  <c r="AP176" i="2" s="1"/>
  <c r="AN141" i="15"/>
  <c r="AN166" i="2"/>
  <c r="AO183" i="2"/>
  <c r="AO210" i="2"/>
  <c r="AO211" i="2" s="1"/>
  <c r="AO140" i="15"/>
  <c r="AO141" i="4"/>
  <c r="AN220" i="4"/>
  <c r="AM7" i="10"/>
  <c r="AN176" i="15"/>
  <c r="AN183" i="15" s="1"/>
  <c r="AM166" i="15"/>
  <c r="AN48" i="8" s="1"/>
  <c r="AN49" i="8" s="1"/>
  <c r="AN61" i="8" s="1"/>
  <c r="AN69" i="8" s="1"/>
  <c r="AM167" i="2"/>
  <c r="AO176" i="4"/>
  <c r="AO183" i="4" s="1"/>
  <c r="AO178" i="15"/>
  <c r="AO216" i="4"/>
  <c r="AO166" i="2"/>
  <c r="AM214" i="15"/>
  <c r="AM219" i="15" s="1"/>
  <c r="AM220" i="15" s="1"/>
  <c r="AM212" i="15"/>
  <c r="AP140" i="4"/>
  <c r="AP178" i="4"/>
  <c r="AP216" i="4" s="1"/>
  <c r="AP206" i="4"/>
  <c r="AP210" i="4" s="1"/>
  <c r="AP211" i="4" s="1"/>
  <c r="AP173" i="4"/>
  <c r="AP176" i="4" s="1"/>
  <c r="AN214" i="15"/>
  <c r="AN219" i="15" s="1"/>
  <c r="AN212" i="15"/>
  <c r="AO216" i="2"/>
  <c r="AO210" i="4"/>
  <c r="AN8" i="10"/>
  <c r="AO206" i="15"/>
  <c r="AO173" i="15"/>
  <c r="BT96" i="2"/>
  <c r="BT96" i="15" s="1"/>
  <c r="BT91" i="15"/>
  <c r="BU91" i="2"/>
  <c r="BW151" i="2"/>
  <c r="BV147" i="15"/>
  <c r="BW90" i="2"/>
  <c r="BS195" i="15"/>
  <c r="BS74" i="15"/>
  <c r="BT74" i="2"/>
  <c r="BT63" i="15"/>
  <c r="BU63" i="2"/>
  <c r="BT195" i="2"/>
  <c r="BW149" i="4"/>
  <c r="BV157" i="4"/>
  <c r="BV158" i="4" s="1"/>
  <c r="BV62" i="15"/>
  <c r="BW64" i="4"/>
  <c r="BV65" i="15"/>
  <c r="BW89" i="4"/>
  <c r="BV151" i="15"/>
  <c r="BV150" i="15"/>
  <c r="BW150" i="4"/>
  <c r="BW145" i="15"/>
  <c r="BV89" i="15"/>
  <c r="BW67" i="4"/>
  <c r="BV123" i="4"/>
  <c r="BV67" i="15"/>
  <c r="BV74" i="4"/>
  <c r="BV118" i="15"/>
  <c r="BV92" i="15"/>
  <c r="BV120" i="15"/>
  <c r="BX54" i="8"/>
  <c r="BX60" i="8" s="1"/>
  <c r="BW58" i="15"/>
  <c r="BW57" i="15"/>
  <c r="BW194" i="2"/>
  <c r="BW60" i="2"/>
  <c r="BW115" i="15"/>
  <c r="BV90" i="15"/>
  <c r="BW151" i="4"/>
  <c r="BW150" i="2"/>
  <c r="BV60" i="15"/>
  <c r="BW91" i="4"/>
  <c r="BV96" i="4"/>
  <c r="BV61" i="15"/>
  <c r="BW61" i="2"/>
  <c r="BW63" i="4"/>
  <c r="BW148" i="4"/>
  <c r="BW120" i="4"/>
  <c r="BW117" i="2"/>
  <c r="BV195" i="4"/>
  <c r="BV157" i="2"/>
  <c r="BV154" i="15"/>
  <c r="BW154" i="2"/>
  <c r="BW118" i="4"/>
  <c r="BW144" i="15"/>
  <c r="BX2" i="4"/>
  <c r="BX253" i="4"/>
  <c r="CA25" i="4" s="1"/>
  <c r="BX252" i="4"/>
  <c r="BZ25" i="4" s="1"/>
  <c r="BX145" i="4"/>
  <c r="BX144" i="4"/>
  <c r="BX149" i="4" s="1"/>
  <c r="CJ149" i="4" s="1"/>
  <c r="BX115" i="4"/>
  <c r="BX87" i="4"/>
  <c r="BX58" i="4"/>
  <c r="BX57" i="4"/>
  <c r="CH16" i="4"/>
  <c r="CF14" i="4"/>
  <c r="CF16" i="4"/>
  <c r="CI11" i="4"/>
  <c r="CD17" i="4"/>
  <c r="CC13" i="4"/>
  <c r="CG16" i="4"/>
  <c r="CF11" i="4"/>
  <c r="CC12" i="4"/>
  <c r="CH10" i="4"/>
  <c r="CC18" i="4"/>
  <c r="CC17" i="4"/>
  <c r="CG11" i="4"/>
  <c r="CJ12" i="4"/>
  <c r="CI18" i="4"/>
  <c r="CE12" i="4"/>
  <c r="CI13" i="4"/>
  <c r="CE7" i="4"/>
  <c r="CJ10" i="4"/>
  <c r="CJ11" i="4"/>
  <c r="CC7" i="4"/>
  <c r="CH17" i="4"/>
  <c r="CC10" i="4"/>
  <c r="CF12" i="4"/>
  <c r="CI16" i="4"/>
  <c r="CD10" i="4"/>
  <c r="CF10" i="4"/>
  <c r="CD11" i="4"/>
  <c r="CG14" i="4"/>
  <c r="CJ17" i="4"/>
  <c r="CC16" i="4"/>
  <c r="CD13" i="4"/>
  <c r="CF17" i="4"/>
  <c r="CH12" i="4"/>
  <c r="CE10" i="4"/>
  <c r="CJ14" i="4"/>
  <c r="CG12" i="4"/>
  <c r="CI14" i="4"/>
  <c r="CJ16" i="4"/>
  <c r="CG18" i="4"/>
  <c r="CH13" i="4"/>
  <c r="CD18" i="4"/>
  <c r="CE16" i="4"/>
  <c r="CH14" i="4"/>
  <c r="CE13" i="4"/>
  <c r="CI15" i="4"/>
  <c r="CH15" i="4"/>
  <c r="CC15" i="4"/>
  <c r="CE11" i="4"/>
  <c r="CI7" i="4"/>
  <c r="CJ13" i="4"/>
  <c r="CC14" i="4"/>
  <c r="CD15" i="4"/>
  <c r="CG17" i="4"/>
  <c r="CD7" i="4"/>
  <c r="CF18" i="4"/>
  <c r="CH18" i="4"/>
  <c r="CJ7" i="4"/>
  <c r="CH11" i="4"/>
  <c r="CI10" i="4"/>
  <c r="CE14" i="4"/>
  <c r="CD12" i="4"/>
  <c r="CD16" i="4"/>
  <c r="CC11" i="4"/>
  <c r="CD14" i="4"/>
  <c r="CG7" i="4"/>
  <c r="CE17" i="4"/>
  <c r="CJ18" i="4"/>
  <c r="CF13" i="4"/>
  <c r="CI17" i="4"/>
  <c r="CH7" i="4"/>
  <c r="CE18" i="4"/>
  <c r="CG13" i="4"/>
  <c r="CI12" i="4"/>
  <c r="CG10" i="4"/>
  <c r="CE15" i="4"/>
  <c r="CF7" i="4"/>
  <c r="CG15" i="4"/>
  <c r="CJ15" i="4"/>
  <c r="CF15" i="4"/>
  <c r="BW119" i="4"/>
  <c r="BW66" i="4"/>
  <c r="BV152" i="15"/>
  <c r="BW152" i="2"/>
  <c r="BW147" i="2"/>
  <c r="BW62" i="2"/>
  <c r="BW62" i="4"/>
  <c r="BV153" i="15"/>
  <c r="BW153" i="2"/>
  <c r="BW154" i="4"/>
  <c r="BX154" i="4" s="1"/>
  <c r="CJ154" i="4" s="1"/>
  <c r="BX2" i="2"/>
  <c r="BX253" i="2"/>
  <c r="CA25" i="2" s="1"/>
  <c r="BX252" i="2"/>
  <c r="BZ25" i="2" s="1"/>
  <c r="BX145" i="2"/>
  <c r="BX144" i="2"/>
  <c r="BX115" i="2"/>
  <c r="BX87" i="2"/>
  <c r="BX90" i="2" s="1"/>
  <c r="BX58" i="2"/>
  <c r="BX57" i="2"/>
  <c r="CH7" i="2"/>
  <c r="CC13" i="2"/>
  <c r="CE12" i="2"/>
  <c r="CH17" i="2"/>
  <c r="CD17" i="2"/>
  <c r="CD14" i="2"/>
  <c r="CE16" i="2"/>
  <c r="CI18" i="2"/>
  <c r="CI12" i="2"/>
  <c r="CJ7" i="2"/>
  <c r="CC17" i="2"/>
  <c r="CG18" i="2"/>
  <c r="CC11" i="2"/>
  <c r="CH16" i="2"/>
  <c r="CC15" i="2"/>
  <c r="CD11" i="2"/>
  <c r="CI17" i="2"/>
  <c r="CD16" i="2"/>
  <c r="CJ13" i="2"/>
  <c r="CG14" i="2"/>
  <c r="CJ14" i="2"/>
  <c r="CD10" i="2"/>
  <c r="CH15" i="2"/>
  <c r="CE7" i="2"/>
  <c r="CJ10" i="2"/>
  <c r="CE11" i="2"/>
  <c r="CF18" i="2"/>
  <c r="CE13" i="2"/>
  <c r="CH12" i="2"/>
  <c r="CH18" i="2"/>
  <c r="CF11" i="2"/>
  <c r="CI10" i="2"/>
  <c r="CD15" i="2"/>
  <c r="CI14" i="2"/>
  <c r="CF7" i="2"/>
  <c r="CF15" i="2"/>
  <c r="CF12" i="2"/>
  <c r="CD12" i="2"/>
  <c r="CJ11" i="2"/>
  <c r="CJ15" i="2"/>
  <c r="CH10" i="2"/>
  <c r="CH14" i="2"/>
  <c r="CI11" i="2"/>
  <c r="CJ16" i="2"/>
  <c r="CF14" i="2"/>
  <c r="CG10" i="2"/>
  <c r="CD18" i="2"/>
  <c r="CJ12" i="2"/>
  <c r="CE18" i="2"/>
  <c r="CE14" i="2"/>
  <c r="CE10" i="2"/>
  <c r="CF17" i="2"/>
  <c r="CE17" i="2"/>
  <c r="CF13" i="2"/>
  <c r="CC18" i="2"/>
  <c r="CG17" i="2"/>
  <c r="CI13" i="2"/>
  <c r="CH11" i="2"/>
  <c r="CG12" i="2"/>
  <c r="CG7" i="2"/>
  <c r="CI16" i="2"/>
  <c r="CC14" i="2"/>
  <c r="CJ18" i="2"/>
  <c r="CG11" i="2"/>
  <c r="CE15" i="2"/>
  <c r="CC12" i="2"/>
  <c r="CC7" i="2"/>
  <c r="CF16" i="2"/>
  <c r="CI7" i="2"/>
  <c r="CC10" i="2"/>
  <c r="CC16" i="2"/>
  <c r="CJ17" i="2"/>
  <c r="CD7" i="2"/>
  <c r="CG15" i="2"/>
  <c r="CF10" i="2"/>
  <c r="CD13" i="2"/>
  <c r="CG16" i="2"/>
  <c r="CH13" i="2"/>
  <c r="CI15" i="2"/>
  <c r="CG13" i="2"/>
  <c r="BW87" i="15"/>
  <c r="BW89" i="2"/>
  <c r="BW149" i="2"/>
  <c r="BW149" i="15" s="1"/>
  <c r="BV149" i="15"/>
  <c r="BW92" i="2"/>
  <c r="BW120" i="2"/>
  <c r="BU123" i="15"/>
  <c r="BV194" i="15"/>
  <c r="BW65" i="4"/>
  <c r="BW194" i="4"/>
  <c r="BW153" i="4"/>
  <c r="BX153" i="4" s="1"/>
  <c r="CJ153" i="4" s="1"/>
  <c r="BW67" i="2"/>
  <c r="BV123" i="2"/>
  <c r="BV119" i="15"/>
  <c r="BW65" i="2"/>
  <c r="BW119" i="2"/>
  <c r="BW92" i="4"/>
  <c r="BW118" i="2"/>
  <c r="BW64" i="2"/>
  <c r="BV64" i="15"/>
  <c r="BW90" i="4"/>
  <c r="BV66" i="15"/>
  <c r="BW66" i="2"/>
  <c r="BV148" i="15"/>
  <c r="BW60" i="4"/>
  <c r="BU157" i="15"/>
  <c r="BU158" i="2"/>
  <c r="BW148" i="2"/>
  <c r="BW61" i="4"/>
  <c r="BX61" i="4" s="1"/>
  <c r="CJ61" i="4" s="1"/>
  <c r="BW147" i="4"/>
  <c r="CI123" i="2"/>
  <c r="F32" i="11"/>
  <c r="F25" i="11"/>
  <c r="F29" i="11" s="1"/>
  <c r="F42" i="11" s="1"/>
  <c r="D77" i="8"/>
  <c r="L61" i="8"/>
  <c r="E61" i="8"/>
  <c r="E69" i="8" s="1"/>
  <c r="E74" i="8" s="1"/>
  <c r="E79" i="8" s="1"/>
  <c r="H61" i="8"/>
  <c r="M61" i="8"/>
  <c r="I61" i="8"/>
  <c r="F61" i="8"/>
  <c r="K61" i="8"/>
  <c r="J61" i="8"/>
  <c r="G61" i="8"/>
  <c r="BZ29" i="4" l="1"/>
  <c r="BZ50" i="4"/>
  <c r="BZ181" i="2"/>
  <c r="BZ29" i="2"/>
  <c r="BZ50" i="2"/>
  <c r="CA50" i="4"/>
  <c r="CA29" i="4"/>
  <c r="CA181" i="2"/>
  <c r="CA29" i="2"/>
  <c r="CA50" i="2"/>
  <c r="BZ28" i="4"/>
  <c r="BZ181" i="4"/>
  <c r="CA28" i="4"/>
  <c r="CA181" i="4"/>
  <c r="BW151" i="15"/>
  <c r="BQ35" i="8"/>
  <c r="BO139" i="2"/>
  <c r="BP36" i="8" s="1"/>
  <c r="AP214" i="4"/>
  <c r="AP219" i="4" s="1"/>
  <c r="AP212" i="4"/>
  <c r="AO216" i="15"/>
  <c r="AO214" i="2"/>
  <c r="AO219" i="2" s="1"/>
  <c r="AO220" i="2" s="1"/>
  <c r="AO212" i="2"/>
  <c r="AP166" i="2"/>
  <c r="AO166" i="4"/>
  <c r="AO166" i="15" s="1"/>
  <c r="AP48" i="8" s="1"/>
  <c r="AP49" i="8" s="1"/>
  <c r="AP61" i="8" s="1"/>
  <c r="AP216" i="2"/>
  <c r="AP178" i="15"/>
  <c r="AP216" i="15" s="1"/>
  <c r="AQ139" i="15"/>
  <c r="AQ140" i="4"/>
  <c r="AQ178" i="4"/>
  <c r="AQ216" i="4" s="1"/>
  <c r="AQ206" i="4"/>
  <c r="AQ173" i="4"/>
  <c r="AO167" i="2"/>
  <c r="AN220" i="15"/>
  <c r="AP183" i="2"/>
  <c r="AP214" i="2"/>
  <c r="AP212" i="2"/>
  <c r="AN7" i="10"/>
  <c r="AO176" i="15"/>
  <c r="AO183" i="15" s="1"/>
  <c r="AO211" i="4"/>
  <c r="AP183" i="4"/>
  <c r="AP140" i="15"/>
  <c r="AP141" i="4"/>
  <c r="AP166" i="4" s="1"/>
  <c r="AP167" i="4" s="1"/>
  <c r="AP174" i="4" s="1"/>
  <c r="AO141" i="15"/>
  <c r="AM174" i="2"/>
  <c r="AM167" i="15"/>
  <c r="AM174" i="15" s="1"/>
  <c r="AN167" i="2"/>
  <c r="AN166" i="15"/>
  <c r="AO48" i="8" s="1"/>
  <c r="AO49" i="8" s="1"/>
  <c r="AO61" i="8" s="1"/>
  <c r="AP206" i="15"/>
  <c r="AO8" i="10"/>
  <c r="AP173" i="15"/>
  <c r="AQ178" i="2"/>
  <c r="AQ206" i="2"/>
  <c r="AQ140" i="2"/>
  <c r="AQ141" i="2" s="1"/>
  <c r="AQ173" i="2"/>
  <c r="AQ176" i="2" s="1"/>
  <c r="BZ155" i="2"/>
  <c r="BZ28" i="2"/>
  <c r="CA155" i="2"/>
  <c r="CA28" i="2"/>
  <c r="BZ49" i="4"/>
  <c r="BZ155" i="4"/>
  <c r="CA49" i="4"/>
  <c r="CA155" i="4"/>
  <c r="CA49" i="2"/>
  <c r="CA130" i="2"/>
  <c r="BZ49" i="2"/>
  <c r="BZ130" i="2"/>
  <c r="BU91" i="15"/>
  <c r="BU96" i="2"/>
  <c r="BU96" i="15" s="1"/>
  <c r="BV91" i="2"/>
  <c r="BW64" i="15"/>
  <c r="BX66" i="4"/>
  <c r="CJ66" i="4" s="1"/>
  <c r="BU195" i="2"/>
  <c r="BU74" i="2"/>
  <c r="BU63" i="15"/>
  <c r="BT195" i="15"/>
  <c r="BT74" i="15"/>
  <c r="BV63" i="2"/>
  <c r="CA217" i="2"/>
  <c r="CA216" i="2"/>
  <c r="CA218" i="2"/>
  <c r="CA215" i="2"/>
  <c r="BX148" i="4"/>
  <c r="CI148" i="4" s="1"/>
  <c r="BZ215" i="4"/>
  <c r="BZ216" i="4"/>
  <c r="BZ218" i="4"/>
  <c r="BZ217" i="4"/>
  <c r="CA223" i="4"/>
  <c r="CA222" i="4"/>
  <c r="V9" i="6" s="1"/>
  <c r="CA215" i="4"/>
  <c r="CA216" i="4"/>
  <c r="CA218" i="4"/>
  <c r="CA217" i="4"/>
  <c r="CA223" i="2"/>
  <c r="K8" i="6" s="1"/>
  <c r="BZ218" i="2"/>
  <c r="BZ215" i="2"/>
  <c r="BZ217" i="2"/>
  <c r="BZ216" i="2"/>
  <c r="CA222" i="2"/>
  <c r="BX64" i="4"/>
  <c r="CJ64" i="4" s="1"/>
  <c r="CA177" i="2"/>
  <c r="CA180" i="2"/>
  <c r="CA178" i="2"/>
  <c r="CA179" i="2"/>
  <c r="BZ180" i="4"/>
  <c r="BZ179" i="4"/>
  <c r="BZ177" i="4"/>
  <c r="BZ178" i="4"/>
  <c r="BZ178" i="2"/>
  <c r="BZ180" i="2"/>
  <c r="BZ179" i="2"/>
  <c r="BZ177" i="2"/>
  <c r="CA178" i="4"/>
  <c r="CA179" i="4"/>
  <c r="CA180" i="4"/>
  <c r="CA177" i="4"/>
  <c r="BX149" i="2"/>
  <c r="BX65" i="4"/>
  <c r="CJ65" i="4" s="1"/>
  <c r="BX119" i="4"/>
  <c r="CJ119" i="4" s="1"/>
  <c r="BX61" i="2"/>
  <c r="BX61" i="15" s="1"/>
  <c r="BX92" i="4"/>
  <c r="CJ92" i="4" s="1"/>
  <c r="CJ90" i="2"/>
  <c r="BX147" i="4"/>
  <c r="CJ147" i="4" s="1"/>
  <c r="BX90" i="4"/>
  <c r="CJ90" i="4" s="1"/>
  <c r="BW96" i="4"/>
  <c r="BW195" i="4"/>
  <c r="BW123" i="2"/>
  <c r="BW119" i="15"/>
  <c r="BV123" i="15"/>
  <c r="BW74" i="4"/>
  <c r="BX120" i="2"/>
  <c r="BW120" i="15"/>
  <c r="CH19" i="2"/>
  <c r="CJ19" i="2"/>
  <c r="BX115" i="15"/>
  <c r="CI115" i="2"/>
  <c r="CJ115" i="2"/>
  <c r="CA123" i="2"/>
  <c r="CA93" i="2"/>
  <c r="CA244" i="2"/>
  <c r="K36" i="6" s="1"/>
  <c r="CA235" i="2"/>
  <c r="K27" i="6" s="1"/>
  <c r="CA145" i="2"/>
  <c r="CA157" i="2"/>
  <c r="CA233" i="2"/>
  <c r="K25" i="6" s="1"/>
  <c r="CA36" i="2"/>
  <c r="CA101" i="2"/>
  <c r="CA114" i="2"/>
  <c r="CA147" i="2"/>
  <c r="CA124" i="2"/>
  <c r="CA68" i="2"/>
  <c r="CA151" i="2"/>
  <c r="CA24" i="2"/>
  <c r="CA94" i="2"/>
  <c r="CA169" i="2"/>
  <c r="CA163" i="2"/>
  <c r="CA159" i="2"/>
  <c r="CA67" i="2"/>
  <c r="CA239" i="2"/>
  <c r="K31" i="6" s="1"/>
  <c r="CA201" i="2"/>
  <c r="I31" i="6" s="1"/>
  <c r="CA112" i="2"/>
  <c r="CA132" i="2"/>
  <c r="CA108" i="2"/>
  <c r="CA224" i="2"/>
  <c r="K53" i="6" s="1"/>
  <c r="CA115" i="2"/>
  <c r="CA54" i="2"/>
  <c r="CA245" i="2"/>
  <c r="K37" i="6" s="1"/>
  <c r="CA62" i="2"/>
  <c r="CA144" i="2"/>
  <c r="CA164" i="2"/>
  <c r="CA111" i="2"/>
  <c r="CA59" i="2"/>
  <c r="CA52" i="2"/>
  <c r="CA190" i="2"/>
  <c r="I16" i="6" s="1"/>
  <c r="CA148" i="2"/>
  <c r="CA200" i="2"/>
  <c r="I30" i="6" s="1"/>
  <c r="CA46" i="2"/>
  <c r="CA72" i="2"/>
  <c r="CA232" i="2"/>
  <c r="CA153" i="2"/>
  <c r="CA79" i="2"/>
  <c r="CA41" i="2"/>
  <c r="CA139" i="2"/>
  <c r="CA240" i="2"/>
  <c r="K32" i="6" s="1"/>
  <c r="CA83" i="2"/>
  <c r="CA98" i="2"/>
  <c r="CA122" i="2"/>
  <c r="CA137" i="2"/>
  <c r="CA243" i="2"/>
  <c r="K35" i="6" s="1"/>
  <c r="CA156" i="2"/>
  <c r="CA196" i="2"/>
  <c r="I26" i="6" s="1"/>
  <c r="CA206" i="2"/>
  <c r="I36" i="6" s="1"/>
  <c r="CA100" i="2"/>
  <c r="CA120" i="2"/>
  <c r="CA97" i="2"/>
  <c r="CA34" i="2"/>
  <c r="CA26" i="2"/>
  <c r="CA57" i="2"/>
  <c r="CA37" i="2"/>
  <c r="CA45" i="2"/>
  <c r="CA30" i="2"/>
  <c r="CA170" i="2"/>
  <c r="CA194" i="2"/>
  <c r="I24" i="6" s="1"/>
  <c r="CA69" i="2"/>
  <c r="CA92" i="2"/>
  <c r="CA246" i="2"/>
  <c r="K38" i="6" s="1"/>
  <c r="CA35" i="2"/>
  <c r="CA23" i="2"/>
  <c r="CA73" i="2"/>
  <c r="CA204" i="2"/>
  <c r="I34" i="6" s="1"/>
  <c r="CA44" i="2"/>
  <c r="CA138" i="2"/>
  <c r="CA207" i="2"/>
  <c r="I37" i="6" s="1"/>
  <c r="CA84" i="2"/>
  <c r="CA234" i="2"/>
  <c r="K26" i="6" s="1"/>
  <c r="CA105" i="2"/>
  <c r="CA203" i="2"/>
  <c r="I33" i="6" s="1"/>
  <c r="CA48" i="2"/>
  <c r="CA226" i="2"/>
  <c r="K15" i="6" s="1"/>
  <c r="CA66" i="2"/>
  <c r="CA154" i="2"/>
  <c r="CA242" i="2"/>
  <c r="K34" i="6" s="1"/>
  <c r="CA152" i="2"/>
  <c r="CA129" i="2"/>
  <c r="CA117" i="2"/>
  <c r="CA150" i="2"/>
  <c r="CA229" i="2"/>
  <c r="K19" i="6" s="1"/>
  <c r="CA135" i="2"/>
  <c r="CA199" i="2"/>
  <c r="I29" i="6" s="1"/>
  <c r="CA149" i="2"/>
  <c r="CA56" i="2"/>
  <c r="CA113" i="2"/>
  <c r="CA61" i="2"/>
  <c r="CA127" i="2"/>
  <c r="CA134" i="2"/>
  <c r="CA60" i="2"/>
  <c r="CA75" i="2"/>
  <c r="CA33" i="2"/>
  <c r="CA42" i="2"/>
  <c r="CA81" i="2"/>
  <c r="CA136" i="2"/>
  <c r="CA191" i="2"/>
  <c r="I19" i="6" s="1"/>
  <c r="CA142" i="2"/>
  <c r="CA95" i="2"/>
  <c r="CA161" i="2"/>
  <c r="CA63" i="2"/>
  <c r="CA80" i="2"/>
  <c r="CA241" i="2"/>
  <c r="K33" i="6" s="1"/>
  <c r="CA90" i="2"/>
  <c r="CA27" i="2"/>
  <c r="CA131" i="2"/>
  <c r="CA43" i="2"/>
  <c r="CA85" i="2"/>
  <c r="CA39" i="2"/>
  <c r="CA65" i="2"/>
  <c r="CA238" i="2"/>
  <c r="K30" i="6" s="1"/>
  <c r="CA165" i="2"/>
  <c r="CA162" i="2"/>
  <c r="CA116" i="2"/>
  <c r="CA47" i="2"/>
  <c r="CA88" i="2"/>
  <c r="CA237" i="2"/>
  <c r="K29" i="6" s="1"/>
  <c r="CA102" i="2"/>
  <c r="CA109" i="2"/>
  <c r="CA158" i="2"/>
  <c r="CA71" i="2"/>
  <c r="CA110" i="2"/>
  <c r="CA227" i="2"/>
  <c r="K17" i="6" s="1"/>
  <c r="CA171" i="2"/>
  <c r="CA96" i="2"/>
  <c r="CA55" i="2"/>
  <c r="CA31" i="2"/>
  <c r="CA188" i="2"/>
  <c r="I15" i="6" s="1"/>
  <c r="CA51" i="2"/>
  <c r="CA168" i="2"/>
  <c r="CA128" i="2"/>
  <c r="CA38" i="2"/>
  <c r="CA82" i="2"/>
  <c r="CA143" i="2"/>
  <c r="CA146" i="2"/>
  <c r="CA53" i="2"/>
  <c r="CA70" i="2"/>
  <c r="CA198" i="2"/>
  <c r="I28" i="6" s="1"/>
  <c r="CA228" i="2"/>
  <c r="K16" i="6" s="1"/>
  <c r="CA205" i="2"/>
  <c r="I35" i="6" s="1"/>
  <c r="CA160" i="2"/>
  <c r="CA87" i="2"/>
  <c r="CA58" i="2"/>
  <c r="CA78" i="2"/>
  <c r="CA202" i="2"/>
  <c r="I32" i="6" s="1"/>
  <c r="CA236" i="2"/>
  <c r="K28" i="6" s="1"/>
  <c r="CA103" i="2"/>
  <c r="CA86" i="2"/>
  <c r="K9" i="6"/>
  <c r="CA208" i="2"/>
  <c r="I38" i="6" s="1"/>
  <c r="CA64" i="2"/>
  <c r="CA40" i="2"/>
  <c r="CA107" i="2"/>
  <c r="CA119" i="2"/>
  <c r="CA99" i="2"/>
  <c r="CA121" i="2"/>
  <c r="CA77" i="2"/>
  <c r="CA106" i="2"/>
  <c r="CA118" i="2"/>
  <c r="CA187" i="2"/>
  <c r="I18" i="6" s="1"/>
  <c r="CA126" i="2"/>
  <c r="CA104" i="2"/>
  <c r="CA76" i="2"/>
  <c r="CA195" i="2"/>
  <c r="I25" i="6" s="1"/>
  <c r="CA133" i="2"/>
  <c r="CA89" i="2"/>
  <c r="CA225" i="2"/>
  <c r="CA74" i="2"/>
  <c r="CA125" i="2"/>
  <c r="CA32" i="2"/>
  <c r="CA91" i="2"/>
  <c r="CA189" i="2"/>
  <c r="I17" i="6" s="1"/>
  <c r="BX153" i="2"/>
  <c r="BW153" i="15"/>
  <c r="BW147" i="15"/>
  <c r="BX147" i="2"/>
  <c r="BW157" i="2"/>
  <c r="CG19" i="4"/>
  <c r="CE19" i="4"/>
  <c r="CF19" i="4"/>
  <c r="CC19" i="4"/>
  <c r="CJ19" i="4"/>
  <c r="CI58" i="4"/>
  <c r="CJ58" i="4"/>
  <c r="CI145" i="4"/>
  <c r="CJ145" i="4"/>
  <c r="BX117" i="2"/>
  <c r="CJ117" i="2" s="1"/>
  <c r="BW117" i="15"/>
  <c r="BX63" i="4"/>
  <c r="CJ63" i="4" s="1"/>
  <c r="BX64" i="2"/>
  <c r="BX64" i="15" s="1"/>
  <c r="BX152" i="4"/>
  <c r="CJ152" i="4" s="1"/>
  <c r="BW92" i="15"/>
  <c r="BX92" i="2"/>
  <c r="CI19" i="2"/>
  <c r="BX57" i="15"/>
  <c r="BX194" i="2"/>
  <c r="CI57" i="2"/>
  <c r="CJ57" i="2"/>
  <c r="BX144" i="15"/>
  <c r="CI144" i="2"/>
  <c r="CJ144" i="2"/>
  <c r="BX152" i="2"/>
  <c r="BW152" i="15"/>
  <c r="CD19" i="4"/>
  <c r="CH19" i="4"/>
  <c r="CI87" i="4"/>
  <c r="CJ87" i="4"/>
  <c r="BX89" i="4"/>
  <c r="BZ69" i="4"/>
  <c r="BZ134" i="4"/>
  <c r="BZ23" i="4"/>
  <c r="BZ102" i="4"/>
  <c r="BZ30" i="4"/>
  <c r="BZ163" i="4"/>
  <c r="BZ225" i="4"/>
  <c r="BZ132" i="4"/>
  <c r="BZ128" i="4"/>
  <c r="BZ51" i="4"/>
  <c r="BZ99" i="4"/>
  <c r="BZ52" i="4"/>
  <c r="BZ100" i="4"/>
  <c r="BZ146" i="4"/>
  <c r="BZ147" i="4"/>
  <c r="BZ127" i="4"/>
  <c r="BZ36" i="4"/>
  <c r="CA15" i="4"/>
  <c r="BZ169" i="4"/>
  <c r="BZ18" i="4"/>
  <c r="BZ246" i="4"/>
  <c r="Q38" i="6" s="1"/>
  <c r="BZ188" i="4"/>
  <c r="O15" i="6" s="1"/>
  <c r="BZ224" i="4"/>
  <c r="Q53" i="6" s="1"/>
  <c r="BZ151" i="4"/>
  <c r="BZ53" i="4"/>
  <c r="BZ242" i="4"/>
  <c r="Q34" i="6" s="1"/>
  <c r="BZ60" i="4"/>
  <c r="BZ59" i="4"/>
  <c r="BZ203" i="4"/>
  <c r="O33" i="6" s="1"/>
  <c r="BZ27" i="4"/>
  <c r="BZ240" i="4"/>
  <c r="Q32" i="6" s="1"/>
  <c r="BZ137" i="4"/>
  <c r="BZ105" i="4"/>
  <c r="BZ117" i="4"/>
  <c r="BZ33" i="4"/>
  <c r="BZ35" i="4"/>
  <c r="BZ167" i="4"/>
  <c r="BZ72" i="4"/>
  <c r="BZ88" i="4"/>
  <c r="BZ243" i="4"/>
  <c r="Q35" i="6" s="1"/>
  <c r="BZ166" i="4"/>
  <c r="BZ57" i="4"/>
  <c r="BZ17" i="4"/>
  <c r="BZ199" i="4"/>
  <c r="O29" i="6" s="1"/>
  <c r="BZ37" i="4"/>
  <c r="BZ71" i="4"/>
  <c r="BZ187" i="4"/>
  <c r="O18" i="6" s="1"/>
  <c r="BZ154" i="4"/>
  <c r="BZ112" i="4"/>
  <c r="BZ198" i="4"/>
  <c r="O28" i="6" s="1"/>
  <c r="BZ34" i="4"/>
  <c r="BZ131" i="4"/>
  <c r="BZ32" i="4"/>
  <c r="BZ126" i="4"/>
  <c r="BZ89" i="4"/>
  <c r="BZ68" i="4"/>
  <c r="BZ235" i="4"/>
  <c r="Q27" i="6" s="1"/>
  <c r="BZ195" i="4"/>
  <c r="O25" i="6" s="1"/>
  <c r="BZ39" i="4"/>
  <c r="BZ239" i="4"/>
  <c r="Q31" i="6" s="1"/>
  <c r="BZ232" i="4"/>
  <c r="BZ56" i="4"/>
  <c r="BZ54" i="4"/>
  <c r="BZ31" i="4"/>
  <c r="BZ97" i="4"/>
  <c r="BZ73" i="4"/>
  <c r="BZ165" i="4"/>
  <c r="BZ114" i="4"/>
  <c r="CA7" i="4"/>
  <c r="BZ15" i="4"/>
  <c r="BZ158" i="4"/>
  <c r="BZ143" i="4"/>
  <c r="CA16" i="4"/>
  <c r="BZ92" i="4"/>
  <c r="BZ96" i="4"/>
  <c r="CA18" i="4"/>
  <c r="BZ47" i="4"/>
  <c r="BZ197" i="4"/>
  <c r="O27" i="6" s="1"/>
  <c r="BZ43" i="4"/>
  <c r="BZ206" i="4"/>
  <c r="O36" i="6" s="1"/>
  <c r="BZ244" i="4"/>
  <c r="Q36" i="6" s="1"/>
  <c r="BZ139" i="4"/>
  <c r="BZ153" i="4"/>
  <c r="BZ93" i="4"/>
  <c r="BZ233" i="4"/>
  <c r="Q25" i="6" s="1"/>
  <c r="BZ222" i="4"/>
  <c r="Q9" i="6" s="1"/>
  <c r="BZ229" i="4"/>
  <c r="Q19" i="6" s="1"/>
  <c r="BZ191" i="4"/>
  <c r="O19" i="6" s="1"/>
  <c r="BZ156" i="4"/>
  <c r="BZ234" i="4"/>
  <c r="Q26" i="6" s="1"/>
  <c r="BZ94" i="4"/>
  <c r="BZ78" i="4"/>
  <c r="BZ61" i="4"/>
  <c r="BZ107" i="4"/>
  <c r="BZ98" i="4"/>
  <c r="BZ86" i="4"/>
  <c r="BZ106" i="4"/>
  <c r="BZ226" i="4"/>
  <c r="Q15" i="6" s="1"/>
  <c r="BZ141" i="4"/>
  <c r="BZ108" i="4"/>
  <c r="BZ90" i="4"/>
  <c r="BZ115" i="4"/>
  <c r="BZ241" i="4"/>
  <c r="Q33" i="6" s="1"/>
  <c r="BZ152" i="4"/>
  <c r="BZ129" i="4"/>
  <c r="BZ133" i="4"/>
  <c r="CA14" i="4"/>
  <c r="BZ12" i="4"/>
  <c r="BZ66" i="4"/>
  <c r="BZ85" i="4"/>
  <c r="BZ10" i="4"/>
  <c r="BZ170" i="4"/>
  <c r="BZ194" i="4"/>
  <c r="O24" i="6" s="1"/>
  <c r="BZ83" i="4"/>
  <c r="BZ208" i="4"/>
  <c r="O38" i="6" s="1"/>
  <c r="BZ148" i="4"/>
  <c r="BZ41" i="4"/>
  <c r="BZ171" i="4"/>
  <c r="BZ159" i="4"/>
  <c r="BZ202" i="4"/>
  <c r="O32" i="6" s="1"/>
  <c r="BZ16" i="4"/>
  <c r="BZ84" i="4"/>
  <c r="BZ104" i="4"/>
  <c r="BZ58" i="4"/>
  <c r="BZ150" i="4"/>
  <c r="BZ245" i="4"/>
  <c r="Q37" i="6" s="1"/>
  <c r="CA13" i="4"/>
  <c r="BZ13" i="4"/>
  <c r="BZ196" i="4"/>
  <c r="O26" i="6" s="1"/>
  <c r="BZ70" i="4"/>
  <c r="BZ24" i="4"/>
  <c r="BZ14" i="4"/>
  <c r="BZ118" i="4"/>
  <c r="BZ144" i="4"/>
  <c r="BZ121" i="4"/>
  <c r="BZ124" i="4"/>
  <c r="BZ189" i="4"/>
  <c r="O17" i="6" s="1"/>
  <c r="BZ204" i="4"/>
  <c r="O34" i="6" s="1"/>
  <c r="BZ161" i="4"/>
  <c r="BZ42" i="4"/>
  <c r="BZ157" i="4"/>
  <c r="BZ46" i="4"/>
  <c r="BZ103" i="4"/>
  <c r="BZ123" i="4"/>
  <c r="BZ26" i="4"/>
  <c r="BZ91" i="4"/>
  <c r="BZ227" i="4"/>
  <c r="Q17" i="6" s="1"/>
  <c r="BZ40" i="4"/>
  <c r="BZ80" i="4"/>
  <c r="BZ136" i="4"/>
  <c r="BZ223" i="4"/>
  <c r="Q8" i="6" s="1"/>
  <c r="BZ48" i="4"/>
  <c r="CA12" i="4"/>
  <c r="BZ160" i="4"/>
  <c r="BZ101" i="4"/>
  <c r="BZ162" i="4"/>
  <c r="BZ116" i="4"/>
  <c r="BZ82" i="4"/>
  <c r="BZ200" i="4"/>
  <c r="O30" i="6" s="1"/>
  <c r="BZ140" i="4"/>
  <c r="BZ120" i="4"/>
  <c r="BZ11" i="4"/>
  <c r="BZ81" i="4"/>
  <c r="BZ77" i="4"/>
  <c r="BZ236" i="4"/>
  <c r="Q28" i="6" s="1"/>
  <c r="BZ119" i="4"/>
  <c r="BZ149" i="4"/>
  <c r="BZ62" i="4"/>
  <c r="CA17" i="4"/>
  <c r="BZ95" i="4"/>
  <c r="BZ201" i="4"/>
  <c r="O31" i="6" s="1"/>
  <c r="CA10" i="4"/>
  <c r="BZ87" i="4"/>
  <c r="BZ67" i="4"/>
  <c r="BZ64" i="4"/>
  <c r="BZ65" i="4"/>
  <c r="BZ238" i="4"/>
  <c r="Q30" i="6" s="1"/>
  <c r="BZ122" i="4"/>
  <c r="BZ168" i="4"/>
  <c r="BZ164" i="4"/>
  <c r="BZ190" i="4"/>
  <c r="O16" i="6" s="1"/>
  <c r="CA11" i="4"/>
  <c r="BZ76" i="4"/>
  <c r="BZ228" i="4"/>
  <c r="Q16" i="6" s="1"/>
  <c r="BZ110" i="4"/>
  <c r="BZ74" i="4"/>
  <c r="BZ142" i="4"/>
  <c r="BZ113" i="4"/>
  <c r="BZ207" i="4"/>
  <c r="O37" i="6" s="1"/>
  <c r="BZ145" i="4"/>
  <c r="BZ237" i="4"/>
  <c r="Q29" i="6" s="1"/>
  <c r="BZ138" i="4"/>
  <c r="BZ109" i="4"/>
  <c r="BZ55" i="4"/>
  <c r="BZ125" i="4"/>
  <c r="BZ75" i="4"/>
  <c r="BZ7" i="4"/>
  <c r="BZ63" i="4"/>
  <c r="BZ111" i="4"/>
  <c r="BZ38" i="4"/>
  <c r="BZ45" i="4"/>
  <c r="BZ44" i="4"/>
  <c r="BZ135" i="4"/>
  <c r="BZ205" i="4"/>
  <c r="O35" i="6" s="1"/>
  <c r="BZ79" i="4"/>
  <c r="BX118" i="4"/>
  <c r="CJ118" i="4" s="1"/>
  <c r="BV158" i="2"/>
  <c r="BV157" i="15"/>
  <c r="BX120" i="4"/>
  <c r="CJ120" i="4" s="1"/>
  <c r="BX91" i="4"/>
  <c r="CJ91" i="4" s="1"/>
  <c r="BW90" i="15"/>
  <c r="BX67" i="4"/>
  <c r="CJ67" i="4" s="1"/>
  <c r="BU158" i="15"/>
  <c r="BX66" i="2"/>
  <c r="BW66" i="15"/>
  <c r="BW118" i="15"/>
  <c r="BX118" i="2"/>
  <c r="BX119" i="2"/>
  <c r="BX119" i="15" s="1"/>
  <c r="BW157" i="4"/>
  <c r="BX60" i="4"/>
  <c r="CJ149" i="2"/>
  <c r="BX149" i="15"/>
  <c r="CF19" i="2"/>
  <c r="CE19" i="2"/>
  <c r="BX58" i="15"/>
  <c r="CI58" i="2"/>
  <c r="CJ58" i="2"/>
  <c r="BX145" i="15"/>
  <c r="CI145" i="2"/>
  <c r="CJ145" i="2"/>
  <c r="CI115" i="4"/>
  <c r="CJ115" i="4"/>
  <c r="CA198" i="4"/>
  <c r="T28" i="6" s="1"/>
  <c r="CA196" i="4"/>
  <c r="T26" i="6" s="1"/>
  <c r="CA27" i="4"/>
  <c r="CA56" i="4"/>
  <c r="CA203" i="4"/>
  <c r="T33" i="6" s="1"/>
  <c r="CA46" i="4"/>
  <c r="CA189" i="4"/>
  <c r="T17" i="6" s="1"/>
  <c r="CA72" i="4"/>
  <c r="CA245" i="4"/>
  <c r="V37" i="6" s="1"/>
  <c r="CA32" i="4"/>
  <c r="CA243" i="4"/>
  <c r="V35" i="6" s="1"/>
  <c r="CA157" i="4"/>
  <c r="CA241" i="4"/>
  <c r="V33" i="6" s="1"/>
  <c r="CA38" i="4"/>
  <c r="CA156" i="4"/>
  <c r="CA134" i="4"/>
  <c r="CA171" i="4"/>
  <c r="CA163" i="4"/>
  <c r="CA165" i="4"/>
  <c r="CA122" i="4"/>
  <c r="CA64" i="4"/>
  <c r="CA123" i="4"/>
  <c r="CA121" i="4"/>
  <c r="CA105" i="4"/>
  <c r="CA59" i="4"/>
  <c r="CA79" i="4"/>
  <c r="CA244" i="4"/>
  <c r="V36" i="6" s="1"/>
  <c r="CA229" i="4"/>
  <c r="V19" i="6" s="1"/>
  <c r="CA129" i="4"/>
  <c r="CA92" i="4"/>
  <c r="CA237" i="4"/>
  <c r="V29" i="6" s="1"/>
  <c r="CA161" i="4"/>
  <c r="CA242" i="4"/>
  <c r="V34" i="6" s="1"/>
  <c r="CA54" i="4"/>
  <c r="CA246" i="4"/>
  <c r="V38" i="6" s="1"/>
  <c r="CA120" i="4"/>
  <c r="CA24" i="4"/>
  <c r="CA58" i="4"/>
  <c r="CA144" i="4"/>
  <c r="CA208" i="4"/>
  <c r="T38" i="6" s="1"/>
  <c r="CA78" i="4"/>
  <c r="CA116" i="4"/>
  <c r="CA109" i="4"/>
  <c r="CA206" i="4"/>
  <c r="T36" i="6" s="1"/>
  <c r="CA234" i="4"/>
  <c r="V26" i="6" s="1"/>
  <c r="CA191" i="4"/>
  <c r="T19" i="6" s="1"/>
  <c r="CA233" i="4"/>
  <c r="V25" i="6" s="1"/>
  <c r="CA81" i="4"/>
  <c r="CA65" i="4"/>
  <c r="CA35" i="4"/>
  <c r="CA147" i="4"/>
  <c r="CA195" i="4"/>
  <c r="T25" i="6" s="1"/>
  <c r="CA169" i="4"/>
  <c r="V8" i="6"/>
  <c r="CA132" i="4"/>
  <c r="CA101" i="4"/>
  <c r="CA70" i="4"/>
  <c r="CA188" i="4"/>
  <c r="T15" i="6" s="1"/>
  <c r="CA71" i="4"/>
  <c r="CA154" i="4"/>
  <c r="CA149" i="4"/>
  <c r="CA152" i="4"/>
  <c r="CA93" i="4"/>
  <c r="CA228" i="4"/>
  <c r="V16" i="6" s="1"/>
  <c r="CA187" i="4"/>
  <c r="T18" i="6" s="1"/>
  <c r="CA94" i="4"/>
  <c r="CA224" i="4"/>
  <c r="V53" i="6" s="1"/>
  <c r="X53" i="6" s="1"/>
  <c r="CA200" i="4"/>
  <c r="T30" i="6" s="1"/>
  <c r="CA235" i="4"/>
  <c r="V27" i="6" s="1"/>
  <c r="CA151" i="4"/>
  <c r="CA207" i="4"/>
  <c r="T37" i="6" s="1"/>
  <c r="CA80" i="4"/>
  <c r="CA138" i="4"/>
  <c r="CA238" i="4"/>
  <c r="V30" i="6" s="1"/>
  <c r="CA90" i="4"/>
  <c r="CA30" i="4"/>
  <c r="CA86" i="4"/>
  <c r="CA167" i="4"/>
  <c r="CA119" i="4"/>
  <c r="CA87" i="4"/>
  <c r="CA108" i="4"/>
  <c r="CA199" i="4"/>
  <c r="T29" i="6" s="1"/>
  <c r="CA164" i="4"/>
  <c r="CA76" i="4"/>
  <c r="CA166" i="4"/>
  <c r="CA190" i="4"/>
  <c r="T16" i="6" s="1"/>
  <c r="CA51" i="4"/>
  <c r="CA45" i="4"/>
  <c r="CA142" i="4"/>
  <c r="CA145" i="4"/>
  <c r="CA62" i="4"/>
  <c r="CA102" i="4"/>
  <c r="CA88" i="4"/>
  <c r="CA111" i="4"/>
  <c r="CA34" i="4"/>
  <c r="CA66" i="4"/>
  <c r="CA126" i="4"/>
  <c r="CA113" i="4"/>
  <c r="CA26" i="4"/>
  <c r="CA112" i="4"/>
  <c r="CA133" i="4"/>
  <c r="CA232" i="4"/>
  <c r="CA205" i="4"/>
  <c r="T35" i="6" s="1"/>
  <c r="CA83" i="4"/>
  <c r="CA95" i="4"/>
  <c r="CA143" i="4"/>
  <c r="CA69" i="4"/>
  <c r="CA141" i="4"/>
  <c r="CA140" i="4"/>
  <c r="CA91" i="4"/>
  <c r="CA104" i="4"/>
  <c r="CA125" i="4"/>
  <c r="CA33" i="4"/>
  <c r="CA75" i="4"/>
  <c r="CA63" i="4"/>
  <c r="CA115" i="4"/>
  <c r="CA146" i="4"/>
  <c r="CA36" i="4"/>
  <c r="CA82" i="4"/>
  <c r="CA202" i="4"/>
  <c r="T32" i="6" s="1"/>
  <c r="CA110" i="4"/>
  <c r="CA239" i="4"/>
  <c r="V31" i="6" s="1"/>
  <c r="CA23" i="4"/>
  <c r="CA52" i="4"/>
  <c r="CA106" i="4"/>
  <c r="CA160" i="4"/>
  <c r="CA131" i="4"/>
  <c r="CA127" i="4"/>
  <c r="CA37" i="4"/>
  <c r="CA61" i="4"/>
  <c r="CA135" i="4"/>
  <c r="CA44" i="4"/>
  <c r="CA97" i="4"/>
  <c r="CA114" i="4"/>
  <c r="CA197" i="4"/>
  <c r="T27" i="6" s="1"/>
  <c r="CA240" i="4"/>
  <c r="V32" i="6" s="1"/>
  <c r="CA40" i="4"/>
  <c r="CA100" i="4"/>
  <c r="CA39" i="4"/>
  <c r="CA117" i="4"/>
  <c r="CA150" i="4"/>
  <c r="CA158" i="4"/>
  <c r="CA148" i="4"/>
  <c r="CA168" i="4"/>
  <c r="CA227" i="4"/>
  <c r="V17" i="6" s="1"/>
  <c r="CA98" i="4"/>
  <c r="CA48" i="4"/>
  <c r="CA31" i="4"/>
  <c r="CA68" i="4"/>
  <c r="CA159" i="4"/>
  <c r="CA128" i="4"/>
  <c r="CA137" i="4"/>
  <c r="CA41" i="4"/>
  <c r="CA85" i="4"/>
  <c r="CA201" i="4"/>
  <c r="T31" i="6" s="1"/>
  <c r="CA73" i="4"/>
  <c r="CA118" i="4"/>
  <c r="CA47" i="4"/>
  <c r="CA124" i="4"/>
  <c r="CA194" i="4"/>
  <c r="T24" i="6" s="1"/>
  <c r="CA139" i="4"/>
  <c r="CA55" i="4"/>
  <c r="CA53" i="4"/>
  <c r="CA103" i="4"/>
  <c r="CA153" i="4"/>
  <c r="CA162" i="4"/>
  <c r="CA170" i="4"/>
  <c r="CA96" i="4"/>
  <c r="CA225" i="4"/>
  <c r="CA42" i="4"/>
  <c r="CA43" i="4"/>
  <c r="CA89" i="4"/>
  <c r="CA99" i="4"/>
  <c r="CA236" i="4"/>
  <c r="V28" i="6" s="1"/>
  <c r="CA84" i="4"/>
  <c r="CA226" i="4"/>
  <c r="V15" i="6" s="1"/>
  <c r="CA74" i="4"/>
  <c r="CA57" i="4"/>
  <c r="CA60" i="4"/>
  <c r="CA136" i="4"/>
  <c r="CA107" i="4"/>
  <c r="CA77" i="4"/>
  <c r="CA204" i="4"/>
  <c r="T34" i="6" s="1"/>
  <c r="CA67" i="4"/>
  <c r="BW61" i="15"/>
  <c r="BX150" i="2"/>
  <c r="BW150" i="15"/>
  <c r="BW60" i="15"/>
  <c r="BX60" i="2"/>
  <c r="BW194" i="15"/>
  <c r="BX117" i="4"/>
  <c r="BX65" i="2"/>
  <c r="BW65" i="15"/>
  <c r="BW67" i="15"/>
  <c r="BX67" i="2"/>
  <c r="BX67" i="15" s="1"/>
  <c r="BX148" i="2"/>
  <c r="BX148" i="15" s="1"/>
  <c r="BW148" i="15"/>
  <c r="BW89" i="15"/>
  <c r="BX89" i="2"/>
  <c r="CC19" i="2"/>
  <c r="CG19" i="2"/>
  <c r="CD19" i="2"/>
  <c r="BX87" i="15"/>
  <c r="CI87" i="2"/>
  <c r="CJ87" i="2"/>
  <c r="BZ205" i="2"/>
  <c r="D35" i="6" s="1"/>
  <c r="BZ86" i="2"/>
  <c r="BZ226" i="2"/>
  <c r="F15" i="6" s="1"/>
  <c r="CA17" i="2"/>
  <c r="BZ80" i="2"/>
  <c r="BZ44" i="2"/>
  <c r="CA10" i="2"/>
  <c r="BZ150" i="2"/>
  <c r="BZ75" i="2"/>
  <c r="BZ239" i="2"/>
  <c r="F31" i="6" s="1"/>
  <c r="BZ70" i="2"/>
  <c r="BZ98" i="2"/>
  <c r="BZ200" i="2"/>
  <c r="D30" i="6" s="1"/>
  <c r="BZ89" i="2"/>
  <c r="BZ196" i="2"/>
  <c r="D26" i="6" s="1"/>
  <c r="BZ41" i="2"/>
  <c r="BZ53" i="2"/>
  <c r="BZ45" i="2"/>
  <c r="BZ60" i="2"/>
  <c r="BZ187" i="2"/>
  <c r="D18" i="6" s="1"/>
  <c r="BZ106" i="2"/>
  <c r="BZ68" i="2"/>
  <c r="BZ104" i="2"/>
  <c r="BZ18" i="2"/>
  <c r="BZ72" i="2"/>
  <c r="BZ190" i="2"/>
  <c r="D16" i="6" s="1"/>
  <c r="CA16" i="2"/>
  <c r="BZ224" i="2"/>
  <c r="F53" i="6" s="1"/>
  <c r="BZ38" i="2"/>
  <c r="BZ233" i="2"/>
  <c r="F25" i="6" s="1"/>
  <c r="BZ228" i="2"/>
  <c r="F16" i="6" s="1"/>
  <c r="BZ63" i="2"/>
  <c r="BZ135" i="2"/>
  <c r="BZ136" i="2"/>
  <c r="BZ102" i="2"/>
  <c r="BZ15" i="2"/>
  <c r="BZ246" i="2"/>
  <c r="F38" i="6" s="1"/>
  <c r="BZ154" i="2"/>
  <c r="BZ162" i="2"/>
  <c r="BZ161" i="2"/>
  <c r="BZ77" i="2"/>
  <c r="BZ12" i="2"/>
  <c r="BZ110" i="2"/>
  <c r="BZ133" i="2"/>
  <c r="BZ105" i="2"/>
  <c r="BZ115" i="2"/>
  <c r="BZ243" i="2"/>
  <c r="F35" i="6" s="1"/>
  <c r="BZ126" i="2"/>
  <c r="BZ203" i="2"/>
  <c r="D33" i="6" s="1"/>
  <c r="BZ121" i="2"/>
  <c r="BZ55" i="2"/>
  <c r="BZ95" i="2"/>
  <c r="BZ204" i="2"/>
  <c r="D34" i="6" s="1"/>
  <c r="BZ42" i="2"/>
  <c r="BZ17" i="2"/>
  <c r="BZ171" i="2"/>
  <c r="BZ131" i="2"/>
  <c r="BZ54" i="2"/>
  <c r="BZ31" i="2"/>
  <c r="BZ147" i="2"/>
  <c r="BZ73" i="2"/>
  <c r="BZ123" i="2"/>
  <c r="BZ132" i="2"/>
  <c r="BZ78" i="2"/>
  <c r="BZ138" i="2"/>
  <c r="BZ34" i="2"/>
  <c r="BZ143" i="2"/>
  <c r="BZ39" i="2"/>
  <c r="BZ238" i="2"/>
  <c r="F30" i="6" s="1"/>
  <c r="BZ114" i="2"/>
  <c r="BZ195" i="2"/>
  <c r="D25" i="6" s="1"/>
  <c r="BZ91" i="2"/>
  <c r="BZ165" i="2"/>
  <c r="BZ88" i="2"/>
  <c r="BZ127" i="2"/>
  <c r="BZ94" i="2"/>
  <c r="BZ37" i="2"/>
  <c r="BZ10" i="2"/>
  <c r="BZ227" i="2"/>
  <c r="F17" i="6" s="1"/>
  <c r="BZ164" i="2"/>
  <c r="BZ142" i="2"/>
  <c r="BZ189" i="2"/>
  <c r="D17" i="6" s="1"/>
  <c r="BZ79" i="2"/>
  <c r="BZ237" i="2"/>
  <c r="F29" i="6" s="1"/>
  <c r="BZ81" i="2"/>
  <c r="BZ96" i="2"/>
  <c r="BZ202" i="2"/>
  <c r="D32" i="6" s="1"/>
  <c r="CA13" i="2"/>
  <c r="CA7" i="2"/>
  <c r="BZ57" i="2"/>
  <c r="BZ188" i="2"/>
  <c r="D15" i="6" s="1"/>
  <c r="BZ64" i="2"/>
  <c r="BZ151" i="2"/>
  <c r="CA12" i="2"/>
  <c r="CA14" i="2"/>
  <c r="BZ7" i="2"/>
  <c r="D9" i="6" s="1"/>
  <c r="BZ16" i="2"/>
  <c r="BZ32" i="2"/>
  <c r="BZ33" i="2"/>
  <c r="BZ134" i="2"/>
  <c r="BZ59" i="2"/>
  <c r="BZ56" i="2"/>
  <c r="BZ234" i="2"/>
  <c r="F26" i="6" s="1"/>
  <c r="BZ69" i="2"/>
  <c r="BZ13" i="2"/>
  <c r="BZ169" i="2"/>
  <c r="BZ122" i="2"/>
  <c r="BZ244" i="2"/>
  <c r="F36" i="6" s="1"/>
  <c r="BZ27" i="2"/>
  <c r="BZ66" i="2"/>
  <c r="BZ118" i="2"/>
  <c r="BZ65" i="2"/>
  <c r="BZ100" i="2"/>
  <c r="BZ35" i="2"/>
  <c r="BZ51" i="2"/>
  <c r="BZ76" i="2"/>
  <c r="BZ113" i="2"/>
  <c r="BZ129" i="2"/>
  <c r="BZ152" i="2"/>
  <c r="BZ74" i="2"/>
  <c r="BZ90" i="2"/>
  <c r="BZ120" i="2"/>
  <c r="BZ85" i="2"/>
  <c r="BZ87" i="2"/>
  <c r="BZ103" i="2"/>
  <c r="BZ153" i="2"/>
  <c r="BZ198" i="2"/>
  <c r="D28" i="6" s="1"/>
  <c r="BZ124" i="2"/>
  <c r="BZ48" i="2"/>
  <c r="BZ241" i="2"/>
  <c r="F33" i="6" s="1"/>
  <c r="BZ229" i="2"/>
  <c r="F19" i="6" s="1"/>
  <c r="BZ194" i="2"/>
  <c r="D24" i="6" s="1"/>
  <c r="BZ108" i="2"/>
  <c r="BZ156" i="2"/>
  <c r="BZ62" i="2"/>
  <c r="BZ82" i="2"/>
  <c r="BZ242" i="2"/>
  <c r="F34" i="6" s="1"/>
  <c r="BZ146" i="2"/>
  <c r="BZ139" i="2"/>
  <c r="BZ52" i="2"/>
  <c r="CA18" i="2"/>
  <c r="BZ116" i="2"/>
  <c r="BZ26" i="2"/>
  <c r="BZ160" i="2"/>
  <c r="BZ159" i="2"/>
  <c r="BZ236" i="2"/>
  <c r="F28" i="6" s="1"/>
  <c r="BZ206" i="2"/>
  <c r="D36" i="6" s="1"/>
  <c r="BZ61" i="2"/>
  <c r="BZ30" i="2"/>
  <c r="BZ92" i="2"/>
  <c r="BZ40" i="2"/>
  <c r="BZ112" i="2"/>
  <c r="BZ149" i="2"/>
  <c r="BZ245" i="2"/>
  <c r="F37" i="6" s="1"/>
  <c r="BZ14" i="2"/>
  <c r="BZ24" i="2"/>
  <c r="BZ232" i="2"/>
  <c r="BZ99" i="2"/>
  <c r="BZ109" i="2"/>
  <c r="BZ11" i="2"/>
  <c r="BZ36" i="2"/>
  <c r="BZ125" i="2"/>
  <c r="BZ222" i="2"/>
  <c r="F9" i="6" s="1"/>
  <c r="BZ163" i="2"/>
  <c r="BZ67" i="2"/>
  <c r="BZ223" i="2"/>
  <c r="F8" i="6" s="1"/>
  <c r="BZ107" i="2"/>
  <c r="BZ71" i="2"/>
  <c r="BZ119" i="2"/>
  <c r="BZ93" i="2"/>
  <c r="BZ235" i="2"/>
  <c r="F27" i="6" s="1"/>
  <c r="BZ137" i="2"/>
  <c r="BZ43" i="2"/>
  <c r="BZ191" i="2"/>
  <c r="D19" i="6" s="1"/>
  <c r="BZ199" i="2"/>
  <c r="D29" i="6" s="1"/>
  <c r="BZ170" i="2"/>
  <c r="BZ83" i="2"/>
  <c r="BZ117" i="2"/>
  <c r="CA15" i="2"/>
  <c r="BZ158" i="2"/>
  <c r="BZ144" i="2"/>
  <c r="BZ168" i="2"/>
  <c r="BZ208" i="2"/>
  <c r="D38" i="6" s="1"/>
  <c r="BZ207" i="2"/>
  <c r="BZ148" i="2"/>
  <c r="BZ58" i="2"/>
  <c r="CA11" i="2"/>
  <c r="BZ101" i="2"/>
  <c r="BZ84" i="2"/>
  <c r="BZ145" i="2"/>
  <c r="BZ157" i="2"/>
  <c r="BZ240" i="2"/>
  <c r="F32" i="6" s="1"/>
  <c r="BZ47" i="2"/>
  <c r="BZ97" i="2"/>
  <c r="BZ201" i="2"/>
  <c r="D31" i="6" s="1"/>
  <c r="BZ23" i="2"/>
  <c r="BZ225" i="2"/>
  <c r="BZ128" i="2"/>
  <c r="BZ46" i="2"/>
  <c r="BZ111" i="2"/>
  <c r="BX62" i="4"/>
  <c r="CJ62" i="4" s="1"/>
  <c r="BX62" i="2"/>
  <c r="CJ62" i="2" s="1"/>
  <c r="BW62" i="15"/>
  <c r="CI19" i="4"/>
  <c r="BX194" i="4"/>
  <c r="CJ194" i="4" s="1"/>
  <c r="CI57" i="4"/>
  <c r="CJ57" i="4"/>
  <c r="CI144" i="4"/>
  <c r="CJ144" i="4"/>
  <c r="BW154" i="15"/>
  <c r="BX154" i="2"/>
  <c r="BX151" i="4"/>
  <c r="CJ151" i="4" s="1"/>
  <c r="CJ148" i="4"/>
  <c r="BX150" i="4"/>
  <c r="CJ150" i="4" s="1"/>
  <c r="BW123" i="4"/>
  <c r="BX151" i="2"/>
  <c r="CI96" i="4"/>
  <c r="F37" i="11"/>
  <c r="M69" i="8"/>
  <c r="M74" i="8" s="1"/>
  <c r="M79" i="8" s="1"/>
  <c r="N82" i="8"/>
  <c r="L9" i="10" s="1"/>
  <c r="L12" i="10" s="1"/>
  <c r="M82" i="8"/>
  <c r="K9" i="10" s="1"/>
  <c r="K12" i="10" s="1"/>
  <c r="H18" i="11"/>
  <c r="H32" i="11" s="1"/>
  <c r="E82" i="8"/>
  <c r="I69" i="8"/>
  <c r="I74" i="8" s="1"/>
  <c r="I79" i="8" s="1"/>
  <c r="I82" i="8"/>
  <c r="G9" i="10" s="1"/>
  <c r="G12" i="10" s="1"/>
  <c r="J69" i="8"/>
  <c r="J74" i="8" s="1"/>
  <c r="J79" i="8" s="1"/>
  <c r="J82" i="8"/>
  <c r="H9" i="10" s="1"/>
  <c r="H12" i="10" s="1"/>
  <c r="K69" i="8"/>
  <c r="K74" i="8" s="1"/>
  <c r="K79" i="8" s="1"/>
  <c r="K82" i="8"/>
  <c r="I9" i="10" s="1"/>
  <c r="I12" i="10" s="1"/>
  <c r="H69" i="8"/>
  <c r="H74" i="8" s="1"/>
  <c r="H79" i="8" s="1"/>
  <c r="H82" i="8"/>
  <c r="F9" i="10" s="1"/>
  <c r="F12" i="10" s="1"/>
  <c r="L69" i="8"/>
  <c r="L74" i="8" s="1"/>
  <c r="L79" i="8" s="1"/>
  <c r="L82" i="8"/>
  <c r="J9" i="10" s="1"/>
  <c r="J12" i="10" s="1"/>
  <c r="G69" i="8"/>
  <c r="G74" i="8" s="1"/>
  <c r="G79" i="8" s="1"/>
  <c r="G82" i="8"/>
  <c r="E9" i="10" s="1"/>
  <c r="E12" i="10" s="1"/>
  <c r="F69" i="8"/>
  <c r="F74" i="8" s="1"/>
  <c r="F79" i="8" s="1"/>
  <c r="F82" i="8"/>
  <c r="D9" i="10" s="1"/>
  <c r="F43" i="11"/>
  <c r="E77" i="8"/>
  <c r="BR35" i="8" l="1"/>
  <c r="BP139" i="2"/>
  <c r="BQ36" i="8" s="1"/>
  <c r="CD20" i="2"/>
  <c r="CI20" i="2"/>
  <c r="CI20" i="4"/>
  <c r="AQ183" i="2"/>
  <c r="AP219" i="2"/>
  <c r="AP220" i="2" s="1"/>
  <c r="AQ216" i="2"/>
  <c r="AQ178" i="15"/>
  <c r="AQ216" i="15" s="1"/>
  <c r="AO69" i="8"/>
  <c r="AO82" i="8"/>
  <c r="AM9" i="10" s="1"/>
  <c r="AM12" i="10" s="1"/>
  <c r="AM27" i="10" s="1"/>
  <c r="P18" i="11"/>
  <c r="P25" i="11" s="1"/>
  <c r="AP69" i="8"/>
  <c r="AP82" i="8"/>
  <c r="AN9" i="10" s="1"/>
  <c r="AN12" i="10" s="1"/>
  <c r="AP141" i="15"/>
  <c r="AP220" i="4"/>
  <c r="AQ166" i="2"/>
  <c r="AO7" i="10"/>
  <c r="AP176" i="15"/>
  <c r="AP183" i="15" s="1"/>
  <c r="AN174" i="2"/>
  <c r="AN167" i="15"/>
  <c r="AN174" i="15" s="1"/>
  <c r="AR139" i="15"/>
  <c r="AR178" i="4"/>
  <c r="AR216" i="4" s="1"/>
  <c r="AR140" i="4"/>
  <c r="AR206" i="4"/>
  <c r="AR210" i="4" s="1"/>
  <c r="AR211" i="4" s="1"/>
  <c r="AR173" i="4"/>
  <c r="AR176" i="4" s="1"/>
  <c r="AR178" i="2"/>
  <c r="AR206" i="2"/>
  <c r="AR210" i="2" s="1"/>
  <c r="AR211" i="2" s="1"/>
  <c r="AR140" i="2"/>
  <c r="AR141" i="2" s="1"/>
  <c r="AR173" i="2"/>
  <c r="AR176" i="2" s="1"/>
  <c r="AO214" i="4"/>
  <c r="AO219" i="4" s="1"/>
  <c r="AO220" i="4" s="1"/>
  <c r="AO212" i="4"/>
  <c r="AQ176" i="4"/>
  <c r="AQ183" i="4" s="1"/>
  <c r="AQ140" i="15"/>
  <c r="AQ141" i="4"/>
  <c r="AQ166" i="4" s="1"/>
  <c r="AQ167" i="4" s="1"/>
  <c r="AQ174" i="4" s="1"/>
  <c r="AO167" i="4"/>
  <c r="AQ210" i="2"/>
  <c r="AQ211" i="2" s="1"/>
  <c r="AO174" i="2"/>
  <c r="AQ210" i="4"/>
  <c r="AP8" i="10"/>
  <c r="AQ206" i="15"/>
  <c r="AQ173" i="15"/>
  <c r="AP167" i="2"/>
  <c r="AP166" i="15"/>
  <c r="AQ48" i="8" s="1"/>
  <c r="AQ49" i="8" s="1"/>
  <c r="AQ61" i="8" s="1"/>
  <c r="CH20" i="4"/>
  <c r="CG20" i="4"/>
  <c r="CD20" i="4"/>
  <c r="CG20" i="2"/>
  <c r="CF20" i="2"/>
  <c r="CJ20" i="4"/>
  <c r="CE20" i="2"/>
  <c r="CF20" i="4"/>
  <c r="CJ20" i="2"/>
  <c r="CE20" i="4"/>
  <c r="CH20" i="2"/>
  <c r="BV91" i="15"/>
  <c r="BW91" i="2"/>
  <c r="BV96" i="2"/>
  <c r="BV96" i="15" s="1"/>
  <c r="CA17" i="15"/>
  <c r="V11" i="6"/>
  <c r="CG19" i="15"/>
  <c r="CE19" i="15"/>
  <c r="CC19" i="15"/>
  <c r="BV74" i="2"/>
  <c r="BV74" i="15" s="1"/>
  <c r="BV195" i="2"/>
  <c r="BV63" i="15"/>
  <c r="BW63" i="2"/>
  <c r="BU195" i="15"/>
  <c r="BU74" i="15"/>
  <c r="Q12" i="6"/>
  <c r="V12" i="6"/>
  <c r="Q11" i="6"/>
  <c r="K12" i="6"/>
  <c r="F12" i="6"/>
  <c r="K11" i="6"/>
  <c r="F11" i="6"/>
  <c r="X32" i="6"/>
  <c r="D37" i="6"/>
  <c r="Z37" i="6" s="1"/>
  <c r="BZ12" i="15"/>
  <c r="AB16" i="6"/>
  <c r="CF19" i="15"/>
  <c r="CD19" i="15"/>
  <c r="BX157" i="4"/>
  <c r="BX158" i="4" s="1"/>
  <c r="AB32" i="6"/>
  <c r="AB19" i="6"/>
  <c r="CA14" i="15"/>
  <c r="AB17" i="6"/>
  <c r="BZ17" i="15"/>
  <c r="AB53" i="6"/>
  <c r="Z31" i="6"/>
  <c r="Z38" i="6"/>
  <c r="AB33" i="6"/>
  <c r="CJ148" i="2"/>
  <c r="CA13" i="15"/>
  <c r="AB29" i="6"/>
  <c r="Z30" i="6"/>
  <c r="Z28" i="6"/>
  <c r="AB26" i="6"/>
  <c r="Z25" i="6"/>
  <c r="Z29" i="6"/>
  <c r="CA18" i="15"/>
  <c r="BZ13" i="15"/>
  <c r="AB31" i="6"/>
  <c r="BX89" i="15"/>
  <c r="CJ89" i="15" s="1"/>
  <c r="Z19" i="6"/>
  <c r="BZ14" i="15"/>
  <c r="Z36" i="6"/>
  <c r="Z32" i="6"/>
  <c r="AB35" i="6"/>
  <c r="BZ18" i="15"/>
  <c r="AB28" i="6"/>
  <c r="CA12" i="15"/>
  <c r="Z17" i="6"/>
  <c r="CA16" i="15"/>
  <c r="Z26" i="6"/>
  <c r="X33" i="6"/>
  <c r="AB27" i="6"/>
  <c r="BZ16" i="15"/>
  <c r="CA7" i="15"/>
  <c r="AB30" i="6"/>
  <c r="Z33" i="6"/>
  <c r="AB38" i="6"/>
  <c r="AB25" i="6"/>
  <c r="Z16" i="6"/>
  <c r="X28" i="6"/>
  <c r="AB36" i="6"/>
  <c r="X26" i="6"/>
  <c r="CJ61" i="2"/>
  <c r="CJ67" i="2"/>
  <c r="BX74" i="4"/>
  <c r="CJ74" i="4" s="1"/>
  <c r="X16" i="6"/>
  <c r="X25" i="6"/>
  <c r="X38" i="6"/>
  <c r="X29" i="6"/>
  <c r="CA11" i="15"/>
  <c r="AB37" i="6"/>
  <c r="X17" i="6"/>
  <c r="CJ64" i="2"/>
  <c r="CA15" i="15"/>
  <c r="BZ11" i="15"/>
  <c r="AB34" i="6"/>
  <c r="Z34" i="6"/>
  <c r="CJ89" i="2"/>
  <c r="AB9" i="6"/>
  <c r="BZ15" i="15"/>
  <c r="X19" i="6"/>
  <c r="CJ151" i="2"/>
  <c r="BX151" i="15"/>
  <c r="BZ173" i="2"/>
  <c r="AB8" i="6"/>
  <c r="Z15" i="6"/>
  <c r="D21" i="6"/>
  <c r="BZ193" i="2"/>
  <c r="CI89" i="15"/>
  <c r="CJ117" i="4"/>
  <c r="BX123" i="4"/>
  <c r="BX60" i="15"/>
  <c r="CJ60" i="2"/>
  <c r="CA173" i="4"/>
  <c r="BX118" i="15"/>
  <c r="CJ118" i="2"/>
  <c r="Q51" i="6"/>
  <c r="CI19" i="15"/>
  <c r="BW157" i="15"/>
  <c r="BW158" i="2"/>
  <c r="AE25" i="6"/>
  <c r="CA193" i="2"/>
  <c r="I21" i="6"/>
  <c r="AG9" i="6"/>
  <c r="AE32" i="6"/>
  <c r="M29" i="6"/>
  <c r="AG29" i="6"/>
  <c r="AE19" i="6"/>
  <c r="AG34" i="6"/>
  <c r="M34" i="6"/>
  <c r="AE34" i="6"/>
  <c r="M38" i="6"/>
  <c r="AG38" i="6"/>
  <c r="AE30" i="6"/>
  <c r="M53" i="6"/>
  <c r="AG53" i="6"/>
  <c r="AI53" i="6" s="1"/>
  <c r="AE31" i="6"/>
  <c r="AG25" i="6"/>
  <c r="M25" i="6"/>
  <c r="M36" i="6"/>
  <c r="AG36" i="6"/>
  <c r="CH19" i="15"/>
  <c r="CI61" i="15"/>
  <c r="CJ61" i="15"/>
  <c r="F24" i="6"/>
  <c r="BZ248" i="2"/>
  <c r="BZ19" i="2"/>
  <c r="BZ10" i="15"/>
  <c r="CA19" i="2"/>
  <c r="CA10" i="15"/>
  <c r="AB15" i="6"/>
  <c r="F51" i="6"/>
  <c r="CJ150" i="2"/>
  <c r="BX150" i="15"/>
  <c r="CI63" i="15"/>
  <c r="X31" i="6"/>
  <c r="X36" i="6"/>
  <c r="X35" i="6"/>
  <c r="BX195" i="4"/>
  <c r="BX256" i="4"/>
  <c r="T9" i="6"/>
  <c r="X9" i="6" s="1"/>
  <c r="O9" i="6"/>
  <c r="BZ210" i="4"/>
  <c r="Q24" i="6"/>
  <c r="BZ248" i="4"/>
  <c r="CI144" i="15"/>
  <c r="CJ144" i="15"/>
  <c r="BX92" i="15"/>
  <c r="CJ92" i="2"/>
  <c r="BX147" i="15"/>
  <c r="CJ147" i="2"/>
  <c r="BX157" i="2"/>
  <c r="CI153" i="2"/>
  <c r="BX153" i="15"/>
  <c r="K18" i="6"/>
  <c r="CA231" i="2"/>
  <c r="AE35" i="6"/>
  <c r="AE15" i="6"/>
  <c r="AE29" i="6"/>
  <c r="AE33" i="6"/>
  <c r="AE37" i="6"/>
  <c r="K24" i="6"/>
  <c r="CA248" i="2"/>
  <c r="M37" i="6"/>
  <c r="AG37" i="6"/>
  <c r="AG31" i="6"/>
  <c r="M31" i="6"/>
  <c r="BW123" i="15"/>
  <c r="BX90" i="15"/>
  <c r="F18" i="6"/>
  <c r="F21" i="6" s="1"/>
  <c r="BZ231" i="2"/>
  <c r="CI148" i="15"/>
  <c r="CJ148" i="15"/>
  <c r="CA231" i="4"/>
  <c r="V18" i="6"/>
  <c r="V21" i="6" s="1"/>
  <c r="V24" i="6"/>
  <c r="V40" i="6" s="1"/>
  <c r="CA248" i="4"/>
  <c r="X30" i="6"/>
  <c r="CI58" i="15"/>
  <c r="CJ58" i="15"/>
  <c r="CJ157" i="4"/>
  <c r="BW158" i="4"/>
  <c r="BV158" i="15"/>
  <c r="Z35" i="6"/>
  <c r="CA19" i="4"/>
  <c r="BX96" i="4"/>
  <c r="CJ96" i="4" s="1"/>
  <c r="CJ89" i="4"/>
  <c r="CJ152" i="2"/>
  <c r="BX152" i="15"/>
  <c r="CJ194" i="2"/>
  <c r="CI64" i="15"/>
  <c r="CJ64" i="15"/>
  <c r="BX117" i="15"/>
  <c r="AE17" i="6"/>
  <c r="AG16" i="6"/>
  <c r="M16" i="6"/>
  <c r="M17" i="6"/>
  <c r="AG17" i="6"/>
  <c r="M30" i="6"/>
  <c r="AG30" i="6"/>
  <c r="M33" i="6"/>
  <c r="AG33" i="6"/>
  <c r="CA173" i="2"/>
  <c r="AE36" i="6"/>
  <c r="AG35" i="6"/>
  <c r="M35" i="6"/>
  <c r="AE16" i="6"/>
  <c r="CI115" i="15"/>
  <c r="CJ115" i="15"/>
  <c r="CJ60" i="4"/>
  <c r="BX154" i="15"/>
  <c r="CJ154" i="2"/>
  <c r="BX62" i="15"/>
  <c r="BZ7" i="15"/>
  <c r="I9" i="6"/>
  <c r="CI87" i="15"/>
  <c r="CJ87" i="15"/>
  <c r="CI67" i="15"/>
  <c r="CJ67" i="15"/>
  <c r="CJ65" i="2"/>
  <c r="BX65" i="15"/>
  <c r="V51" i="6"/>
  <c r="X15" i="6"/>
  <c r="CA210" i="4"/>
  <c r="X27" i="6"/>
  <c r="T21" i="6"/>
  <c r="CA193" i="4"/>
  <c r="X34" i="6"/>
  <c r="X37" i="6"/>
  <c r="CI145" i="15"/>
  <c r="CJ145" i="15"/>
  <c r="CI149" i="15"/>
  <c r="CJ149" i="15"/>
  <c r="CI119" i="15"/>
  <c r="CJ119" i="15"/>
  <c r="CJ66" i="2"/>
  <c r="BX66" i="15"/>
  <c r="CJ119" i="2"/>
  <c r="BZ19" i="4"/>
  <c r="O21" i="6"/>
  <c r="BZ193" i="4"/>
  <c r="Q18" i="6"/>
  <c r="Q21" i="6" s="1"/>
  <c r="BZ231" i="4"/>
  <c r="BZ173" i="4"/>
  <c r="BX194" i="15"/>
  <c r="CI57" i="15"/>
  <c r="CJ57" i="15"/>
  <c r="CJ153" i="2"/>
  <c r="AG8" i="6"/>
  <c r="AE38" i="6"/>
  <c r="AG28" i="6"/>
  <c r="M28" i="6"/>
  <c r="AE28" i="6"/>
  <c r="M19" i="6"/>
  <c r="AG19" i="6"/>
  <c r="AG15" i="6"/>
  <c r="M15" i="6"/>
  <c r="K51" i="6"/>
  <c r="AG26" i="6"/>
  <c r="M26" i="6"/>
  <c r="AE26" i="6"/>
  <c r="AG32" i="6"/>
  <c r="M32" i="6"/>
  <c r="AG27" i="6"/>
  <c r="BX123" i="2"/>
  <c r="CJ123" i="2" s="1"/>
  <c r="CJ19" i="15"/>
  <c r="CJ120" i="2"/>
  <c r="BX120" i="15"/>
  <c r="D12" i="10"/>
  <c r="D10" i="12"/>
  <c r="H25" i="11"/>
  <c r="H37" i="11" s="1"/>
  <c r="BV195" i="15" l="1"/>
  <c r="BS35" i="8"/>
  <c r="BQ139" i="2"/>
  <c r="BR36" i="8" s="1"/>
  <c r="AN27" i="10"/>
  <c r="AR183" i="4"/>
  <c r="AQ176" i="15"/>
  <c r="AQ183" i="15" s="1"/>
  <c r="AP7" i="10"/>
  <c r="AQ211" i="4"/>
  <c r="AQ214" i="2"/>
  <c r="AQ219" i="2" s="1"/>
  <c r="AQ220" i="2" s="1"/>
  <c r="AQ212" i="2"/>
  <c r="AO174" i="4"/>
  <c r="AR216" i="2"/>
  <c r="AR178" i="15"/>
  <c r="AQ141" i="15"/>
  <c r="AQ69" i="8"/>
  <c r="AQ82" i="8"/>
  <c r="AO9" i="10" s="1"/>
  <c r="AO12" i="10" s="1"/>
  <c r="AO27" i="10" s="1"/>
  <c r="AR183" i="2"/>
  <c r="AS140" i="2"/>
  <c r="AS141" i="2" s="1"/>
  <c r="AS139" i="15"/>
  <c r="AS206" i="2"/>
  <c r="AS178" i="2"/>
  <c r="AS173" i="2"/>
  <c r="AS176" i="2" s="1"/>
  <c r="AS178" i="4"/>
  <c r="AS140" i="4"/>
  <c r="AS206" i="4"/>
  <c r="AS173" i="4"/>
  <c r="AP167" i="15"/>
  <c r="AP174" i="15" s="1"/>
  <c r="AP194" i="15" s="1"/>
  <c r="AP210" i="15" s="1"/>
  <c r="AP211" i="15" s="1"/>
  <c r="AP174" i="2"/>
  <c r="AO167" i="15"/>
  <c r="AO174" i="15" s="1"/>
  <c r="AO194" i="15" s="1"/>
  <c r="AO210" i="15" s="1"/>
  <c r="AO211" i="15" s="1"/>
  <c r="AR166" i="2"/>
  <c r="AR214" i="4"/>
  <c r="AR219" i="4" s="1"/>
  <c r="AR212" i="4"/>
  <c r="AQ8" i="10"/>
  <c r="AR206" i="15"/>
  <c r="AR173" i="15"/>
  <c r="AR214" i="2"/>
  <c r="AR212" i="2"/>
  <c r="AR140" i="15"/>
  <c r="AR141" i="4"/>
  <c r="AR166" i="4" s="1"/>
  <c r="AQ166" i="15"/>
  <c r="AR48" i="8" s="1"/>
  <c r="AR49" i="8" s="1"/>
  <c r="AR61" i="8" s="1"/>
  <c r="AQ167" i="2"/>
  <c r="BX91" i="2"/>
  <c r="BW91" i="15"/>
  <c r="BW96" i="2"/>
  <c r="BW96" i="15" s="1"/>
  <c r="BZ249" i="2"/>
  <c r="BW74" i="2"/>
  <c r="BW63" i="15"/>
  <c r="BW195" i="2"/>
  <c r="BX63" i="2"/>
  <c r="AG12" i="6"/>
  <c r="AI37" i="6"/>
  <c r="M9" i="6"/>
  <c r="AG11" i="6"/>
  <c r="AB12" i="6"/>
  <c r="AB11" i="6"/>
  <c r="AI17" i="6"/>
  <c r="BZ249" i="4"/>
  <c r="BZ174" i="4"/>
  <c r="BZ176" i="4"/>
  <c r="BZ183" i="4" s="1"/>
  <c r="CA176" i="2"/>
  <c r="CA183" i="2" s="1"/>
  <c r="BZ176" i="2"/>
  <c r="BZ183" i="2" s="1"/>
  <c r="CA174" i="4"/>
  <c r="CA176" i="4"/>
  <c r="CA183" i="4" s="1"/>
  <c r="BZ211" i="4"/>
  <c r="CA211" i="4"/>
  <c r="AI28" i="6"/>
  <c r="AI33" i="6"/>
  <c r="AI31" i="6"/>
  <c r="Z9" i="6"/>
  <c r="AI35" i="6"/>
  <c r="AI32" i="6"/>
  <c r="Q52" i="6"/>
  <c r="F52" i="6"/>
  <c r="CI65" i="15"/>
  <c r="CJ65" i="15"/>
  <c r="CI117" i="15"/>
  <c r="CJ117" i="15"/>
  <c r="X18" i="6"/>
  <c r="K21" i="6"/>
  <c r="K52" i="6" s="1"/>
  <c r="M18" i="6"/>
  <c r="AG18" i="6"/>
  <c r="AG21" i="6" s="1"/>
  <c r="CJ195" i="4"/>
  <c r="AI19" i="6"/>
  <c r="CI118" i="15"/>
  <c r="CJ118" i="15"/>
  <c r="Z18" i="6"/>
  <c r="Z21" i="6" s="1"/>
  <c r="CI151" i="15"/>
  <c r="CJ151" i="15"/>
  <c r="AE24" i="6"/>
  <c r="I54" i="6"/>
  <c r="CI66" i="15"/>
  <c r="CJ66" i="15"/>
  <c r="CI154" i="15"/>
  <c r="CJ154" i="15"/>
  <c r="CA249" i="4"/>
  <c r="CI153" i="15"/>
  <c r="CJ153" i="15"/>
  <c r="CI147" i="15"/>
  <c r="CJ147" i="15"/>
  <c r="O54" i="6"/>
  <c r="O40" i="6"/>
  <c r="O42" i="6" s="1"/>
  <c r="I8" i="6"/>
  <c r="CA19" i="15"/>
  <c r="AB24" i="6"/>
  <c r="F54" i="6"/>
  <c r="F40" i="6"/>
  <c r="F55" i="6" s="1"/>
  <c r="AI29" i="6"/>
  <c r="CI120" i="15"/>
  <c r="CJ120" i="15"/>
  <c r="AI26" i="6"/>
  <c r="CI194" i="15"/>
  <c r="P24" i="14" s="1"/>
  <c r="AB24" i="14" s="1"/>
  <c r="CJ194" i="15"/>
  <c r="R24" i="14" s="1"/>
  <c r="AD24" i="14" s="1"/>
  <c r="V55" i="6"/>
  <c r="T40" i="6"/>
  <c r="T42" i="6" s="1"/>
  <c r="T54" i="6"/>
  <c r="AE9" i="6"/>
  <c r="Z24" i="6"/>
  <c r="D54" i="6"/>
  <c r="AI16" i="6"/>
  <c r="CI152" i="15"/>
  <c r="CJ152" i="15"/>
  <c r="O8" i="6"/>
  <c r="O11" i="6" s="1"/>
  <c r="T8" i="6"/>
  <c r="CJ158" i="4"/>
  <c r="AB18" i="6"/>
  <c r="AB21" i="6" s="1"/>
  <c r="CI150" i="15"/>
  <c r="CJ150" i="15"/>
  <c r="CI91" i="15"/>
  <c r="AI25" i="6"/>
  <c r="AI30" i="6"/>
  <c r="BW158" i="15"/>
  <c r="CI60" i="15"/>
  <c r="CJ60" i="15"/>
  <c r="BX123" i="15"/>
  <c r="AG51" i="6"/>
  <c r="AI15" i="6"/>
  <c r="V52" i="6"/>
  <c r="V42" i="6"/>
  <c r="X21" i="6"/>
  <c r="CI62" i="15"/>
  <c r="CJ62" i="15"/>
  <c r="X24" i="6"/>
  <c r="V54" i="6"/>
  <c r="CI90" i="15"/>
  <c r="CJ90" i="15"/>
  <c r="K54" i="6"/>
  <c r="M24" i="6"/>
  <c r="AG24" i="6"/>
  <c r="K40" i="6"/>
  <c r="CA249" i="2"/>
  <c r="BX158" i="2"/>
  <c r="BX157" i="15"/>
  <c r="CJ157" i="2"/>
  <c r="CI92" i="15"/>
  <c r="CJ92" i="15"/>
  <c r="Q40" i="6"/>
  <c r="Q55" i="6" s="1"/>
  <c r="Q54" i="6"/>
  <c r="AB51" i="6"/>
  <c r="BZ19" i="15"/>
  <c r="D8" i="6"/>
  <c r="AI36" i="6"/>
  <c r="AI38" i="6"/>
  <c r="AI34" i="6"/>
  <c r="AE18" i="6"/>
  <c r="AE21" i="6" s="1"/>
  <c r="CJ123" i="4"/>
  <c r="H29" i="11"/>
  <c r="H42" i="11" s="1"/>
  <c r="BR139" i="2" l="1"/>
  <c r="BS36" i="8" s="1"/>
  <c r="BT35" i="8"/>
  <c r="AR220" i="4"/>
  <c r="AS183" i="2"/>
  <c r="AR219" i="2"/>
  <c r="AR220" i="2" s="1"/>
  <c r="AQ167" i="15"/>
  <c r="AQ174" i="15" s="1"/>
  <c r="AQ194" i="15" s="1"/>
  <c r="AQ210" i="15" s="1"/>
  <c r="AQ211" i="15" s="1"/>
  <c r="AQ174" i="2"/>
  <c r="AQ7" i="10"/>
  <c r="AR176" i="15"/>
  <c r="AR183" i="15" s="1"/>
  <c r="AS176" i="4"/>
  <c r="AS183" i="4" s="1"/>
  <c r="AT139" i="15"/>
  <c r="AT178" i="4"/>
  <c r="AT216" i="4" s="1"/>
  <c r="AT140" i="4"/>
  <c r="AT206" i="4"/>
  <c r="AT210" i="4" s="1"/>
  <c r="AT211" i="4" s="1"/>
  <c r="AT173" i="4"/>
  <c r="AT176" i="4" s="1"/>
  <c r="AS216" i="2"/>
  <c r="AS178" i="15"/>
  <c r="AS216" i="15" s="1"/>
  <c r="AT178" i="2"/>
  <c r="AT206" i="2"/>
  <c r="AT210" i="2" s="1"/>
  <c r="AT211" i="2" s="1"/>
  <c r="AT140" i="2"/>
  <c r="AT141" i="2" s="1"/>
  <c r="AT173" i="2"/>
  <c r="AT176" i="2" s="1"/>
  <c r="AR82" i="8"/>
  <c r="AP9" i="10" s="1"/>
  <c r="AP12" i="10" s="1"/>
  <c r="AP27" i="10" s="1"/>
  <c r="AR69" i="8"/>
  <c r="AR167" i="2"/>
  <c r="AR166" i="15"/>
  <c r="AS48" i="8" s="1"/>
  <c r="AS49" i="8" s="1"/>
  <c r="AS61" i="8" s="1"/>
  <c r="AP212" i="15"/>
  <c r="AP214" i="15"/>
  <c r="AP219" i="15" s="1"/>
  <c r="AP220" i="15" s="1"/>
  <c r="AS210" i="4"/>
  <c r="AS210" i="2"/>
  <c r="AS211" i="2" s="1"/>
  <c r="AR167" i="4"/>
  <c r="AR141" i="15"/>
  <c r="AS140" i="15"/>
  <c r="AS141" i="4"/>
  <c r="AS166" i="4" s="1"/>
  <c r="AS167" i="4" s="1"/>
  <c r="AS174" i="4" s="1"/>
  <c r="AS206" i="15"/>
  <c r="AS210" i="15" s="1"/>
  <c r="AS211" i="15" s="1"/>
  <c r="AR8" i="10"/>
  <c r="AS173" i="15"/>
  <c r="AQ214" i="4"/>
  <c r="AQ219" i="4" s="1"/>
  <c r="AQ220" i="4" s="1"/>
  <c r="AQ212" i="4"/>
  <c r="AO214" i="15"/>
  <c r="AO219" i="15" s="1"/>
  <c r="AO220" i="15" s="1"/>
  <c r="AO212" i="15"/>
  <c r="AS216" i="4"/>
  <c r="AS166" i="2"/>
  <c r="AR216" i="15"/>
  <c r="BX91" i="15"/>
  <c r="CJ91" i="15" s="1"/>
  <c r="BX96" i="2"/>
  <c r="CJ91" i="2"/>
  <c r="BW195" i="15"/>
  <c r="BX195" i="2"/>
  <c r="BX74" i="2"/>
  <c r="BX256" i="2"/>
  <c r="BY54" i="8" s="1"/>
  <c r="BY60" i="8" s="1"/>
  <c r="BX63" i="15"/>
  <c r="CJ63" i="2"/>
  <c r="BW74" i="15"/>
  <c r="CA212" i="4"/>
  <c r="CA214" i="4"/>
  <c r="CA219" i="4" s="1"/>
  <c r="CA220" i="4" s="1"/>
  <c r="BZ212" i="4"/>
  <c r="BZ214" i="4"/>
  <c r="BZ219" i="4" s="1"/>
  <c r="BZ220" i="4" s="1"/>
  <c r="D12" i="6"/>
  <c r="D11" i="6"/>
  <c r="T52" i="6"/>
  <c r="X52" i="6" s="1"/>
  <c r="T12" i="6"/>
  <c r="O52" i="6"/>
  <c r="O12" i="6"/>
  <c r="I52" i="6"/>
  <c r="M52" i="6" s="1"/>
  <c r="I12" i="6"/>
  <c r="I11" i="6"/>
  <c r="M11" i="6" s="1"/>
  <c r="T11" i="6"/>
  <c r="X11" i="6" s="1"/>
  <c r="D44" i="6"/>
  <c r="O44" i="6"/>
  <c r="T44" i="6"/>
  <c r="I44" i="6"/>
  <c r="X40" i="6"/>
  <c r="O50" i="6"/>
  <c r="O61" i="6"/>
  <c r="O56" i="6"/>
  <c r="T50" i="6"/>
  <c r="T56" i="6"/>
  <c r="T61" i="6"/>
  <c r="AB52" i="6"/>
  <c r="CI157" i="15"/>
  <c r="CJ157" i="15"/>
  <c r="AI24" i="6"/>
  <c r="AG40" i="6"/>
  <c r="AG42" i="6" s="1"/>
  <c r="AG54" i="6"/>
  <c r="V50" i="6"/>
  <c r="V61" i="6"/>
  <c r="V44" i="6"/>
  <c r="V56" i="6"/>
  <c r="X42" i="6"/>
  <c r="CI74" i="15"/>
  <c r="X54" i="6"/>
  <c r="AB54" i="6"/>
  <c r="AB40" i="6"/>
  <c r="AB55" i="6" s="1"/>
  <c r="AE54" i="6"/>
  <c r="Z8" i="6"/>
  <c r="Z12" i="6" s="1"/>
  <c r="D51" i="6"/>
  <c r="BX158" i="15"/>
  <c r="CJ158" i="2"/>
  <c r="Z54" i="6"/>
  <c r="T55" i="6"/>
  <c r="X55" i="6" s="1"/>
  <c r="AI18" i="6"/>
  <c r="X8" i="6"/>
  <c r="T51" i="6"/>
  <c r="X51" i="6" s="1"/>
  <c r="CI96" i="15"/>
  <c r="AE8" i="6"/>
  <c r="I51" i="6"/>
  <c r="M51" i="6" s="1"/>
  <c r="M8" i="6"/>
  <c r="M21" i="6"/>
  <c r="F42" i="6"/>
  <c r="Q42" i="6"/>
  <c r="K42" i="6"/>
  <c r="K55" i="6"/>
  <c r="AG52" i="6"/>
  <c r="AI21" i="6"/>
  <c r="CI123" i="15"/>
  <c r="CJ123" i="15"/>
  <c r="D52" i="6"/>
  <c r="O51" i="6"/>
  <c r="AI9" i="6"/>
  <c r="O55" i="6"/>
  <c r="M54" i="6"/>
  <c r="H43" i="11"/>
  <c r="BS139" i="2" l="1"/>
  <c r="BT36" i="8" s="1"/>
  <c r="BU35" i="8"/>
  <c r="AS141" i="15"/>
  <c r="AT183" i="2"/>
  <c r="AS214" i="15"/>
  <c r="AS219" i="15" s="1"/>
  <c r="AS212" i="15"/>
  <c r="AT216" i="2"/>
  <c r="AT178" i="15"/>
  <c r="AT183" i="4"/>
  <c r="AU140" i="4"/>
  <c r="AU178" i="4"/>
  <c r="AU206" i="4"/>
  <c r="AU210" i="4" s="1"/>
  <c r="AU211" i="4" s="1"/>
  <c r="AU173" i="4"/>
  <c r="AU176" i="4" s="1"/>
  <c r="AS214" i="2"/>
  <c r="AS219" i="2" s="1"/>
  <c r="AS220" i="2" s="1"/>
  <c r="AS212" i="2"/>
  <c r="AU178" i="2"/>
  <c r="AU206" i="2"/>
  <c r="AU210" i="2" s="1"/>
  <c r="AU211" i="2" s="1"/>
  <c r="AU140" i="2"/>
  <c r="AU141" i="2" s="1"/>
  <c r="AU139" i="15"/>
  <c r="AU173" i="2"/>
  <c r="AU176" i="2" s="1"/>
  <c r="AT214" i="4"/>
  <c r="AT219" i="4" s="1"/>
  <c r="AT212" i="4"/>
  <c r="AS8" i="10"/>
  <c r="AT206" i="15"/>
  <c r="AT173" i="15"/>
  <c r="AS167" i="2"/>
  <c r="AS166" i="15"/>
  <c r="AT48" i="8" s="1"/>
  <c r="AT49" i="8" s="1"/>
  <c r="AT61" i="8" s="1"/>
  <c r="AR7" i="10"/>
  <c r="AS176" i="15"/>
  <c r="AS183" i="15" s="1"/>
  <c r="AR174" i="4"/>
  <c r="AS82" i="8"/>
  <c r="AQ9" i="10" s="1"/>
  <c r="AQ12" i="10" s="1"/>
  <c r="AQ27" i="10" s="1"/>
  <c r="AS69" i="8"/>
  <c r="AT166" i="2"/>
  <c r="AT140" i="15"/>
  <c r="AT141" i="4"/>
  <c r="AT141" i="15" s="1"/>
  <c r="AS211" i="4"/>
  <c r="AR174" i="2"/>
  <c r="AR167" i="15"/>
  <c r="AR174" i="15" s="1"/>
  <c r="AR194" i="15" s="1"/>
  <c r="AR210" i="15" s="1"/>
  <c r="AR211" i="15" s="1"/>
  <c r="AT214" i="2"/>
  <c r="AT212" i="2"/>
  <c r="AQ214" i="15"/>
  <c r="AQ219" i="15" s="1"/>
  <c r="AQ220" i="15" s="1"/>
  <c r="AQ212" i="15"/>
  <c r="CJ96" i="2"/>
  <c r="BX96" i="15"/>
  <c r="CJ96" i="15" s="1"/>
  <c r="BX195" i="15"/>
  <c r="BX74" i="15"/>
  <c r="CJ74" i="15" s="1"/>
  <c r="CJ74" i="2"/>
  <c r="CJ63" i="15"/>
  <c r="CJ195" i="2"/>
  <c r="AE12" i="6"/>
  <c r="Z11" i="6"/>
  <c r="AE11" i="6"/>
  <c r="AI11" i="6" s="1"/>
  <c r="AE44" i="6"/>
  <c r="Z44" i="6"/>
  <c r="AI54" i="6"/>
  <c r="Q44" i="6"/>
  <c r="Q50" i="6"/>
  <c r="Q56" i="6"/>
  <c r="Q61" i="6"/>
  <c r="AE52" i="6"/>
  <c r="AI52" i="6" s="1"/>
  <c r="N35" i="11"/>
  <c r="AE51" i="6"/>
  <c r="AI51" i="6" s="1"/>
  <c r="AI8" i="6"/>
  <c r="X56" i="6"/>
  <c r="F44" i="6"/>
  <c r="F56" i="6"/>
  <c r="F61" i="6"/>
  <c r="F50" i="6"/>
  <c r="X50" i="6"/>
  <c r="CI158" i="15"/>
  <c r="CJ158" i="15"/>
  <c r="Z52" i="6"/>
  <c r="Z51" i="6"/>
  <c r="X44" i="6"/>
  <c r="AG56" i="6"/>
  <c r="AG61" i="6"/>
  <c r="AG50" i="6"/>
  <c r="K44" i="6"/>
  <c r="K61" i="6"/>
  <c r="K56" i="6"/>
  <c r="K50" i="6"/>
  <c r="AG55" i="6"/>
  <c r="AB42" i="6"/>
  <c r="BV35" i="8" l="1"/>
  <c r="BT139" i="2"/>
  <c r="BU36" i="8" s="1"/>
  <c r="AS220" i="15"/>
  <c r="AT219" i="2"/>
  <c r="AT220" i="2" s="1"/>
  <c r="AS214" i="4"/>
  <c r="AS219" i="4" s="1"/>
  <c r="AS220" i="4" s="1"/>
  <c r="AS212" i="4"/>
  <c r="AS167" i="15"/>
  <c r="AS174" i="15" s="1"/>
  <c r="AS174" i="2"/>
  <c r="AU183" i="2"/>
  <c r="AU214" i="2"/>
  <c r="AU212" i="2"/>
  <c r="AU183" i="4"/>
  <c r="AU140" i="15"/>
  <c r="AU141" i="4"/>
  <c r="AU166" i="4" s="1"/>
  <c r="AU167" i="4" s="1"/>
  <c r="AU174" i="4" s="1"/>
  <c r="AU216" i="2"/>
  <c r="AU178" i="15"/>
  <c r="AU216" i="15" s="1"/>
  <c r="AU214" i="4"/>
  <c r="AU212" i="4"/>
  <c r="AT220" i="4"/>
  <c r="AU206" i="15"/>
  <c r="AU210" i="15" s="1"/>
  <c r="AU211" i="15" s="1"/>
  <c r="AT8" i="10"/>
  <c r="AU173" i="15"/>
  <c r="AT176" i="15"/>
  <c r="AT183" i="15" s="1"/>
  <c r="AS7" i="10"/>
  <c r="AV178" i="2"/>
  <c r="AV206" i="2"/>
  <c r="AV210" i="2" s="1"/>
  <c r="AV211" i="2" s="1"/>
  <c r="AV140" i="2"/>
  <c r="AV141" i="2" s="1"/>
  <c r="AV139" i="15"/>
  <c r="AV173" i="2"/>
  <c r="AV176" i="2" s="1"/>
  <c r="AU216" i="4"/>
  <c r="AR214" i="15"/>
  <c r="AR219" i="15" s="1"/>
  <c r="AR220" i="15" s="1"/>
  <c r="AR212" i="15"/>
  <c r="AT167" i="2"/>
  <c r="AT166" i="4"/>
  <c r="AT82" i="8"/>
  <c r="AR9" i="10" s="1"/>
  <c r="AR12" i="10" s="1"/>
  <c r="AR27" i="10" s="1"/>
  <c r="AT69" i="8"/>
  <c r="AU166" i="2"/>
  <c r="AV178" i="4"/>
  <c r="AV216" i="4" s="1"/>
  <c r="AV140" i="4"/>
  <c r="AV206" i="4"/>
  <c r="AV173" i="4"/>
  <c r="AT216" i="15"/>
  <c r="CJ195" i="15"/>
  <c r="R25" i="14" s="1"/>
  <c r="AD25" i="14" s="1"/>
  <c r="AB44" i="6"/>
  <c r="M44" i="6"/>
  <c r="AG44" i="6"/>
  <c r="AI44" i="6" s="1"/>
  <c r="AB56" i="6"/>
  <c r="AB61" i="6"/>
  <c r="AB50" i="6"/>
  <c r="BW35" i="8" l="1"/>
  <c r="BU139" i="2"/>
  <c r="BV36" i="8" s="1"/>
  <c r="AV183" i="2"/>
  <c r="AU219" i="2"/>
  <c r="AU220" i="2" s="1"/>
  <c r="AU141" i="15"/>
  <c r="AV140" i="15"/>
  <c r="AV141" i="4"/>
  <c r="AV166" i="4" s="1"/>
  <c r="AV167" i="4" s="1"/>
  <c r="AV174" i="4" s="1"/>
  <c r="AU166" i="15"/>
  <c r="AV48" i="8" s="1"/>
  <c r="AV49" i="8" s="1"/>
  <c r="AV61" i="8" s="1"/>
  <c r="AU167" i="2"/>
  <c r="AV214" i="2"/>
  <c r="AV212" i="2"/>
  <c r="AU214" i="15"/>
  <c r="AU219" i="15" s="1"/>
  <c r="AU212" i="15"/>
  <c r="AU219" i="4"/>
  <c r="AU220" i="4" s="1"/>
  <c r="AV216" i="2"/>
  <c r="AV178" i="15"/>
  <c r="AT167" i="4"/>
  <c r="AT167" i="15" s="1"/>
  <c r="AT174" i="15" s="1"/>
  <c r="AT194" i="15" s="1"/>
  <c r="AT210" i="15" s="1"/>
  <c r="AT211" i="15" s="1"/>
  <c r="AV176" i="4"/>
  <c r="AV183" i="4" s="1"/>
  <c r="AW178" i="4"/>
  <c r="AW216" i="4" s="1"/>
  <c r="AW140" i="4"/>
  <c r="AW206" i="4"/>
  <c r="AW210" i="4" s="1"/>
  <c r="AW211" i="4" s="1"/>
  <c r="AW173" i="4"/>
  <c r="AW176" i="4" s="1"/>
  <c r="AT166" i="15"/>
  <c r="AU48" i="8" s="1"/>
  <c r="AU49" i="8" s="1"/>
  <c r="AU61" i="8" s="1"/>
  <c r="AU8" i="10"/>
  <c r="AV206" i="15"/>
  <c r="AV210" i="15" s="1"/>
  <c r="AV211" i="15" s="1"/>
  <c r="AV173" i="15"/>
  <c r="AW139" i="15"/>
  <c r="AW206" i="2"/>
  <c r="AW210" i="2" s="1"/>
  <c r="AW211" i="2" s="1"/>
  <c r="AW178" i="2"/>
  <c r="AW140" i="2"/>
  <c r="AW141" i="2" s="1"/>
  <c r="AW173" i="2"/>
  <c r="AW176" i="2" s="1"/>
  <c r="AT7" i="10"/>
  <c r="AU176" i="15"/>
  <c r="AU183" i="15" s="1"/>
  <c r="AV210" i="4"/>
  <c r="AT174" i="2"/>
  <c r="AV166" i="2"/>
  <c r="BX35" i="8" l="1"/>
  <c r="BV139" i="2"/>
  <c r="BW36" i="8" s="1"/>
  <c r="AV141" i="15"/>
  <c r="AU220" i="15"/>
  <c r="AV219" i="2"/>
  <c r="AV220" i="2" s="1"/>
  <c r="AX178" i="2"/>
  <c r="AX206" i="2"/>
  <c r="AX139" i="15"/>
  <c r="AU7" i="10"/>
  <c r="AV176" i="15"/>
  <c r="AV183" i="15" s="1"/>
  <c r="AV82" i="8"/>
  <c r="AT9" i="10" s="1"/>
  <c r="AT12" i="10" s="1"/>
  <c r="AT27" i="10" s="1"/>
  <c r="AV69" i="8"/>
  <c r="AW216" i="2"/>
  <c r="AW178" i="15"/>
  <c r="AW216" i="15" s="1"/>
  <c r="AV214" i="15"/>
  <c r="AV212" i="15"/>
  <c r="AW183" i="4"/>
  <c r="AX178" i="4"/>
  <c r="AX216" i="4" s="1"/>
  <c r="AX140" i="4"/>
  <c r="AX141" i="4" s="1"/>
  <c r="AX166" i="4" s="1"/>
  <c r="AX167" i="4" s="1"/>
  <c r="AX206" i="4"/>
  <c r="AX210" i="4" s="1"/>
  <c r="AX211" i="4" s="1"/>
  <c r="AX173" i="4"/>
  <c r="AX176" i="4" s="1"/>
  <c r="AT174" i="4"/>
  <c r="AT214" i="15"/>
  <c r="AT219" i="15" s="1"/>
  <c r="AT220" i="15" s="1"/>
  <c r="AT212" i="15"/>
  <c r="AW183" i="2"/>
  <c r="AW214" i="4"/>
  <c r="AW219" i="4" s="1"/>
  <c r="AW212" i="4"/>
  <c r="AV211" i="4"/>
  <c r="AW214" i="2"/>
  <c r="AW212" i="2"/>
  <c r="AV166" i="15"/>
  <c r="AW48" i="8" s="1"/>
  <c r="AW49" i="8" s="1"/>
  <c r="AW61" i="8" s="1"/>
  <c r="AV167" i="2"/>
  <c r="AW166" i="2"/>
  <c r="AW206" i="15"/>
  <c r="AW210" i="15" s="1"/>
  <c r="AW211" i="15" s="1"/>
  <c r="AW214" i="15" s="1"/>
  <c r="AV8" i="10"/>
  <c r="AW173" i="15"/>
  <c r="AU69" i="8"/>
  <c r="AU82" i="8"/>
  <c r="AS9" i="10" s="1"/>
  <c r="AS12" i="10" s="1"/>
  <c r="AS27" i="10" s="1"/>
  <c r="AW140" i="15"/>
  <c r="AW141" i="4"/>
  <c r="AW166" i="4" s="1"/>
  <c r="AV216" i="15"/>
  <c r="AU167" i="15"/>
  <c r="AU174" i="15" s="1"/>
  <c r="AU174" i="2"/>
  <c r="N14" i="8"/>
  <c r="N27" i="8" s="1"/>
  <c r="BY35" i="8" l="1"/>
  <c r="BX139" i="2" s="1"/>
  <c r="BW139" i="2"/>
  <c r="BX36" i="8" s="1"/>
  <c r="BY36" i="8" s="1"/>
  <c r="AX183" i="4"/>
  <c r="AW220" i="4"/>
  <c r="AW69" i="8"/>
  <c r="AW82" i="8"/>
  <c r="AU9" i="10" s="1"/>
  <c r="AU12" i="10" s="1"/>
  <c r="AU27" i="10" s="1"/>
  <c r="AV214" i="4"/>
  <c r="AV219" i="4" s="1"/>
  <c r="AV220" i="4" s="1"/>
  <c r="AV212" i="4"/>
  <c r="AW219" i="15"/>
  <c r="AW219" i="2"/>
  <c r="AW220" i="2" s="1"/>
  <c r="AX174" i="4"/>
  <c r="AX206" i="15"/>
  <c r="AW8" i="10"/>
  <c r="AV219" i="15"/>
  <c r="AV220" i="15" s="1"/>
  <c r="AW166" i="15"/>
  <c r="AX48" i="8" s="1"/>
  <c r="AX49" i="8" s="1"/>
  <c r="AX61" i="8" s="1"/>
  <c r="AW167" i="2"/>
  <c r="AV167" i="15"/>
  <c r="AV174" i="15" s="1"/>
  <c r="AV174" i="2"/>
  <c r="AY140" i="4"/>
  <c r="AY178" i="4"/>
  <c r="AY216" i="4" s="1"/>
  <c r="AY206" i="4"/>
  <c r="AY210" i="4" s="1"/>
  <c r="AY173" i="4"/>
  <c r="AY176" i="4" s="1"/>
  <c r="AX216" i="2"/>
  <c r="AX178" i="15"/>
  <c r="AX216" i="15" s="1"/>
  <c r="AW167" i="4"/>
  <c r="AW212" i="15"/>
  <c r="AV7" i="10"/>
  <c r="AW176" i="15"/>
  <c r="AW183" i="15" s="1"/>
  <c r="AW141" i="15"/>
  <c r="AX214" i="4"/>
  <c r="AX219" i="4" s="1"/>
  <c r="AX212" i="4"/>
  <c r="AY140" i="2"/>
  <c r="AY141" i="2" s="1"/>
  <c r="AY206" i="2"/>
  <c r="AY210" i="2" s="1"/>
  <c r="AY211" i="2" s="1"/>
  <c r="AY178" i="2"/>
  <c r="AY139" i="15"/>
  <c r="AY173" i="2"/>
  <c r="AY176" i="2" s="1"/>
  <c r="AX220" i="4" l="1"/>
  <c r="AW220" i="15"/>
  <c r="AX8" i="10"/>
  <c r="AY206" i="15"/>
  <c r="AY173" i="15"/>
  <c r="AY214" i="2"/>
  <c r="AY212" i="2"/>
  <c r="AY183" i="2"/>
  <c r="AZ178" i="2"/>
  <c r="AZ206" i="2"/>
  <c r="AZ210" i="2" s="1"/>
  <c r="AZ211" i="2" s="1"/>
  <c r="AZ140" i="2"/>
  <c r="AZ141" i="2" s="1"/>
  <c r="AZ139" i="15"/>
  <c r="AZ173" i="2"/>
  <c r="AZ176" i="2" s="1"/>
  <c r="AZ178" i="4"/>
  <c r="AZ216" i="4" s="1"/>
  <c r="AZ140" i="4"/>
  <c r="AZ206" i="4"/>
  <c r="AZ210" i="4" s="1"/>
  <c r="AZ211" i="4" s="1"/>
  <c r="AZ173" i="4"/>
  <c r="AZ176" i="4" s="1"/>
  <c r="AY166" i="2"/>
  <c r="AW174" i="4"/>
  <c r="AY183" i="4"/>
  <c r="AY140" i="15"/>
  <c r="AY141" i="4"/>
  <c r="AY166" i="4" s="1"/>
  <c r="AW167" i="15"/>
  <c r="AW174" i="15" s="1"/>
  <c r="AW174" i="2"/>
  <c r="AY216" i="2"/>
  <c r="AY178" i="15"/>
  <c r="AY216" i="15" s="1"/>
  <c r="AY211" i="4"/>
  <c r="AX82" i="8"/>
  <c r="AV9" i="10" s="1"/>
  <c r="AV12" i="10" s="1"/>
  <c r="AV27" i="10" s="1"/>
  <c r="AX69" i="8"/>
  <c r="AY141" i="15" l="1"/>
  <c r="AZ183" i="2"/>
  <c r="AY219" i="2"/>
  <c r="AY220" i="2" s="1"/>
  <c r="AZ214" i="2"/>
  <c r="AZ212" i="2"/>
  <c r="AY214" i="4"/>
  <c r="AY219" i="4" s="1"/>
  <c r="AY220" i="4" s="1"/>
  <c r="AY212" i="4"/>
  <c r="CH211" i="4"/>
  <c r="AZ140" i="15"/>
  <c r="AZ141" i="4"/>
  <c r="AZ166" i="4" s="1"/>
  <c r="AZ167" i="4" s="1"/>
  <c r="AZ174" i="4" s="1"/>
  <c r="AY8" i="10"/>
  <c r="AZ206" i="15"/>
  <c r="AZ173" i="15"/>
  <c r="AZ216" i="2"/>
  <c r="AZ178" i="15"/>
  <c r="AZ216" i="15" s="1"/>
  <c r="AX7" i="10"/>
  <c r="AY176" i="15"/>
  <c r="AY183" i="15" s="1"/>
  <c r="BA139" i="15"/>
  <c r="BA206" i="2"/>
  <c r="BA178" i="2"/>
  <c r="BA140" i="2"/>
  <c r="BA141" i="2" s="1"/>
  <c r="BA173" i="2"/>
  <c r="BA176" i="2" s="1"/>
  <c r="AZ214" i="4"/>
  <c r="AZ219" i="4" s="1"/>
  <c r="AZ212" i="4"/>
  <c r="AY167" i="4"/>
  <c r="AY166" i="15"/>
  <c r="AZ48" i="8" s="1"/>
  <c r="AZ49" i="8" s="1"/>
  <c r="AZ61" i="8" s="1"/>
  <c r="AZ69" i="8" s="1"/>
  <c r="AY167" i="2"/>
  <c r="AZ183" i="4"/>
  <c r="BA178" i="4"/>
  <c r="BA140" i="4"/>
  <c r="BA206" i="4"/>
  <c r="BA173" i="4"/>
  <c r="AZ166" i="2"/>
  <c r="AZ141" i="15" l="1"/>
  <c r="CH166" i="4"/>
  <c r="AZ220" i="4"/>
  <c r="BA216" i="4"/>
  <c r="BA210" i="2"/>
  <c r="BA211" i="2" s="1"/>
  <c r="BA216" i="2"/>
  <c r="BA178" i="15"/>
  <c r="BA176" i="4"/>
  <c r="BA183" i="4" s="1"/>
  <c r="BB178" i="4"/>
  <c r="BB216" i="4" s="1"/>
  <c r="BB140" i="4"/>
  <c r="BB206" i="4"/>
  <c r="BB210" i="4" s="1"/>
  <c r="BB211" i="4" s="1"/>
  <c r="BB173" i="4"/>
  <c r="BB176" i="4" s="1"/>
  <c r="BA166" i="2"/>
  <c r="BA167" i="2" s="1"/>
  <c r="BA174" i="2" s="1"/>
  <c r="BA206" i="15"/>
  <c r="AZ8" i="10"/>
  <c r="BA173" i="15"/>
  <c r="CH214" i="4"/>
  <c r="AZ219" i="2"/>
  <c r="AZ220" i="2" s="1"/>
  <c r="AZ167" i="2"/>
  <c r="AZ166" i="15"/>
  <c r="BA48" i="8" s="1"/>
  <c r="BA49" i="8" s="1"/>
  <c r="BA61" i="8" s="1"/>
  <c r="BA140" i="15"/>
  <c r="BA141" i="4"/>
  <c r="AY167" i="15"/>
  <c r="AY174" i="15" s="1"/>
  <c r="AY194" i="15" s="1"/>
  <c r="AY210" i="15" s="1"/>
  <c r="AY211" i="15" s="1"/>
  <c r="AY174" i="2"/>
  <c r="AY174" i="4"/>
  <c r="CH167" i="4"/>
  <c r="BA183" i="2"/>
  <c r="BA210" i="4"/>
  <c r="BB178" i="2"/>
  <c r="BB206" i="2"/>
  <c r="BB210" i="2" s="1"/>
  <c r="BB211" i="2" s="1"/>
  <c r="BB140" i="2"/>
  <c r="BB141" i="2" s="1"/>
  <c r="BB139" i="15"/>
  <c r="BB173" i="2"/>
  <c r="BB176" i="2" s="1"/>
  <c r="AY7" i="10"/>
  <c r="AZ176" i="15"/>
  <c r="AZ183" i="15" s="1"/>
  <c r="O14" i="8"/>
  <c r="BB183" i="2" l="1"/>
  <c r="BB183" i="4"/>
  <c r="BB216" i="2"/>
  <c r="BB178" i="15"/>
  <c r="BB216" i="15" s="1"/>
  <c r="BB212" i="4"/>
  <c r="BB214" i="4"/>
  <c r="BB219" i="4" s="1"/>
  <c r="BB220" i="4" s="1"/>
  <c r="BB214" i="2"/>
  <c r="BB212" i="2"/>
  <c r="BA210" i="15"/>
  <c r="BA211" i="15" s="1"/>
  <c r="BC178" i="4"/>
  <c r="BC216" i="4" s="1"/>
  <c r="BC206" i="4"/>
  <c r="BC140" i="4"/>
  <c r="BC173" i="4"/>
  <c r="BC176" i="4" s="1"/>
  <c r="BA216" i="15"/>
  <c r="BA214" i="2"/>
  <c r="BA219" i="2" s="1"/>
  <c r="BA220" i="2" s="1"/>
  <c r="BA212" i="2"/>
  <c r="BA8" i="10"/>
  <c r="BB206" i="15"/>
  <c r="BB210" i="15" s="1"/>
  <c r="BB211" i="15" s="1"/>
  <c r="BB173" i="15"/>
  <c r="BA166" i="4"/>
  <c r="AZ174" i="2"/>
  <c r="AZ167" i="15"/>
  <c r="AZ174" i="15" s="1"/>
  <c r="AZ194" i="15" s="1"/>
  <c r="AZ210" i="15" s="1"/>
  <c r="AZ211" i="15" s="1"/>
  <c r="BA176" i="15"/>
  <c r="BA183" i="15" s="1"/>
  <c r="AZ7" i="10"/>
  <c r="BA141" i="15"/>
  <c r="BC140" i="2"/>
  <c r="BC141" i="2" s="1"/>
  <c r="BC206" i="2"/>
  <c r="BC210" i="2" s="1"/>
  <c r="BC211" i="2" s="1"/>
  <c r="BC178" i="2"/>
  <c r="BC139" i="15"/>
  <c r="BC173" i="2"/>
  <c r="BC176" i="2" s="1"/>
  <c r="BA211" i="4"/>
  <c r="BB140" i="15"/>
  <c r="BB141" i="4"/>
  <c r="BB166" i="4" s="1"/>
  <c r="BB167" i="4" s="1"/>
  <c r="BB174" i="4" s="1"/>
  <c r="AY214" i="15"/>
  <c r="AY219" i="15" s="1"/>
  <c r="AY220" i="15" s="1"/>
  <c r="AY212" i="15"/>
  <c r="BA69" i="8"/>
  <c r="BA82" i="8"/>
  <c r="AY9" i="10" s="1"/>
  <c r="AY12" i="10" s="1"/>
  <c r="AY27" i="10" s="1"/>
  <c r="R18" i="11"/>
  <c r="R25" i="11" s="1"/>
  <c r="BB166" i="2"/>
  <c r="P14" i="8"/>
  <c r="P27" i="8" s="1"/>
  <c r="O27" i="8"/>
  <c r="BB141" i="15" l="1"/>
  <c r="BC183" i="2"/>
  <c r="BC214" i="2"/>
  <c r="BC212" i="2"/>
  <c r="BA166" i="15"/>
  <c r="BB48" i="8" s="1"/>
  <c r="BB49" i="8" s="1"/>
  <c r="BB61" i="8" s="1"/>
  <c r="BA167" i="4"/>
  <c r="BC210" i="4"/>
  <c r="BB214" i="15"/>
  <c r="BB219" i="15" s="1"/>
  <c r="BB212" i="15"/>
  <c r="BC140" i="15"/>
  <c r="BC141" i="4"/>
  <c r="BC166" i="2"/>
  <c r="AZ214" i="15"/>
  <c r="AZ219" i="15" s="1"/>
  <c r="AZ220" i="15" s="1"/>
  <c r="AZ212" i="15"/>
  <c r="BD206" i="2"/>
  <c r="BD140" i="2"/>
  <c r="BD141" i="2" s="1"/>
  <c r="BD178" i="2"/>
  <c r="BD139" i="15"/>
  <c r="BD173" i="2"/>
  <c r="BD176" i="2" s="1"/>
  <c r="BA214" i="15"/>
  <c r="BA219" i="15" s="1"/>
  <c r="BA220" i="15" s="1"/>
  <c r="BA212" i="15"/>
  <c r="BB8" i="10"/>
  <c r="BC206" i="15"/>
  <c r="BC210" i="15" s="1"/>
  <c r="BC211" i="15" s="1"/>
  <c r="BC173" i="15"/>
  <c r="BB166" i="15"/>
  <c r="BC48" i="8" s="1"/>
  <c r="BC49" i="8" s="1"/>
  <c r="BC61" i="8" s="1"/>
  <c r="BB167" i="2"/>
  <c r="BA214" i="4"/>
  <c r="BA219" i="4" s="1"/>
  <c r="BA220" i="4" s="1"/>
  <c r="BA212" i="4"/>
  <c r="BC216" i="2"/>
  <c r="BC178" i="15"/>
  <c r="BB176" i="15"/>
  <c r="BB183" i="15" s="1"/>
  <c r="BA7" i="10"/>
  <c r="BC183" i="4"/>
  <c r="BD206" i="4"/>
  <c r="BD210" i="4" s="1"/>
  <c r="BD211" i="4" s="1"/>
  <c r="BD178" i="4"/>
  <c r="BD140" i="4"/>
  <c r="BD173" i="4"/>
  <c r="BD176" i="4" s="1"/>
  <c r="BB219" i="2"/>
  <c r="BB220" i="2" s="1"/>
  <c r="BD183" i="4" l="1"/>
  <c r="BB220" i="15"/>
  <c r="BD214" i="4"/>
  <c r="BD212" i="4"/>
  <c r="BC216" i="15"/>
  <c r="BD178" i="15"/>
  <c r="BD216" i="15" s="1"/>
  <c r="BD216" i="4"/>
  <c r="BC69" i="8"/>
  <c r="BC82" i="8"/>
  <c r="BA9" i="10" s="1"/>
  <c r="BA12" i="10" s="1"/>
  <c r="BA27" i="10" s="1"/>
  <c r="BD183" i="2"/>
  <c r="BD210" i="2"/>
  <c r="BD211" i="2" s="1"/>
  <c r="BC166" i="4"/>
  <c r="BC166" i="15" s="1"/>
  <c r="BD48" i="8" s="1"/>
  <c r="BD49" i="8" s="1"/>
  <c r="BD61" i="8" s="1"/>
  <c r="BC219" i="2"/>
  <c r="BC220" i="2" s="1"/>
  <c r="BE206" i="4"/>
  <c r="BE210" i="4" s="1"/>
  <c r="BE211" i="4" s="1"/>
  <c r="BE140" i="4"/>
  <c r="BE141" i="4" s="1"/>
  <c r="BE166" i="4" s="1"/>
  <c r="BE167" i="4" s="1"/>
  <c r="BE178" i="4"/>
  <c r="BE216" i="4" s="1"/>
  <c r="BE173" i="4"/>
  <c r="BC176" i="15"/>
  <c r="BC183" i="15" s="1"/>
  <c r="BB7" i="10"/>
  <c r="BD206" i="15"/>
  <c r="BD210" i="15" s="1"/>
  <c r="BD211" i="15" s="1"/>
  <c r="BC8" i="10"/>
  <c r="BD173" i="15"/>
  <c r="BE139" i="15"/>
  <c r="BE178" i="2"/>
  <c r="BE140" i="2"/>
  <c r="BE206" i="2"/>
  <c r="BE210" i="2" s="1"/>
  <c r="BE211" i="2" s="1"/>
  <c r="BE173" i="2"/>
  <c r="BE176" i="2" s="1"/>
  <c r="BC141" i="15"/>
  <c r="BA167" i="15"/>
  <c r="BA174" i="15" s="1"/>
  <c r="BA174" i="4"/>
  <c r="BC167" i="2"/>
  <c r="BC211" i="4"/>
  <c r="BB82" i="8"/>
  <c r="AZ9" i="10" s="1"/>
  <c r="AZ12" i="10" s="1"/>
  <c r="AZ27" i="10" s="1"/>
  <c r="BB69" i="8"/>
  <c r="BC214" i="15"/>
  <c r="BC212" i="15"/>
  <c r="BD216" i="2"/>
  <c r="BD140" i="15"/>
  <c r="BD141" i="4"/>
  <c r="BD166" i="4" s="1"/>
  <c r="BD167" i="4" s="1"/>
  <c r="BD174" i="4" s="1"/>
  <c r="BB167" i="15"/>
  <c r="BB174" i="15" s="1"/>
  <c r="BB174" i="2"/>
  <c r="BD166" i="2"/>
  <c r="Q14" i="8"/>
  <c r="J8" i="11" s="1"/>
  <c r="BD141" i="15" l="1"/>
  <c r="BD69" i="8"/>
  <c r="BD82" i="8"/>
  <c r="BB9" i="10" s="1"/>
  <c r="BB12" i="10" s="1"/>
  <c r="BB27" i="10" s="1"/>
  <c r="BE183" i="2"/>
  <c r="BD212" i="15"/>
  <c r="BD214" i="15"/>
  <c r="BD219" i="15" s="1"/>
  <c r="BE176" i="4"/>
  <c r="BE183" i="4" s="1"/>
  <c r="BC167" i="4"/>
  <c r="BC174" i="2"/>
  <c r="BE214" i="2"/>
  <c r="BE212" i="2"/>
  <c r="BE206" i="15"/>
  <c r="BE210" i="15" s="1"/>
  <c r="BE211" i="15" s="1"/>
  <c r="BD8" i="10"/>
  <c r="BE173" i="15"/>
  <c r="BD167" i="2"/>
  <c r="BD166" i="15"/>
  <c r="BE48" i="8" s="1"/>
  <c r="BE49" i="8" s="1"/>
  <c r="BE61" i="8" s="1"/>
  <c r="BD176" i="15"/>
  <c r="BD183" i="15" s="1"/>
  <c r="BC7" i="10"/>
  <c r="BE174" i="4"/>
  <c r="BD214" i="2"/>
  <c r="BD219" i="2" s="1"/>
  <c r="BD220" i="2" s="1"/>
  <c r="BD212" i="2"/>
  <c r="BD219" i="4"/>
  <c r="BD220" i="4" s="1"/>
  <c r="BE216" i="2"/>
  <c r="BE178" i="15"/>
  <c r="BE214" i="4"/>
  <c r="BE219" i="4" s="1"/>
  <c r="BE212" i="4"/>
  <c r="BE140" i="15"/>
  <c r="BE141" i="2"/>
  <c r="BC219" i="15"/>
  <c r="BC220" i="15" s="1"/>
  <c r="BC214" i="4"/>
  <c r="BC219" i="4" s="1"/>
  <c r="BC220" i="4" s="1"/>
  <c r="BC212" i="4"/>
  <c r="BF140" i="2"/>
  <c r="BF141" i="2" s="1"/>
  <c r="BF206" i="2"/>
  <c r="BF210" i="2" s="1"/>
  <c r="BF211" i="2" s="1"/>
  <c r="BF139" i="15"/>
  <c r="BF178" i="2"/>
  <c r="BF173" i="2"/>
  <c r="BF176" i="2" s="1"/>
  <c r="BF178" i="4"/>
  <c r="BF140" i="4"/>
  <c r="BF206" i="4"/>
  <c r="BF210" i="4" s="1"/>
  <c r="BF211" i="4" s="1"/>
  <c r="BF173" i="4"/>
  <c r="BF176" i="4" s="1"/>
  <c r="Q27" i="8"/>
  <c r="BF216" i="4" l="1"/>
  <c r="BF206" i="15"/>
  <c r="BE8" i="10"/>
  <c r="BF173" i="15"/>
  <c r="BC174" i="4"/>
  <c r="BF183" i="4"/>
  <c r="BG178" i="4"/>
  <c r="BG216" i="4" s="1"/>
  <c r="BG206" i="4"/>
  <c r="BG140" i="4"/>
  <c r="BG173" i="4"/>
  <c r="BG176" i="4" s="1"/>
  <c r="BF214" i="2"/>
  <c r="BF212" i="2"/>
  <c r="BE141" i="15"/>
  <c r="BE166" i="2"/>
  <c r="BE214" i="15"/>
  <c r="BE212" i="15"/>
  <c r="BD174" i="2"/>
  <c r="BD167" i="15"/>
  <c r="BD174" i="15" s="1"/>
  <c r="BF214" i="4"/>
  <c r="BF212" i="4"/>
  <c r="BF183" i="2"/>
  <c r="BF166" i="2"/>
  <c r="BE216" i="15"/>
  <c r="BC167" i="15"/>
  <c r="BC174" i="15" s="1"/>
  <c r="BE220" i="4"/>
  <c r="BF140" i="15"/>
  <c r="BF141" i="4"/>
  <c r="BF141" i="15" s="1"/>
  <c r="BF216" i="2"/>
  <c r="BF178" i="15"/>
  <c r="BF216" i="15" s="1"/>
  <c r="BG206" i="2"/>
  <c r="BG210" i="2" s="1"/>
  <c r="BG211" i="2" s="1"/>
  <c r="BG178" i="2"/>
  <c r="BG140" i="2"/>
  <c r="BG141" i="2" s="1"/>
  <c r="BG139" i="15"/>
  <c r="BG173" i="2"/>
  <c r="BG176" i="2" s="1"/>
  <c r="BE69" i="8"/>
  <c r="BE82" i="8"/>
  <c r="BC9" i="10" s="1"/>
  <c r="BC12" i="10" s="1"/>
  <c r="BC27" i="10" s="1"/>
  <c r="BE176" i="15"/>
  <c r="BE183" i="15" s="1"/>
  <c r="BD7" i="10"/>
  <c r="BE219" i="2"/>
  <c r="BE220" i="2" s="1"/>
  <c r="BD220" i="15"/>
  <c r="R14" i="8"/>
  <c r="BF219" i="4" l="1"/>
  <c r="BF220" i="4" s="1"/>
  <c r="BE219" i="15"/>
  <c r="BE220" i="15" s="1"/>
  <c r="BF219" i="2"/>
  <c r="BF220" i="2" s="1"/>
  <c r="BE167" i="2"/>
  <c r="BE166" i="15"/>
  <c r="BF48" i="8" s="1"/>
  <c r="BF49" i="8" s="1"/>
  <c r="BF61" i="8" s="1"/>
  <c r="BF210" i="15"/>
  <c r="BF211" i="15" s="1"/>
  <c r="BG210" i="4"/>
  <c r="BF166" i="4"/>
  <c r="BF167" i="2"/>
  <c r="BG216" i="2"/>
  <c r="BG178" i="15"/>
  <c r="BG183" i="4"/>
  <c r="BH139" i="15"/>
  <c r="BH178" i="4"/>
  <c r="BH216" i="4" s="1"/>
  <c r="BH140" i="4"/>
  <c r="BH206" i="4"/>
  <c r="BH210" i="4" s="1"/>
  <c r="BH211" i="4" s="1"/>
  <c r="BH173" i="4"/>
  <c r="BH176" i="4" s="1"/>
  <c r="BF8" i="10"/>
  <c r="BG206" i="15"/>
  <c r="BG210" i="15" s="1"/>
  <c r="BG211" i="15" s="1"/>
  <c r="BG173" i="15"/>
  <c r="BH178" i="2"/>
  <c r="BH140" i="2"/>
  <c r="BH141" i="2" s="1"/>
  <c r="BH206" i="2"/>
  <c r="BH210" i="2" s="1"/>
  <c r="BH211" i="2" s="1"/>
  <c r="BH173" i="2"/>
  <c r="BH176" i="2" s="1"/>
  <c r="BG166" i="2"/>
  <c r="BG183" i="2"/>
  <c r="BG214" i="2"/>
  <c r="BG212" i="2"/>
  <c r="BG140" i="15"/>
  <c r="BG141" i="4"/>
  <c r="BG166" i="4" s="1"/>
  <c r="BG167" i="4" s="1"/>
  <c r="BG174" i="4" s="1"/>
  <c r="BF176" i="15"/>
  <c r="BF183" i="15" s="1"/>
  <c r="BE7" i="10"/>
  <c r="S14" i="8"/>
  <c r="R27" i="8"/>
  <c r="BG219" i="2" l="1"/>
  <c r="BG220" i="2" s="1"/>
  <c r="BH183" i="4"/>
  <c r="BG212" i="15"/>
  <c r="BG214" i="15"/>
  <c r="BH206" i="15"/>
  <c r="BH210" i="15" s="1"/>
  <c r="BH211" i="15" s="1"/>
  <c r="BG8" i="10"/>
  <c r="BH173" i="15"/>
  <c r="BH166" i="2"/>
  <c r="BH216" i="2"/>
  <c r="BH178" i="15"/>
  <c r="BH216" i="15" s="1"/>
  <c r="BH140" i="15"/>
  <c r="BH141" i="4"/>
  <c r="BH166" i="4" s="1"/>
  <c r="BH167" i="4" s="1"/>
  <c r="BH174" i="4" s="1"/>
  <c r="BF167" i="4"/>
  <c r="BF167" i="15" s="1"/>
  <c r="BF174" i="15" s="1"/>
  <c r="BF212" i="15"/>
  <c r="BF214" i="15"/>
  <c r="BF219" i="15" s="1"/>
  <c r="BF220" i="15" s="1"/>
  <c r="BG166" i="15"/>
  <c r="BH48" i="8" s="1"/>
  <c r="BH49" i="8" s="1"/>
  <c r="BH61" i="8" s="1"/>
  <c r="BG167" i="2"/>
  <c r="BH183" i="2"/>
  <c r="BI178" i="2"/>
  <c r="BI140" i="2"/>
  <c r="BI141" i="2" s="1"/>
  <c r="BI206" i="2"/>
  <c r="BI210" i="2" s="1"/>
  <c r="BI211" i="2" s="1"/>
  <c r="BI139" i="15"/>
  <c r="BI173" i="2"/>
  <c r="BI176" i="2" s="1"/>
  <c r="BF174" i="2"/>
  <c r="BF82" i="8"/>
  <c r="BD9" i="10" s="1"/>
  <c r="BD12" i="10" s="1"/>
  <c r="BD27" i="10" s="1"/>
  <c r="BF69" i="8"/>
  <c r="BH214" i="4"/>
  <c r="BH219" i="4" s="1"/>
  <c r="BH212" i="4"/>
  <c r="BG216" i="15"/>
  <c r="BG141" i="15"/>
  <c r="BH214" i="2"/>
  <c r="BH212" i="2"/>
  <c r="BG176" i="15"/>
  <c r="BG183" i="15" s="1"/>
  <c r="BF7" i="10"/>
  <c r="BI178" i="4"/>
  <c r="BI216" i="4" s="1"/>
  <c r="BI206" i="4"/>
  <c r="BI210" i="4" s="1"/>
  <c r="BI211" i="4" s="1"/>
  <c r="BI140" i="4"/>
  <c r="BI173" i="4"/>
  <c r="BI176" i="4" s="1"/>
  <c r="BF166" i="15"/>
  <c r="BG48" i="8" s="1"/>
  <c r="BG49" i="8" s="1"/>
  <c r="BG61" i="8" s="1"/>
  <c r="BG211" i="4"/>
  <c r="BE167" i="15"/>
  <c r="BE174" i="15" s="1"/>
  <c r="BE174" i="2"/>
  <c r="S27" i="8"/>
  <c r="BH220" i="4" l="1"/>
  <c r="BH219" i="2"/>
  <c r="BH220" i="2" s="1"/>
  <c r="BI214" i="2"/>
  <c r="BI212" i="2"/>
  <c r="BG167" i="15"/>
  <c r="BG174" i="15" s="1"/>
  <c r="BG174" i="2"/>
  <c r="BG214" i="4"/>
  <c r="BG219" i="4" s="1"/>
  <c r="BG220" i="4" s="1"/>
  <c r="BG212" i="4"/>
  <c r="BI140" i="15"/>
  <c r="BI141" i="4"/>
  <c r="BI166" i="4" s="1"/>
  <c r="BI183" i="2"/>
  <c r="BI166" i="2"/>
  <c r="BH69" i="8"/>
  <c r="BH82" i="8"/>
  <c r="BF9" i="10" s="1"/>
  <c r="BF12" i="10" s="1"/>
  <c r="BF27" i="10" s="1"/>
  <c r="BF174" i="4"/>
  <c r="BH166" i="15"/>
  <c r="BI48" i="8" s="1"/>
  <c r="BI49" i="8" s="1"/>
  <c r="BI61" i="8" s="1"/>
  <c r="BH167" i="2"/>
  <c r="BH214" i="15"/>
  <c r="BH219" i="15" s="1"/>
  <c r="BH212" i="15"/>
  <c r="BI183" i="4"/>
  <c r="BJ139" i="15"/>
  <c r="BJ140" i="4"/>
  <c r="BJ141" i="4" s="1"/>
  <c r="BJ166" i="4" s="1"/>
  <c r="BJ167" i="4" s="1"/>
  <c r="BJ206" i="4"/>
  <c r="BJ210" i="4" s="1"/>
  <c r="BJ211" i="4" s="1"/>
  <c r="BJ178" i="4"/>
  <c r="BJ216" i="4" s="1"/>
  <c r="BJ173" i="4"/>
  <c r="BJ176" i="4" s="1"/>
  <c r="BH8" i="10"/>
  <c r="BI206" i="15"/>
  <c r="BI173" i="15"/>
  <c r="BI216" i="2"/>
  <c r="BI178" i="15"/>
  <c r="BI216" i="15" s="1"/>
  <c r="BH141" i="15"/>
  <c r="BG219" i="15"/>
  <c r="BG220" i="15" s="1"/>
  <c r="BG82" i="8"/>
  <c r="BE9" i="10" s="1"/>
  <c r="BE12" i="10" s="1"/>
  <c r="BE27" i="10" s="1"/>
  <c r="BG69" i="8"/>
  <c r="BI214" i="4"/>
  <c r="BI219" i="4" s="1"/>
  <c r="BI212" i="4"/>
  <c r="BJ178" i="2"/>
  <c r="BJ206" i="2"/>
  <c r="BG7" i="10"/>
  <c r="BH176" i="15"/>
  <c r="BH183" i="15" s="1"/>
  <c r="BI141" i="15" l="1"/>
  <c r="BJ183" i="4"/>
  <c r="BH220" i="15"/>
  <c r="BJ216" i="2"/>
  <c r="BJ178" i="15"/>
  <c r="BJ216" i="15" s="1"/>
  <c r="BJ206" i="15"/>
  <c r="BI8" i="10"/>
  <c r="BH167" i="15"/>
  <c r="BH174" i="15" s="1"/>
  <c r="BH174" i="2"/>
  <c r="BJ214" i="4"/>
  <c r="BJ219" i="4" s="1"/>
  <c r="BJ220" i="4" s="1"/>
  <c r="BJ212" i="4"/>
  <c r="BI220" i="4"/>
  <c r="BI69" i="8"/>
  <c r="BI82" i="8"/>
  <c r="BG9" i="10" s="1"/>
  <c r="BG12" i="10" s="1"/>
  <c r="BG27" i="10" s="1"/>
  <c r="BJ174" i="4"/>
  <c r="BI166" i="15"/>
  <c r="BJ48" i="8" s="1"/>
  <c r="BJ49" i="8" s="1"/>
  <c r="BJ61" i="8" s="1"/>
  <c r="BI167" i="2"/>
  <c r="BK140" i="2"/>
  <c r="BK141" i="2" s="1"/>
  <c r="BK178" i="2"/>
  <c r="BK206" i="2"/>
  <c r="BK210" i="2" s="1"/>
  <c r="BK211" i="2" s="1"/>
  <c r="BK173" i="2"/>
  <c r="BK176" i="2" s="1"/>
  <c r="BI176" i="15"/>
  <c r="BI183" i="15" s="1"/>
  <c r="BH7" i="10"/>
  <c r="BK139" i="15"/>
  <c r="BK206" i="4"/>
  <c r="BK210" i="4" s="1"/>
  <c r="BK211" i="4" s="1"/>
  <c r="BK140" i="4"/>
  <c r="BK178" i="4"/>
  <c r="BK216" i="4" s="1"/>
  <c r="BK173" i="4"/>
  <c r="BK176" i="4" s="1"/>
  <c r="BI167" i="4"/>
  <c r="BI219" i="2"/>
  <c r="BI220" i="2" s="1"/>
  <c r="BK183" i="4" l="1"/>
  <c r="BK214" i="2"/>
  <c r="BK212" i="2"/>
  <c r="BI167" i="15"/>
  <c r="BI174" i="15" s="1"/>
  <c r="BI195" i="15" s="1"/>
  <c r="BI210" i="15" s="1"/>
  <c r="BI211" i="15" s="1"/>
  <c r="BI174" i="2"/>
  <c r="BK216" i="2"/>
  <c r="BK178" i="15"/>
  <c r="BK216" i="15" s="1"/>
  <c r="BJ69" i="8"/>
  <c r="BJ82" i="8"/>
  <c r="BH9" i="10" s="1"/>
  <c r="BH12" i="10" s="1"/>
  <c r="BH27" i="10" s="1"/>
  <c r="BI174" i="4"/>
  <c r="BK140" i="15"/>
  <c r="BK141" i="4"/>
  <c r="BK166" i="4" s="1"/>
  <c r="BK206" i="15"/>
  <c r="BK210" i="15" s="1"/>
  <c r="BK211" i="15" s="1"/>
  <c r="BJ8" i="10"/>
  <c r="BK173" i="15"/>
  <c r="BL206" i="2"/>
  <c r="BL210" i="2" s="1"/>
  <c r="BL211" i="2" s="1"/>
  <c r="BL178" i="2"/>
  <c r="BL140" i="2"/>
  <c r="BL141" i="2" s="1"/>
  <c r="BL139" i="15"/>
  <c r="BL173" i="2"/>
  <c r="BL176" i="2" s="1"/>
  <c r="BK214" i="4"/>
  <c r="BK219" i="4" s="1"/>
  <c r="BK220" i="4" s="1"/>
  <c r="BK212" i="4"/>
  <c r="BL206" i="4"/>
  <c r="BL210" i="4" s="1"/>
  <c r="BL211" i="4" s="1"/>
  <c r="BL178" i="4"/>
  <c r="BL216" i="4" s="1"/>
  <c r="BL140" i="4"/>
  <c r="BL173" i="4"/>
  <c r="BL176" i="4" s="1"/>
  <c r="BK183" i="2"/>
  <c r="BK166" i="2"/>
  <c r="BK141" i="15" l="1"/>
  <c r="BL183" i="2"/>
  <c r="BL183" i="4"/>
  <c r="BM140" i="2"/>
  <c r="BM141" i="2" s="1"/>
  <c r="BM178" i="2"/>
  <c r="BM206" i="2"/>
  <c r="BM173" i="2"/>
  <c r="BM176" i="2" s="1"/>
  <c r="BJ7" i="10"/>
  <c r="BK176" i="15"/>
  <c r="BK183" i="15" s="1"/>
  <c r="BI214" i="15"/>
  <c r="BI219" i="15" s="1"/>
  <c r="BI220" i="15" s="1"/>
  <c r="BI212" i="15"/>
  <c r="BL140" i="15"/>
  <c r="BL141" i="4"/>
  <c r="BL166" i="4" s="1"/>
  <c r="BL167" i="4" s="1"/>
  <c r="BL174" i="4" s="1"/>
  <c r="BK8" i="10"/>
  <c r="BL206" i="15"/>
  <c r="BL210" i="15" s="1"/>
  <c r="BL211" i="15" s="1"/>
  <c r="BL173" i="15"/>
  <c r="BL214" i="2"/>
  <c r="BL212" i="2"/>
  <c r="BK167" i="4"/>
  <c r="BK167" i="2"/>
  <c r="BK166" i="15"/>
  <c r="BL48" i="8" s="1"/>
  <c r="BL49" i="8" s="1"/>
  <c r="BL61" i="8" s="1"/>
  <c r="BL69" i="8" s="1"/>
  <c r="BL212" i="4"/>
  <c r="BL214" i="4"/>
  <c r="BL219" i="4" s="1"/>
  <c r="BL166" i="2"/>
  <c r="BM139" i="15"/>
  <c r="BM206" i="4"/>
  <c r="BM140" i="4"/>
  <c r="BM178" i="4"/>
  <c r="BM173" i="4"/>
  <c r="BL216" i="2"/>
  <c r="BL178" i="15"/>
  <c r="BL216" i="15" s="1"/>
  <c r="BK214" i="15"/>
  <c r="BK219" i="15" s="1"/>
  <c r="BK212" i="15"/>
  <c r="BK219" i="2"/>
  <c r="BK220" i="2" s="1"/>
  <c r="BL220" i="4" l="1"/>
  <c r="BK220" i="15"/>
  <c r="BM210" i="2"/>
  <c r="BM211" i="2" s="1"/>
  <c r="BM216" i="2"/>
  <c r="BM178" i="15"/>
  <c r="BM216" i="4"/>
  <c r="BL219" i="2"/>
  <c r="BL220" i="2" s="1"/>
  <c r="BN139" i="15"/>
  <c r="BN178" i="4"/>
  <c r="BN216" i="4" s="1"/>
  <c r="BN140" i="4"/>
  <c r="BN206" i="4"/>
  <c r="BN210" i="4" s="1"/>
  <c r="BN211" i="4" s="1"/>
  <c r="BN173" i="4"/>
  <c r="BN176" i="4" s="1"/>
  <c r="BL141" i="15"/>
  <c r="BK7" i="10"/>
  <c r="BL176" i="15"/>
  <c r="BL183" i="15" s="1"/>
  <c r="BM176" i="4"/>
  <c r="BM183" i="4" s="1"/>
  <c r="BM140" i="15"/>
  <c r="BM141" i="4"/>
  <c r="BL167" i="2"/>
  <c r="BL166" i="15"/>
  <c r="BM48" i="8" s="1"/>
  <c r="BM49" i="8" s="1"/>
  <c r="BM61" i="8" s="1"/>
  <c r="BK174" i="2"/>
  <c r="BK167" i="15"/>
  <c r="BK174" i="15" s="1"/>
  <c r="BK174" i="4"/>
  <c r="CI167" i="4"/>
  <c r="BL214" i="15"/>
  <c r="BL219" i="15" s="1"/>
  <c r="BL212" i="15"/>
  <c r="BM183" i="2"/>
  <c r="BN206" i="2"/>
  <c r="BN210" i="2" s="1"/>
  <c r="BN211" i="2" s="1"/>
  <c r="BN178" i="2"/>
  <c r="BN140" i="2"/>
  <c r="BN141" i="2" s="1"/>
  <c r="BN173" i="2"/>
  <c r="BN176" i="2" s="1"/>
  <c r="BM206" i="15"/>
  <c r="BL8" i="10"/>
  <c r="BM173" i="15"/>
  <c r="BM210" i="4"/>
  <c r="BM166" i="2"/>
  <c r="Y14" i="8"/>
  <c r="BL220" i="15" l="1"/>
  <c r="BN183" i="4"/>
  <c r="BN214" i="4"/>
  <c r="BN219" i="4" s="1"/>
  <c r="BN212" i="4"/>
  <c r="BN206" i="15"/>
  <c r="BN210" i="15" s="1"/>
  <c r="BN211" i="15" s="1"/>
  <c r="BM8" i="10"/>
  <c r="BN173" i="15"/>
  <c r="BM210" i="15"/>
  <c r="BM211" i="15" s="1"/>
  <c r="BL7" i="10"/>
  <c r="BM176" i="15"/>
  <c r="BM183" i="15" s="1"/>
  <c r="BN183" i="2"/>
  <c r="BN214" i="2"/>
  <c r="BN212" i="2"/>
  <c r="T18" i="11"/>
  <c r="T25" i="11" s="1"/>
  <c r="BM69" i="8"/>
  <c r="BM82" i="8"/>
  <c r="BK9" i="10" s="1"/>
  <c r="BK12" i="10" s="1"/>
  <c r="BK27" i="10" s="1"/>
  <c r="BN140" i="15"/>
  <c r="BN141" i="4"/>
  <c r="BN166" i="4" s="1"/>
  <c r="BN167" i="4" s="1"/>
  <c r="BN174" i="4" s="1"/>
  <c r="BM214" i="2"/>
  <c r="BM219" i="2" s="1"/>
  <c r="BM220" i="2" s="1"/>
  <c r="BM212" i="2"/>
  <c r="BM167" i="2"/>
  <c r="BM174" i="2" s="1"/>
  <c r="BN166" i="2"/>
  <c r="BM166" i="4"/>
  <c r="BO178" i="4"/>
  <c r="BO216" i="4" s="1"/>
  <c r="BO206" i="4"/>
  <c r="BO210" i="4" s="1"/>
  <c r="BO211" i="4" s="1"/>
  <c r="BO140" i="4"/>
  <c r="BO173" i="4"/>
  <c r="BO176" i="4" s="1"/>
  <c r="BN216" i="2"/>
  <c r="BN178" i="15"/>
  <c r="BN216" i="15" s="1"/>
  <c r="BM141" i="15"/>
  <c r="BM211" i="4"/>
  <c r="BO206" i="2"/>
  <c r="BO210" i="2" s="1"/>
  <c r="BO211" i="2" s="1"/>
  <c r="BO140" i="2"/>
  <c r="BO141" i="2" s="1"/>
  <c r="BO178" i="2"/>
  <c r="BO139" i="15"/>
  <c r="BO173" i="2"/>
  <c r="BO176" i="2" s="1"/>
  <c r="BL174" i="2"/>
  <c r="BL167" i="15"/>
  <c r="BL174" i="15" s="1"/>
  <c r="BM216" i="15"/>
  <c r="Y27" i="8"/>
  <c r="BN220" i="4" l="1"/>
  <c r="BN141" i="15"/>
  <c r="BO183" i="4"/>
  <c r="BN219" i="2"/>
  <c r="BN220" i="2" s="1"/>
  <c r="BN8" i="10"/>
  <c r="BO206" i="15"/>
  <c r="BO210" i="15" s="1"/>
  <c r="BO211" i="15" s="1"/>
  <c r="BO173" i="15"/>
  <c r="BP178" i="2"/>
  <c r="BP216" i="2" s="1"/>
  <c r="BP140" i="2"/>
  <c r="BP206" i="2"/>
  <c r="BP139" i="15"/>
  <c r="BP173" i="2"/>
  <c r="BP176" i="2" s="1"/>
  <c r="BO140" i="15"/>
  <c r="BO141" i="4"/>
  <c r="BO166" i="4" s="1"/>
  <c r="BO167" i="4" s="1"/>
  <c r="BO174" i="4" s="1"/>
  <c r="BM167" i="4"/>
  <c r="BM166" i="15"/>
  <c r="BN48" i="8" s="1"/>
  <c r="BN49" i="8" s="1"/>
  <c r="BN61" i="8" s="1"/>
  <c r="BM214" i="15"/>
  <c r="BM219" i="15" s="1"/>
  <c r="BM220" i="15" s="1"/>
  <c r="BM212" i="15"/>
  <c r="BN214" i="15"/>
  <c r="BN219" i="15" s="1"/>
  <c r="BN212" i="15"/>
  <c r="BO214" i="4"/>
  <c r="BO219" i="4" s="1"/>
  <c r="BO212" i="4"/>
  <c r="BO166" i="2"/>
  <c r="BM214" i="4"/>
  <c r="BM219" i="4" s="1"/>
  <c r="BM220" i="4" s="1"/>
  <c r="BM212" i="4"/>
  <c r="BN167" i="2"/>
  <c r="BN166" i="15"/>
  <c r="BO48" i="8" s="1"/>
  <c r="BO49" i="8" s="1"/>
  <c r="BO61" i="8" s="1"/>
  <c r="BM7" i="10"/>
  <c r="BN176" i="15"/>
  <c r="BN183" i="15" s="1"/>
  <c r="BO216" i="2"/>
  <c r="BO178" i="15"/>
  <c r="BO216" i="15" s="1"/>
  <c r="BO183" i="2"/>
  <c r="BO212" i="2"/>
  <c r="BO214" i="2"/>
  <c r="BP178" i="4"/>
  <c r="BP206" i="4"/>
  <c r="BP210" i="4" s="1"/>
  <c r="BP211" i="4" s="1"/>
  <c r="BP140" i="4"/>
  <c r="BP141" i="4" s="1"/>
  <c r="BP166" i="4" s="1"/>
  <c r="BP167" i="4" s="1"/>
  <c r="BP173" i="4"/>
  <c r="BO220" i="4" l="1"/>
  <c r="BO141" i="15"/>
  <c r="BP178" i="15"/>
  <c r="BP216" i="15" s="1"/>
  <c r="BP216" i="4"/>
  <c r="BN82" i="8"/>
  <c r="BL9" i="10" s="1"/>
  <c r="BL12" i="10" s="1"/>
  <c r="BL27" i="10" s="1"/>
  <c r="BN69" i="8"/>
  <c r="BQ139" i="15"/>
  <c r="BQ206" i="4"/>
  <c r="BQ210" i="4" s="1"/>
  <c r="BQ211" i="4" s="1"/>
  <c r="BQ140" i="4"/>
  <c r="BQ178" i="4"/>
  <c r="BQ216" i="4" s="1"/>
  <c r="BQ173" i="4"/>
  <c r="BQ176" i="4" s="1"/>
  <c r="BO219" i="2"/>
  <c r="BO220" i="2" s="1"/>
  <c r="BN167" i="15"/>
  <c r="BN174" i="15" s="1"/>
  <c r="BN174" i="2"/>
  <c r="BQ178" i="2"/>
  <c r="BQ206" i="2"/>
  <c r="BQ210" i="2" s="1"/>
  <c r="BQ211" i="2" s="1"/>
  <c r="BQ140" i="2"/>
  <c r="BQ141" i="2" s="1"/>
  <c r="BQ173" i="2"/>
  <c r="BQ176" i="2" s="1"/>
  <c r="BO176" i="15"/>
  <c r="BO183" i="15" s="1"/>
  <c r="BN7" i="10"/>
  <c r="BP176" i="4"/>
  <c r="BP183" i="4" s="1"/>
  <c r="BO82" i="8"/>
  <c r="BM9" i="10" s="1"/>
  <c r="BM12" i="10" s="1"/>
  <c r="BM27" i="10" s="1"/>
  <c r="BO69" i="8"/>
  <c r="BP210" i="2"/>
  <c r="BP211" i="2" s="1"/>
  <c r="BP174" i="4"/>
  <c r="BO167" i="2"/>
  <c r="BO166" i="15"/>
  <c r="BP48" i="8" s="1"/>
  <c r="BP49" i="8" s="1"/>
  <c r="BP61" i="8" s="1"/>
  <c r="BN220" i="15"/>
  <c r="BM167" i="15"/>
  <c r="BM174" i="15" s="1"/>
  <c r="BM174" i="4"/>
  <c r="BP183" i="2"/>
  <c r="BP140" i="15"/>
  <c r="BP141" i="2"/>
  <c r="BO214" i="15"/>
  <c r="BO219" i="15" s="1"/>
  <c r="BO212" i="15"/>
  <c r="BP214" i="4"/>
  <c r="BP212" i="4"/>
  <c r="BP206" i="15"/>
  <c r="BO8" i="10"/>
  <c r="BP173" i="15"/>
  <c r="BP219" i="4" l="1"/>
  <c r="BP220" i="4" s="1"/>
  <c r="BQ183" i="4"/>
  <c r="BQ216" i="2"/>
  <c r="BQ178" i="15"/>
  <c r="BQ214" i="4"/>
  <c r="BQ219" i="4" s="1"/>
  <c r="BQ212" i="4"/>
  <c r="BP210" i="15"/>
  <c r="BP211" i="15" s="1"/>
  <c r="BP212" i="2"/>
  <c r="BP214" i="2"/>
  <c r="BP219" i="2" s="1"/>
  <c r="BP220" i="2" s="1"/>
  <c r="BR140" i="2"/>
  <c r="BR141" i="2" s="1"/>
  <c r="BR178" i="2"/>
  <c r="BR206" i="2"/>
  <c r="BR173" i="2"/>
  <c r="BR176" i="2" s="1"/>
  <c r="BR139" i="15"/>
  <c r="BR178" i="4"/>
  <c r="BR216" i="4" s="1"/>
  <c r="BR206" i="4"/>
  <c r="BR210" i="4" s="1"/>
  <c r="BR140" i="4"/>
  <c r="BR173" i="4"/>
  <c r="BP8" i="10"/>
  <c r="BQ206" i="15"/>
  <c r="BQ210" i="15" s="1"/>
  <c r="BQ211" i="15" s="1"/>
  <c r="BQ173" i="15"/>
  <c r="BQ183" i="2"/>
  <c r="BQ166" i="2"/>
  <c r="BP166" i="2"/>
  <c r="BP141" i="15"/>
  <c r="BO174" i="2"/>
  <c r="BO167" i="15"/>
  <c r="BO174" i="15" s="1"/>
  <c r="BP176" i="15"/>
  <c r="BP183" i="15" s="1"/>
  <c r="BO7" i="10"/>
  <c r="BP82" i="8"/>
  <c r="BN9" i="10" s="1"/>
  <c r="BN12" i="10" s="1"/>
  <c r="BN27" i="10" s="1"/>
  <c r="BP69" i="8"/>
  <c r="BO220" i="15"/>
  <c r="BQ214" i="2"/>
  <c r="BQ212" i="2"/>
  <c r="BQ140" i="15"/>
  <c r="BQ141" i="4"/>
  <c r="BQ141" i="15" s="1"/>
  <c r="BQ219" i="2" l="1"/>
  <c r="BQ220" i="2" s="1"/>
  <c r="BQ220" i="4"/>
  <c r="BR183" i="2"/>
  <c r="BR176" i="4"/>
  <c r="BR183" i="4" s="1"/>
  <c r="BR210" i="2"/>
  <c r="BR211" i="2" s="1"/>
  <c r="BP214" i="15"/>
  <c r="BP219" i="15" s="1"/>
  <c r="BP220" i="15" s="1"/>
  <c r="BP212" i="15"/>
  <c r="BQ216" i="15"/>
  <c r="BR166" i="2"/>
  <c r="BQ167" i="2"/>
  <c r="BQ176" i="15"/>
  <c r="BQ183" i="15" s="1"/>
  <c r="BP7" i="10"/>
  <c r="BR140" i="15"/>
  <c r="BR141" i="4"/>
  <c r="BR166" i="4" s="1"/>
  <c r="BR167" i="4" s="1"/>
  <c r="BR174" i="4" s="1"/>
  <c r="BQ8" i="10"/>
  <c r="BR206" i="15"/>
  <c r="BR173" i="15"/>
  <c r="BR216" i="2"/>
  <c r="BR178" i="15"/>
  <c r="BR216" i="15" s="1"/>
  <c r="BS139" i="15"/>
  <c r="BS178" i="4"/>
  <c r="BS206" i="4"/>
  <c r="BS210" i="4" s="1"/>
  <c r="BS211" i="4" s="1"/>
  <c r="BS140" i="4"/>
  <c r="BS173" i="4"/>
  <c r="BS176" i="4" s="1"/>
  <c r="BQ166" i="4"/>
  <c r="BP167" i="2"/>
  <c r="BP166" i="15"/>
  <c r="BQ48" i="8" s="1"/>
  <c r="BQ49" i="8" s="1"/>
  <c r="BQ61" i="8" s="1"/>
  <c r="BQ214" i="15"/>
  <c r="BQ212" i="15"/>
  <c r="BR211" i="4"/>
  <c r="BS140" i="2"/>
  <c r="BS141" i="2" s="1"/>
  <c r="BS178" i="2"/>
  <c r="BS216" i="2" s="1"/>
  <c r="BS206" i="2"/>
  <c r="BS210" i="2" s="1"/>
  <c r="BS211" i="2" s="1"/>
  <c r="BS173" i="2"/>
  <c r="BS176" i="2" s="1"/>
  <c r="BQ219" i="15" l="1"/>
  <c r="BQ220" i="15" s="1"/>
  <c r="BS183" i="2"/>
  <c r="BS178" i="15"/>
  <c r="BS216" i="4"/>
  <c r="BQ174" i="2"/>
  <c r="BS212" i="2"/>
  <c r="BS214" i="2"/>
  <c r="BS219" i="2" s="1"/>
  <c r="BQ167" i="4"/>
  <c r="BT139" i="15"/>
  <c r="BT140" i="4"/>
  <c r="BT206" i="4"/>
  <c r="BT210" i="4" s="1"/>
  <c r="BT178" i="4"/>
  <c r="BT216" i="4" s="1"/>
  <c r="BT173" i="4"/>
  <c r="BT176" i="4" s="1"/>
  <c r="BR8" i="10"/>
  <c r="BS206" i="15"/>
  <c r="BS210" i="15" s="1"/>
  <c r="BS211" i="15" s="1"/>
  <c r="BS173" i="15"/>
  <c r="BQ7" i="10"/>
  <c r="BR176" i="15"/>
  <c r="BR183" i="15" s="1"/>
  <c r="BQ166" i="15"/>
  <c r="BR48" i="8" s="1"/>
  <c r="BR49" i="8" s="1"/>
  <c r="BR61" i="8" s="1"/>
  <c r="BR212" i="2"/>
  <c r="BR214" i="2"/>
  <c r="BR219" i="2" s="1"/>
  <c r="BR220" i="2" s="1"/>
  <c r="BT206" i="2"/>
  <c r="BT210" i="2" s="1"/>
  <c r="BT211" i="2" s="1"/>
  <c r="BT140" i="2"/>
  <c r="BT141" i="2" s="1"/>
  <c r="BT178" i="2"/>
  <c r="BT173" i="2"/>
  <c r="BT176" i="2" s="1"/>
  <c r="BS183" i="4"/>
  <c r="BQ69" i="8"/>
  <c r="BQ82" i="8"/>
  <c r="BO9" i="10" s="1"/>
  <c r="BO12" i="10" s="1"/>
  <c r="BO27" i="10" s="1"/>
  <c r="BS140" i="15"/>
  <c r="BS141" i="4"/>
  <c r="BS141" i="15" s="1"/>
  <c r="BR210" i="15"/>
  <c r="BR211" i="15" s="1"/>
  <c r="BR141" i="15"/>
  <c r="BR214" i="4"/>
  <c r="BR219" i="4" s="1"/>
  <c r="BR220" i="4" s="1"/>
  <c r="BR212" i="4"/>
  <c r="BS166" i="2"/>
  <c r="BP174" i="2"/>
  <c r="BP167" i="15"/>
  <c r="BP174" i="15" s="1"/>
  <c r="BS214" i="4"/>
  <c r="BS212" i="4"/>
  <c r="BR167" i="2"/>
  <c r="BR166" i="15"/>
  <c r="BS48" i="8" s="1"/>
  <c r="BS49" i="8" s="1"/>
  <c r="BS61" i="8" s="1"/>
  <c r="BS220" i="2" l="1"/>
  <c r="BS219" i="4"/>
  <c r="BS220" i="4" s="1"/>
  <c r="BT183" i="2"/>
  <c r="BT183" i="4"/>
  <c r="BU206" i="2"/>
  <c r="BU210" i="2" s="1"/>
  <c r="BU211" i="2" s="1"/>
  <c r="BU140" i="2"/>
  <c r="BU141" i="2" s="1"/>
  <c r="BU178" i="2"/>
  <c r="BU139" i="15"/>
  <c r="BU173" i="2"/>
  <c r="BU176" i="2" s="1"/>
  <c r="BT211" i="4"/>
  <c r="BQ174" i="4"/>
  <c r="BS167" i="2"/>
  <c r="BT140" i="15"/>
  <c r="BT141" i="4"/>
  <c r="BT166" i="4" s="1"/>
  <c r="BT167" i="4" s="1"/>
  <c r="BT174" i="4" s="1"/>
  <c r="BS82" i="8"/>
  <c r="BQ9" i="10" s="1"/>
  <c r="BQ12" i="10" s="1"/>
  <c r="BQ27" i="10" s="1"/>
  <c r="BS69" i="8"/>
  <c r="BT166" i="2"/>
  <c r="BT214" i="2"/>
  <c r="BT212" i="2"/>
  <c r="BR82" i="8"/>
  <c r="BP9" i="10" s="1"/>
  <c r="BP12" i="10" s="1"/>
  <c r="BP27" i="10" s="1"/>
  <c r="BR69" i="8"/>
  <c r="BS176" i="15"/>
  <c r="BS183" i="15" s="1"/>
  <c r="BR7" i="10"/>
  <c r="BS8" i="10"/>
  <c r="BT206" i="15"/>
  <c r="BT173" i="15"/>
  <c r="BR214" i="15"/>
  <c r="BR219" i="15" s="1"/>
  <c r="BR220" i="15" s="1"/>
  <c r="BR212" i="15"/>
  <c r="BR174" i="2"/>
  <c r="BR167" i="15"/>
  <c r="BR174" i="15" s="1"/>
  <c r="BS166" i="4"/>
  <c r="BS166" i="15" s="1"/>
  <c r="BT48" i="8" s="1"/>
  <c r="BT49" i="8" s="1"/>
  <c r="BT61" i="8" s="1"/>
  <c r="BT216" i="2"/>
  <c r="BT178" i="15"/>
  <c r="BT216" i="15" s="1"/>
  <c r="BS214" i="15"/>
  <c r="BS212" i="15"/>
  <c r="BU178" i="4"/>
  <c r="BU216" i="4" s="1"/>
  <c r="BU140" i="4"/>
  <c r="BU206" i="4"/>
  <c r="BU210" i="4" s="1"/>
  <c r="BU211" i="4" s="1"/>
  <c r="BU173" i="4"/>
  <c r="BU176" i="4" s="1"/>
  <c r="BQ167" i="15"/>
  <c r="BQ174" i="15" s="1"/>
  <c r="BS216" i="15"/>
  <c r="BT141" i="15" l="1"/>
  <c r="BT219" i="2"/>
  <c r="BT220" i="2" s="1"/>
  <c r="BT69" i="8"/>
  <c r="BT82" i="8"/>
  <c r="BR9" i="10" s="1"/>
  <c r="BR12" i="10" s="1"/>
  <c r="BR27" i="10" s="1"/>
  <c r="BT210" i="15"/>
  <c r="BT211" i="15" s="1"/>
  <c r="BT167" i="2"/>
  <c r="BT166" i="15"/>
  <c r="BU48" i="8" s="1"/>
  <c r="BU49" i="8" s="1"/>
  <c r="BU61" i="8" s="1"/>
  <c r="BT214" i="4"/>
  <c r="BT219" i="4" s="1"/>
  <c r="BT220" i="4" s="1"/>
  <c r="BT212" i="4"/>
  <c r="BU166" i="2"/>
  <c r="BS167" i="4"/>
  <c r="BS167" i="15" s="1"/>
  <c r="BS174" i="15" s="1"/>
  <c r="BU183" i="4"/>
  <c r="BV139" i="15"/>
  <c r="BV140" i="4"/>
  <c r="BV141" i="4" s="1"/>
  <c r="BV166" i="4" s="1"/>
  <c r="BV167" i="4" s="1"/>
  <c r="BV206" i="4"/>
  <c r="BV210" i="4" s="1"/>
  <c r="BV211" i="4" s="1"/>
  <c r="BV178" i="4"/>
  <c r="BV216" i="4" s="1"/>
  <c r="BV173" i="4"/>
  <c r="BV176" i="4" s="1"/>
  <c r="BU183" i="2"/>
  <c r="BU214" i="2"/>
  <c r="BU212" i="2"/>
  <c r="BU140" i="15"/>
  <c r="BU141" i="4"/>
  <c r="BU141" i="15" s="1"/>
  <c r="BU214" i="4"/>
  <c r="BU219" i="4" s="1"/>
  <c r="BU212" i="4"/>
  <c r="BS219" i="15"/>
  <c r="BS220" i="15" s="1"/>
  <c r="BU206" i="15"/>
  <c r="BU210" i="15" s="1"/>
  <c r="BU211" i="15" s="1"/>
  <c r="BT8" i="10"/>
  <c r="BU173" i="15"/>
  <c r="BV206" i="2"/>
  <c r="BV178" i="2"/>
  <c r="BT176" i="15"/>
  <c r="BT183" i="15" s="1"/>
  <c r="BS7" i="10"/>
  <c r="BS174" i="2"/>
  <c r="BU216" i="2"/>
  <c r="BU178" i="15"/>
  <c r="BU216" i="15" s="1"/>
  <c r="BU220" i="4" l="1"/>
  <c r="BV183" i="4"/>
  <c r="BV174" i="4"/>
  <c r="BS174" i="4"/>
  <c r="BU212" i="15"/>
  <c r="BU214" i="15"/>
  <c r="BU219" i="15" s="1"/>
  <c r="BV206" i="15"/>
  <c r="BU8" i="10"/>
  <c r="BT214" i="15"/>
  <c r="BT219" i="15" s="1"/>
  <c r="BT220" i="15" s="1"/>
  <c r="BT212" i="15"/>
  <c r="BW140" i="2"/>
  <c r="BW141" i="2" s="1"/>
  <c r="BW178" i="2"/>
  <c r="BW206" i="2"/>
  <c r="BW210" i="2" s="1"/>
  <c r="BW211" i="2" s="1"/>
  <c r="BW173" i="2"/>
  <c r="BW176" i="2" s="1"/>
  <c r="BU219" i="2"/>
  <c r="BU220" i="2" s="1"/>
  <c r="BU166" i="4"/>
  <c r="BU166" i="15" s="1"/>
  <c r="BV48" i="8" s="1"/>
  <c r="BV49" i="8" s="1"/>
  <c r="BV61" i="8" s="1"/>
  <c r="BV214" i="4"/>
  <c r="BV219" i="4" s="1"/>
  <c r="BV212" i="4"/>
  <c r="BU167" i="2"/>
  <c r="BU82" i="8"/>
  <c r="BS9" i="10" s="1"/>
  <c r="BS12" i="10" s="1"/>
  <c r="BS27" i="10" s="1"/>
  <c r="BU69" i="8"/>
  <c r="BV216" i="2"/>
  <c r="BV178" i="15"/>
  <c r="BV216" i="15" s="1"/>
  <c r="BU176" i="15"/>
  <c r="BU183" i="15" s="1"/>
  <c r="BT7" i="10"/>
  <c r="BW139" i="15"/>
  <c r="BW206" i="4"/>
  <c r="BW210" i="4" s="1"/>
  <c r="BW211" i="4" s="1"/>
  <c r="BW140" i="4"/>
  <c r="BW178" i="4"/>
  <c r="BW216" i="4" s="1"/>
  <c r="BW173" i="4"/>
  <c r="BW176" i="4" s="1"/>
  <c r="BT167" i="15"/>
  <c r="BT174" i="15" s="1"/>
  <c r="BT174" i="2"/>
  <c r="BJ195" i="15"/>
  <c r="CI195" i="15" s="1"/>
  <c r="P25" i="14" s="1"/>
  <c r="AB25" i="14" s="1"/>
  <c r="AX194" i="15"/>
  <c r="CH194" i="15" s="1"/>
  <c r="N24" i="14" s="1"/>
  <c r="Z24" i="14" s="1"/>
  <c r="N173" i="2"/>
  <c r="CE173" i="2" s="1"/>
  <c r="N197" i="2"/>
  <c r="CE197" i="2" s="1"/>
  <c r="N140" i="2"/>
  <c r="CE140" i="2" s="1"/>
  <c r="N133" i="15"/>
  <c r="N173" i="15" s="1"/>
  <c r="CE133" i="2"/>
  <c r="AL133" i="2"/>
  <c r="BV220" i="4" l="1"/>
  <c r="BW216" i="2"/>
  <c r="BW178" i="15"/>
  <c r="BW216" i="15" s="1"/>
  <c r="BX206" i="4"/>
  <c r="BX140" i="4"/>
  <c r="BX178" i="4"/>
  <c r="CG139" i="4"/>
  <c r="BX173" i="4"/>
  <c r="CH139" i="4"/>
  <c r="CI139" i="4"/>
  <c r="CJ139" i="4"/>
  <c r="BW183" i="2"/>
  <c r="BW166" i="2"/>
  <c r="BW140" i="15"/>
  <c r="BW141" i="4"/>
  <c r="BW166" i="4" s="1"/>
  <c r="BW167" i="4" s="1"/>
  <c r="BW174" i="4" s="1"/>
  <c r="BU174" i="2"/>
  <c r="BW214" i="2"/>
  <c r="BW212" i="2"/>
  <c r="BU220" i="15"/>
  <c r="BW206" i="15"/>
  <c r="BW210" i="15" s="1"/>
  <c r="BW211" i="15" s="1"/>
  <c r="BV8" i="10"/>
  <c r="BW173" i="15"/>
  <c r="BW183" i="4"/>
  <c r="BW214" i="4"/>
  <c r="BW219" i="4" s="1"/>
  <c r="BW212" i="4"/>
  <c r="BV69" i="8"/>
  <c r="BV82" i="8"/>
  <c r="BT9" i="10" s="1"/>
  <c r="BT12" i="10" s="1"/>
  <c r="BT27" i="10" s="1"/>
  <c r="BU167" i="4"/>
  <c r="BX178" i="2"/>
  <c r="BX140" i="2"/>
  <c r="BX206" i="2"/>
  <c r="BX139" i="15"/>
  <c r="CG139" i="2"/>
  <c r="BX173" i="2"/>
  <c r="BX176" i="2" s="1"/>
  <c r="CH139" i="2"/>
  <c r="CI139" i="2"/>
  <c r="CJ139" i="2"/>
  <c r="N141" i="2"/>
  <c r="N141" i="15" s="1"/>
  <c r="CE141" i="15" s="1"/>
  <c r="AL173" i="2"/>
  <c r="CG133" i="2"/>
  <c r="AL197" i="2"/>
  <c r="AL133" i="15"/>
  <c r="AL140" i="2"/>
  <c r="AX133" i="2"/>
  <c r="CF133" i="2"/>
  <c r="Z197" i="2"/>
  <c r="Z173" i="2"/>
  <c r="Z133" i="15"/>
  <c r="Z140" i="2"/>
  <c r="N176" i="15"/>
  <c r="N183" i="15" s="1"/>
  <c r="CE173" i="15"/>
  <c r="CE176" i="15" s="1"/>
  <c r="CE183" i="15" s="1"/>
  <c r="M7" i="10"/>
  <c r="CE133" i="15"/>
  <c r="N197" i="15"/>
  <c r="CE176" i="2"/>
  <c r="CE183" i="2" s="1"/>
  <c r="N140" i="15"/>
  <c r="CE140" i="15" s="1"/>
  <c r="N176" i="2"/>
  <c r="N183" i="2" s="1"/>
  <c r="CE141" i="2"/>
  <c r="N210" i="2"/>
  <c r="CA133" i="15" l="1"/>
  <c r="CA173" i="15" s="1"/>
  <c r="CA176" i="15" s="1"/>
  <c r="CA183" i="15" s="1"/>
  <c r="BZ133" i="15"/>
  <c r="BZ173" i="15" s="1"/>
  <c r="BZ176" i="15" s="1"/>
  <c r="BZ183" i="15" s="1"/>
  <c r="N166" i="2"/>
  <c r="CA197" i="2"/>
  <c r="BZ197" i="2"/>
  <c r="BZ140" i="2"/>
  <c r="CA140" i="2"/>
  <c r="BW219" i="2"/>
  <c r="BW220" i="2" s="1"/>
  <c r="BW8" i="10"/>
  <c r="BX206" i="15"/>
  <c r="CG139" i="15"/>
  <c r="BX173" i="15"/>
  <c r="CH139" i="15"/>
  <c r="CI139" i="15"/>
  <c r="CJ139" i="15"/>
  <c r="CG140" i="4"/>
  <c r="BX141" i="4"/>
  <c r="CH140" i="4"/>
  <c r="CI140" i="4"/>
  <c r="CJ140" i="4"/>
  <c r="BX210" i="2"/>
  <c r="BX211" i="2" s="1"/>
  <c r="CH206" i="2"/>
  <c r="CI206" i="2"/>
  <c r="CJ206" i="2"/>
  <c r="BU174" i="4"/>
  <c r="BW212" i="15"/>
  <c r="BW214" i="15"/>
  <c r="BW219" i="15" s="1"/>
  <c r="BU167" i="15"/>
  <c r="BU174" i="15" s="1"/>
  <c r="BW141" i="15"/>
  <c r="CG173" i="4"/>
  <c r="BX176" i="4"/>
  <c r="BX183" i="4" s="1"/>
  <c r="CH173" i="4"/>
  <c r="CI173" i="4"/>
  <c r="CJ173" i="4"/>
  <c r="CJ176" i="4" s="1"/>
  <c r="BX210" i="4"/>
  <c r="CH206" i="4"/>
  <c r="CI206" i="4"/>
  <c r="CJ206" i="4"/>
  <c r="BX183" i="2"/>
  <c r="BX140" i="15"/>
  <c r="BX141" i="2"/>
  <c r="BW220" i="4"/>
  <c r="BW167" i="2"/>
  <c r="BW166" i="15"/>
  <c r="BX48" i="8" s="1"/>
  <c r="BX49" i="8" s="1"/>
  <c r="BX61" i="8" s="1"/>
  <c r="BX69" i="8" s="1"/>
  <c r="BX216" i="2"/>
  <c r="CG178" i="2"/>
  <c r="CH178" i="2"/>
  <c r="CI178" i="2"/>
  <c r="CJ178" i="2"/>
  <c r="BV7" i="10"/>
  <c r="BW176" i="15"/>
  <c r="BW183" i="15" s="1"/>
  <c r="BX178" i="15"/>
  <c r="BX216" i="4"/>
  <c r="CG178" i="4"/>
  <c r="CH178" i="4"/>
  <c r="CI178" i="4"/>
  <c r="CJ178" i="4"/>
  <c r="N210" i="15"/>
  <c r="CE197" i="15"/>
  <c r="H27" i="14" s="1"/>
  <c r="CF197" i="2"/>
  <c r="Z210" i="2"/>
  <c r="AL197" i="15"/>
  <c r="CG133" i="15"/>
  <c r="AL173" i="15"/>
  <c r="AL210" i="2"/>
  <c r="CG197" i="2"/>
  <c r="N211" i="2"/>
  <c r="CE210" i="2"/>
  <c r="Z140" i="15"/>
  <c r="CF140" i="2"/>
  <c r="Z141" i="2"/>
  <c r="CE166" i="2"/>
  <c r="N166" i="15"/>
  <c r="CE166" i="15" s="1"/>
  <c r="N167" i="2"/>
  <c r="D8" i="12"/>
  <c r="D13" i="12" s="1"/>
  <c r="M12" i="10"/>
  <c r="CF133" i="15"/>
  <c r="Z197" i="15"/>
  <c r="Z173" i="15"/>
  <c r="AX173" i="2"/>
  <c r="AX197" i="2"/>
  <c r="CH133" i="2"/>
  <c r="AX140" i="2"/>
  <c r="AX133" i="15"/>
  <c r="BJ133" i="2"/>
  <c r="CF173" i="2"/>
  <c r="CF176" i="2" s="1"/>
  <c r="CF183" i="2" s="1"/>
  <c r="Z176" i="2"/>
  <c r="Z183" i="2" s="1"/>
  <c r="AL140" i="15"/>
  <c r="CG140" i="15" s="1"/>
  <c r="CG140" i="2"/>
  <c r="AL141" i="2"/>
  <c r="AL176" i="2"/>
  <c r="AL183" i="2" s="1"/>
  <c r="CG173" i="2"/>
  <c r="CG176" i="2" s="1"/>
  <c r="H39" i="14" l="1"/>
  <c r="T27" i="14"/>
  <c r="I27" i="6"/>
  <c r="CA210" i="2"/>
  <c r="CA211" i="2" s="1"/>
  <c r="CA141" i="2"/>
  <c r="BZ141" i="2"/>
  <c r="D27" i="6"/>
  <c r="BZ210" i="2"/>
  <c r="BZ211" i="2" s="1"/>
  <c r="CF140" i="15"/>
  <c r="CA140" i="15"/>
  <c r="BZ140" i="15"/>
  <c r="BZ197" i="15"/>
  <c r="BZ210" i="15" s="1"/>
  <c r="BZ211" i="15" s="1"/>
  <c r="CA197" i="15"/>
  <c r="CA210" i="15" s="1"/>
  <c r="CA211" i="15" s="1"/>
  <c r="CG183" i="2"/>
  <c r="CG216" i="4"/>
  <c r="CH216" i="4"/>
  <c r="CH219" i="4" s="1"/>
  <c r="CI216" i="4"/>
  <c r="CJ216" i="4"/>
  <c r="CG216" i="2"/>
  <c r="CH216" i="2"/>
  <c r="CI216" i="2"/>
  <c r="CJ216" i="2"/>
  <c r="BX141" i="15"/>
  <c r="BX166" i="2"/>
  <c r="CI176" i="4"/>
  <c r="CI183" i="4" s="1"/>
  <c r="CI174" i="4"/>
  <c r="BW7" i="10"/>
  <c r="BX176" i="15"/>
  <c r="BX183" i="15" s="1"/>
  <c r="BX216" i="15"/>
  <c r="CG178" i="15"/>
  <c r="CH178" i="15"/>
  <c r="CI178" i="15"/>
  <c r="CJ178" i="15"/>
  <c r="CH176" i="4"/>
  <c r="CH183" i="4" s="1"/>
  <c r="CH212" i="4"/>
  <c r="CH174" i="4"/>
  <c r="BX214" i="2"/>
  <c r="BX219" i="2" s="1"/>
  <c r="BX220" i="2" s="1"/>
  <c r="BX212" i="2"/>
  <c r="CG141" i="4"/>
  <c r="BX166" i="4"/>
  <c r="CH141" i="4"/>
  <c r="CI141" i="4"/>
  <c r="CJ141" i="4"/>
  <c r="BW174" i="2"/>
  <c r="BW167" i="15"/>
  <c r="BW174" i="15" s="1"/>
  <c r="CG210" i="4"/>
  <c r="BX211" i="4"/>
  <c r="CH210" i="4"/>
  <c r="CI210" i="4"/>
  <c r="CJ210" i="4"/>
  <c r="BW220" i="15"/>
  <c r="CH206" i="15"/>
  <c r="N35" i="14" s="1"/>
  <c r="Z35" i="14" s="1"/>
  <c r="BX210" i="15"/>
  <c r="BX211" i="15" s="1"/>
  <c r="CI206" i="15"/>
  <c r="P35" i="14" s="1"/>
  <c r="AB35" i="14" s="1"/>
  <c r="CJ206" i="15"/>
  <c r="R35" i="14" s="1"/>
  <c r="AD35" i="14" s="1"/>
  <c r="CJ183" i="4"/>
  <c r="CG176" i="4"/>
  <c r="CG183" i="4" s="1"/>
  <c r="CG174" i="4"/>
  <c r="L9" i="12"/>
  <c r="N9" i="12"/>
  <c r="P9" i="12"/>
  <c r="CG141" i="2"/>
  <c r="AL141" i="15"/>
  <c r="CG141" i="15" s="1"/>
  <c r="AL166" i="2"/>
  <c r="CH140" i="2"/>
  <c r="AX140" i="15"/>
  <c r="CH140" i="15" s="1"/>
  <c r="AX141" i="2"/>
  <c r="AL176" i="15"/>
  <c r="AL183" i="15" s="1"/>
  <c r="CG173" i="15"/>
  <c r="CG176" i="15" s="1"/>
  <c r="AK7" i="10"/>
  <c r="CF197" i="15"/>
  <c r="J27" i="14" s="1"/>
  <c r="V27" i="14" s="1"/>
  <c r="Z210" i="15"/>
  <c r="Z141" i="15"/>
  <c r="CF141" i="2"/>
  <c r="Z166" i="2"/>
  <c r="N212" i="2"/>
  <c r="N214" i="2"/>
  <c r="N219" i="2" s="1"/>
  <c r="N220" i="2" s="1"/>
  <c r="CE211" i="2"/>
  <c r="H41" i="14"/>
  <c r="T41" i="14" s="1"/>
  <c r="CH197" i="2"/>
  <c r="AX210" i="2"/>
  <c r="N167" i="15"/>
  <c r="N174" i="2"/>
  <c r="CE167" i="2"/>
  <c r="AL210" i="15"/>
  <c r="CG197" i="15"/>
  <c r="L27" i="14" s="1"/>
  <c r="X27" i="14" s="1"/>
  <c r="CE210" i="15"/>
  <c r="N211" i="15"/>
  <c r="CF173" i="15"/>
  <c r="CF176" i="15" s="1"/>
  <c r="CF183" i="15" s="1"/>
  <c r="Z176" i="15"/>
  <c r="Z183" i="15" s="1"/>
  <c r="Y7" i="10"/>
  <c r="BY7" i="10" s="1"/>
  <c r="F8" i="12" s="1"/>
  <c r="CI133" i="2"/>
  <c r="BJ197" i="2"/>
  <c r="BJ173" i="2"/>
  <c r="BJ133" i="15"/>
  <c r="BV133" i="2"/>
  <c r="BJ140" i="2"/>
  <c r="AA73" i="8"/>
  <c r="L27" i="11" s="1"/>
  <c r="CH133" i="15"/>
  <c r="AX197" i="15"/>
  <c r="AX173" i="15"/>
  <c r="AX176" i="2"/>
  <c r="AX183" i="2" s="1"/>
  <c r="CH173" i="2"/>
  <c r="CH176" i="2" s="1"/>
  <c r="CH183" i="2" s="1"/>
  <c r="AL211" i="2"/>
  <c r="CG210" i="2"/>
  <c r="Z211" i="2"/>
  <c r="CF210" i="2"/>
  <c r="H40" i="14" l="1"/>
  <c r="T39" i="14"/>
  <c r="BZ212" i="2"/>
  <c r="BZ214" i="2"/>
  <c r="BZ219" i="2" s="1"/>
  <c r="BZ220" i="2" s="1"/>
  <c r="CA214" i="2"/>
  <c r="CA219" i="2" s="1"/>
  <c r="CA220" i="2" s="1"/>
  <c r="CA212" i="2"/>
  <c r="CA166" i="2"/>
  <c r="BZ166" i="2"/>
  <c r="Z27" i="6"/>
  <c r="Z40" i="6" s="1"/>
  <c r="D40" i="6"/>
  <c r="M27" i="6"/>
  <c r="AE27" i="6"/>
  <c r="I40" i="6"/>
  <c r="J39" i="14"/>
  <c r="V39" i="14" s="1"/>
  <c r="L39" i="14"/>
  <c r="X39" i="14" s="1"/>
  <c r="CF141" i="15"/>
  <c r="CA141" i="15"/>
  <c r="BZ141" i="15"/>
  <c r="CA214" i="15"/>
  <c r="CA219" i="15" s="1"/>
  <c r="CA220" i="15" s="1"/>
  <c r="CA212" i="15"/>
  <c r="BZ212" i="15"/>
  <c r="BZ214" i="15"/>
  <c r="BZ219" i="15" s="1"/>
  <c r="BZ220" i="15" s="1"/>
  <c r="CG183" i="15"/>
  <c r="BX214" i="15"/>
  <c r="BX219" i="15" s="1"/>
  <c r="BX220" i="15" s="1"/>
  <c r="BX212" i="15"/>
  <c r="CG216" i="15"/>
  <c r="L46" i="14" s="1"/>
  <c r="CH216" i="15"/>
  <c r="N46" i="14" s="1"/>
  <c r="CI216" i="15"/>
  <c r="P46" i="14" s="1"/>
  <c r="CJ216" i="15"/>
  <c r="R46" i="14" s="1"/>
  <c r="BX167" i="4"/>
  <c r="CI166" i="4"/>
  <c r="CJ166" i="4"/>
  <c r="BX167" i="2"/>
  <c r="BX166" i="15"/>
  <c r="BY48" i="8" s="1"/>
  <c r="BY49" i="8" s="1"/>
  <c r="BY61" i="8" s="1"/>
  <c r="CH220" i="4"/>
  <c r="BX214" i="4"/>
  <c r="BX219" i="4" s="1"/>
  <c r="BX220" i="4" s="1"/>
  <c r="CG211" i="4"/>
  <c r="BX212" i="4"/>
  <c r="CI211" i="4"/>
  <c r="CJ211" i="4"/>
  <c r="CI140" i="2"/>
  <c r="BJ140" i="15"/>
  <c r="CI140" i="15" s="1"/>
  <c r="BJ141" i="2"/>
  <c r="AL212" i="2"/>
  <c r="CG211" i="2"/>
  <c r="AL214" i="2"/>
  <c r="AL219" i="2" s="1"/>
  <c r="AL220" i="2" s="1"/>
  <c r="AB73" i="8"/>
  <c r="AB74" i="8" s="1"/>
  <c r="AB79" i="8" s="1"/>
  <c r="AC72" i="8"/>
  <c r="CJ133" i="2"/>
  <c r="BV197" i="2"/>
  <c r="BV173" i="2"/>
  <c r="BV133" i="15"/>
  <c r="BV140" i="2"/>
  <c r="AX176" i="15"/>
  <c r="AX183" i="15" s="1"/>
  <c r="CH173" i="15"/>
  <c r="CH176" i="15" s="1"/>
  <c r="CH183" i="15" s="1"/>
  <c r="AW7" i="10"/>
  <c r="CI133" i="15"/>
  <c r="BJ197" i="15"/>
  <c r="BJ173" i="15"/>
  <c r="N214" i="15"/>
  <c r="N219" i="15" s="1"/>
  <c r="N220" i="15" s="1"/>
  <c r="N212" i="15"/>
  <c r="CE211" i="15"/>
  <c r="CE174" i="2"/>
  <c r="H53" i="14"/>
  <c r="L39" i="11"/>
  <c r="N39" i="11"/>
  <c r="L36" i="11"/>
  <c r="H44" i="14"/>
  <c r="H49" i="14" s="1"/>
  <c r="T49" i="14" s="1"/>
  <c r="CF166" i="2"/>
  <c r="Z167" i="2"/>
  <c r="Z166" i="15"/>
  <c r="AA84" i="8" s="1"/>
  <c r="Z214" i="2"/>
  <c r="Z219" i="2" s="1"/>
  <c r="Z220" i="2" s="1"/>
  <c r="CF211" i="2"/>
  <c r="Z212" i="2"/>
  <c r="AX210" i="15"/>
  <c r="CH197" i="15"/>
  <c r="N27" i="14" s="1"/>
  <c r="Z27" i="14" s="1"/>
  <c r="BJ176" i="2"/>
  <c r="BJ183" i="2" s="1"/>
  <c r="CI173" i="2"/>
  <c r="CI176" i="2" s="1"/>
  <c r="CI183" i="2" s="1"/>
  <c r="H8" i="12"/>
  <c r="CE212" i="2"/>
  <c r="CE214" i="2"/>
  <c r="CE219" i="2" s="1"/>
  <c r="CE220" i="2" s="1"/>
  <c r="J8" i="12"/>
  <c r="AX141" i="15"/>
  <c r="CH141" i="15" s="1"/>
  <c r="CH141" i="2"/>
  <c r="AX166" i="2"/>
  <c r="CG166" i="2"/>
  <c r="AL167" i="2"/>
  <c r="AL166" i="15"/>
  <c r="CI197" i="2"/>
  <c r="BJ210" i="2"/>
  <c r="CE167" i="15"/>
  <c r="CE174" i="15" s="1"/>
  <c r="N174" i="15"/>
  <c r="CG210" i="15"/>
  <c r="AL211" i="15"/>
  <c r="CH210" i="2"/>
  <c r="AX211" i="2"/>
  <c r="CF210" i="15"/>
  <c r="Z211" i="15"/>
  <c r="D42" i="6" l="1"/>
  <c r="D55" i="6"/>
  <c r="I42" i="6"/>
  <c r="M40" i="6"/>
  <c r="I55" i="6"/>
  <c r="M55" i="6" s="1"/>
  <c r="Z42" i="6"/>
  <c r="Z55" i="6"/>
  <c r="AI27" i="6"/>
  <c r="AE40" i="6"/>
  <c r="BZ167" i="2"/>
  <c r="BZ174" i="2" s="1"/>
  <c r="CA167" i="2"/>
  <c r="L41" i="14"/>
  <c r="J41" i="14"/>
  <c r="L40" i="14"/>
  <c r="J40" i="14"/>
  <c r="N39" i="14"/>
  <c r="BZ166" i="15"/>
  <c r="CA166" i="15"/>
  <c r="BY82" i="8"/>
  <c r="BW9" i="10" s="1"/>
  <c r="BW12" i="10" s="1"/>
  <c r="BW27" i="10" s="1"/>
  <c r="V18" i="11"/>
  <c r="V25" i="11" s="1"/>
  <c r="BY69" i="8"/>
  <c r="BX174" i="4"/>
  <c r="CJ167" i="4"/>
  <c r="CJ174" i="4" s="1"/>
  <c r="CG212" i="4"/>
  <c r="CG214" i="4"/>
  <c r="CG219" i="4" s="1"/>
  <c r="CG220" i="4" s="1"/>
  <c r="BX174" i="2"/>
  <c r="BX167" i="15"/>
  <c r="BX174" i="15" s="1"/>
  <c r="CJ212" i="4"/>
  <c r="CJ214" i="4"/>
  <c r="CJ219" i="4" s="1"/>
  <c r="CJ220" i="4" s="1"/>
  <c r="CI214" i="4"/>
  <c r="CI219" i="4" s="1"/>
  <c r="CI220" i="4" s="1"/>
  <c r="CI212" i="4"/>
  <c r="CF214" i="2"/>
  <c r="CF219" i="2" s="1"/>
  <c r="CF220" i="2" s="1"/>
  <c r="CF212" i="2"/>
  <c r="CG166" i="15"/>
  <c r="AM48" i="8"/>
  <c r="L8" i="12"/>
  <c r="CJ197" i="2"/>
  <c r="BV210" i="2"/>
  <c r="CI141" i="2"/>
  <c r="BJ141" i="15"/>
  <c r="CI141" i="15" s="1"/>
  <c r="BJ166" i="2"/>
  <c r="BJ176" i="15"/>
  <c r="BJ183" i="15" s="1"/>
  <c r="CI173" i="15"/>
  <c r="CI176" i="15" s="1"/>
  <c r="CI183" i="15" s="1"/>
  <c r="BI7" i="10"/>
  <c r="CJ140" i="2"/>
  <c r="BV140" i="15"/>
  <c r="CJ140" i="15" s="1"/>
  <c r="BV141" i="2"/>
  <c r="AL174" i="2"/>
  <c r="CG167" i="2"/>
  <c r="CG174" i="2" s="1"/>
  <c r="AL167" i="15"/>
  <c r="CI210" i="2"/>
  <c r="BJ211" i="2"/>
  <c r="CF166" i="15"/>
  <c r="CE212" i="15"/>
  <c r="CE214" i="15"/>
  <c r="CE219" i="15" s="1"/>
  <c r="CE220" i="15" s="1"/>
  <c r="CI197" i="15"/>
  <c r="P27" i="14" s="1"/>
  <c r="AB27" i="14" s="1"/>
  <c r="BJ210" i="15"/>
  <c r="CJ133" i="15"/>
  <c r="BV197" i="15"/>
  <c r="BV173" i="15"/>
  <c r="AC73" i="8"/>
  <c r="AD72" i="8"/>
  <c r="AD73" i="8" s="1"/>
  <c r="CG214" i="2"/>
  <c r="CG219" i="2" s="1"/>
  <c r="CG220" i="2" s="1"/>
  <c r="CG212" i="2"/>
  <c r="CF211" i="15"/>
  <c r="Z214" i="15"/>
  <c r="Z219" i="15" s="1"/>
  <c r="Z220" i="15" s="1"/>
  <c r="Z212" i="15"/>
  <c r="AL212" i="15"/>
  <c r="CG211" i="15"/>
  <c r="AL214" i="15"/>
  <c r="AL219" i="15" s="1"/>
  <c r="AL220" i="15" s="1"/>
  <c r="AX214" i="2"/>
  <c r="AX219" i="2" s="1"/>
  <c r="AX220" i="2" s="1"/>
  <c r="CH211" i="2"/>
  <c r="AX212" i="2"/>
  <c r="CH166" i="2"/>
  <c r="AX167" i="2"/>
  <c r="AX166" i="15"/>
  <c r="AX211" i="15"/>
  <c r="CH210" i="15"/>
  <c r="CF167" i="2"/>
  <c r="CF174" i="2" s="1"/>
  <c r="Z174" i="2"/>
  <c r="Z167" i="15"/>
  <c r="CJ173" i="2"/>
  <c r="CJ176" i="2" s="1"/>
  <c r="CJ183" i="2" s="1"/>
  <c r="BV176" i="2"/>
  <c r="BV183" i="2" s="1"/>
  <c r="N40" i="14" l="1"/>
  <c r="Z39" i="14"/>
  <c r="L53" i="14"/>
  <c r="X41" i="14"/>
  <c r="P36" i="11"/>
  <c r="V41" i="14"/>
  <c r="CA174" i="2"/>
  <c r="I56" i="6"/>
  <c r="M56" i="6" s="1"/>
  <c r="I61" i="6"/>
  <c r="I50" i="6"/>
  <c r="M50" i="6" s="1"/>
  <c r="M42" i="6"/>
  <c r="Z61" i="6"/>
  <c r="Z56" i="6"/>
  <c r="Z50" i="6"/>
  <c r="AE42" i="6"/>
  <c r="AI40" i="6"/>
  <c r="AE55" i="6"/>
  <c r="AI55" i="6" s="1"/>
  <c r="D61" i="6"/>
  <c r="D56" i="6"/>
  <c r="D50" i="6"/>
  <c r="J53" i="14"/>
  <c r="P39" i="11"/>
  <c r="L44" i="14"/>
  <c r="L49" i="14" s="1"/>
  <c r="X49" i="14" s="1"/>
  <c r="R36" i="11"/>
  <c r="J44" i="14"/>
  <c r="J49" i="14" s="1"/>
  <c r="N41" i="14"/>
  <c r="P39" i="14"/>
  <c r="AB39" i="14" s="1"/>
  <c r="BZ167" i="15"/>
  <c r="BZ174" i="15" s="1"/>
  <c r="CA167" i="15"/>
  <c r="CA174" i="15" s="1"/>
  <c r="AX174" i="2"/>
  <c r="CH167" i="2"/>
  <c r="CH174" i="2" s="1"/>
  <c r="AX167" i="15"/>
  <c r="BJ211" i="15"/>
  <c r="CI210" i="15"/>
  <c r="AA49" i="8"/>
  <c r="AA61" i="8" s="1"/>
  <c r="L18" i="11" s="1"/>
  <c r="L25" i="11" s="1"/>
  <c r="L29" i="11" s="1"/>
  <c r="BV141" i="15"/>
  <c r="CJ141" i="15" s="1"/>
  <c r="CJ141" i="2"/>
  <c r="BV166" i="2"/>
  <c r="CI166" i="2"/>
  <c r="BJ167" i="2"/>
  <c r="BJ166" i="15"/>
  <c r="AM49" i="8"/>
  <c r="AM61" i="8" s="1"/>
  <c r="AD74" i="8"/>
  <c r="AD79" i="8" s="1"/>
  <c r="AE72" i="8"/>
  <c r="CJ197" i="15"/>
  <c r="R27" i="14" s="1"/>
  <c r="AD27" i="14" s="1"/>
  <c r="BV210" i="15"/>
  <c r="H54" i="14"/>
  <c r="Z174" i="15"/>
  <c r="CF167" i="15"/>
  <c r="CF174" i="15" s="1"/>
  <c r="AX212" i="15"/>
  <c r="CH211" i="15"/>
  <c r="AX214" i="15"/>
  <c r="AX219" i="15" s="1"/>
  <c r="AX220" i="15" s="1"/>
  <c r="BV176" i="15"/>
  <c r="BV183" i="15" s="1"/>
  <c r="CJ173" i="15"/>
  <c r="CJ176" i="15" s="1"/>
  <c r="CJ183" i="15" s="1"/>
  <c r="BU7" i="10"/>
  <c r="CG167" i="15"/>
  <c r="CG174" i="15" s="1"/>
  <c r="AL174" i="15"/>
  <c r="CH166" i="15"/>
  <c r="AY48" i="8"/>
  <c r="CH212" i="2"/>
  <c r="CH214" i="2"/>
  <c r="CH219" i="2" s="1"/>
  <c r="CH220" i="2" s="1"/>
  <c r="CG214" i="15"/>
  <c r="CG219" i="15" s="1"/>
  <c r="CG212" i="15"/>
  <c r="CF212" i="15"/>
  <c r="CF214" i="15"/>
  <c r="CF219" i="15" s="1"/>
  <c r="AC74" i="8"/>
  <c r="AC79" i="8" s="1"/>
  <c r="N27" i="11"/>
  <c r="N29" i="11" s="1"/>
  <c r="BJ214" i="2"/>
  <c r="BJ219" i="2" s="1"/>
  <c r="BJ220" i="2" s="1"/>
  <c r="CI211" i="2"/>
  <c r="BJ212" i="2"/>
  <c r="N8" i="12"/>
  <c r="BV211" i="2"/>
  <c r="CJ210" i="2"/>
  <c r="T36" i="11" l="1"/>
  <c r="Z41" i="14"/>
  <c r="J50" i="14"/>
  <c r="V49" i="14"/>
  <c r="AE61" i="6"/>
  <c r="AE50" i="6"/>
  <c r="AI50" i="6" s="1"/>
  <c r="AI42" i="6"/>
  <c r="AE56" i="6"/>
  <c r="AI56" i="6" s="1"/>
  <c r="N36" i="11"/>
  <c r="L50" i="14"/>
  <c r="N53" i="14"/>
  <c r="N44" i="14"/>
  <c r="N49" i="14" s="1"/>
  <c r="R39" i="11"/>
  <c r="P41" i="14"/>
  <c r="P40" i="14"/>
  <c r="R39" i="14"/>
  <c r="AD39" i="14" s="1"/>
  <c r="N43" i="11"/>
  <c r="AM82" i="8"/>
  <c r="AK9" i="10" s="1"/>
  <c r="AM69" i="8"/>
  <c r="AN82" i="8"/>
  <c r="AL9" i="10" s="1"/>
  <c r="AL12" i="10" s="1"/>
  <c r="AL27" i="10" s="1"/>
  <c r="AA82" i="8"/>
  <c r="Y9" i="10" s="1"/>
  <c r="BY9" i="10" s="1"/>
  <c r="AA69" i="8"/>
  <c r="AA74" i="8" s="1"/>
  <c r="AA79" i="8" s="1"/>
  <c r="AB82" i="8"/>
  <c r="Z9" i="10" s="1"/>
  <c r="Z12" i="10" s="1"/>
  <c r="Z27" i="10" s="1"/>
  <c r="CH167" i="15"/>
  <c r="CH174" i="15" s="1"/>
  <c r="AX174" i="15"/>
  <c r="AY49" i="8"/>
  <c r="AY61" i="8" s="1"/>
  <c r="CG220" i="15"/>
  <c r="L54" i="14"/>
  <c r="AE73" i="8"/>
  <c r="AE74" i="8" s="1"/>
  <c r="AE79" i="8" s="1"/>
  <c r="AF72" i="8"/>
  <c r="CJ166" i="2"/>
  <c r="BV167" i="2"/>
  <c r="BV166" i="15"/>
  <c r="BV212" i="2"/>
  <c r="CJ211" i="2"/>
  <c r="BV214" i="2"/>
  <c r="BV219" i="2" s="1"/>
  <c r="BV220" i="2" s="1"/>
  <c r="CH214" i="15"/>
  <c r="CH219" i="15" s="1"/>
  <c r="CH212" i="15"/>
  <c r="CI166" i="15"/>
  <c r="BK48" i="8"/>
  <c r="CI212" i="2"/>
  <c r="CI214" i="2"/>
  <c r="CI219" i="2" s="1"/>
  <c r="CI220" i="2" s="1"/>
  <c r="CF220" i="15"/>
  <c r="J54" i="14"/>
  <c r="P8" i="12"/>
  <c r="BV211" i="15"/>
  <c r="CJ210" i="15"/>
  <c r="BJ174" i="2"/>
  <c r="CI167" i="2"/>
  <c r="CI174" i="2" s="1"/>
  <c r="BJ167" i="15"/>
  <c r="BJ212" i="15"/>
  <c r="BJ214" i="15"/>
  <c r="BJ219" i="15" s="1"/>
  <c r="BJ220" i="15" s="1"/>
  <c r="CI211" i="15"/>
  <c r="N50" i="14" l="1"/>
  <c r="Z49" i="14"/>
  <c r="P53" i="14"/>
  <c r="AB41" i="14"/>
  <c r="P44" i="14"/>
  <c r="P49" i="14" s="1"/>
  <c r="T39" i="11"/>
  <c r="V36" i="11"/>
  <c r="L43" i="11"/>
  <c r="F10" i="12"/>
  <c r="F13" i="12" s="1"/>
  <c r="BY12" i="10"/>
  <c r="R41" i="14"/>
  <c r="R40" i="14"/>
  <c r="CI167" i="15"/>
  <c r="CI174" i="15" s="1"/>
  <c r="BJ174" i="15"/>
  <c r="CI214" i="15"/>
  <c r="CI219" i="15" s="1"/>
  <c r="CI212" i="15"/>
  <c r="BK49" i="8"/>
  <c r="BK61" i="8" s="1"/>
  <c r="J10" i="12"/>
  <c r="J13" i="12" s="1"/>
  <c r="J27" i="12" s="1"/>
  <c r="AK12" i="10"/>
  <c r="AK27" i="10" s="1"/>
  <c r="BV212" i="15"/>
  <c r="BV214" i="15"/>
  <c r="BV219" i="15" s="1"/>
  <c r="BV220" i="15" s="1"/>
  <c r="CJ211" i="15"/>
  <c r="CH220" i="15"/>
  <c r="N54" i="14"/>
  <c r="CJ166" i="15"/>
  <c r="BW48" i="8"/>
  <c r="AF73" i="8"/>
  <c r="AF74" i="8" s="1"/>
  <c r="AF79" i="8" s="1"/>
  <c r="AG72" i="8"/>
  <c r="H10" i="12"/>
  <c r="H13" i="12" s="1"/>
  <c r="Y12" i="10"/>
  <c r="Y27" i="10" s="1"/>
  <c r="BV167" i="15"/>
  <c r="BV174" i="2"/>
  <c r="CJ167" i="2"/>
  <c r="CJ174" i="2" s="1"/>
  <c r="AY82" i="8"/>
  <c r="AW9" i="10" s="1"/>
  <c r="AY69" i="8"/>
  <c r="AZ82" i="8"/>
  <c r="AX9" i="10" s="1"/>
  <c r="AX12" i="10" s="1"/>
  <c r="AX27" i="10" s="1"/>
  <c r="CJ214" i="2"/>
  <c r="CJ219" i="2" s="1"/>
  <c r="CJ220" i="2" s="1"/>
  <c r="CJ212" i="2"/>
  <c r="R44" i="14" l="1"/>
  <c r="R49" i="14" s="1"/>
  <c r="AD49" i="14" s="1"/>
  <c r="AD41" i="14"/>
  <c r="P50" i="14"/>
  <c r="AB49" i="14"/>
  <c r="R50" i="14"/>
  <c r="V39" i="11"/>
  <c r="R53" i="14"/>
  <c r="AG73" i="8"/>
  <c r="AG74" i="8" s="1"/>
  <c r="AG79" i="8" s="1"/>
  <c r="AH72" i="8"/>
  <c r="L10" i="12"/>
  <c r="L13" i="12" s="1"/>
  <c r="L27" i="12" s="1"/>
  <c r="AW12" i="10"/>
  <c r="AW27" i="10" s="1"/>
  <c r="CI220" i="15"/>
  <c r="P54" i="14"/>
  <c r="CJ214" i="15"/>
  <c r="CJ219" i="15" s="1"/>
  <c r="CJ212" i="15"/>
  <c r="CJ167" i="15"/>
  <c r="CJ174" i="15" s="1"/>
  <c r="BV174" i="15"/>
  <c r="BK69" i="8"/>
  <c r="BK82" i="8"/>
  <c r="BI9" i="10" s="1"/>
  <c r="BL82" i="8"/>
  <c r="BJ9" i="10" s="1"/>
  <c r="BJ12" i="10" s="1"/>
  <c r="BJ27" i="10" s="1"/>
  <c r="BW49" i="8"/>
  <c r="BW61" i="8" s="1"/>
  <c r="N10" i="12" l="1"/>
  <c r="N13" i="12" s="1"/>
  <c r="N27" i="12" s="1"/>
  <c r="BI12" i="10"/>
  <c r="BI27" i="10" s="1"/>
  <c r="CJ220" i="15"/>
  <c r="R54" i="14"/>
  <c r="AH73" i="8"/>
  <c r="AH74" i="8" s="1"/>
  <c r="AH79" i="8" s="1"/>
  <c r="AI72" i="8"/>
  <c r="BW82" i="8"/>
  <c r="BU9" i="10" s="1"/>
  <c r="BW69" i="8"/>
  <c r="BX82" i="8"/>
  <c r="BV9" i="10" s="1"/>
  <c r="BV12" i="10" s="1"/>
  <c r="BV27" i="10" s="1"/>
  <c r="P10" i="12" l="1"/>
  <c r="P13" i="12" s="1"/>
  <c r="P27" i="12" s="1"/>
  <c r="BU12" i="10"/>
  <c r="BU27" i="10" s="1"/>
  <c r="AI73" i="8"/>
  <c r="AI74" i="8" s="1"/>
  <c r="AI79" i="8" s="1"/>
  <c r="AJ72" i="8"/>
  <c r="AJ73" i="8" l="1"/>
  <c r="AJ74" i="8" s="1"/>
  <c r="AJ79" i="8" s="1"/>
  <c r="AK72" i="8"/>
  <c r="AK73" i="8" l="1"/>
  <c r="AK74" i="8" s="1"/>
  <c r="AK79" i="8" s="1"/>
  <c r="AL72" i="8"/>
  <c r="AL73" i="8" l="1"/>
  <c r="AL74" i="8" s="1"/>
  <c r="AL79" i="8" s="1"/>
  <c r="AM72" i="8"/>
  <c r="AM73" i="8" l="1"/>
  <c r="AM74" i="8" s="1"/>
  <c r="AM79" i="8" s="1"/>
  <c r="AN72" i="8"/>
  <c r="AN73" i="8" l="1"/>
  <c r="AN74" i="8" s="1"/>
  <c r="AN79" i="8" s="1"/>
  <c r="AO72" i="8"/>
  <c r="Z14" i="8"/>
  <c r="AO73" i="8" l="1"/>
  <c r="AP72" i="8"/>
  <c r="Z27" i="8"/>
  <c r="AP73" i="8" l="1"/>
  <c r="AP74" i="8" s="1"/>
  <c r="AP79" i="8" s="1"/>
  <c r="AQ72" i="8"/>
  <c r="P27" i="11"/>
  <c r="P29" i="11" s="1"/>
  <c r="AO74" i="8"/>
  <c r="AO79" i="8" s="1"/>
  <c r="P43" i="11" l="1"/>
  <c r="AQ73" i="8"/>
  <c r="AQ74" i="8" s="1"/>
  <c r="AQ79" i="8" s="1"/>
  <c r="AR72" i="8"/>
  <c r="AR73" i="8" l="1"/>
  <c r="AR74" i="8" s="1"/>
  <c r="AR79" i="8" s="1"/>
  <c r="AS72" i="8"/>
  <c r="AS73" i="8" l="1"/>
  <c r="AS74" i="8" s="1"/>
  <c r="AS79" i="8" s="1"/>
  <c r="AT72" i="8"/>
  <c r="AT73" i="8" l="1"/>
  <c r="AT74" i="8" s="1"/>
  <c r="AT79" i="8" s="1"/>
  <c r="AU72" i="8"/>
  <c r="AU73" i="8" l="1"/>
  <c r="AU74" i="8" s="1"/>
  <c r="AU79" i="8" s="1"/>
  <c r="AV72" i="8"/>
  <c r="AV73" i="8" l="1"/>
  <c r="AV74" i="8" s="1"/>
  <c r="AV79" i="8" s="1"/>
  <c r="AW72" i="8"/>
  <c r="AW73" i="8" l="1"/>
  <c r="AW74" i="8" s="1"/>
  <c r="AW79" i="8" s="1"/>
  <c r="AX72" i="8"/>
  <c r="AX73" i="8" l="1"/>
  <c r="AX74" i="8" s="1"/>
  <c r="AX79" i="8" s="1"/>
  <c r="AY72" i="8"/>
  <c r="AY73" i="8" l="1"/>
  <c r="AY74" i="8" s="1"/>
  <c r="AY79" i="8" s="1"/>
  <c r="AZ72" i="8"/>
  <c r="BA72" i="8" l="1"/>
  <c r="AZ73" i="8"/>
  <c r="AZ74" i="8" s="1"/>
  <c r="AZ79" i="8" s="1"/>
  <c r="BA73" i="8" l="1"/>
  <c r="BB72" i="8"/>
  <c r="R27" i="11" l="1"/>
  <c r="R29" i="11" s="1"/>
  <c r="BA74" i="8"/>
  <c r="BA79" i="8" s="1"/>
  <c r="BB73" i="8"/>
  <c r="BB74" i="8" s="1"/>
  <c r="BB79" i="8" s="1"/>
  <c r="BC72" i="8"/>
  <c r="R43" i="11" l="1"/>
  <c r="BD72" i="8"/>
  <c r="BC73" i="8"/>
  <c r="BC74" i="8" s="1"/>
  <c r="BC79" i="8" s="1"/>
  <c r="BD73" i="8" l="1"/>
  <c r="BD74" i="8" s="1"/>
  <c r="BD79" i="8" s="1"/>
  <c r="BE72" i="8"/>
  <c r="BF72" i="8" l="1"/>
  <c r="BE73" i="8"/>
  <c r="BE74" i="8" s="1"/>
  <c r="BE79" i="8" s="1"/>
  <c r="BF73" i="8" l="1"/>
  <c r="BF74" i="8" s="1"/>
  <c r="BF79" i="8" s="1"/>
  <c r="BG72" i="8"/>
  <c r="BG73" i="8" l="1"/>
  <c r="BG74" i="8" s="1"/>
  <c r="BG79" i="8" s="1"/>
  <c r="BH72" i="8"/>
  <c r="BI72" i="8" l="1"/>
  <c r="BH73" i="8"/>
  <c r="BH74" i="8" s="1"/>
  <c r="BH79" i="8" s="1"/>
  <c r="BI73" i="8" l="1"/>
  <c r="BI74" i="8" s="1"/>
  <c r="BI79" i="8" s="1"/>
  <c r="BJ72" i="8"/>
  <c r="BJ73" i="8" l="1"/>
  <c r="BJ74" i="8" s="1"/>
  <c r="BJ79" i="8" s="1"/>
  <c r="BK72" i="8"/>
  <c r="BL72" i="8" l="1"/>
  <c r="BK73" i="8"/>
  <c r="BK74" i="8" s="1"/>
  <c r="BK79" i="8" s="1"/>
  <c r="BM72" i="8" l="1"/>
  <c r="BL73" i="8"/>
  <c r="BL74" i="8" s="1"/>
  <c r="BL79" i="8" s="1"/>
  <c r="BM73" i="8" l="1"/>
  <c r="BN72" i="8"/>
  <c r="BM74" i="8" l="1"/>
  <c r="BM79" i="8" s="1"/>
  <c r="T27" i="11"/>
  <c r="T29" i="11" s="1"/>
  <c r="BN73" i="8"/>
  <c r="BN74" i="8" s="1"/>
  <c r="BN79" i="8" s="1"/>
  <c r="BO72" i="8"/>
  <c r="T43" i="11" l="1"/>
  <c r="BP72" i="8"/>
  <c r="BO73" i="8"/>
  <c r="BO74" i="8" s="1"/>
  <c r="BO79" i="8" s="1"/>
  <c r="BP73" i="8" l="1"/>
  <c r="BP74" i="8" s="1"/>
  <c r="BP79" i="8" s="1"/>
  <c r="BQ72" i="8"/>
  <c r="BQ73" i="8" l="1"/>
  <c r="BQ74" i="8" s="1"/>
  <c r="BQ79" i="8" s="1"/>
  <c r="BR72" i="8"/>
  <c r="BR73" i="8" l="1"/>
  <c r="BR74" i="8" s="1"/>
  <c r="BR79" i="8" s="1"/>
  <c r="BS72" i="8"/>
  <c r="BT72" i="8" l="1"/>
  <c r="BS73" i="8"/>
  <c r="BS74" i="8" s="1"/>
  <c r="BS79" i="8" s="1"/>
  <c r="BU72" i="8" l="1"/>
  <c r="BT73" i="8"/>
  <c r="BT74" i="8" s="1"/>
  <c r="BT79" i="8" s="1"/>
  <c r="BV72" i="8" l="1"/>
  <c r="BU73" i="8"/>
  <c r="BU74" i="8" s="1"/>
  <c r="BU79" i="8" s="1"/>
  <c r="BV73" i="8" l="1"/>
  <c r="BV74" i="8" s="1"/>
  <c r="BV79" i="8" s="1"/>
  <c r="BW72" i="8"/>
  <c r="BX72" i="8" l="1"/>
  <c r="BW73" i="8"/>
  <c r="BW74" i="8" s="1"/>
  <c r="BW79" i="8" s="1"/>
  <c r="BX73" i="8" l="1"/>
  <c r="BX74" i="8" s="1"/>
  <c r="BX79" i="8" s="1"/>
  <c r="BY72" i="8"/>
  <c r="BY73" i="8" l="1"/>
  <c r="BY74" i="8" l="1"/>
  <c r="BY79" i="8" s="1"/>
  <c r="V27" i="11"/>
  <c r="V29" i="11" s="1"/>
  <c r="V43" i="11" s="1"/>
  <c r="BX38" i="8"/>
  <c r="BW38" i="8"/>
  <c r="BV38" i="8"/>
  <c r="BY38" i="8"/>
  <c r="V11" i="11" s="1"/>
  <c r="BL38" i="8"/>
  <c r="BK38" i="8"/>
  <c r="AZ38" i="8"/>
  <c r="AY38" i="8"/>
  <c r="AN38" i="8"/>
  <c r="AM38" i="8"/>
  <c r="AB38" i="8"/>
  <c r="Z38" i="8"/>
  <c r="AA83" i="8" s="1"/>
  <c r="AO38" i="8"/>
  <c r="AO83" i="8" s="1"/>
  <c r="BE38" i="8"/>
  <c r="AA38" i="8"/>
  <c r="AB83" i="8" s="1"/>
  <c r="AF38" i="8"/>
  <c r="AJ38" i="8"/>
  <c r="AR38" i="8"/>
  <c r="AV38" i="8"/>
  <c r="BD38" i="8"/>
  <c r="BH38" i="8"/>
  <c r="BP38" i="8"/>
  <c r="BT38" i="8"/>
  <c r="AC38" i="8"/>
  <c r="N11" i="11" s="1"/>
  <c r="AK38" i="8"/>
  <c r="AW38" i="8"/>
  <c r="BA38" i="8"/>
  <c r="R11" i="11" s="1"/>
  <c r="BI38" i="8"/>
  <c r="BM38" i="8"/>
  <c r="BM83" i="8" s="1"/>
  <c r="BQ38" i="8"/>
  <c r="BU38" i="8"/>
  <c r="BV83" i="8" s="1"/>
  <c r="AH38" i="8"/>
  <c r="AL38" i="8"/>
  <c r="AP38" i="8"/>
  <c r="AT38" i="8"/>
  <c r="AX38" i="8"/>
  <c r="BB38" i="8"/>
  <c r="BF38" i="8"/>
  <c r="BJ38" i="8"/>
  <c r="BN38" i="8"/>
  <c r="BR38" i="8"/>
  <c r="AG38" i="8"/>
  <c r="AS38" i="8"/>
  <c r="AT83" i="8" s="1"/>
  <c r="AE38" i="8"/>
  <c r="AI38" i="8"/>
  <c r="AQ38" i="8"/>
  <c r="AU38" i="8"/>
  <c r="BC38" i="8"/>
  <c r="BG38" i="8"/>
  <c r="BO38" i="8"/>
  <c r="BP83" i="8" s="1"/>
  <c r="F38" i="8"/>
  <c r="F43" i="8" s="1"/>
  <c r="G38" i="8"/>
  <c r="G43" i="8" s="1"/>
  <c r="H38" i="8"/>
  <c r="H43" i="8" s="1"/>
  <c r="I38" i="8"/>
  <c r="I43" i="8" s="1"/>
  <c r="J38" i="8"/>
  <c r="J43" i="8" s="1"/>
  <c r="K38" i="8"/>
  <c r="K43" i="8" s="1"/>
  <c r="L38" i="8"/>
  <c r="L43" i="8" s="1"/>
  <c r="M38" i="8"/>
  <c r="M43" i="8" s="1"/>
  <c r="N38" i="8"/>
  <c r="N43" i="8" s="1"/>
  <c r="O38" i="8"/>
  <c r="O43" i="8" s="1"/>
  <c r="P38" i="8"/>
  <c r="P43" i="8" s="1"/>
  <c r="Q38" i="8"/>
  <c r="J11" i="11" s="1"/>
  <c r="J15" i="11" s="1"/>
  <c r="J42" i="11" s="1"/>
  <c r="R38" i="8"/>
  <c r="R43" i="8" s="1"/>
  <c r="S38" i="8"/>
  <c r="S43" i="8" s="1"/>
  <c r="T38" i="8"/>
  <c r="T43" i="8" s="1"/>
  <c r="U38" i="8"/>
  <c r="U43" i="8" s="1"/>
  <c r="V38" i="8"/>
  <c r="V43" i="8" s="1"/>
  <c r="W38" i="8"/>
  <c r="W43" i="8" s="1"/>
  <c r="W77" i="8" s="1"/>
  <c r="X38" i="8"/>
  <c r="X43" i="8" s="1"/>
  <c r="Y38" i="8"/>
  <c r="Y43" i="8" s="1"/>
  <c r="Y77" i="8" s="1"/>
  <c r="BS38" i="8"/>
  <c r="BL83" i="8" l="1"/>
  <c r="AC83" i="8"/>
  <c r="AG83" i="8"/>
  <c r="BS83" i="8"/>
  <c r="AX83" i="8"/>
  <c r="BK83" i="8"/>
  <c r="BT83" i="8"/>
  <c r="BR83" i="8"/>
  <c r="BU83" i="8"/>
  <c r="AZ83" i="8"/>
  <c r="BW83" i="8"/>
  <c r="AI83" i="8"/>
  <c r="AN83" i="8"/>
  <c r="BJ83" i="8"/>
  <c r="BI83" i="8"/>
  <c r="AP83" i="8"/>
  <c r="P11" i="11"/>
  <c r="BH83" i="8"/>
  <c r="AR83" i="8"/>
  <c r="AU83" i="8"/>
  <c r="BE83" i="8"/>
  <c r="BC83" i="8"/>
  <c r="AF83" i="8"/>
  <c r="BF83" i="8"/>
  <c r="AL83" i="8"/>
  <c r="BQ83" i="8"/>
  <c r="AW83" i="8"/>
  <c r="BX83" i="8"/>
  <c r="AS83" i="8"/>
  <c r="AK83" i="8"/>
  <c r="BO83" i="8"/>
  <c r="X77" i="8"/>
  <c r="X78" i="8"/>
  <c r="P78" i="8"/>
  <c r="P77" i="8"/>
  <c r="H78" i="8"/>
  <c r="H77" i="8"/>
  <c r="S77" i="8"/>
  <c r="S78" i="8"/>
  <c r="O77" i="8"/>
  <c r="O78" i="8"/>
  <c r="K78" i="8"/>
  <c r="K77" i="8"/>
  <c r="G77" i="8"/>
  <c r="G78" i="8"/>
  <c r="AE83" i="8"/>
  <c r="AD83" i="8"/>
  <c r="V78" i="8"/>
  <c r="V77" i="8"/>
  <c r="R77" i="8"/>
  <c r="R78" i="8"/>
  <c r="N78" i="8"/>
  <c r="N77" i="8"/>
  <c r="J77" i="8"/>
  <c r="J78" i="8"/>
  <c r="F77" i="8"/>
  <c r="F78" i="8"/>
  <c r="T77" i="8"/>
  <c r="T78" i="8"/>
  <c r="L77" i="8"/>
  <c r="L78" i="8"/>
  <c r="U77" i="8"/>
  <c r="U78" i="8"/>
  <c r="M78" i="8"/>
  <c r="M77" i="8"/>
  <c r="I78" i="8"/>
  <c r="I77" i="8"/>
  <c r="W78" i="8"/>
  <c r="Z83" i="8"/>
  <c r="X15" i="10" s="1"/>
  <c r="X18" i="10" s="1"/>
  <c r="X27" i="10" s="1"/>
  <c r="Y83" i="8"/>
  <c r="W15" i="10" s="1"/>
  <c r="W18" i="10" s="1"/>
  <c r="W27" i="10" s="1"/>
  <c r="X83" i="8"/>
  <c r="V15" i="10" s="1"/>
  <c r="V18" i="10" s="1"/>
  <c r="V27" i="10" s="1"/>
  <c r="W83" i="8"/>
  <c r="U15" i="10" s="1"/>
  <c r="U18" i="10" s="1"/>
  <c r="U27" i="10" s="1"/>
  <c r="V83" i="8"/>
  <c r="T15" i="10" s="1"/>
  <c r="T18" i="10" s="1"/>
  <c r="T27" i="10" s="1"/>
  <c r="U83" i="8"/>
  <c r="S15" i="10" s="1"/>
  <c r="S18" i="10" s="1"/>
  <c r="S27" i="10" s="1"/>
  <c r="T83" i="8"/>
  <c r="R15" i="10" s="1"/>
  <c r="R18" i="10" s="1"/>
  <c r="R27" i="10" s="1"/>
  <c r="S83" i="8"/>
  <c r="Q15" i="10" s="1"/>
  <c r="Q18" i="10" s="1"/>
  <c r="Q27" i="10" s="1"/>
  <c r="R83" i="8"/>
  <c r="P15" i="10" s="1"/>
  <c r="Q83" i="8"/>
  <c r="O15" i="10" s="1"/>
  <c r="O18" i="10" s="1"/>
  <c r="O27" i="10" s="1"/>
  <c r="P83" i="8"/>
  <c r="N15" i="10" s="1"/>
  <c r="N18" i="10" s="1"/>
  <c r="N27" i="10" s="1"/>
  <c r="O83" i="8"/>
  <c r="M15" i="10" s="1"/>
  <c r="M18" i="10" s="1"/>
  <c r="M27" i="10" s="1"/>
  <c r="N83" i="8"/>
  <c r="L15" i="10" s="1"/>
  <c r="L18" i="10" s="1"/>
  <c r="L27" i="10" s="1"/>
  <c r="M83" i="8"/>
  <c r="K15" i="10" s="1"/>
  <c r="K18" i="10" s="1"/>
  <c r="K27" i="10" s="1"/>
  <c r="L83" i="8"/>
  <c r="J15" i="10" s="1"/>
  <c r="J18" i="10" s="1"/>
  <c r="J27" i="10" s="1"/>
  <c r="K83" i="8"/>
  <c r="I15" i="10" s="1"/>
  <c r="I18" i="10" s="1"/>
  <c r="I27" i="10" s="1"/>
  <c r="J83" i="8"/>
  <c r="H15" i="10" s="1"/>
  <c r="H18" i="10" s="1"/>
  <c r="H27" i="10" s="1"/>
  <c r="I83" i="8"/>
  <c r="G15" i="10" s="1"/>
  <c r="G18" i="10" s="1"/>
  <c r="G27" i="10" s="1"/>
  <c r="H83" i="8"/>
  <c r="F15" i="10" s="1"/>
  <c r="F18" i="10" s="1"/>
  <c r="F27" i="10" s="1"/>
  <c r="G83" i="8"/>
  <c r="E15" i="10" s="1"/>
  <c r="E18" i="10" s="1"/>
  <c r="E27" i="10" s="1"/>
  <c r="F83" i="8"/>
  <c r="D15" i="10" s="1"/>
  <c r="AH83" i="8"/>
  <c r="BN83" i="8"/>
  <c r="BB83" i="8"/>
  <c r="Y78" i="8"/>
  <c r="BA83" i="8"/>
  <c r="Q43" i="8"/>
  <c r="BY83" i="8"/>
  <c r="BD83" i="8"/>
  <c r="BG83" i="8"/>
  <c r="AY83" i="8"/>
  <c r="AQ83" i="8"/>
  <c r="Z43" i="8"/>
  <c r="L11" i="11"/>
  <c r="T11" i="11"/>
  <c r="AV83" i="8"/>
  <c r="AJ83" i="8"/>
  <c r="AM83" i="8"/>
  <c r="Q78" i="8" l="1"/>
  <c r="Q77" i="8"/>
  <c r="BY15" i="10"/>
  <c r="H16" i="12"/>
  <c r="H19" i="12" s="1"/>
  <c r="H27" i="12" s="1"/>
  <c r="P18" i="10"/>
  <c r="P27" i="10" s="1"/>
  <c r="D16" i="12"/>
  <c r="D19" i="12" s="1"/>
  <c r="D27" i="12" s="1"/>
  <c r="D31" i="12" s="1"/>
  <c r="D18" i="10"/>
  <c r="D27" i="10" s="1"/>
  <c r="D31" i="10" s="1"/>
  <c r="Z78" i="8"/>
  <c r="Z77" i="8"/>
  <c r="BY18" i="10" l="1"/>
  <c r="BY27" i="10" s="1"/>
  <c r="F16" i="12"/>
  <c r="F19" i="12" s="1"/>
  <c r="F27" i="12" s="1"/>
  <c r="E29" i="10"/>
  <c r="E31" i="10" s="1"/>
  <c r="D33" i="10"/>
  <c r="E33" i="10" l="1"/>
  <c r="F29" i="10"/>
  <c r="F31" i="10" s="1"/>
  <c r="G29" i="10" l="1"/>
  <c r="G31" i="10" s="1"/>
  <c r="F33" i="10"/>
  <c r="H29" i="10" l="1"/>
  <c r="H31" i="10" s="1"/>
  <c r="G33" i="10"/>
  <c r="H33" i="10" l="1"/>
  <c r="I29" i="10"/>
  <c r="I31" i="10" s="1"/>
  <c r="I33" i="10" l="1"/>
  <c r="J29" i="10"/>
  <c r="J31" i="10" s="1"/>
  <c r="K29" i="10" l="1"/>
  <c r="K31" i="10" s="1"/>
  <c r="J33" i="10"/>
  <c r="K33" i="10" l="1"/>
  <c r="L29" i="10"/>
  <c r="L31" i="10" s="1"/>
  <c r="M29" i="10" l="1"/>
  <c r="M31" i="10" s="1"/>
  <c r="L33" i="10"/>
  <c r="M33" i="10" l="1"/>
  <c r="N29" i="10"/>
  <c r="N31" i="10" s="1"/>
  <c r="N33" i="10" l="1"/>
  <c r="O29" i="10"/>
  <c r="O31" i="10" s="1"/>
  <c r="P29" i="10" l="1"/>
  <c r="O33" i="10"/>
  <c r="D34" i="12"/>
  <c r="BY29" i="10" l="1"/>
  <c r="H29" i="12"/>
  <c r="H31" i="12" s="1"/>
  <c r="P31" i="10"/>
  <c r="P33" i="10" l="1"/>
  <c r="Q29" i="10"/>
  <c r="Q31" i="10" s="1"/>
  <c r="F29" i="12"/>
  <c r="F31" i="12" s="1"/>
  <c r="BY31" i="10"/>
  <c r="Q33" i="10" l="1"/>
  <c r="R29" i="10"/>
  <c r="R31" i="10" s="1"/>
  <c r="F34" i="12"/>
  <c r="S29" i="10" l="1"/>
  <c r="S31" i="10" s="1"/>
  <c r="R33" i="10"/>
  <c r="T29" i="10" l="1"/>
  <c r="T31" i="10" s="1"/>
  <c r="S33" i="10"/>
  <c r="U29" i="10" l="1"/>
  <c r="U31" i="10" s="1"/>
  <c r="T33" i="10"/>
  <c r="U33" i="10" l="1"/>
  <c r="V29" i="10"/>
  <c r="V31" i="10" s="1"/>
  <c r="W29" i="10" l="1"/>
  <c r="W31" i="10" s="1"/>
  <c r="V33" i="10"/>
  <c r="W33" i="10" l="1"/>
  <c r="X29" i="10"/>
  <c r="X31" i="10" s="1"/>
  <c r="X33" i="10" l="1"/>
  <c r="Y29" i="10"/>
  <c r="Y31" i="10" s="1"/>
  <c r="Z29" i="10" l="1"/>
  <c r="Z31" i="10" s="1"/>
  <c r="AA14" i="8" l="1"/>
  <c r="AA29" i="10"/>
  <c r="AA31" i="10" s="1"/>
  <c r="L8" i="11" l="1"/>
  <c r="BY33" i="10"/>
  <c r="AB14" i="8"/>
  <c r="AC10" i="8"/>
  <c r="AB29" i="10"/>
  <c r="H34" i="12"/>
  <c r="AA27" i="8"/>
  <c r="AA43" i="8" s="1"/>
  <c r="Y33" i="10"/>
  <c r="L38" i="11" l="1"/>
  <c r="L32" i="11"/>
  <c r="L33" i="11"/>
  <c r="L34" i="11"/>
  <c r="L15" i="11"/>
  <c r="AB31" i="10"/>
  <c r="AD10" i="8" s="1"/>
  <c r="J29" i="12"/>
  <c r="J31" i="12" s="1"/>
  <c r="AA77" i="8"/>
  <c r="AA78" i="8"/>
  <c r="AC14" i="8"/>
  <c r="AB27" i="8"/>
  <c r="AB43" i="8" s="1"/>
  <c r="Z33" i="10"/>
  <c r="L42" i="11" l="1"/>
  <c r="L37" i="11"/>
  <c r="AB77" i="8"/>
  <c r="AB78" i="8"/>
  <c r="AC27" i="8"/>
  <c r="AC43" i="8" s="1"/>
  <c r="N8" i="11"/>
  <c r="AA33" i="10"/>
  <c r="AC29" i="10"/>
  <c r="AC31" i="10" s="1"/>
  <c r="AE10" i="8" s="1"/>
  <c r="AD29" i="10" l="1"/>
  <c r="AD31" i="10" s="1"/>
  <c r="AF10" i="8" s="1"/>
  <c r="AC77" i="8"/>
  <c r="AC78" i="8"/>
  <c r="AD14" i="8"/>
  <c r="N38" i="11"/>
  <c r="N34" i="11"/>
  <c r="N33" i="11"/>
  <c r="N15" i="11"/>
  <c r="N32" i="11"/>
  <c r="N37" i="11" l="1"/>
  <c r="N42" i="11"/>
  <c r="AE14" i="8"/>
  <c r="AD27" i="8"/>
  <c r="AD43" i="8" s="1"/>
  <c r="AB33" i="10"/>
  <c r="AE29" i="10"/>
  <c r="AE31" i="10" s="1"/>
  <c r="AG10" i="8" s="1"/>
  <c r="AD77" i="8" l="1"/>
  <c r="AD78" i="8"/>
  <c r="AF14" i="8"/>
  <c r="AE27" i="8"/>
  <c r="AE43" i="8" s="1"/>
  <c r="AC33" i="10"/>
  <c r="AF29" i="10"/>
  <c r="AF31" i="10" s="1"/>
  <c r="AH10" i="8" s="1"/>
  <c r="AF27" i="8" l="1"/>
  <c r="AF43" i="8" s="1"/>
  <c r="AD33" i="10"/>
  <c r="AG29" i="10"/>
  <c r="AG31" i="10" s="1"/>
  <c r="AI10" i="8" s="1"/>
  <c r="AG14" i="8"/>
  <c r="AE77" i="8"/>
  <c r="AE78" i="8"/>
  <c r="AH29" i="10" l="1"/>
  <c r="AH31" i="10" s="1"/>
  <c r="AJ10" i="8" s="1"/>
  <c r="AF77" i="8"/>
  <c r="AF78" i="8"/>
  <c r="AH14" i="8"/>
  <c r="AG27" i="8"/>
  <c r="AG43" i="8" s="1"/>
  <c r="AE33" i="10"/>
  <c r="AG77" i="8" l="1"/>
  <c r="AG78" i="8"/>
  <c r="AI29" i="10"/>
  <c r="AI31" i="10" s="1"/>
  <c r="AK10" i="8" s="1"/>
  <c r="AH27" i="8"/>
  <c r="AH43" i="8" s="1"/>
  <c r="AF33" i="10"/>
  <c r="AI14" i="8"/>
  <c r="AJ29" i="10" l="1"/>
  <c r="AJ31" i="10" s="1"/>
  <c r="AL10" i="8" s="1"/>
  <c r="AI27" i="8"/>
  <c r="AI43" i="8" s="1"/>
  <c r="AG33" i="10"/>
  <c r="AH77" i="8"/>
  <c r="AH78" i="8"/>
  <c r="AJ14" i="8"/>
  <c r="AI77" i="8" l="1"/>
  <c r="AI78" i="8"/>
  <c r="AJ27" i="8"/>
  <c r="AJ43" i="8" s="1"/>
  <c r="AH33" i="10"/>
  <c r="AK29" i="10"/>
  <c r="AK31" i="10" s="1"/>
  <c r="AM10" i="8" s="1"/>
  <c r="AK14" i="8"/>
  <c r="AK27" i="8" l="1"/>
  <c r="AK43" i="8" s="1"/>
  <c r="AI33" i="10"/>
  <c r="AJ77" i="8"/>
  <c r="AJ78" i="8"/>
  <c r="AL14" i="8"/>
  <c r="AL29" i="10"/>
  <c r="AL31" i="10" s="1"/>
  <c r="AN10" i="8" s="1"/>
  <c r="AM14" i="8" l="1"/>
  <c r="AM29" i="10"/>
  <c r="AM31" i="10" s="1"/>
  <c r="AO10" i="8" s="1"/>
  <c r="AL27" i="8"/>
  <c r="AL43" i="8" s="1"/>
  <c r="AJ33" i="10"/>
  <c r="AK77" i="8"/>
  <c r="AK78" i="8"/>
  <c r="AN29" i="10" l="1"/>
  <c r="J34" i="12"/>
  <c r="AL77" i="8"/>
  <c r="AL78" i="8"/>
  <c r="AN14" i="8"/>
  <c r="AM27" i="8"/>
  <c r="AM43" i="8" s="1"/>
  <c r="AK33" i="10"/>
  <c r="AN27" i="8" l="1"/>
  <c r="AN43" i="8" s="1"/>
  <c r="AL33" i="10"/>
  <c r="L29" i="12"/>
  <c r="L31" i="12" s="1"/>
  <c r="AN31" i="10"/>
  <c r="AP10" i="8" s="1"/>
  <c r="AM77" i="8"/>
  <c r="AM78" i="8"/>
  <c r="AO14" i="8"/>
  <c r="AO27" i="8" l="1"/>
  <c r="AO43" i="8" s="1"/>
  <c r="P8" i="11"/>
  <c r="AM33" i="10"/>
  <c r="AO29" i="10"/>
  <c r="AO31" i="10" s="1"/>
  <c r="AQ10" i="8" s="1"/>
  <c r="AN77" i="8"/>
  <c r="AN78" i="8"/>
  <c r="AP29" i="10" l="1"/>
  <c r="AP31" i="10" s="1"/>
  <c r="AR10" i="8" s="1"/>
  <c r="AP14" i="8"/>
  <c r="P33" i="11"/>
  <c r="P34" i="11"/>
  <c r="P32" i="11"/>
  <c r="P38" i="11"/>
  <c r="P15" i="11"/>
  <c r="P42" i="11" s="1"/>
  <c r="AO77" i="8"/>
  <c r="AO78" i="8"/>
  <c r="AP27" i="8" l="1"/>
  <c r="AP43" i="8" s="1"/>
  <c r="AN33" i="10"/>
  <c r="AQ29" i="10"/>
  <c r="AQ31" i="10" s="1"/>
  <c r="AS10" i="8" s="1"/>
  <c r="P37" i="11"/>
  <c r="AQ14" i="8"/>
  <c r="AQ27" i="8" l="1"/>
  <c r="AQ43" i="8" s="1"/>
  <c r="AO33" i="10"/>
  <c r="AR14" i="8"/>
  <c r="AR29" i="10"/>
  <c r="AR31" i="10" s="1"/>
  <c r="AT10" i="8" s="1"/>
  <c r="AP77" i="8"/>
  <c r="AP78" i="8"/>
  <c r="AR27" i="8" l="1"/>
  <c r="AR43" i="8" s="1"/>
  <c r="AP33" i="10"/>
  <c r="AS14" i="8"/>
  <c r="AS29" i="10"/>
  <c r="AS31" i="10" s="1"/>
  <c r="AU10" i="8" s="1"/>
  <c r="AQ77" i="8"/>
  <c r="AQ78" i="8"/>
  <c r="AT14" i="8" l="1"/>
  <c r="AS27" i="8"/>
  <c r="AS43" i="8" s="1"/>
  <c r="AQ33" i="10"/>
  <c r="AT29" i="10"/>
  <c r="AT31" i="10" s="1"/>
  <c r="AV10" i="8" s="1"/>
  <c r="AR77" i="8"/>
  <c r="AR78" i="8"/>
  <c r="AU29" i="10" l="1"/>
  <c r="AU31" i="10" s="1"/>
  <c r="AW10" i="8" s="1"/>
  <c r="AU14" i="8"/>
  <c r="AT27" i="8"/>
  <c r="AT43" i="8" s="1"/>
  <c r="AR33" i="10"/>
  <c r="AS77" i="8"/>
  <c r="AS78" i="8"/>
  <c r="AU27" i="8" l="1"/>
  <c r="AU43" i="8" s="1"/>
  <c r="AS33" i="10"/>
  <c r="AV29" i="10"/>
  <c r="AV31" i="10" s="1"/>
  <c r="AX10" i="8" s="1"/>
  <c r="AT77" i="8"/>
  <c r="AT78" i="8"/>
  <c r="AV14" i="8"/>
  <c r="AV27" i="8" l="1"/>
  <c r="AV43" i="8" s="1"/>
  <c r="AT33" i="10"/>
  <c r="AW14" i="8"/>
  <c r="AU77" i="8"/>
  <c r="AU78" i="8"/>
  <c r="AW29" i="10"/>
  <c r="AW31" i="10" s="1"/>
  <c r="AY10" i="8" s="1"/>
  <c r="AX29" i="10" l="1"/>
  <c r="AX31" i="10" s="1"/>
  <c r="AZ10" i="8" s="1"/>
  <c r="AV77" i="8"/>
  <c r="AV78" i="8"/>
  <c r="AW27" i="8"/>
  <c r="AW43" i="8" s="1"/>
  <c r="AU33" i="10"/>
  <c r="AX14" i="8"/>
  <c r="AY29" i="10" l="1"/>
  <c r="AY31" i="10" s="1"/>
  <c r="BA10" i="8" s="1"/>
  <c r="AX27" i="8"/>
  <c r="AX43" i="8" s="1"/>
  <c r="AV33" i="10"/>
  <c r="AY14" i="8"/>
  <c r="AW77" i="8"/>
  <c r="AW78" i="8"/>
  <c r="AZ14" i="8" l="1"/>
  <c r="AX77" i="8"/>
  <c r="AX78" i="8"/>
  <c r="AY27" i="8"/>
  <c r="AY43" i="8" s="1"/>
  <c r="AW33" i="10"/>
  <c r="AZ29" i="10"/>
  <c r="L34" i="12"/>
  <c r="BA14" i="8" l="1"/>
  <c r="N29" i="12"/>
  <c r="N31" i="12" s="1"/>
  <c r="AZ31" i="10"/>
  <c r="BB10" i="8" s="1"/>
  <c r="AZ27" i="8"/>
  <c r="AZ43" i="8" s="1"/>
  <c r="AX33" i="10"/>
  <c r="AY77" i="8"/>
  <c r="AY78" i="8"/>
  <c r="BA29" i="10" l="1"/>
  <c r="BA31" i="10" s="1"/>
  <c r="BC10" i="8" s="1"/>
  <c r="BA27" i="8"/>
  <c r="BA43" i="8" s="1"/>
  <c r="R8" i="11"/>
  <c r="AY33" i="10"/>
  <c r="AZ77" i="8"/>
  <c r="AZ78" i="8"/>
  <c r="R32" i="11" l="1"/>
  <c r="R15" i="11"/>
  <c r="R33" i="11"/>
  <c r="R34" i="11"/>
  <c r="R38" i="11"/>
  <c r="BB29" i="10"/>
  <c r="BB31" i="10" s="1"/>
  <c r="BD10" i="8" s="1"/>
  <c r="BA77" i="8"/>
  <c r="BA78" i="8"/>
  <c r="BB14" i="8"/>
  <c r="BC29" i="10" l="1"/>
  <c r="BC31" i="10" s="1"/>
  <c r="BE10" i="8" s="1"/>
  <c r="BB27" i="8"/>
  <c r="BB43" i="8" s="1"/>
  <c r="AZ33" i="10"/>
  <c r="BC14" i="8"/>
  <c r="R42" i="11"/>
  <c r="R37" i="11"/>
  <c r="BB77" i="8" l="1"/>
  <c r="BB78" i="8"/>
  <c r="BD29" i="10"/>
  <c r="BD31" i="10" s="1"/>
  <c r="BF10" i="8" s="1"/>
  <c r="BC27" i="8"/>
  <c r="BC43" i="8" s="1"/>
  <c r="BA33" i="10"/>
  <c r="BD14" i="8"/>
  <c r="BE14" i="8" l="1"/>
  <c r="BC77" i="8"/>
  <c r="BC78" i="8"/>
  <c r="BD27" i="8"/>
  <c r="BD43" i="8" s="1"/>
  <c r="BB33" i="10"/>
  <c r="BE29" i="10"/>
  <c r="BE31" i="10" s="1"/>
  <c r="BG10" i="8" s="1"/>
  <c r="BF29" i="10" l="1"/>
  <c r="BF31" i="10" s="1"/>
  <c r="BH10" i="8" s="1"/>
  <c r="BF14" i="8"/>
  <c r="BD77" i="8"/>
  <c r="BD78" i="8"/>
  <c r="BE27" i="8"/>
  <c r="BE43" i="8" s="1"/>
  <c r="BC33" i="10"/>
  <c r="BG14" i="8" l="1"/>
  <c r="BE77" i="8"/>
  <c r="BE78" i="8"/>
  <c r="BF27" i="8"/>
  <c r="BF43" i="8" s="1"/>
  <c r="BD33" i="10"/>
  <c r="BG29" i="10"/>
  <c r="BG31" i="10" s="1"/>
  <c r="BI10" i="8" s="1"/>
  <c r="BH29" i="10" l="1"/>
  <c r="BH31" i="10" s="1"/>
  <c r="BJ10" i="8" s="1"/>
  <c r="BH14" i="8"/>
  <c r="BG27" i="8"/>
  <c r="BG43" i="8" s="1"/>
  <c r="BE33" i="10"/>
  <c r="BF77" i="8"/>
  <c r="BF78" i="8"/>
  <c r="BH27" i="8" l="1"/>
  <c r="BH43" i="8" s="1"/>
  <c r="BF33" i="10"/>
  <c r="BI29" i="10"/>
  <c r="BI31" i="10" s="1"/>
  <c r="BK10" i="8" s="1"/>
  <c r="BG77" i="8"/>
  <c r="BG78" i="8"/>
  <c r="BI14" i="8"/>
  <c r="BI27" i="8" l="1"/>
  <c r="BI43" i="8" s="1"/>
  <c r="BG33" i="10"/>
  <c r="BJ14" i="8"/>
  <c r="BJ29" i="10"/>
  <c r="BJ31" i="10" s="1"/>
  <c r="BL10" i="8" s="1"/>
  <c r="BH77" i="8"/>
  <c r="BH78" i="8"/>
  <c r="BK14" i="8" l="1"/>
  <c r="BJ27" i="8"/>
  <c r="BJ43" i="8" s="1"/>
  <c r="BH33" i="10"/>
  <c r="BK29" i="10"/>
  <c r="BK31" i="10" s="1"/>
  <c r="BM10" i="8" s="1"/>
  <c r="BI77" i="8"/>
  <c r="BI78" i="8"/>
  <c r="BJ77" i="8" l="1"/>
  <c r="BJ78" i="8"/>
  <c r="BL29" i="10"/>
  <c r="N34" i="12"/>
  <c r="BK27" i="8"/>
  <c r="BK43" i="8" s="1"/>
  <c r="BI33" i="10"/>
  <c r="BL14" i="8"/>
  <c r="BM14" i="8" l="1"/>
  <c r="BK77" i="8"/>
  <c r="BK78" i="8"/>
  <c r="BL27" i="8"/>
  <c r="BL43" i="8" s="1"/>
  <c r="BJ33" i="10"/>
  <c r="P29" i="12"/>
  <c r="P31" i="12" s="1"/>
  <c r="BL31" i="10"/>
  <c r="BN10" i="8" s="1"/>
  <c r="BM29" i="10" l="1"/>
  <c r="BM31" i="10" s="1"/>
  <c r="BO10" i="8" s="1"/>
  <c r="BL77" i="8"/>
  <c r="BL78" i="8"/>
  <c r="BM27" i="8"/>
  <c r="BM43" i="8" s="1"/>
  <c r="T8" i="11"/>
  <c r="BK33" i="10"/>
  <c r="BN29" i="10" l="1"/>
  <c r="BN31" i="10" s="1"/>
  <c r="BP10" i="8" s="1"/>
  <c r="BM77" i="8"/>
  <c r="BM78" i="8"/>
  <c r="T34" i="11"/>
  <c r="T15" i="11"/>
  <c r="T38" i="11"/>
  <c r="T33" i="11"/>
  <c r="T32" i="11"/>
  <c r="BN14" i="8"/>
  <c r="BN27" i="8" l="1"/>
  <c r="BN43" i="8" s="1"/>
  <c r="BL33" i="10"/>
  <c r="T37" i="11"/>
  <c r="T42" i="11"/>
  <c r="BO14" i="8"/>
  <c r="BO29" i="10"/>
  <c r="BO31" i="10" s="1"/>
  <c r="BQ10" i="8" s="1"/>
  <c r="BP14" i="8" l="1"/>
  <c r="BP29" i="10"/>
  <c r="BP31" i="10" s="1"/>
  <c r="BR10" i="8" s="1"/>
  <c r="BO27" i="8"/>
  <c r="BO43" i="8" s="1"/>
  <c r="BM33" i="10"/>
  <c r="BN77" i="8"/>
  <c r="BN78" i="8"/>
  <c r="BQ29" i="10" l="1"/>
  <c r="BQ31" i="10" s="1"/>
  <c r="BS10" i="8" s="1"/>
  <c r="BQ14" i="8"/>
  <c r="BO77" i="8"/>
  <c r="BO78" i="8"/>
  <c r="BP27" i="8"/>
  <c r="BP43" i="8" s="1"/>
  <c r="BN33" i="10"/>
  <c r="BP77" i="8" l="1"/>
  <c r="BP78" i="8"/>
  <c r="BQ27" i="8"/>
  <c r="BQ43" i="8" s="1"/>
  <c r="BO33" i="10"/>
  <c r="BR29" i="10"/>
  <c r="BR31" i="10" s="1"/>
  <c r="BT10" i="8" s="1"/>
  <c r="BR14" i="8"/>
  <c r="BQ77" i="8" l="1"/>
  <c r="BQ78" i="8"/>
  <c r="BS14" i="8"/>
  <c r="BR27" i="8"/>
  <c r="BR43" i="8" s="1"/>
  <c r="BP33" i="10"/>
  <c r="BS29" i="10"/>
  <c r="BS31" i="10" s="1"/>
  <c r="BU10" i="8" s="1"/>
  <c r="BT14" i="8" l="1"/>
  <c r="BS27" i="8"/>
  <c r="BS43" i="8" s="1"/>
  <c r="BQ33" i="10"/>
  <c r="BT29" i="10"/>
  <c r="BT31" i="10" s="1"/>
  <c r="BV10" i="8" s="1"/>
  <c r="BR77" i="8"/>
  <c r="BR78" i="8"/>
  <c r="BU29" i="10" l="1"/>
  <c r="BU31" i="10" s="1"/>
  <c r="BW10" i="8" s="1"/>
  <c r="BS77" i="8"/>
  <c r="BS78" i="8"/>
  <c r="BU14" i="8"/>
  <c r="BT27" i="8"/>
  <c r="BT43" i="8" s="1"/>
  <c r="BR33" i="10"/>
  <c r="BT77" i="8" l="1"/>
  <c r="BT78" i="8"/>
  <c r="BU27" i="8"/>
  <c r="BU43" i="8" s="1"/>
  <c r="BS33" i="10"/>
  <c r="BV29" i="10"/>
  <c r="BV31" i="10" s="1"/>
  <c r="BX10" i="8" s="1"/>
  <c r="BV14" i="8"/>
  <c r="BV27" i="8" l="1"/>
  <c r="BV43" i="8" s="1"/>
  <c r="BT33" i="10"/>
  <c r="BU77" i="8"/>
  <c r="BU78" i="8"/>
  <c r="BW14" i="8"/>
  <c r="BW29" i="10"/>
  <c r="BW31" i="10" s="1"/>
  <c r="BY10" i="8" s="1"/>
  <c r="P34" i="12" l="1"/>
  <c r="BW27" i="8"/>
  <c r="BW43" i="8" s="1"/>
  <c r="BU33" i="10"/>
  <c r="BX14" i="8"/>
  <c r="BV77" i="8"/>
  <c r="BV78" i="8"/>
  <c r="BX27" i="8" l="1"/>
  <c r="BX43" i="8" s="1"/>
  <c r="BV33" i="10"/>
  <c r="BW77" i="8"/>
  <c r="BW78" i="8"/>
  <c r="BY14" i="8"/>
  <c r="V8" i="11" l="1"/>
  <c r="BY27" i="8"/>
  <c r="BY43" i="8" s="1"/>
  <c r="BW33" i="10"/>
  <c r="BX77" i="8"/>
  <c r="BX78" i="8"/>
  <c r="BY77" i="8" l="1"/>
  <c r="BY78" i="8"/>
  <c r="V38" i="11"/>
  <c r="V33" i="11"/>
  <c r="V34" i="11"/>
  <c r="V32" i="11"/>
  <c r="V15" i="11"/>
  <c r="V42" i="11" l="1"/>
  <c r="V3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Bryan</author>
  </authors>
  <commentList>
    <comment ref="C8" authorId="0" shapeId="0" xr:uid="{D0E07679-9E94-4AD5-9AED-2C6CDD9A6485}">
      <text>
        <r>
          <rPr>
            <b/>
            <sz val="9"/>
            <color indexed="81"/>
            <rFont val="Tahoma"/>
            <family val="2"/>
          </rPr>
          <t>Bryan:</t>
        </r>
        <r>
          <rPr>
            <sz val="9"/>
            <color indexed="81"/>
            <rFont val="Tahoma"/>
            <family val="2"/>
          </rPr>
          <t xml:space="preserve">
Includes the 10% allowance.</t>
        </r>
      </text>
    </comment>
    <comment ref="AP8" authorId="0" shapeId="0" xr:uid="{4E7AF472-6C6F-48B3-9573-4ED91260C2B2}">
      <text>
        <r>
          <rPr>
            <b/>
            <sz val="9"/>
            <color indexed="81"/>
            <rFont val="Tahoma"/>
            <family val="2"/>
          </rPr>
          <t>Bryan:</t>
        </r>
        <r>
          <rPr>
            <sz val="9"/>
            <color indexed="81"/>
            <rFont val="Tahoma"/>
            <family val="2"/>
          </rPr>
          <t xml:space="preserve">
Includes the 10% allowance.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Bryan Weeks</author>
    <author>Bryan</author>
  </authors>
  <commentList>
    <comment ref="C7" authorId="0" shapeId="0" xr:uid="{BE1EFFC4-E4B4-4FFF-AA72-1CD9B5174863}">
      <text>
        <r>
          <rPr>
            <b/>
            <sz val="9"/>
            <color indexed="81"/>
            <rFont val="Tahoma"/>
            <family val="2"/>
          </rPr>
          <t>Bryan Weeks:</t>
        </r>
        <r>
          <rPr>
            <sz val="9"/>
            <color indexed="81"/>
            <rFont val="Tahoma"/>
            <family val="2"/>
          </rPr>
          <t xml:space="preserve">
14 classrooms with 24 students</t>
        </r>
      </text>
    </comment>
    <comment ref="R7" authorId="0" shapeId="0" xr:uid="{CB0D98E4-C1E7-43DB-A82D-223A82F916E3}">
      <text>
        <r>
          <rPr>
            <b/>
            <sz val="9"/>
            <color indexed="81"/>
            <rFont val="Tahoma"/>
            <family val="2"/>
          </rPr>
          <t>Bryan Weeks:</t>
        </r>
        <r>
          <rPr>
            <sz val="9"/>
            <color indexed="81"/>
            <rFont val="Tahoma"/>
            <family val="2"/>
          </rPr>
          <t xml:space="preserve">
16 classrooms with 24 students</t>
        </r>
      </text>
    </comment>
    <comment ref="AP7" authorId="1" shapeId="0" xr:uid="{E5BF2B6F-B186-41D3-8A7D-6C83A87AE9BF}">
      <text>
        <r>
          <rPr>
            <b/>
            <sz val="9"/>
            <color indexed="81"/>
            <rFont val="Tahoma"/>
            <family val="2"/>
          </rPr>
          <t>Bryan:</t>
        </r>
        <r>
          <rPr>
            <sz val="9"/>
            <color indexed="81"/>
            <rFont val="Tahoma"/>
            <family val="2"/>
          </rPr>
          <t xml:space="preserve">
New Building up and running</t>
        </r>
      </text>
    </comment>
    <comment ref="AD10" authorId="1" shapeId="0" xr:uid="{384DBD34-02C7-41B9-9B14-2DEE729C59B8}">
      <text>
        <r>
          <rPr>
            <b/>
            <sz val="9"/>
            <color indexed="81"/>
            <rFont val="Tahoma"/>
            <family val="2"/>
          </rPr>
          <t>Bryan:</t>
        </r>
        <r>
          <rPr>
            <sz val="9"/>
            <color indexed="81"/>
            <rFont val="Tahoma"/>
            <family val="2"/>
          </rPr>
          <t xml:space="preserve">
24 Siblings/Returning Students plus 29 from the lottery</t>
        </r>
      </text>
    </comment>
    <comment ref="AC36" authorId="1" shapeId="0" xr:uid="{24FE671E-F980-43D8-989C-2598BA55D4FD}">
      <text>
        <r>
          <rPr>
            <b/>
            <sz val="9"/>
            <color indexed="81"/>
            <rFont val="Tahoma"/>
            <family val="2"/>
          </rPr>
          <t>Bryan:</t>
        </r>
        <r>
          <rPr>
            <sz val="9"/>
            <color indexed="81"/>
            <rFont val="Tahoma"/>
            <family val="2"/>
          </rPr>
          <t xml:space="preserve">
Gain on cancellation of lease.</t>
        </r>
      </text>
    </comment>
    <comment ref="Z48" authorId="1" shapeId="0" xr:uid="{BCF4543A-4D95-443E-9008-959D571249A1}">
      <text>
        <r>
          <rPr>
            <b/>
            <sz val="9"/>
            <color indexed="81"/>
            <rFont val="Tahoma"/>
            <family val="2"/>
          </rPr>
          <t>Bryan:</t>
        </r>
        <r>
          <rPr>
            <sz val="9"/>
            <color indexed="81"/>
            <rFont val="Tahoma"/>
            <family val="2"/>
          </rPr>
          <t xml:space="preserve">
ESSER Funds</t>
        </r>
      </text>
    </comment>
    <comment ref="AB48" authorId="1" shapeId="0" xr:uid="{99B21DF9-B976-401F-8967-AC981FE055F7}">
      <text>
        <r>
          <rPr>
            <b/>
            <sz val="9"/>
            <color indexed="81"/>
            <rFont val="Tahoma"/>
            <family val="2"/>
          </rPr>
          <t>Bryan:</t>
        </r>
        <r>
          <rPr>
            <sz val="9"/>
            <color indexed="81"/>
            <rFont val="Tahoma"/>
            <family val="2"/>
          </rPr>
          <t xml:space="preserve">
ESSER Funds
</t>
        </r>
      </text>
    </comment>
    <comment ref="AJ48" authorId="1" shapeId="0" xr:uid="{40AC848D-928A-47A2-963A-BFB74A95B9F6}">
      <text>
        <r>
          <rPr>
            <b/>
            <sz val="9"/>
            <color indexed="81"/>
            <rFont val="Tahoma"/>
            <family val="2"/>
          </rPr>
          <t>Bryan:</t>
        </r>
        <r>
          <rPr>
            <sz val="9"/>
            <color indexed="81"/>
            <rFont val="Tahoma"/>
            <family val="2"/>
          </rPr>
          <t xml:space="preserve">
ESSER Funds
</t>
        </r>
      </text>
    </comment>
    <comment ref="AK48" authorId="1" shapeId="0" xr:uid="{70528D3C-2381-4275-8DDE-DDC939A16BE8}">
      <text>
        <r>
          <rPr>
            <b/>
            <sz val="9"/>
            <color indexed="81"/>
            <rFont val="Tahoma"/>
            <family val="2"/>
          </rPr>
          <t>Bryan:</t>
        </r>
        <r>
          <rPr>
            <sz val="9"/>
            <color indexed="81"/>
            <rFont val="Tahoma"/>
            <family val="2"/>
          </rPr>
          <t xml:space="preserve">
ESSER Funds
</t>
        </r>
      </text>
    </comment>
    <comment ref="AL48" authorId="1" shapeId="0" xr:uid="{11F41683-B62E-4243-82D1-480FBEF55920}">
      <text>
        <r>
          <rPr>
            <b/>
            <sz val="9"/>
            <color indexed="81"/>
            <rFont val="Tahoma"/>
            <family val="2"/>
          </rPr>
          <t>Bryan:</t>
        </r>
        <r>
          <rPr>
            <sz val="9"/>
            <color indexed="81"/>
            <rFont val="Tahoma"/>
            <family val="2"/>
          </rPr>
          <t xml:space="preserve">
ESSER Funds
</t>
        </r>
      </text>
    </comment>
    <comment ref="AM48" authorId="1" shapeId="0" xr:uid="{06A4512F-1493-4FB3-A8CA-B1BA38B60F19}">
      <text>
        <r>
          <rPr>
            <b/>
            <sz val="9"/>
            <color indexed="81"/>
            <rFont val="Tahoma"/>
            <family val="2"/>
          </rPr>
          <t>Bryan:</t>
        </r>
        <r>
          <rPr>
            <sz val="9"/>
            <color indexed="81"/>
            <rFont val="Tahoma"/>
            <family val="2"/>
          </rPr>
          <t xml:space="preserve">
ESSER Funds
</t>
        </r>
      </text>
    </comment>
    <comment ref="AO68" authorId="1" shapeId="0" xr:uid="{4B95FB42-1C13-4F08-901F-547B3375673C}">
      <text>
        <r>
          <rPr>
            <b/>
            <sz val="9"/>
            <color indexed="81"/>
            <rFont val="Tahoma"/>
            <family val="2"/>
          </rPr>
          <t>Bryan:</t>
        </r>
        <r>
          <rPr>
            <sz val="9"/>
            <color indexed="81"/>
            <rFont val="Tahoma"/>
            <family val="2"/>
          </rPr>
          <t xml:space="preserve">
Tied to enrollment for new building.</t>
        </r>
      </text>
    </comment>
    <comment ref="AP68" authorId="1" shapeId="0" xr:uid="{B0BCFFEC-2497-4BDB-AB24-81F0A9BE187B}">
      <text>
        <r>
          <rPr>
            <b/>
            <sz val="9"/>
            <color indexed="81"/>
            <rFont val="Tahoma"/>
            <family val="2"/>
          </rPr>
          <t>Bryan:</t>
        </r>
        <r>
          <rPr>
            <sz val="9"/>
            <color indexed="81"/>
            <rFont val="Tahoma"/>
            <family val="2"/>
          </rPr>
          <t xml:space="preserve">
Tied to enrollment for new building.</t>
        </r>
      </text>
    </comment>
    <comment ref="AQ68" authorId="1" shapeId="0" xr:uid="{1D2DCB51-DE47-47CB-AD69-8B1A27EE06B1}">
      <text>
        <r>
          <rPr>
            <b/>
            <sz val="9"/>
            <color indexed="81"/>
            <rFont val="Tahoma"/>
            <family val="2"/>
          </rPr>
          <t>Bryan:</t>
        </r>
        <r>
          <rPr>
            <sz val="9"/>
            <color indexed="81"/>
            <rFont val="Tahoma"/>
            <family val="2"/>
          </rPr>
          <t xml:space="preserve">
Tied to enrollment for new building.</t>
        </r>
      </text>
    </comment>
    <comment ref="AR68" authorId="1" shapeId="0" xr:uid="{60475DE0-CB10-4EB1-B9C6-55E9CC80F6EA}">
      <text>
        <r>
          <rPr>
            <b/>
            <sz val="9"/>
            <color indexed="81"/>
            <rFont val="Tahoma"/>
            <family val="2"/>
          </rPr>
          <t>Bryan:</t>
        </r>
        <r>
          <rPr>
            <sz val="9"/>
            <color indexed="81"/>
            <rFont val="Tahoma"/>
            <family val="2"/>
          </rPr>
          <t xml:space="preserve">
Tied to enrollment for new building.</t>
        </r>
      </text>
    </comment>
    <comment ref="AS68" authorId="1" shapeId="0" xr:uid="{2172F678-E900-4410-9A7B-0F9DAF27074B}">
      <text>
        <r>
          <rPr>
            <b/>
            <sz val="9"/>
            <color indexed="81"/>
            <rFont val="Tahoma"/>
            <family val="2"/>
          </rPr>
          <t>Bryan:</t>
        </r>
        <r>
          <rPr>
            <sz val="9"/>
            <color indexed="81"/>
            <rFont val="Tahoma"/>
            <family val="2"/>
          </rPr>
          <t xml:space="preserve">
Tied to enrollment for new building.</t>
        </r>
      </text>
    </comment>
    <comment ref="AT68" authorId="1" shapeId="0" xr:uid="{8A9D8C20-F18B-45B7-8F5F-3BA49B201005}">
      <text>
        <r>
          <rPr>
            <b/>
            <sz val="9"/>
            <color indexed="81"/>
            <rFont val="Tahoma"/>
            <family val="2"/>
          </rPr>
          <t>Bryan:</t>
        </r>
        <r>
          <rPr>
            <sz val="9"/>
            <color indexed="81"/>
            <rFont val="Tahoma"/>
            <family val="2"/>
          </rPr>
          <t xml:space="preserve">
Tied to enrollment for new building.</t>
        </r>
      </text>
    </comment>
    <comment ref="AU68" authorId="1" shapeId="0" xr:uid="{653C3659-999D-4489-8BDD-E9CBFDF8EBAB}">
      <text>
        <r>
          <rPr>
            <b/>
            <sz val="9"/>
            <color indexed="81"/>
            <rFont val="Tahoma"/>
            <family val="2"/>
          </rPr>
          <t>Bryan:</t>
        </r>
        <r>
          <rPr>
            <sz val="9"/>
            <color indexed="81"/>
            <rFont val="Tahoma"/>
            <family val="2"/>
          </rPr>
          <t xml:space="preserve">
Tied to enrollment for new building.</t>
        </r>
      </text>
    </comment>
    <comment ref="AV68" authorId="1" shapeId="0" xr:uid="{126D96A9-038E-4776-85E0-35FA1C15E860}">
      <text>
        <r>
          <rPr>
            <b/>
            <sz val="9"/>
            <color indexed="81"/>
            <rFont val="Tahoma"/>
            <family val="2"/>
          </rPr>
          <t>Bryan:</t>
        </r>
        <r>
          <rPr>
            <sz val="9"/>
            <color indexed="81"/>
            <rFont val="Tahoma"/>
            <family val="2"/>
          </rPr>
          <t xml:space="preserve">
Tied to enrollment for new building.</t>
        </r>
      </text>
    </comment>
    <comment ref="AW68" authorId="1" shapeId="0" xr:uid="{D4E0CCD1-2711-4E2A-8AAE-67BA1DAAA4E8}">
      <text>
        <r>
          <rPr>
            <b/>
            <sz val="9"/>
            <color indexed="81"/>
            <rFont val="Tahoma"/>
            <family val="2"/>
          </rPr>
          <t>Bryan:</t>
        </r>
        <r>
          <rPr>
            <sz val="9"/>
            <color indexed="81"/>
            <rFont val="Tahoma"/>
            <family val="2"/>
          </rPr>
          <t xml:space="preserve">
Tied to enrollment for new building.</t>
        </r>
      </text>
    </comment>
    <comment ref="AX68" authorId="1" shapeId="0" xr:uid="{11CAD428-6A37-4CE8-BF5E-5ECD42AA25EF}">
      <text>
        <r>
          <rPr>
            <b/>
            <sz val="9"/>
            <color indexed="81"/>
            <rFont val="Tahoma"/>
            <family val="2"/>
          </rPr>
          <t>Bryan:</t>
        </r>
        <r>
          <rPr>
            <sz val="9"/>
            <color indexed="81"/>
            <rFont val="Tahoma"/>
            <family val="2"/>
          </rPr>
          <t xml:space="preserve">
Tied to enrollment for new building.</t>
        </r>
      </text>
    </comment>
    <comment ref="AY68" authorId="1" shapeId="0" xr:uid="{5077E71E-4AD1-48B4-8262-C3000904C05D}">
      <text>
        <r>
          <rPr>
            <b/>
            <sz val="9"/>
            <color indexed="81"/>
            <rFont val="Tahoma"/>
            <family val="2"/>
          </rPr>
          <t>Bryan:</t>
        </r>
        <r>
          <rPr>
            <sz val="9"/>
            <color indexed="81"/>
            <rFont val="Tahoma"/>
            <family val="2"/>
          </rPr>
          <t xml:space="preserve">
Tied to enrollment for new building.</t>
        </r>
      </text>
    </comment>
    <comment ref="AZ68" authorId="1" shapeId="0" xr:uid="{7652E586-9EC6-4903-A824-E91F4DE18EFD}">
      <text>
        <r>
          <rPr>
            <b/>
            <sz val="9"/>
            <color indexed="81"/>
            <rFont val="Tahoma"/>
            <family val="2"/>
          </rPr>
          <t>Bryan:</t>
        </r>
        <r>
          <rPr>
            <sz val="9"/>
            <color indexed="81"/>
            <rFont val="Tahoma"/>
            <family val="2"/>
          </rPr>
          <t xml:space="preserve">
Tied to enrollment for new building.</t>
        </r>
      </text>
    </comment>
    <comment ref="AO69" authorId="1" shapeId="0" xr:uid="{174F7CC8-75C0-4738-986B-2C07CE939BFE}">
      <text>
        <r>
          <rPr>
            <b/>
            <sz val="9"/>
            <color indexed="81"/>
            <rFont val="Tahoma"/>
            <family val="2"/>
          </rPr>
          <t>Bryan:</t>
        </r>
        <r>
          <rPr>
            <sz val="9"/>
            <color indexed="81"/>
            <rFont val="Tahoma"/>
            <family val="2"/>
          </rPr>
          <t xml:space="preserve">
Tied to enrollment for new building.</t>
        </r>
      </text>
    </comment>
    <comment ref="AP69" authorId="1" shapeId="0" xr:uid="{7A96B6B1-DADD-43F0-ACC7-B1B60E7630D3}">
      <text>
        <r>
          <rPr>
            <b/>
            <sz val="9"/>
            <color indexed="81"/>
            <rFont val="Tahoma"/>
            <family val="2"/>
          </rPr>
          <t>Bryan:</t>
        </r>
        <r>
          <rPr>
            <sz val="9"/>
            <color indexed="81"/>
            <rFont val="Tahoma"/>
            <family val="2"/>
          </rPr>
          <t xml:space="preserve">
Tied to enrollment for new building.</t>
        </r>
      </text>
    </comment>
    <comment ref="AQ69" authorId="1" shapeId="0" xr:uid="{15547B1D-5FCD-4C30-A45F-37E24FD12612}">
      <text>
        <r>
          <rPr>
            <b/>
            <sz val="9"/>
            <color indexed="81"/>
            <rFont val="Tahoma"/>
            <family val="2"/>
          </rPr>
          <t>Bryan:</t>
        </r>
        <r>
          <rPr>
            <sz val="9"/>
            <color indexed="81"/>
            <rFont val="Tahoma"/>
            <family val="2"/>
          </rPr>
          <t xml:space="preserve">
Tied to enrollment for new building.</t>
        </r>
      </text>
    </comment>
    <comment ref="AR69" authorId="1" shapeId="0" xr:uid="{5D621858-C0BB-408B-B8DB-66A716E75748}">
      <text>
        <r>
          <rPr>
            <b/>
            <sz val="9"/>
            <color indexed="81"/>
            <rFont val="Tahoma"/>
            <family val="2"/>
          </rPr>
          <t>Bryan:</t>
        </r>
        <r>
          <rPr>
            <sz val="9"/>
            <color indexed="81"/>
            <rFont val="Tahoma"/>
            <family val="2"/>
          </rPr>
          <t xml:space="preserve">
Tied to enrollment for new building.</t>
        </r>
      </text>
    </comment>
    <comment ref="AS69" authorId="1" shapeId="0" xr:uid="{EE4520B7-48EF-45C5-AA5D-399AB5227F60}">
      <text>
        <r>
          <rPr>
            <b/>
            <sz val="9"/>
            <color indexed="81"/>
            <rFont val="Tahoma"/>
            <family val="2"/>
          </rPr>
          <t>Bryan:</t>
        </r>
        <r>
          <rPr>
            <sz val="9"/>
            <color indexed="81"/>
            <rFont val="Tahoma"/>
            <family val="2"/>
          </rPr>
          <t xml:space="preserve">
Tied to enrollment for new building.</t>
        </r>
      </text>
    </comment>
    <comment ref="AT69" authorId="1" shapeId="0" xr:uid="{A064DF11-C0AB-4137-93E9-90B6B8C00191}">
      <text>
        <r>
          <rPr>
            <b/>
            <sz val="9"/>
            <color indexed="81"/>
            <rFont val="Tahoma"/>
            <family val="2"/>
          </rPr>
          <t>Bryan:</t>
        </r>
        <r>
          <rPr>
            <sz val="9"/>
            <color indexed="81"/>
            <rFont val="Tahoma"/>
            <family val="2"/>
          </rPr>
          <t xml:space="preserve">
Tied to enrollment for new building.</t>
        </r>
      </text>
    </comment>
    <comment ref="AU69" authorId="1" shapeId="0" xr:uid="{DFD6AA93-5141-4303-987A-6C32B4B1206B}">
      <text>
        <r>
          <rPr>
            <b/>
            <sz val="9"/>
            <color indexed="81"/>
            <rFont val="Tahoma"/>
            <family val="2"/>
          </rPr>
          <t>Bryan:</t>
        </r>
        <r>
          <rPr>
            <sz val="9"/>
            <color indexed="81"/>
            <rFont val="Tahoma"/>
            <family val="2"/>
          </rPr>
          <t xml:space="preserve">
Tied to enrollment for new building.</t>
        </r>
      </text>
    </comment>
    <comment ref="AV69" authorId="1" shapeId="0" xr:uid="{D76BC35B-1092-496F-A041-DFADA77667ED}">
      <text>
        <r>
          <rPr>
            <b/>
            <sz val="9"/>
            <color indexed="81"/>
            <rFont val="Tahoma"/>
            <family val="2"/>
          </rPr>
          <t>Bryan:</t>
        </r>
        <r>
          <rPr>
            <sz val="9"/>
            <color indexed="81"/>
            <rFont val="Tahoma"/>
            <family val="2"/>
          </rPr>
          <t xml:space="preserve">
Tied to enrollment for new building.</t>
        </r>
      </text>
    </comment>
    <comment ref="AW69" authorId="1" shapeId="0" xr:uid="{B4BA65BD-C2BE-4E0F-8B71-2AF93BA37D29}">
      <text>
        <r>
          <rPr>
            <b/>
            <sz val="9"/>
            <color indexed="81"/>
            <rFont val="Tahoma"/>
            <family val="2"/>
          </rPr>
          <t>Bryan:</t>
        </r>
        <r>
          <rPr>
            <sz val="9"/>
            <color indexed="81"/>
            <rFont val="Tahoma"/>
            <family val="2"/>
          </rPr>
          <t xml:space="preserve">
Tied to enrollment for new building.</t>
        </r>
      </text>
    </comment>
    <comment ref="AX69" authorId="1" shapeId="0" xr:uid="{4F0C2EB7-43E4-4F7A-9529-4C72CC989984}">
      <text>
        <r>
          <rPr>
            <b/>
            <sz val="9"/>
            <color indexed="81"/>
            <rFont val="Tahoma"/>
            <family val="2"/>
          </rPr>
          <t>Bryan:</t>
        </r>
        <r>
          <rPr>
            <sz val="9"/>
            <color indexed="81"/>
            <rFont val="Tahoma"/>
            <family val="2"/>
          </rPr>
          <t xml:space="preserve">
Tied to enrollment for new building.</t>
        </r>
      </text>
    </comment>
    <comment ref="AY69" authorId="1" shapeId="0" xr:uid="{0FD0D602-4D0B-4A8F-8F77-F6D453EAE2AC}">
      <text>
        <r>
          <rPr>
            <b/>
            <sz val="9"/>
            <color indexed="81"/>
            <rFont val="Tahoma"/>
            <family val="2"/>
          </rPr>
          <t>Bryan:</t>
        </r>
        <r>
          <rPr>
            <sz val="9"/>
            <color indexed="81"/>
            <rFont val="Tahoma"/>
            <family val="2"/>
          </rPr>
          <t xml:space="preserve">
Tied to enrollment for new building.</t>
        </r>
      </text>
    </comment>
    <comment ref="AZ69" authorId="1" shapeId="0" xr:uid="{5AB1E5CE-BA18-4059-9187-DEDFFD84DBE0}">
      <text>
        <r>
          <rPr>
            <b/>
            <sz val="9"/>
            <color indexed="81"/>
            <rFont val="Tahoma"/>
            <family val="2"/>
          </rPr>
          <t>Bryan:</t>
        </r>
        <r>
          <rPr>
            <sz val="9"/>
            <color indexed="81"/>
            <rFont val="Tahoma"/>
            <family val="2"/>
          </rPr>
          <t xml:space="preserve">
Tied to enrollment for new building.</t>
        </r>
      </text>
    </comment>
    <comment ref="AG71" authorId="1" shapeId="0" xr:uid="{8E03EF68-EE66-488D-A009-DD62BB8BBF17}">
      <text>
        <r>
          <rPr>
            <b/>
            <sz val="9"/>
            <color indexed="81"/>
            <rFont val="Tahoma"/>
            <family val="2"/>
          </rPr>
          <t>Bryan:</t>
        </r>
        <r>
          <rPr>
            <sz val="9"/>
            <color indexed="81"/>
            <rFont val="Tahoma"/>
            <family val="2"/>
          </rPr>
          <t xml:space="preserve">
Non-recurring purchase from grant money.</t>
        </r>
      </text>
    </comment>
    <comment ref="AO71" authorId="1" shapeId="0" xr:uid="{B4C4D54B-3F2E-4310-9916-6DF5CAE66E51}">
      <text>
        <r>
          <rPr>
            <b/>
            <sz val="9"/>
            <color indexed="81"/>
            <rFont val="Tahoma"/>
            <family val="2"/>
          </rPr>
          <t>Bryan:</t>
        </r>
        <r>
          <rPr>
            <sz val="9"/>
            <color indexed="81"/>
            <rFont val="Tahoma"/>
            <family val="2"/>
          </rPr>
          <t xml:space="preserve">
Tied to enrollment for new building.</t>
        </r>
      </text>
    </comment>
    <comment ref="AP71" authorId="1" shapeId="0" xr:uid="{FF5D7BF4-15D8-45C8-866B-E2972571C55E}">
      <text>
        <r>
          <rPr>
            <b/>
            <sz val="9"/>
            <color indexed="81"/>
            <rFont val="Tahoma"/>
            <family val="2"/>
          </rPr>
          <t>Bryan:</t>
        </r>
        <r>
          <rPr>
            <sz val="9"/>
            <color indexed="81"/>
            <rFont val="Tahoma"/>
            <family val="2"/>
          </rPr>
          <t xml:space="preserve">
Tied to enrollment for new building.</t>
        </r>
      </text>
    </comment>
    <comment ref="AQ71" authorId="1" shapeId="0" xr:uid="{7B5A63A2-799F-497A-BC2E-4E4237578B04}">
      <text>
        <r>
          <rPr>
            <b/>
            <sz val="9"/>
            <color indexed="81"/>
            <rFont val="Tahoma"/>
            <family val="2"/>
          </rPr>
          <t>Bryan:</t>
        </r>
        <r>
          <rPr>
            <sz val="9"/>
            <color indexed="81"/>
            <rFont val="Tahoma"/>
            <family val="2"/>
          </rPr>
          <t xml:space="preserve">
Tied to enrollment for new building.</t>
        </r>
      </text>
    </comment>
    <comment ref="AR71" authorId="1" shapeId="0" xr:uid="{F5D947F1-3000-4225-8B28-82EEC0B5B3CA}">
      <text>
        <r>
          <rPr>
            <b/>
            <sz val="9"/>
            <color indexed="81"/>
            <rFont val="Tahoma"/>
            <family val="2"/>
          </rPr>
          <t>Bryan:</t>
        </r>
        <r>
          <rPr>
            <sz val="9"/>
            <color indexed="81"/>
            <rFont val="Tahoma"/>
            <family val="2"/>
          </rPr>
          <t xml:space="preserve">
Tied to enrollment for new building.</t>
        </r>
      </text>
    </comment>
    <comment ref="AS71" authorId="1" shapeId="0" xr:uid="{1AFE752E-0B29-4250-BD7A-E2FD78347DCE}">
      <text>
        <r>
          <rPr>
            <b/>
            <sz val="9"/>
            <color indexed="81"/>
            <rFont val="Tahoma"/>
            <family val="2"/>
          </rPr>
          <t>Bryan:</t>
        </r>
        <r>
          <rPr>
            <sz val="9"/>
            <color indexed="81"/>
            <rFont val="Tahoma"/>
            <family val="2"/>
          </rPr>
          <t xml:space="preserve">
Tied to enrollment for new building.</t>
        </r>
      </text>
    </comment>
    <comment ref="AT71" authorId="1" shapeId="0" xr:uid="{35DC1720-7E2D-4A24-9915-5364F1454D76}">
      <text>
        <r>
          <rPr>
            <b/>
            <sz val="9"/>
            <color indexed="81"/>
            <rFont val="Tahoma"/>
            <family val="2"/>
          </rPr>
          <t>Bryan:</t>
        </r>
        <r>
          <rPr>
            <sz val="9"/>
            <color indexed="81"/>
            <rFont val="Tahoma"/>
            <family val="2"/>
          </rPr>
          <t xml:space="preserve">
Tied to enrollment for new building.</t>
        </r>
      </text>
    </comment>
    <comment ref="AU71" authorId="1" shapeId="0" xr:uid="{2A1F4795-872F-4EFD-AD4D-1D2427CEF8C4}">
      <text>
        <r>
          <rPr>
            <b/>
            <sz val="9"/>
            <color indexed="81"/>
            <rFont val="Tahoma"/>
            <family val="2"/>
          </rPr>
          <t>Bryan:</t>
        </r>
        <r>
          <rPr>
            <sz val="9"/>
            <color indexed="81"/>
            <rFont val="Tahoma"/>
            <family val="2"/>
          </rPr>
          <t xml:space="preserve">
Tied to enrollment for new building.</t>
        </r>
      </text>
    </comment>
    <comment ref="AV71" authorId="1" shapeId="0" xr:uid="{3D9E3E4B-AFCC-4A42-941E-BAF06C60278B}">
      <text>
        <r>
          <rPr>
            <b/>
            <sz val="9"/>
            <color indexed="81"/>
            <rFont val="Tahoma"/>
            <family val="2"/>
          </rPr>
          <t>Bryan:</t>
        </r>
        <r>
          <rPr>
            <sz val="9"/>
            <color indexed="81"/>
            <rFont val="Tahoma"/>
            <family val="2"/>
          </rPr>
          <t xml:space="preserve">
Tied to enrollment for new building.</t>
        </r>
      </text>
    </comment>
    <comment ref="AW71" authorId="1" shapeId="0" xr:uid="{8A02D339-4A64-414F-9FEF-90CBF41B8093}">
      <text>
        <r>
          <rPr>
            <b/>
            <sz val="9"/>
            <color indexed="81"/>
            <rFont val="Tahoma"/>
            <family val="2"/>
          </rPr>
          <t>Bryan:</t>
        </r>
        <r>
          <rPr>
            <sz val="9"/>
            <color indexed="81"/>
            <rFont val="Tahoma"/>
            <family val="2"/>
          </rPr>
          <t xml:space="preserve">
Tied to enrollment for new building.</t>
        </r>
      </text>
    </comment>
    <comment ref="AX71" authorId="1" shapeId="0" xr:uid="{AB7B9A5E-C7D5-403C-9771-7C3472550858}">
      <text>
        <r>
          <rPr>
            <b/>
            <sz val="9"/>
            <color indexed="81"/>
            <rFont val="Tahoma"/>
            <family val="2"/>
          </rPr>
          <t>Bryan:</t>
        </r>
        <r>
          <rPr>
            <sz val="9"/>
            <color indexed="81"/>
            <rFont val="Tahoma"/>
            <family val="2"/>
          </rPr>
          <t xml:space="preserve">
Tied to enrollment for new building.</t>
        </r>
      </text>
    </comment>
    <comment ref="AY71" authorId="1" shapeId="0" xr:uid="{8FA3E009-F2D4-42AC-BEC1-41753BE0D837}">
      <text>
        <r>
          <rPr>
            <b/>
            <sz val="9"/>
            <color indexed="81"/>
            <rFont val="Tahoma"/>
            <family val="2"/>
          </rPr>
          <t>Bryan:</t>
        </r>
        <r>
          <rPr>
            <sz val="9"/>
            <color indexed="81"/>
            <rFont val="Tahoma"/>
            <family val="2"/>
          </rPr>
          <t xml:space="preserve">
Tied to enrollment for new building.</t>
        </r>
      </text>
    </comment>
    <comment ref="AZ71" authorId="1" shapeId="0" xr:uid="{8780A2DB-636C-46C6-8ABC-DEB0A2B7F86B}">
      <text>
        <r>
          <rPr>
            <b/>
            <sz val="9"/>
            <color indexed="81"/>
            <rFont val="Tahoma"/>
            <family val="2"/>
          </rPr>
          <t>Bryan:</t>
        </r>
        <r>
          <rPr>
            <sz val="9"/>
            <color indexed="81"/>
            <rFont val="Tahoma"/>
            <family val="2"/>
          </rPr>
          <t xml:space="preserve">
Tied to enrollment for new building.</t>
        </r>
      </text>
    </comment>
    <comment ref="AO72" authorId="1" shapeId="0" xr:uid="{B9065C7B-0DE3-4976-8D7C-E16BD4FF9EFA}">
      <text>
        <r>
          <rPr>
            <b/>
            <sz val="9"/>
            <color indexed="81"/>
            <rFont val="Tahoma"/>
            <family val="2"/>
          </rPr>
          <t>Bryan:</t>
        </r>
        <r>
          <rPr>
            <sz val="9"/>
            <color indexed="81"/>
            <rFont val="Tahoma"/>
            <family val="2"/>
          </rPr>
          <t xml:space="preserve">
Tied to enrollment for new building.</t>
        </r>
      </text>
    </comment>
    <comment ref="AP72" authorId="1" shapeId="0" xr:uid="{56E1738C-9039-48FF-A3B4-5BD3961A1155}">
      <text>
        <r>
          <rPr>
            <b/>
            <sz val="9"/>
            <color indexed="81"/>
            <rFont val="Tahoma"/>
            <family val="2"/>
          </rPr>
          <t>Bryan:</t>
        </r>
        <r>
          <rPr>
            <sz val="9"/>
            <color indexed="81"/>
            <rFont val="Tahoma"/>
            <family val="2"/>
          </rPr>
          <t xml:space="preserve">
Tied to enrollment for new building.</t>
        </r>
      </text>
    </comment>
    <comment ref="AQ72" authorId="1" shapeId="0" xr:uid="{65EC8D53-525F-4B9E-84B9-6CB71F00E4C6}">
      <text>
        <r>
          <rPr>
            <b/>
            <sz val="9"/>
            <color indexed="81"/>
            <rFont val="Tahoma"/>
            <family val="2"/>
          </rPr>
          <t>Bryan:</t>
        </r>
        <r>
          <rPr>
            <sz val="9"/>
            <color indexed="81"/>
            <rFont val="Tahoma"/>
            <family val="2"/>
          </rPr>
          <t xml:space="preserve">
Tied to enrollment for new building.</t>
        </r>
      </text>
    </comment>
    <comment ref="AR72" authorId="1" shapeId="0" xr:uid="{563848A2-7286-46EB-B3A5-7E71D4C7666D}">
      <text>
        <r>
          <rPr>
            <b/>
            <sz val="9"/>
            <color indexed="81"/>
            <rFont val="Tahoma"/>
            <family val="2"/>
          </rPr>
          <t>Bryan:</t>
        </r>
        <r>
          <rPr>
            <sz val="9"/>
            <color indexed="81"/>
            <rFont val="Tahoma"/>
            <family val="2"/>
          </rPr>
          <t xml:space="preserve">
Tied to enrollment for new building.</t>
        </r>
      </text>
    </comment>
    <comment ref="AS72" authorId="1" shapeId="0" xr:uid="{631987E1-A21D-4326-9B13-80F441FB9347}">
      <text>
        <r>
          <rPr>
            <b/>
            <sz val="9"/>
            <color indexed="81"/>
            <rFont val="Tahoma"/>
            <family val="2"/>
          </rPr>
          <t>Bryan:</t>
        </r>
        <r>
          <rPr>
            <sz val="9"/>
            <color indexed="81"/>
            <rFont val="Tahoma"/>
            <family val="2"/>
          </rPr>
          <t xml:space="preserve">
Tied to enrollment for new building.</t>
        </r>
      </text>
    </comment>
    <comment ref="AT72" authorId="1" shapeId="0" xr:uid="{432937CB-694A-4478-AB12-6EF4927F4F1E}">
      <text>
        <r>
          <rPr>
            <b/>
            <sz val="9"/>
            <color indexed="81"/>
            <rFont val="Tahoma"/>
            <family val="2"/>
          </rPr>
          <t>Bryan:</t>
        </r>
        <r>
          <rPr>
            <sz val="9"/>
            <color indexed="81"/>
            <rFont val="Tahoma"/>
            <family val="2"/>
          </rPr>
          <t xml:space="preserve">
Tied to enrollment for new building.</t>
        </r>
      </text>
    </comment>
    <comment ref="AU72" authorId="1" shapeId="0" xr:uid="{CC4BF7A6-C506-4B62-B478-E37EFBBDAE78}">
      <text>
        <r>
          <rPr>
            <b/>
            <sz val="9"/>
            <color indexed="81"/>
            <rFont val="Tahoma"/>
            <family val="2"/>
          </rPr>
          <t>Bryan:</t>
        </r>
        <r>
          <rPr>
            <sz val="9"/>
            <color indexed="81"/>
            <rFont val="Tahoma"/>
            <family val="2"/>
          </rPr>
          <t xml:space="preserve">
Tied to enrollment for new building.</t>
        </r>
      </text>
    </comment>
    <comment ref="AV72" authorId="1" shapeId="0" xr:uid="{262D0E91-61E5-45E5-94A7-FB6D9C90DA66}">
      <text>
        <r>
          <rPr>
            <b/>
            <sz val="9"/>
            <color indexed="81"/>
            <rFont val="Tahoma"/>
            <family val="2"/>
          </rPr>
          <t>Bryan:</t>
        </r>
        <r>
          <rPr>
            <sz val="9"/>
            <color indexed="81"/>
            <rFont val="Tahoma"/>
            <family val="2"/>
          </rPr>
          <t xml:space="preserve">
Tied to enrollment for new building.</t>
        </r>
      </text>
    </comment>
    <comment ref="AW72" authorId="1" shapeId="0" xr:uid="{46A47E35-2E8D-451E-BC0D-C373E4272393}">
      <text>
        <r>
          <rPr>
            <b/>
            <sz val="9"/>
            <color indexed="81"/>
            <rFont val="Tahoma"/>
            <family val="2"/>
          </rPr>
          <t>Bryan:</t>
        </r>
        <r>
          <rPr>
            <sz val="9"/>
            <color indexed="81"/>
            <rFont val="Tahoma"/>
            <family val="2"/>
          </rPr>
          <t xml:space="preserve">
Tied to enrollment for new building.</t>
        </r>
      </text>
    </comment>
    <comment ref="AX72" authorId="1" shapeId="0" xr:uid="{AD35F634-CB90-446B-BF6B-D7604EC69D7A}">
      <text>
        <r>
          <rPr>
            <b/>
            <sz val="9"/>
            <color indexed="81"/>
            <rFont val="Tahoma"/>
            <family val="2"/>
          </rPr>
          <t>Bryan:</t>
        </r>
        <r>
          <rPr>
            <sz val="9"/>
            <color indexed="81"/>
            <rFont val="Tahoma"/>
            <family val="2"/>
          </rPr>
          <t xml:space="preserve">
Tied to enrollment for new building.</t>
        </r>
      </text>
    </comment>
    <comment ref="AY72" authorId="1" shapeId="0" xr:uid="{75600BDE-2923-4B49-80FC-1E37C98FDDE2}">
      <text>
        <r>
          <rPr>
            <b/>
            <sz val="9"/>
            <color indexed="81"/>
            <rFont val="Tahoma"/>
            <family val="2"/>
          </rPr>
          <t>Bryan:</t>
        </r>
        <r>
          <rPr>
            <sz val="9"/>
            <color indexed="81"/>
            <rFont val="Tahoma"/>
            <family val="2"/>
          </rPr>
          <t xml:space="preserve">
Tied to enrollment for new building.</t>
        </r>
      </text>
    </comment>
    <comment ref="AZ72" authorId="1" shapeId="0" xr:uid="{15AE5430-1C9F-4239-A7E7-525317462FA6}">
      <text>
        <r>
          <rPr>
            <b/>
            <sz val="9"/>
            <color indexed="81"/>
            <rFont val="Tahoma"/>
            <family val="2"/>
          </rPr>
          <t>Bryan:</t>
        </r>
        <r>
          <rPr>
            <sz val="9"/>
            <color indexed="81"/>
            <rFont val="Tahoma"/>
            <family val="2"/>
          </rPr>
          <t xml:space="preserve">
Tied to enrollment for new building.</t>
        </r>
      </text>
    </comment>
    <comment ref="AB73" authorId="1" shapeId="0" xr:uid="{443A26C7-A2E3-49E0-9100-6DE28FD9E920}">
      <text>
        <r>
          <rPr>
            <b/>
            <sz val="9"/>
            <color indexed="81"/>
            <rFont val="Tahoma"/>
            <family val="2"/>
          </rPr>
          <t>Bryan:</t>
        </r>
        <r>
          <rPr>
            <sz val="9"/>
            <color indexed="81"/>
            <rFont val="Tahoma"/>
            <family val="2"/>
          </rPr>
          <t xml:space="preserve">
Timing change</t>
        </r>
      </text>
    </comment>
    <comment ref="AE73" authorId="1" shapeId="0" xr:uid="{8F6550FE-19D9-4771-94AC-D0FD607D0E8E}">
      <text>
        <r>
          <rPr>
            <b/>
            <sz val="9"/>
            <color indexed="81"/>
            <rFont val="Tahoma"/>
            <family val="2"/>
          </rPr>
          <t>Bryan:</t>
        </r>
        <r>
          <rPr>
            <sz val="9"/>
            <color indexed="81"/>
            <rFont val="Tahoma"/>
            <family val="2"/>
          </rPr>
          <t xml:space="preserve">
Grant purchases
</t>
        </r>
      </text>
    </comment>
    <comment ref="AO73" authorId="1" shapeId="0" xr:uid="{A5D45EC3-A42C-458D-AB5E-555F031BB5D4}">
      <text>
        <r>
          <rPr>
            <b/>
            <sz val="9"/>
            <color indexed="81"/>
            <rFont val="Tahoma"/>
            <family val="2"/>
          </rPr>
          <t>Bryan:</t>
        </r>
        <r>
          <rPr>
            <sz val="9"/>
            <color indexed="81"/>
            <rFont val="Tahoma"/>
            <family val="2"/>
          </rPr>
          <t xml:space="preserve">
Tied to enrollment for new building.</t>
        </r>
      </text>
    </comment>
    <comment ref="AP73" authorId="1" shapeId="0" xr:uid="{6602677C-CA29-4E0F-93E7-7D32E0720352}">
      <text>
        <r>
          <rPr>
            <b/>
            <sz val="9"/>
            <color indexed="81"/>
            <rFont val="Tahoma"/>
            <family val="2"/>
          </rPr>
          <t>Bryan:</t>
        </r>
        <r>
          <rPr>
            <sz val="9"/>
            <color indexed="81"/>
            <rFont val="Tahoma"/>
            <family val="2"/>
          </rPr>
          <t xml:space="preserve">
Tied to enrollment for new building.</t>
        </r>
      </text>
    </comment>
    <comment ref="AQ73" authorId="1" shapeId="0" xr:uid="{E09B1E9B-C64E-4DDA-8C1C-A8842463571F}">
      <text>
        <r>
          <rPr>
            <b/>
            <sz val="9"/>
            <color indexed="81"/>
            <rFont val="Tahoma"/>
            <family val="2"/>
          </rPr>
          <t>Bryan:</t>
        </r>
        <r>
          <rPr>
            <sz val="9"/>
            <color indexed="81"/>
            <rFont val="Tahoma"/>
            <family val="2"/>
          </rPr>
          <t xml:space="preserve">
Lowered for no grant.</t>
        </r>
      </text>
    </comment>
    <comment ref="AR73" authorId="1" shapeId="0" xr:uid="{9BE52A54-3D93-4653-8291-D6CAA0D6532C}">
      <text>
        <r>
          <rPr>
            <b/>
            <sz val="9"/>
            <color indexed="81"/>
            <rFont val="Tahoma"/>
            <family val="2"/>
          </rPr>
          <t>Bryan:</t>
        </r>
        <r>
          <rPr>
            <sz val="9"/>
            <color indexed="81"/>
            <rFont val="Tahoma"/>
            <family val="2"/>
          </rPr>
          <t xml:space="preserve">
Tied to enrollment for new building.</t>
        </r>
      </text>
    </comment>
    <comment ref="AS73" authorId="1" shapeId="0" xr:uid="{7ED49B9E-D18A-409D-8ADE-1D96590976B6}">
      <text>
        <r>
          <rPr>
            <b/>
            <sz val="9"/>
            <color indexed="81"/>
            <rFont val="Tahoma"/>
            <family val="2"/>
          </rPr>
          <t>Bryan:</t>
        </r>
        <r>
          <rPr>
            <sz val="9"/>
            <color indexed="81"/>
            <rFont val="Tahoma"/>
            <family val="2"/>
          </rPr>
          <t xml:space="preserve">
Tied to enrollment for new building.</t>
        </r>
      </text>
    </comment>
    <comment ref="AT73" authorId="1" shapeId="0" xr:uid="{1990B954-C5ED-4F7D-B0BB-A9C8CF9FC414}">
      <text>
        <r>
          <rPr>
            <b/>
            <sz val="9"/>
            <color indexed="81"/>
            <rFont val="Tahoma"/>
            <family val="2"/>
          </rPr>
          <t>Bryan:</t>
        </r>
        <r>
          <rPr>
            <sz val="9"/>
            <color indexed="81"/>
            <rFont val="Tahoma"/>
            <family val="2"/>
          </rPr>
          <t xml:space="preserve">
Tied to enrollment for new building.</t>
        </r>
      </text>
    </comment>
    <comment ref="AU73" authorId="1" shapeId="0" xr:uid="{CA82A03A-F195-46C6-8D6D-983A31EA3497}">
      <text>
        <r>
          <rPr>
            <b/>
            <sz val="9"/>
            <color indexed="81"/>
            <rFont val="Tahoma"/>
            <family val="2"/>
          </rPr>
          <t>Bryan:</t>
        </r>
        <r>
          <rPr>
            <sz val="9"/>
            <color indexed="81"/>
            <rFont val="Tahoma"/>
            <family val="2"/>
          </rPr>
          <t xml:space="preserve">
Tied to enrollment for new building.</t>
        </r>
      </text>
    </comment>
    <comment ref="AV73" authorId="1" shapeId="0" xr:uid="{C84491F3-19A9-4A4C-A47F-764D0A96F7FB}">
      <text>
        <r>
          <rPr>
            <b/>
            <sz val="9"/>
            <color indexed="81"/>
            <rFont val="Tahoma"/>
            <family val="2"/>
          </rPr>
          <t>Bryan:</t>
        </r>
        <r>
          <rPr>
            <sz val="9"/>
            <color indexed="81"/>
            <rFont val="Tahoma"/>
            <family val="2"/>
          </rPr>
          <t xml:space="preserve">
Tied to enrollment for new building.</t>
        </r>
      </text>
    </comment>
    <comment ref="AW73" authorId="1" shapeId="0" xr:uid="{8F330C04-2832-43FC-B2C9-348815DF1345}">
      <text>
        <r>
          <rPr>
            <b/>
            <sz val="9"/>
            <color indexed="81"/>
            <rFont val="Tahoma"/>
            <family val="2"/>
          </rPr>
          <t>Bryan:</t>
        </r>
        <r>
          <rPr>
            <sz val="9"/>
            <color indexed="81"/>
            <rFont val="Tahoma"/>
            <family val="2"/>
          </rPr>
          <t xml:space="preserve">
Tied to enrollment for new building.</t>
        </r>
      </text>
    </comment>
    <comment ref="AX73" authorId="1" shapeId="0" xr:uid="{7107D7D9-22B8-41F0-A2FC-99D3D3BE8362}">
      <text>
        <r>
          <rPr>
            <b/>
            <sz val="9"/>
            <color indexed="81"/>
            <rFont val="Tahoma"/>
            <family val="2"/>
          </rPr>
          <t>Bryan:</t>
        </r>
        <r>
          <rPr>
            <sz val="9"/>
            <color indexed="81"/>
            <rFont val="Tahoma"/>
            <family val="2"/>
          </rPr>
          <t xml:space="preserve">
Tied to enrollment for new building.</t>
        </r>
      </text>
    </comment>
    <comment ref="AY73" authorId="1" shapeId="0" xr:uid="{E73AA0AC-5271-4144-9681-53B74D45DAB9}">
      <text>
        <r>
          <rPr>
            <b/>
            <sz val="9"/>
            <color indexed="81"/>
            <rFont val="Tahoma"/>
            <family val="2"/>
          </rPr>
          <t>Bryan:</t>
        </r>
        <r>
          <rPr>
            <sz val="9"/>
            <color indexed="81"/>
            <rFont val="Tahoma"/>
            <family val="2"/>
          </rPr>
          <t xml:space="preserve">
Tied to enrollment for new building.</t>
        </r>
      </text>
    </comment>
    <comment ref="AZ73" authorId="1" shapeId="0" xr:uid="{4963CA9D-4900-4684-8F68-2B936EC0174A}">
      <text>
        <r>
          <rPr>
            <b/>
            <sz val="9"/>
            <color indexed="81"/>
            <rFont val="Tahoma"/>
            <family val="2"/>
          </rPr>
          <t>Bryan:</t>
        </r>
        <r>
          <rPr>
            <sz val="9"/>
            <color indexed="81"/>
            <rFont val="Tahoma"/>
            <family val="2"/>
          </rPr>
          <t xml:space="preserve">
Tied to enrollment for new building.</t>
        </r>
      </text>
    </comment>
    <comment ref="AO76" authorId="1" shapeId="0" xr:uid="{E36F5DDF-DDDA-4927-B182-139D0CCD84EF}">
      <text>
        <r>
          <rPr>
            <b/>
            <sz val="9"/>
            <color indexed="81"/>
            <rFont val="Tahoma"/>
            <family val="2"/>
          </rPr>
          <t>Bryan:</t>
        </r>
        <r>
          <rPr>
            <sz val="9"/>
            <color indexed="81"/>
            <rFont val="Tahoma"/>
            <family val="2"/>
          </rPr>
          <t xml:space="preserve">
Tied to enrollment for new building.</t>
        </r>
      </text>
    </comment>
    <comment ref="AP76" authorId="1" shapeId="0" xr:uid="{850CAFDB-04D8-411D-AA6D-579D5FE77AED}">
      <text>
        <r>
          <rPr>
            <b/>
            <sz val="9"/>
            <color indexed="81"/>
            <rFont val="Tahoma"/>
            <family val="2"/>
          </rPr>
          <t>Bryan:</t>
        </r>
        <r>
          <rPr>
            <sz val="9"/>
            <color indexed="81"/>
            <rFont val="Tahoma"/>
            <family val="2"/>
          </rPr>
          <t xml:space="preserve">
Tied to enrollment for new building.</t>
        </r>
      </text>
    </comment>
    <comment ref="AQ76" authorId="1" shapeId="0" xr:uid="{499D5C51-70BC-4715-BABE-BE38B366CF36}">
      <text>
        <r>
          <rPr>
            <b/>
            <sz val="9"/>
            <color indexed="81"/>
            <rFont val="Tahoma"/>
            <family val="2"/>
          </rPr>
          <t>Bryan:</t>
        </r>
        <r>
          <rPr>
            <sz val="9"/>
            <color indexed="81"/>
            <rFont val="Tahoma"/>
            <family val="2"/>
          </rPr>
          <t xml:space="preserve">
Tied to enrollment for new building.</t>
        </r>
      </text>
    </comment>
    <comment ref="AR76" authorId="1" shapeId="0" xr:uid="{3FFC960A-B30B-47BD-8A6A-358DE9BA1A13}">
      <text>
        <r>
          <rPr>
            <b/>
            <sz val="9"/>
            <color indexed="81"/>
            <rFont val="Tahoma"/>
            <family val="2"/>
          </rPr>
          <t>Bryan:</t>
        </r>
        <r>
          <rPr>
            <sz val="9"/>
            <color indexed="81"/>
            <rFont val="Tahoma"/>
            <family val="2"/>
          </rPr>
          <t xml:space="preserve">
Tied to enrollment for new building.</t>
        </r>
      </text>
    </comment>
    <comment ref="AS76" authorId="1" shapeId="0" xr:uid="{5E438B1E-2051-441B-B327-8EB13BAF2DBE}">
      <text>
        <r>
          <rPr>
            <b/>
            <sz val="9"/>
            <color indexed="81"/>
            <rFont val="Tahoma"/>
            <family val="2"/>
          </rPr>
          <t>Bryan:</t>
        </r>
        <r>
          <rPr>
            <sz val="9"/>
            <color indexed="81"/>
            <rFont val="Tahoma"/>
            <family val="2"/>
          </rPr>
          <t xml:space="preserve">
Tied to enrollment for new building.</t>
        </r>
      </text>
    </comment>
    <comment ref="AT76" authorId="1" shapeId="0" xr:uid="{1B0204CA-FBC3-4739-B13A-BF08F2B140A7}">
      <text>
        <r>
          <rPr>
            <b/>
            <sz val="9"/>
            <color indexed="81"/>
            <rFont val="Tahoma"/>
            <family val="2"/>
          </rPr>
          <t>Bryan:</t>
        </r>
        <r>
          <rPr>
            <sz val="9"/>
            <color indexed="81"/>
            <rFont val="Tahoma"/>
            <family val="2"/>
          </rPr>
          <t xml:space="preserve">
Tied to enrollment for new building.</t>
        </r>
      </text>
    </comment>
    <comment ref="AU76" authorId="1" shapeId="0" xr:uid="{C7B741A5-F737-4CE2-BF8F-1D48833E9A26}">
      <text>
        <r>
          <rPr>
            <b/>
            <sz val="9"/>
            <color indexed="81"/>
            <rFont val="Tahoma"/>
            <family val="2"/>
          </rPr>
          <t>Bryan:</t>
        </r>
        <r>
          <rPr>
            <sz val="9"/>
            <color indexed="81"/>
            <rFont val="Tahoma"/>
            <family val="2"/>
          </rPr>
          <t xml:space="preserve">
Tied to enrollment for new building.</t>
        </r>
      </text>
    </comment>
    <comment ref="AV76" authorId="1" shapeId="0" xr:uid="{BF131BA2-6469-41AE-BAD5-5DE2A05BD7D3}">
      <text>
        <r>
          <rPr>
            <b/>
            <sz val="9"/>
            <color indexed="81"/>
            <rFont val="Tahoma"/>
            <family val="2"/>
          </rPr>
          <t>Bryan:</t>
        </r>
        <r>
          <rPr>
            <sz val="9"/>
            <color indexed="81"/>
            <rFont val="Tahoma"/>
            <family val="2"/>
          </rPr>
          <t xml:space="preserve">
Tied to enrollment for new building.</t>
        </r>
      </text>
    </comment>
    <comment ref="AW76" authorId="1" shapeId="0" xr:uid="{41D9B165-0852-4C53-9A3C-4A05AD2A7BCA}">
      <text>
        <r>
          <rPr>
            <b/>
            <sz val="9"/>
            <color indexed="81"/>
            <rFont val="Tahoma"/>
            <family val="2"/>
          </rPr>
          <t>Bryan:</t>
        </r>
        <r>
          <rPr>
            <sz val="9"/>
            <color indexed="81"/>
            <rFont val="Tahoma"/>
            <family val="2"/>
          </rPr>
          <t xml:space="preserve">
Tied to enrollment for new building.</t>
        </r>
      </text>
    </comment>
    <comment ref="AX76" authorId="1" shapeId="0" xr:uid="{B7613AAF-9114-41C8-ACC7-D51D4F589AC3}">
      <text>
        <r>
          <rPr>
            <b/>
            <sz val="9"/>
            <color indexed="81"/>
            <rFont val="Tahoma"/>
            <family val="2"/>
          </rPr>
          <t>Bryan:</t>
        </r>
        <r>
          <rPr>
            <sz val="9"/>
            <color indexed="81"/>
            <rFont val="Tahoma"/>
            <family val="2"/>
          </rPr>
          <t xml:space="preserve">
Tied to enrollment for new building.</t>
        </r>
      </text>
    </comment>
    <comment ref="AY76" authorId="1" shapeId="0" xr:uid="{BDFB850F-BD9C-4A90-8733-A6CE22A1C6C7}">
      <text>
        <r>
          <rPr>
            <b/>
            <sz val="9"/>
            <color indexed="81"/>
            <rFont val="Tahoma"/>
            <family val="2"/>
          </rPr>
          <t>Bryan:</t>
        </r>
        <r>
          <rPr>
            <sz val="9"/>
            <color indexed="81"/>
            <rFont val="Tahoma"/>
            <family val="2"/>
          </rPr>
          <t xml:space="preserve">
Tied to enrollment for new building.</t>
        </r>
      </text>
    </comment>
    <comment ref="AZ76" authorId="1" shapeId="0" xr:uid="{353222C9-06AB-48F8-84A9-FBB0B4A1A212}">
      <text>
        <r>
          <rPr>
            <b/>
            <sz val="9"/>
            <color indexed="81"/>
            <rFont val="Tahoma"/>
            <family val="2"/>
          </rPr>
          <t>Bryan:</t>
        </r>
        <r>
          <rPr>
            <sz val="9"/>
            <color indexed="81"/>
            <rFont val="Tahoma"/>
            <family val="2"/>
          </rPr>
          <t xml:space="preserve">
Tied to enrollment for new building.</t>
        </r>
      </text>
    </comment>
    <comment ref="AO77" authorId="1" shapeId="0" xr:uid="{75251C37-C47E-4EBE-AD1D-2D0AE455E0C7}">
      <text>
        <r>
          <rPr>
            <b/>
            <sz val="9"/>
            <color indexed="81"/>
            <rFont val="Tahoma"/>
            <family val="2"/>
          </rPr>
          <t>Bryan:</t>
        </r>
        <r>
          <rPr>
            <sz val="9"/>
            <color indexed="81"/>
            <rFont val="Tahoma"/>
            <family val="2"/>
          </rPr>
          <t xml:space="preserve">
Tied to enrollment for new building.</t>
        </r>
      </text>
    </comment>
    <comment ref="AP77" authorId="1" shapeId="0" xr:uid="{2690CDF7-8560-4D23-A542-FF7D16278C95}">
      <text>
        <r>
          <rPr>
            <b/>
            <sz val="9"/>
            <color indexed="81"/>
            <rFont val="Tahoma"/>
            <family val="2"/>
          </rPr>
          <t>Bryan:</t>
        </r>
        <r>
          <rPr>
            <sz val="9"/>
            <color indexed="81"/>
            <rFont val="Tahoma"/>
            <family val="2"/>
          </rPr>
          <t xml:space="preserve">
Tied to enrollment for new building.</t>
        </r>
      </text>
    </comment>
    <comment ref="AQ77" authorId="1" shapeId="0" xr:uid="{DE5AB25D-F611-46AF-B342-B43619CD0F9F}">
      <text>
        <r>
          <rPr>
            <b/>
            <sz val="9"/>
            <color indexed="81"/>
            <rFont val="Tahoma"/>
            <family val="2"/>
          </rPr>
          <t>Bryan:</t>
        </r>
        <r>
          <rPr>
            <sz val="9"/>
            <color indexed="81"/>
            <rFont val="Tahoma"/>
            <family val="2"/>
          </rPr>
          <t xml:space="preserve">
Tied to enrollment for new building.</t>
        </r>
      </text>
    </comment>
    <comment ref="AR77" authorId="1" shapeId="0" xr:uid="{18452F0A-7EAC-4792-9A35-C49154072F3F}">
      <text>
        <r>
          <rPr>
            <b/>
            <sz val="9"/>
            <color indexed="81"/>
            <rFont val="Tahoma"/>
            <family val="2"/>
          </rPr>
          <t>Bryan:</t>
        </r>
        <r>
          <rPr>
            <sz val="9"/>
            <color indexed="81"/>
            <rFont val="Tahoma"/>
            <family val="2"/>
          </rPr>
          <t xml:space="preserve">
Tied to enrollment for new building.</t>
        </r>
      </text>
    </comment>
    <comment ref="AS77" authorId="1" shapeId="0" xr:uid="{84664466-C9BA-4D04-B0BA-F485B4CFFFC8}">
      <text>
        <r>
          <rPr>
            <b/>
            <sz val="9"/>
            <color indexed="81"/>
            <rFont val="Tahoma"/>
            <family val="2"/>
          </rPr>
          <t>Bryan:</t>
        </r>
        <r>
          <rPr>
            <sz val="9"/>
            <color indexed="81"/>
            <rFont val="Tahoma"/>
            <family val="2"/>
          </rPr>
          <t xml:space="preserve">
Tied to enrollment for new building.</t>
        </r>
      </text>
    </comment>
    <comment ref="AT77" authorId="1" shapeId="0" xr:uid="{3D04F44F-B948-4BED-B203-02632516FC84}">
      <text>
        <r>
          <rPr>
            <b/>
            <sz val="9"/>
            <color indexed="81"/>
            <rFont val="Tahoma"/>
            <family val="2"/>
          </rPr>
          <t>Bryan:</t>
        </r>
        <r>
          <rPr>
            <sz val="9"/>
            <color indexed="81"/>
            <rFont val="Tahoma"/>
            <family val="2"/>
          </rPr>
          <t xml:space="preserve">
Tied to enrollment for new building.</t>
        </r>
      </text>
    </comment>
    <comment ref="AU77" authorId="1" shapeId="0" xr:uid="{DB7C8FF3-6949-4E46-9BF5-A403A4346007}">
      <text>
        <r>
          <rPr>
            <b/>
            <sz val="9"/>
            <color indexed="81"/>
            <rFont val="Tahoma"/>
            <family val="2"/>
          </rPr>
          <t>Bryan:</t>
        </r>
        <r>
          <rPr>
            <sz val="9"/>
            <color indexed="81"/>
            <rFont val="Tahoma"/>
            <family val="2"/>
          </rPr>
          <t xml:space="preserve">
Tied to enrollment for new building.</t>
        </r>
      </text>
    </comment>
    <comment ref="AV77" authorId="1" shapeId="0" xr:uid="{14C1840A-DE07-440C-8E4F-1CAF9088CE38}">
      <text>
        <r>
          <rPr>
            <b/>
            <sz val="9"/>
            <color indexed="81"/>
            <rFont val="Tahoma"/>
            <family val="2"/>
          </rPr>
          <t>Bryan:</t>
        </r>
        <r>
          <rPr>
            <sz val="9"/>
            <color indexed="81"/>
            <rFont val="Tahoma"/>
            <family val="2"/>
          </rPr>
          <t xml:space="preserve">
Tied to enrollment for new building.</t>
        </r>
      </text>
    </comment>
    <comment ref="AW77" authorId="1" shapeId="0" xr:uid="{BC1170CF-8833-4709-BD5E-A12B4319A0FC}">
      <text>
        <r>
          <rPr>
            <b/>
            <sz val="9"/>
            <color indexed="81"/>
            <rFont val="Tahoma"/>
            <family val="2"/>
          </rPr>
          <t>Bryan:</t>
        </r>
        <r>
          <rPr>
            <sz val="9"/>
            <color indexed="81"/>
            <rFont val="Tahoma"/>
            <family val="2"/>
          </rPr>
          <t xml:space="preserve">
Tied to enrollment for new building.</t>
        </r>
      </text>
    </comment>
    <comment ref="AX77" authorId="1" shapeId="0" xr:uid="{4E794510-31C8-4990-9277-C9DC5609658D}">
      <text>
        <r>
          <rPr>
            <b/>
            <sz val="9"/>
            <color indexed="81"/>
            <rFont val="Tahoma"/>
            <family val="2"/>
          </rPr>
          <t>Bryan:</t>
        </r>
        <r>
          <rPr>
            <sz val="9"/>
            <color indexed="81"/>
            <rFont val="Tahoma"/>
            <family val="2"/>
          </rPr>
          <t xml:space="preserve">
Tied to enrollment for new building.</t>
        </r>
      </text>
    </comment>
    <comment ref="AY77" authorId="1" shapeId="0" xr:uid="{A665E7B3-D985-4429-811C-5DAD1DACA554}">
      <text>
        <r>
          <rPr>
            <b/>
            <sz val="9"/>
            <color indexed="81"/>
            <rFont val="Tahoma"/>
            <family val="2"/>
          </rPr>
          <t>Bryan:</t>
        </r>
        <r>
          <rPr>
            <sz val="9"/>
            <color indexed="81"/>
            <rFont val="Tahoma"/>
            <family val="2"/>
          </rPr>
          <t xml:space="preserve">
Tied to enrollment for new building.</t>
        </r>
      </text>
    </comment>
    <comment ref="AZ77" authorId="1" shapeId="0" xr:uid="{DD49B0F4-9ACF-43E0-98A5-99D76BD49384}">
      <text>
        <r>
          <rPr>
            <b/>
            <sz val="9"/>
            <color indexed="81"/>
            <rFont val="Tahoma"/>
            <family val="2"/>
          </rPr>
          <t>Bryan:</t>
        </r>
        <r>
          <rPr>
            <sz val="9"/>
            <color indexed="81"/>
            <rFont val="Tahoma"/>
            <family val="2"/>
          </rPr>
          <t xml:space="preserve">
Tied to enrollment for new building.</t>
        </r>
      </text>
    </comment>
    <comment ref="AO78" authorId="1" shapeId="0" xr:uid="{83E324B5-D4BF-49F4-8099-F313D241BE75}">
      <text>
        <r>
          <rPr>
            <b/>
            <sz val="9"/>
            <color indexed="81"/>
            <rFont val="Tahoma"/>
            <family val="2"/>
          </rPr>
          <t>Bryan:</t>
        </r>
        <r>
          <rPr>
            <sz val="9"/>
            <color indexed="81"/>
            <rFont val="Tahoma"/>
            <family val="2"/>
          </rPr>
          <t xml:space="preserve">
Tied to enrollment for new building.</t>
        </r>
      </text>
    </comment>
    <comment ref="AP78" authorId="1" shapeId="0" xr:uid="{547DA6CB-36DE-4E45-89C7-A71FDD1776D9}">
      <text>
        <r>
          <rPr>
            <b/>
            <sz val="9"/>
            <color indexed="81"/>
            <rFont val="Tahoma"/>
            <family val="2"/>
          </rPr>
          <t>Bryan:</t>
        </r>
        <r>
          <rPr>
            <sz val="9"/>
            <color indexed="81"/>
            <rFont val="Tahoma"/>
            <family val="2"/>
          </rPr>
          <t xml:space="preserve">
Tied to enrollment for new building.</t>
        </r>
      </text>
    </comment>
    <comment ref="AQ78" authorId="1" shapeId="0" xr:uid="{5EEF31DA-F871-4307-8262-9D27E2E2E109}">
      <text>
        <r>
          <rPr>
            <b/>
            <sz val="9"/>
            <color indexed="81"/>
            <rFont val="Tahoma"/>
            <family val="2"/>
          </rPr>
          <t>Bryan:</t>
        </r>
        <r>
          <rPr>
            <sz val="9"/>
            <color indexed="81"/>
            <rFont val="Tahoma"/>
            <family val="2"/>
          </rPr>
          <t xml:space="preserve">
Tied to enrollment for new building.</t>
        </r>
      </text>
    </comment>
    <comment ref="AR78" authorId="1" shapeId="0" xr:uid="{A96E5EFB-4601-4D52-8E1E-A8D2A1E02E9C}">
      <text>
        <r>
          <rPr>
            <b/>
            <sz val="9"/>
            <color indexed="81"/>
            <rFont val="Tahoma"/>
            <family val="2"/>
          </rPr>
          <t>Bryan:</t>
        </r>
        <r>
          <rPr>
            <sz val="9"/>
            <color indexed="81"/>
            <rFont val="Tahoma"/>
            <family val="2"/>
          </rPr>
          <t xml:space="preserve">
Tied to enrollment for new building.</t>
        </r>
      </text>
    </comment>
    <comment ref="AS78" authorId="1" shapeId="0" xr:uid="{0E8EA67C-B614-4B88-A085-E1C0A199F69B}">
      <text>
        <r>
          <rPr>
            <b/>
            <sz val="9"/>
            <color indexed="81"/>
            <rFont val="Tahoma"/>
            <family val="2"/>
          </rPr>
          <t>Bryan:</t>
        </r>
        <r>
          <rPr>
            <sz val="9"/>
            <color indexed="81"/>
            <rFont val="Tahoma"/>
            <family val="2"/>
          </rPr>
          <t xml:space="preserve">
Tied to enrollment for new building.</t>
        </r>
      </text>
    </comment>
    <comment ref="AT78" authorId="1" shapeId="0" xr:uid="{4C9C27A5-181D-4390-9A07-F61FFF2C0DFB}">
      <text>
        <r>
          <rPr>
            <b/>
            <sz val="9"/>
            <color indexed="81"/>
            <rFont val="Tahoma"/>
            <family val="2"/>
          </rPr>
          <t>Bryan:</t>
        </r>
        <r>
          <rPr>
            <sz val="9"/>
            <color indexed="81"/>
            <rFont val="Tahoma"/>
            <family val="2"/>
          </rPr>
          <t xml:space="preserve">
Tied to enrollment for new building.</t>
        </r>
      </text>
    </comment>
    <comment ref="AU78" authorId="1" shapeId="0" xr:uid="{64CE8F4C-5ADD-4836-B14A-A18F01E231B5}">
      <text>
        <r>
          <rPr>
            <b/>
            <sz val="9"/>
            <color indexed="81"/>
            <rFont val="Tahoma"/>
            <family val="2"/>
          </rPr>
          <t>Bryan:</t>
        </r>
        <r>
          <rPr>
            <sz val="9"/>
            <color indexed="81"/>
            <rFont val="Tahoma"/>
            <family val="2"/>
          </rPr>
          <t xml:space="preserve">
Tied to enrollment for new building.</t>
        </r>
      </text>
    </comment>
    <comment ref="AV78" authorId="1" shapeId="0" xr:uid="{B781FE15-F838-4291-A95E-1B4F30B1D4CD}">
      <text>
        <r>
          <rPr>
            <b/>
            <sz val="9"/>
            <color indexed="81"/>
            <rFont val="Tahoma"/>
            <family val="2"/>
          </rPr>
          <t>Bryan:</t>
        </r>
        <r>
          <rPr>
            <sz val="9"/>
            <color indexed="81"/>
            <rFont val="Tahoma"/>
            <family val="2"/>
          </rPr>
          <t xml:space="preserve">
Tied to enrollment for new building.</t>
        </r>
      </text>
    </comment>
    <comment ref="AW78" authorId="1" shapeId="0" xr:uid="{2126EA55-4BE8-4C1D-BBE0-17FF9F6727FC}">
      <text>
        <r>
          <rPr>
            <b/>
            <sz val="9"/>
            <color indexed="81"/>
            <rFont val="Tahoma"/>
            <family val="2"/>
          </rPr>
          <t>Bryan:</t>
        </r>
        <r>
          <rPr>
            <sz val="9"/>
            <color indexed="81"/>
            <rFont val="Tahoma"/>
            <family val="2"/>
          </rPr>
          <t xml:space="preserve">
Tied to enrollment for new building.</t>
        </r>
      </text>
    </comment>
    <comment ref="AX78" authorId="1" shapeId="0" xr:uid="{3839DFC0-475A-4264-8303-40DD762277DF}">
      <text>
        <r>
          <rPr>
            <b/>
            <sz val="9"/>
            <color indexed="81"/>
            <rFont val="Tahoma"/>
            <family val="2"/>
          </rPr>
          <t>Bryan:</t>
        </r>
        <r>
          <rPr>
            <sz val="9"/>
            <color indexed="81"/>
            <rFont val="Tahoma"/>
            <family val="2"/>
          </rPr>
          <t xml:space="preserve">
Tied to enrollment for new building.</t>
        </r>
      </text>
    </comment>
    <comment ref="AY78" authorId="1" shapeId="0" xr:uid="{26295285-7EA7-41A4-AD75-5C2E621A5401}">
      <text>
        <r>
          <rPr>
            <b/>
            <sz val="9"/>
            <color indexed="81"/>
            <rFont val="Tahoma"/>
            <family val="2"/>
          </rPr>
          <t>Bryan:</t>
        </r>
        <r>
          <rPr>
            <sz val="9"/>
            <color indexed="81"/>
            <rFont val="Tahoma"/>
            <family val="2"/>
          </rPr>
          <t xml:space="preserve">
Tied to enrollment for new building.</t>
        </r>
      </text>
    </comment>
    <comment ref="AZ78" authorId="1" shapeId="0" xr:uid="{353918EC-8692-48DD-BB79-14792DADE9FC}">
      <text>
        <r>
          <rPr>
            <b/>
            <sz val="9"/>
            <color indexed="81"/>
            <rFont val="Tahoma"/>
            <family val="2"/>
          </rPr>
          <t>Bryan:</t>
        </r>
        <r>
          <rPr>
            <sz val="9"/>
            <color indexed="81"/>
            <rFont val="Tahoma"/>
            <family val="2"/>
          </rPr>
          <t xml:space="preserve">
Tied to enrollment for new building.</t>
        </r>
      </text>
    </comment>
    <comment ref="AO79" authorId="1" shapeId="0" xr:uid="{CD47E542-6316-4C39-B83C-0B938FF23E3F}">
      <text>
        <r>
          <rPr>
            <b/>
            <sz val="9"/>
            <color indexed="81"/>
            <rFont val="Tahoma"/>
            <family val="2"/>
          </rPr>
          <t>Bryan:</t>
        </r>
        <r>
          <rPr>
            <sz val="9"/>
            <color indexed="81"/>
            <rFont val="Tahoma"/>
            <family val="2"/>
          </rPr>
          <t xml:space="preserve">
Tied to enrollment for new building.</t>
        </r>
      </text>
    </comment>
    <comment ref="AP79" authorId="1" shapeId="0" xr:uid="{DE39FA4F-9E99-4F47-B68E-B4A501619D23}">
      <text>
        <r>
          <rPr>
            <b/>
            <sz val="9"/>
            <color indexed="81"/>
            <rFont val="Tahoma"/>
            <family val="2"/>
          </rPr>
          <t>Bryan:</t>
        </r>
        <r>
          <rPr>
            <sz val="9"/>
            <color indexed="81"/>
            <rFont val="Tahoma"/>
            <family val="2"/>
          </rPr>
          <t xml:space="preserve">
Tied to enrollment for new building.</t>
        </r>
      </text>
    </comment>
    <comment ref="AQ79" authorId="1" shapeId="0" xr:uid="{46F163A5-9A35-4F5D-B73A-5F9B9F58338D}">
      <text>
        <r>
          <rPr>
            <b/>
            <sz val="9"/>
            <color indexed="81"/>
            <rFont val="Tahoma"/>
            <family val="2"/>
          </rPr>
          <t>Bryan:</t>
        </r>
        <r>
          <rPr>
            <sz val="9"/>
            <color indexed="81"/>
            <rFont val="Tahoma"/>
            <family val="2"/>
          </rPr>
          <t xml:space="preserve">
Tied to enrollment for new building.</t>
        </r>
      </text>
    </comment>
    <comment ref="AR79" authorId="1" shapeId="0" xr:uid="{A3E16394-7C60-4011-AE9C-49D4B1228661}">
      <text>
        <r>
          <rPr>
            <b/>
            <sz val="9"/>
            <color indexed="81"/>
            <rFont val="Tahoma"/>
            <family val="2"/>
          </rPr>
          <t>Bryan:</t>
        </r>
        <r>
          <rPr>
            <sz val="9"/>
            <color indexed="81"/>
            <rFont val="Tahoma"/>
            <family val="2"/>
          </rPr>
          <t xml:space="preserve">
Tied to enrollment for new building.</t>
        </r>
      </text>
    </comment>
    <comment ref="AS79" authorId="1" shapeId="0" xr:uid="{65172717-12F0-468D-A643-D567D386B770}">
      <text>
        <r>
          <rPr>
            <b/>
            <sz val="9"/>
            <color indexed="81"/>
            <rFont val="Tahoma"/>
            <family val="2"/>
          </rPr>
          <t>Bryan:</t>
        </r>
        <r>
          <rPr>
            <sz val="9"/>
            <color indexed="81"/>
            <rFont val="Tahoma"/>
            <family val="2"/>
          </rPr>
          <t xml:space="preserve">
Tied to enrollment for new building.</t>
        </r>
      </text>
    </comment>
    <comment ref="AT79" authorId="1" shapeId="0" xr:uid="{82595134-03C6-4870-AA59-66709619FB3C}">
      <text>
        <r>
          <rPr>
            <b/>
            <sz val="9"/>
            <color indexed="81"/>
            <rFont val="Tahoma"/>
            <family val="2"/>
          </rPr>
          <t>Bryan:</t>
        </r>
        <r>
          <rPr>
            <sz val="9"/>
            <color indexed="81"/>
            <rFont val="Tahoma"/>
            <family val="2"/>
          </rPr>
          <t xml:space="preserve">
Tied to enrollment for new building.</t>
        </r>
      </text>
    </comment>
    <comment ref="AU79" authorId="1" shapeId="0" xr:uid="{52A25511-AAD4-4E75-90CD-7852CC85EECC}">
      <text>
        <r>
          <rPr>
            <b/>
            <sz val="9"/>
            <color indexed="81"/>
            <rFont val="Tahoma"/>
            <family val="2"/>
          </rPr>
          <t>Bryan:</t>
        </r>
        <r>
          <rPr>
            <sz val="9"/>
            <color indexed="81"/>
            <rFont val="Tahoma"/>
            <family val="2"/>
          </rPr>
          <t xml:space="preserve">
Tied to enrollment for new building.</t>
        </r>
      </text>
    </comment>
    <comment ref="AV79" authorId="1" shapeId="0" xr:uid="{14B8BFEE-1CB7-455C-A8FE-7D8BA15B0391}">
      <text>
        <r>
          <rPr>
            <b/>
            <sz val="9"/>
            <color indexed="81"/>
            <rFont val="Tahoma"/>
            <family val="2"/>
          </rPr>
          <t>Bryan:</t>
        </r>
        <r>
          <rPr>
            <sz val="9"/>
            <color indexed="81"/>
            <rFont val="Tahoma"/>
            <family val="2"/>
          </rPr>
          <t xml:space="preserve">
Tied to enrollment for new building.</t>
        </r>
      </text>
    </comment>
    <comment ref="AW79" authorId="1" shapeId="0" xr:uid="{B4106F4F-2E0C-4460-9AA6-A81D5EEF8EBA}">
      <text>
        <r>
          <rPr>
            <b/>
            <sz val="9"/>
            <color indexed="81"/>
            <rFont val="Tahoma"/>
            <family val="2"/>
          </rPr>
          <t>Bryan:</t>
        </r>
        <r>
          <rPr>
            <sz val="9"/>
            <color indexed="81"/>
            <rFont val="Tahoma"/>
            <family val="2"/>
          </rPr>
          <t xml:space="preserve">
Tied to enrollment for new building.</t>
        </r>
      </text>
    </comment>
    <comment ref="AX79" authorId="1" shapeId="0" xr:uid="{25DF2C04-CDD6-46E1-ADD9-B79F55E2A830}">
      <text>
        <r>
          <rPr>
            <b/>
            <sz val="9"/>
            <color indexed="81"/>
            <rFont val="Tahoma"/>
            <family val="2"/>
          </rPr>
          <t>Bryan:</t>
        </r>
        <r>
          <rPr>
            <sz val="9"/>
            <color indexed="81"/>
            <rFont val="Tahoma"/>
            <family val="2"/>
          </rPr>
          <t xml:space="preserve">
Tied to enrollment for new building.</t>
        </r>
      </text>
    </comment>
    <comment ref="AY79" authorId="1" shapeId="0" xr:uid="{09EA6F84-2856-4687-8425-548AF82C8C45}">
      <text>
        <r>
          <rPr>
            <b/>
            <sz val="9"/>
            <color indexed="81"/>
            <rFont val="Tahoma"/>
            <family val="2"/>
          </rPr>
          <t>Bryan:</t>
        </r>
        <r>
          <rPr>
            <sz val="9"/>
            <color indexed="81"/>
            <rFont val="Tahoma"/>
            <family val="2"/>
          </rPr>
          <t xml:space="preserve">
Tied to enrollment for new building.</t>
        </r>
      </text>
    </comment>
    <comment ref="AZ79" authorId="1" shapeId="0" xr:uid="{EA8B4BCE-DC6C-4BE4-8329-AD20F367138D}">
      <text>
        <r>
          <rPr>
            <b/>
            <sz val="9"/>
            <color indexed="81"/>
            <rFont val="Tahoma"/>
            <family val="2"/>
          </rPr>
          <t>Bryan:</t>
        </r>
        <r>
          <rPr>
            <sz val="9"/>
            <color indexed="81"/>
            <rFont val="Tahoma"/>
            <family val="2"/>
          </rPr>
          <t xml:space="preserve">
Tied to enrollment for new building.</t>
        </r>
      </text>
    </comment>
    <comment ref="AO80" authorId="1" shapeId="0" xr:uid="{4FCC34E9-3EFA-4918-BA9B-B608C02A75C2}">
      <text>
        <r>
          <rPr>
            <b/>
            <sz val="9"/>
            <color indexed="81"/>
            <rFont val="Tahoma"/>
            <family val="2"/>
          </rPr>
          <t>Bryan:</t>
        </r>
        <r>
          <rPr>
            <sz val="9"/>
            <color indexed="81"/>
            <rFont val="Tahoma"/>
            <family val="2"/>
          </rPr>
          <t xml:space="preserve">
Tied to enrollment for new building.</t>
        </r>
      </text>
    </comment>
    <comment ref="AP80" authorId="1" shapeId="0" xr:uid="{0863851F-306E-463B-B738-46BD94E5FD67}">
      <text>
        <r>
          <rPr>
            <b/>
            <sz val="9"/>
            <color indexed="81"/>
            <rFont val="Tahoma"/>
            <family val="2"/>
          </rPr>
          <t>Bryan:</t>
        </r>
        <r>
          <rPr>
            <sz val="9"/>
            <color indexed="81"/>
            <rFont val="Tahoma"/>
            <family val="2"/>
          </rPr>
          <t xml:space="preserve">
Tied to enrollment for new building.</t>
        </r>
      </text>
    </comment>
    <comment ref="AQ80" authorId="1" shapeId="0" xr:uid="{CE711C93-AF67-4F28-B6EA-EEC107A2D2D8}">
      <text>
        <r>
          <rPr>
            <b/>
            <sz val="9"/>
            <color indexed="81"/>
            <rFont val="Tahoma"/>
            <family val="2"/>
          </rPr>
          <t>Bryan:</t>
        </r>
        <r>
          <rPr>
            <sz val="9"/>
            <color indexed="81"/>
            <rFont val="Tahoma"/>
            <family val="2"/>
          </rPr>
          <t xml:space="preserve">
Tied to enrollment for new building.</t>
        </r>
      </text>
    </comment>
    <comment ref="AR80" authorId="1" shapeId="0" xr:uid="{C2359502-D05C-40AB-AAED-BD3490D0B22D}">
      <text>
        <r>
          <rPr>
            <b/>
            <sz val="9"/>
            <color indexed="81"/>
            <rFont val="Tahoma"/>
            <family val="2"/>
          </rPr>
          <t>Bryan:</t>
        </r>
        <r>
          <rPr>
            <sz val="9"/>
            <color indexed="81"/>
            <rFont val="Tahoma"/>
            <family val="2"/>
          </rPr>
          <t xml:space="preserve">
Tied to enrollment for new building.</t>
        </r>
      </text>
    </comment>
    <comment ref="AS80" authorId="1" shapeId="0" xr:uid="{FEBB036E-8400-401C-882C-0C950099CDF0}">
      <text>
        <r>
          <rPr>
            <b/>
            <sz val="9"/>
            <color indexed="81"/>
            <rFont val="Tahoma"/>
            <family val="2"/>
          </rPr>
          <t>Bryan:</t>
        </r>
        <r>
          <rPr>
            <sz val="9"/>
            <color indexed="81"/>
            <rFont val="Tahoma"/>
            <family val="2"/>
          </rPr>
          <t xml:space="preserve">
Tied to enrollment for new building.</t>
        </r>
      </text>
    </comment>
    <comment ref="AT80" authorId="1" shapeId="0" xr:uid="{D8E61253-5908-48DA-BE97-FEEE11390929}">
      <text>
        <r>
          <rPr>
            <b/>
            <sz val="9"/>
            <color indexed="81"/>
            <rFont val="Tahoma"/>
            <family val="2"/>
          </rPr>
          <t>Bryan:</t>
        </r>
        <r>
          <rPr>
            <sz val="9"/>
            <color indexed="81"/>
            <rFont val="Tahoma"/>
            <family val="2"/>
          </rPr>
          <t xml:space="preserve">
Tied to enrollment for new building.</t>
        </r>
      </text>
    </comment>
    <comment ref="AU80" authorId="1" shapeId="0" xr:uid="{DFE6B85A-BD32-419E-8FD4-A51629A7B0B8}">
      <text>
        <r>
          <rPr>
            <b/>
            <sz val="9"/>
            <color indexed="81"/>
            <rFont val="Tahoma"/>
            <family val="2"/>
          </rPr>
          <t>Bryan:</t>
        </r>
        <r>
          <rPr>
            <sz val="9"/>
            <color indexed="81"/>
            <rFont val="Tahoma"/>
            <family val="2"/>
          </rPr>
          <t xml:space="preserve">
Tied to enrollment for new building.</t>
        </r>
      </text>
    </comment>
    <comment ref="AV80" authorId="1" shapeId="0" xr:uid="{3D152DCA-3C45-4DDB-8C7E-6D9243ADEBEA}">
      <text>
        <r>
          <rPr>
            <b/>
            <sz val="9"/>
            <color indexed="81"/>
            <rFont val="Tahoma"/>
            <family val="2"/>
          </rPr>
          <t>Bryan:</t>
        </r>
        <r>
          <rPr>
            <sz val="9"/>
            <color indexed="81"/>
            <rFont val="Tahoma"/>
            <family val="2"/>
          </rPr>
          <t xml:space="preserve">
Tied to enrollment for new building.</t>
        </r>
      </text>
    </comment>
    <comment ref="AW80" authorId="1" shapeId="0" xr:uid="{B30771CB-9487-4C0F-847D-7419A67CC75B}">
      <text>
        <r>
          <rPr>
            <b/>
            <sz val="9"/>
            <color indexed="81"/>
            <rFont val="Tahoma"/>
            <family val="2"/>
          </rPr>
          <t>Bryan:</t>
        </r>
        <r>
          <rPr>
            <sz val="9"/>
            <color indexed="81"/>
            <rFont val="Tahoma"/>
            <family val="2"/>
          </rPr>
          <t xml:space="preserve">
Tied to enrollment for new building.</t>
        </r>
      </text>
    </comment>
    <comment ref="AX80" authorId="1" shapeId="0" xr:uid="{74292740-000C-4652-9DA8-6E8F5E0BF5C4}">
      <text>
        <r>
          <rPr>
            <b/>
            <sz val="9"/>
            <color indexed="81"/>
            <rFont val="Tahoma"/>
            <family val="2"/>
          </rPr>
          <t>Bryan:</t>
        </r>
        <r>
          <rPr>
            <sz val="9"/>
            <color indexed="81"/>
            <rFont val="Tahoma"/>
            <family val="2"/>
          </rPr>
          <t xml:space="preserve">
Tied to enrollment for new building.</t>
        </r>
      </text>
    </comment>
    <comment ref="AY80" authorId="1" shapeId="0" xr:uid="{76A0F64F-D041-4B09-AA91-C36DBD8D47C8}">
      <text>
        <r>
          <rPr>
            <b/>
            <sz val="9"/>
            <color indexed="81"/>
            <rFont val="Tahoma"/>
            <family val="2"/>
          </rPr>
          <t>Bryan:</t>
        </r>
        <r>
          <rPr>
            <sz val="9"/>
            <color indexed="81"/>
            <rFont val="Tahoma"/>
            <family val="2"/>
          </rPr>
          <t xml:space="preserve">
Tied to enrollment for new building.</t>
        </r>
      </text>
    </comment>
    <comment ref="AZ80" authorId="1" shapeId="0" xr:uid="{4E3B80F2-E02F-4F9F-9E9E-09C3A432D889}">
      <text>
        <r>
          <rPr>
            <b/>
            <sz val="9"/>
            <color indexed="81"/>
            <rFont val="Tahoma"/>
            <family val="2"/>
          </rPr>
          <t>Bryan:</t>
        </r>
        <r>
          <rPr>
            <sz val="9"/>
            <color indexed="81"/>
            <rFont val="Tahoma"/>
            <family val="2"/>
          </rPr>
          <t xml:space="preserve">
Tied to enrollment for new building.</t>
        </r>
      </text>
    </comment>
    <comment ref="AO81" authorId="1" shapeId="0" xr:uid="{9F8A5924-6535-49AE-8F28-1508E716D871}">
      <text>
        <r>
          <rPr>
            <b/>
            <sz val="9"/>
            <color indexed="81"/>
            <rFont val="Tahoma"/>
            <family val="2"/>
          </rPr>
          <t>Bryan:</t>
        </r>
        <r>
          <rPr>
            <sz val="9"/>
            <color indexed="81"/>
            <rFont val="Tahoma"/>
            <family val="2"/>
          </rPr>
          <t xml:space="preserve">
Tied to enrollment for new building.</t>
        </r>
      </text>
    </comment>
    <comment ref="AP81" authorId="1" shapeId="0" xr:uid="{B46A951E-E1C0-424B-8EEB-0FD52363AFBE}">
      <text>
        <r>
          <rPr>
            <b/>
            <sz val="9"/>
            <color indexed="81"/>
            <rFont val="Tahoma"/>
            <family val="2"/>
          </rPr>
          <t>Bryan:</t>
        </r>
        <r>
          <rPr>
            <sz val="9"/>
            <color indexed="81"/>
            <rFont val="Tahoma"/>
            <family val="2"/>
          </rPr>
          <t xml:space="preserve">
Tied to enrollment for new building.</t>
        </r>
      </text>
    </comment>
    <comment ref="AQ81" authorId="1" shapeId="0" xr:uid="{61166180-05A8-4DDD-B6FA-9D22DC05D476}">
      <text>
        <r>
          <rPr>
            <b/>
            <sz val="9"/>
            <color indexed="81"/>
            <rFont val="Tahoma"/>
            <family val="2"/>
          </rPr>
          <t>Bryan:</t>
        </r>
        <r>
          <rPr>
            <sz val="9"/>
            <color indexed="81"/>
            <rFont val="Tahoma"/>
            <family val="2"/>
          </rPr>
          <t xml:space="preserve">
Tied to enrollment for new building.</t>
        </r>
      </text>
    </comment>
    <comment ref="AR81" authorId="1" shapeId="0" xr:uid="{44597CEE-47EF-4F6D-8B13-43C545903F2D}">
      <text>
        <r>
          <rPr>
            <b/>
            <sz val="9"/>
            <color indexed="81"/>
            <rFont val="Tahoma"/>
            <family val="2"/>
          </rPr>
          <t>Bryan:</t>
        </r>
        <r>
          <rPr>
            <sz val="9"/>
            <color indexed="81"/>
            <rFont val="Tahoma"/>
            <family val="2"/>
          </rPr>
          <t xml:space="preserve">
Tied to enrollment for new building.</t>
        </r>
      </text>
    </comment>
    <comment ref="AS81" authorId="1" shapeId="0" xr:uid="{446BB6F5-C438-4998-A0FF-CBD4DE6E223A}">
      <text>
        <r>
          <rPr>
            <b/>
            <sz val="9"/>
            <color indexed="81"/>
            <rFont val="Tahoma"/>
            <family val="2"/>
          </rPr>
          <t>Bryan:</t>
        </r>
        <r>
          <rPr>
            <sz val="9"/>
            <color indexed="81"/>
            <rFont val="Tahoma"/>
            <family val="2"/>
          </rPr>
          <t xml:space="preserve">
Tied to enrollment for new building.</t>
        </r>
      </text>
    </comment>
    <comment ref="AT81" authorId="1" shapeId="0" xr:uid="{EB11041D-AE5F-4A02-98AE-89A2C357C9C9}">
      <text>
        <r>
          <rPr>
            <b/>
            <sz val="9"/>
            <color indexed="81"/>
            <rFont val="Tahoma"/>
            <family val="2"/>
          </rPr>
          <t>Bryan:</t>
        </r>
        <r>
          <rPr>
            <sz val="9"/>
            <color indexed="81"/>
            <rFont val="Tahoma"/>
            <family val="2"/>
          </rPr>
          <t xml:space="preserve">
Tied to enrollment for new building.</t>
        </r>
      </text>
    </comment>
    <comment ref="AU81" authorId="1" shapeId="0" xr:uid="{E365AD89-B82E-4B16-9296-D588565B172C}">
      <text>
        <r>
          <rPr>
            <b/>
            <sz val="9"/>
            <color indexed="81"/>
            <rFont val="Tahoma"/>
            <family val="2"/>
          </rPr>
          <t>Bryan:</t>
        </r>
        <r>
          <rPr>
            <sz val="9"/>
            <color indexed="81"/>
            <rFont val="Tahoma"/>
            <family val="2"/>
          </rPr>
          <t xml:space="preserve">
Tied to enrollment for new building.</t>
        </r>
      </text>
    </comment>
    <comment ref="AV81" authorId="1" shapeId="0" xr:uid="{FD2FC39D-8A08-4480-8DB8-54653B5A445A}">
      <text>
        <r>
          <rPr>
            <b/>
            <sz val="9"/>
            <color indexed="81"/>
            <rFont val="Tahoma"/>
            <family val="2"/>
          </rPr>
          <t>Bryan:</t>
        </r>
        <r>
          <rPr>
            <sz val="9"/>
            <color indexed="81"/>
            <rFont val="Tahoma"/>
            <family val="2"/>
          </rPr>
          <t xml:space="preserve">
Tied to enrollment for new building.</t>
        </r>
      </text>
    </comment>
    <comment ref="AW81" authorId="1" shapeId="0" xr:uid="{AA684856-040F-4A1F-A223-159F453C3D0E}">
      <text>
        <r>
          <rPr>
            <b/>
            <sz val="9"/>
            <color indexed="81"/>
            <rFont val="Tahoma"/>
            <family val="2"/>
          </rPr>
          <t>Bryan:</t>
        </r>
        <r>
          <rPr>
            <sz val="9"/>
            <color indexed="81"/>
            <rFont val="Tahoma"/>
            <family val="2"/>
          </rPr>
          <t xml:space="preserve">
Tied to enrollment for new building.</t>
        </r>
      </text>
    </comment>
    <comment ref="AX81" authorId="1" shapeId="0" xr:uid="{F6D94613-706C-4A39-AB52-90DDDEB1E9F8}">
      <text>
        <r>
          <rPr>
            <b/>
            <sz val="9"/>
            <color indexed="81"/>
            <rFont val="Tahoma"/>
            <family val="2"/>
          </rPr>
          <t>Bryan:</t>
        </r>
        <r>
          <rPr>
            <sz val="9"/>
            <color indexed="81"/>
            <rFont val="Tahoma"/>
            <family val="2"/>
          </rPr>
          <t xml:space="preserve">
Tied to enrollment for new building.</t>
        </r>
      </text>
    </comment>
    <comment ref="AY81" authorId="1" shapeId="0" xr:uid="{6EAB41EB-2B56-4058-805E-EFFB02376797}">
      <text>
        <r>
          <rPr>
            <b/>
            <sz val="9"/>
            <color indexed="81"/>
            <rFont val="Tahoma"/>
            <family val="2"/>
          </rPr>
          <t>Bryan:</t>
        </r>
        <r>
          <rPr>
            <sz val="9"/>
            <color indexed="81"/>
            <rFont val="Tahoma"/>
            <family val="2"/>
          </rPr>
          <t xml:space="preserve">
Tied to enrollment for new building.</t>
        </r>
      </text>
    </comment>
    <comment ref="AZ81" authorId="1" shapeId="0" xr:uid="{C9E117D9-53ED-4E66-AA24-586A50F47BF4}">
      <text>
        <r>
          <rPr>
            <b/>
            <sz val="9"/>
            <color indexed="81"/>
            <rFont val="Tahoma"/>
            <family val="2"/>
          </rPr>
          <t>Bryan:</t>
        </r>
        <r>
          <rPr>
            <sz val="9"/>
            <color indexed="81"/>
            <rFont val="Tahoma"/>
            <family val="2"/>
          </rPr>
          <t xml:space="preserve">
Tied to enrollment for new building.</t>
        </r>
      </text>
    </comment>
    <comment ref="AO82" authorId="1" shapeId="0" xr:uid="{4B83853F-AFFB-418E-A9C0-A59DA8A97580}">
      <text>
        <r>
          <rPr>
            <b/>
            <sz val="9"/>
            <color indexed="81"/>
            <rFont val="Tahoma"/>
            <family val="2"/>
          </rPr>
          <t>Bryan:</t>
        </r>
        <r>
          <rPr>
            <sz val="9"/>
            <color indexed="81"/>
            <rFont val="Tahoma"/>
            <family val="2"/>
          </rPr>
          <t xml:space="preserve">
Tied to enrollment for new building.</t>
        </r>
      </text>
    </comment>
    <comment ref="AP82" authorId="1" shapeId="0" xr:uid="{F6870BC1-E939-45B4-9856-F02861FD5AEC}">
      <text>
        <r>
          <rPr>
            <b/>
            <sz val="9"/>
            <color indexed="81"/>
            <rFont val="Tahoma"/>
            <family val="2"/>
          </rPr>
          <t>Bryan:</t>
        </r>
        <r>
          <rPr>
            <sz val="9"/>
            <color indexed="81"/>
            <rFont val="Tahoma"/>
            <family val="2"/>
          </rPr>
          <t xml:space="preserve">
Tied to enrollment for new building.</t>
        </r>
      </text>
    </comment>
    <comment ref="AQ82" authorId="1" shapeId="0" xr:uid="{9265E315-D9A5-4D1B-9AE7-6DB32EF412FD}">
      <text>
        <r>
          <rPr>
            <b/>
            <sz val="9"/>
            <color indexed="81"/>
            <rFont val="Tahoma"/>
            <family val="2"/>
          </rPr>
          <t>Bryan:</t>
        </r>
        <r>
          <rPr>
            <sz val="9"/>
            <color indexed="81"/>
            <rFont val="Tahoma"/>
            <family val="2"/>
          </rPr>
          <t xml:space="preserve">
Tied to enrollment for new building.</t>
        </r>
      </text>
    </comment>
    <comment ref="AR82" authorId="1" shapeId="0" xr:uid="{5ED14F7F-D027-4E41-B275-4976B93E9E06}">
      <text>
        <r>
          <rPr>
            <b/>
            <sz val="9"/>
            <color indexed="81"/>
            <rFont val="Tahoma"/>
            <family val="2"/>
          </rPr>
          <t>Bryan:</t>
        </r>
        <r>
          <rPr>
            <sz val="9"/>
            <color indexed="81"/>
            <rFont val="Tahoma"/>
            <family val="2"/>
          </rPr>
          <t xml:space="preserve">
Tied to enrollment for new building.</t>
        </r>
      </text>
    </comment>
    <comment ref="AS82" authorId="1" shapeId="0" xr:uid="{2B1A487F-6D38-4998-AE22-39B29535165C}">
      <text>
        <r>
          <rPr>
            <b/>
            <sz val="9"/>
            <color indexed="81"/>
            <rFont val="Tahoma"/>
            <family val="2"/>
          </rPr>
          <t>Bryan:</t>
        </r>
        <r>
          <rPr>
            <sz val="9"/>
            <color indexed="81"/>
            <rFont val="Tahoma"/>
            <family val="2"/>
          </rPr>
          <t xml:space="preserve">
Tied to enrollment for new building.</t>
        </r>
      </text>
    </comment>
    <comment ref="AT82" authorId="1" shapeId="0" xr:uid="{CDF5CC76-D620-47DA-91AA-AFB631FFCF5E}">
      <text>
        <r>
          <rPr>
            <b/>
            <sz val="9"/>
            <color indexed="81"/>
            <rFont val="Tahoma"/>
            <family val="2"/>
          </rPr>
          <t>Bryan:</t>
        </r>
        <r>
          <rPr>
            <sz val="9"/>
            <color indexed="81"/>
            <rFont val="Tahoma"/>
            <family val="2"/>
          </rPr>
          <t xml:space="preserve">
Tied to enrollment for new building.</t>
        </r>
      </text>
    </comment>
    <comment ref="AU82" authorId="1" shapeId="0" xr:uid="{66AE0F12-B8B6-4D7F-8BFB-3DF2D8C3551B}">
      <text>
        <r>
          <rPr>
            <b/>
            <sz val="9"/>
            <color indexed="81"/>
            <rFont val="Tahoma"/>
            <family val="2"/>
          </rPr>
          <t>Bryan:</t>
        </r>
        <r>
          <rPr>
            <sz val="9"/>
            <color indexed="81"/>
            <rFont val="Tahoma"/>
            <family val="2"/>
          </rPr>
          <t xml:space="preserve">
Tied to enrollment for new building.</t>
        </r>
      </text>
    </comment>
    <comment ref="AV82" authorId="1" shapeId="0" xr:uid="{1B130333-A493-4AA0-A946-B97229254082}">
      <text>
        <r>
          <rPr>
            <b/>
            <sz val="9"/>
            <color indexed="81"/>
            <rFont val="Tahoma"/>
            <family val="2"/>
          </rPr>
          <t>Bryan:</t>
        </r>
        <r>
          <rPr>
            <sz val="9"/>
            <color indexed="81"/>
            <rFont val="Tahoma"/>
            <family val="2"/>
          </rPr>
          <t xml:space="preserve">
Tied to enrollment for new building.</t>
        </r>
      </text>
    </comment>
    <comment ref="AW82" authorId="1" shapeId="0" xr:uid="{9F95F401-4865-4AC6-820C-256B12290E70}">
      <text>
        <r>
          <rPr>
            <b/>
            <sz val="9"/>
            <color indexed="81"/>
            <rFont val="Tahoma"/>
            <family val="2"/>
          </rPr>
          <t>Bryan:</t>
        </r>
        <r>
          <rPr>
            <sz val="9"/>
            <color indexed="81"/>
            <rFont val="Tahoma"/>
            <family val="2"/>
          </rPr>
          <t xml:space="preserve">
Tied to enrollment for new building.</t>
        </r>
      </text>
    </comment>
    <comment ref="AX82" authorId="1" shapeId="0" xr:uid="{D9257442-547D-4968-A333-9070038D0C1A}">
      <text>
        <r>
          <rPr>
            <b/>
            <sz val="9"/>
            <color indexed="81"/>
            <rFont val="Tahoma"/>
            <family val="2"/>
          </rPr>
          <t>Bryan:</t>
        </r>
        <r>
          <rPr>
            <sz val="9"/>
            <color indexed="81"/>
            <rFont val="Tahoma"/>
            <family val="2"/>
          </rPr>
          <t xml:space="preserve">
Tied to enrollment for new building.</t>
        </r>
      </text>
    </comment>
    <comment ref="AY82" authorId="1" shapeId="0" xr:uid="{B59CFAA6-6470-44C2-AD56-5FD0DB793706}">
      <text>
        <r>
          <rPr>
            <b/>
            <sz val="9"/>
            <color indexed="81"/>
            <rFont val="Tahoma"/>
            <family val="2"/>
          </rPr>
          <t>Bryan:</t>
        </r>
        <r>
          <rPr>
            <sz val="9"/>
            <color indexed="81"/>
            <rFont val="Tahoma"/>
            <family val="2"/>
          </rPr>
          <t xml:space="preserve">
Tied to enrollment for new building.</t>
        </r>
      </text>
    </comment>
    <comment ref="AZ82" authorId="1" shapeId="0" xr:uid="{F86F34BC-FE43-41A4-B534-549AB49091B6}">
      <text>
        <r>
          <rPr>
            <b/>
            <sz val="9"/>
            <color indexed="81"/>
            <rFont val="Tahoma"/>
            <family val="2"/>
          </rPr>
          <t>Bryan:</t>
        </r>
        <r>
          <rPr>
            <sz val="9"/>
            <color indexed="81"/>
            <rFont val="Tahoma"/>
            <family val="2"/>
          </rPr>
          <t xml:space="preserve">
Tied to enrollment for new building.</t>
        </r>
      </text>
    </comment>
    <comment ref="AO83" authorId="1" shapeId="0" xr:uid="{03316080-8195-4FE7-AA96-1ACC083F979F}">
      <text>
        <r>
          <rPr>
            <b/>
            <sz val="9"/>
            <color indexed="81"/>
            <rFont val="Tahoma"/>
            <family val="2"/>
          </rPr>
          <t>Bryan:</t>
        </r>
        <r>
          <rPr>
            <sz val="9"/>
            <color indexed="81"/>
            <rFont val="Tahoma"/>
            <family val="2"/>
          </rPr>
          <t xml:space="preserve">
Tied to enrollment for new building.</t>
        </r>
      </text>
    </comment>
    <comment ref="AP83" authorId="1" shapeId="0" xr:uid="{F5206205-77ED-47E6-BCE3-7BB31D138741}">
      <text>
        <r>
          <rPr>
            <b/>
            <sz val="9"/>
            <color indexed="81"/>
            <rFont val="Tahoma"/>
            <family val="2"/>
          </rPr>
          <t>Bryan:</t>
        </r>
        <r>
          <rPr>
            <sz val="9"/>
            <color indexed="81"/>
            <rFont val="Tahoma"/>
            <family val="2"/>
          </rPr>
          <t xml:space="preserve">
Tied to enrollment for new building.</t>
        </r>
      </text>
    </comment>
    <comment ref="AQ83" authorId="1" shapeId="0" xr:uid="{F2821332-F79A-40B7-8851-A8EC3423B17F}">
      <text>
        <r>
          <rPr>
            <b/>
            <sz val="9"/>
            <color indexed="81"/>
            <rFont val="Tahoma"/>
            <family val="2"/>
          </rPr>
          <t>Bryan:</t>
        </r>
        <r>
          <rPr>
            <sz val="9"/>
            <color indexed="81"/>
            <rFont val="Tahoma"/>
            <family val="2"/>
          </rPr>
          <t xml:space="preserve">
Tied to enrollment for new building.</t>
        </r>
      </text>
    </comment>
    <comment ref="AR83" authorId="1" shapeId="0" xr:uid="{1155860A-5A4D-4EB4-A71F-D31F9D3228C3}">
      <text>
        <r>
          <rPr>
            <b/>
            <sz val="9"/>
            <color indexed="81"/>
            <rFont val="Tahoma"/>
            <family val="2"/>
          </rPr>
          <t>Bryan:</t>
        </r>
        <r>
          <rPr>
            <sz val="9"/>
            <color indexed="81"/>
            <rFont val="Tahoma"/>
            <family val="2"/>
          </rPr>
          <t xml:space="preserve">
Tied to enrollment for new building.</t>
        </r>
      </text>
    </comment>
    <comment ref="AS83" authorId="1" shapeId="0" xr:uid="{C715B51F-41BA-4592-9BFA-94D6CA687CCB}">
      <text>
        <r>
          <rPr>
            <b/>
            <sz val="9"/>
            <color indexed="81"/>
            <rFont val="Tahoma"/>
            <family val="2"/>
          </rPr>
          <t>Bryan:</t>
        </r>
        <r>
          <rPr>
            <sz val="9"/>
            <color indexed="81"/>
            <rFont val="Tahoma"/>
            <family val="2"/>
          </rPr>
          <t xml:space="preserve">
Tied to enrollment for new building.</t>
        </r>
      </text>
    </comment>
    <comment ref="AT83" authorId="1" shapeId="0" xr:uid="{A9F65179-4EAB-403F-AC24-A35B72995E05}">
      <text>
        <r>
          <rPr>
            <b/>
            <sz val="9"/>
            <color indexed="81"/>
            <rFont val="Tahoma"/>
            <family val="2"/>
          </rPr>
          <t>Bryan:</t>
        </r>
        <r>
          <rPr>
            <sz val="9"/>
            <color indexed="81"/>
            <rFont val="Tahoma"/>
            <family val="2"/>
          </rPr>
          <t xml:space="preserve">
Tied to enrollment for new building.</t>
        </r>
      </text>
    </comment>
    <comment ref="AU83" authorId="1" shapeId="0" xr:uid="{0C1C1582-03EC-41B3-84B2-40B88F7F6ED1}">
      <text>
        <r>
          <rPr>
            <b/>
            <sz val="9"/>
            <color indexed="81"/>
            <rFont val="Tahoma"/>
            <family val="2"/>
          </rPr>
          <t>Bryan:</t>
        </r>
        <r>
          <rPr>
            <sz val="9"/>
            <color indexed="81"/>
            <rFont val="Tahoma"/>
            <family val="2"/>
          </rPr>
          <t xml:space="preserve">
Tied to enrollment for new building.</t>
        </r>
      </text>
    </comment>
    <comment ref="AV83" authorId="1" shapeId="0" xr:uid="{E3D25A56-3238-4D85-91AD-289302036C43}">
      <text>
        <r>
          <rPr>
            <b/>
            <sz val="9"/>
            <color indexed="81"/>
            <rFont val="Tahoma"/>
            <family val="2"/>
          </rPr>
          <t>Bryan:</t>
        </r>
        <r>
          <rPr>
            <sz val="9"/>
            <color indexed="81"/>
            <rFont val="Tahoma"/>
            <family val="2"/>
          </rPr>
          <t xml:space="preserve">
Tied to enrollment for new building.</t>
        </r>
      </text>
    </comment>
    <comment ref="AW83" authorId="1" shapeId="0" xr:uid="{C221EAC8-22A7-487C-8252-B51CFC6F8394}">
      <text>
        <r>
          <rPr>
            <b/>
            <sz val="9"/>
            <color indexed="81"/>
            <rFont val="Tahoma"/>
            <family val="2"/>
          </rPr>
          <t>Bryan:</t>
        </r>
        <r>
          <rPr>
            <sz val="9"/>
            <color indexed="81"/>
            <rFont val="Tahoma"/>
            <family val="2"/>
          </rPr>
          <t xml:space="preserve">
Tied to enrollment for new building.</t>
        </r>
      </text>
    </comment>
    <comment ref="AX83" authorId="1" shapeId="0" xr:uid="{1F23EEB7-4F21-40EC-A448-285FFE704AAA}">
      <text>
        <r>
          <rPr>
            <b/>
            <sz val="9"/>
            <color indexed="81"/>
            <rFont val="Tahoma"/>
            <family val="2"/>
          </rPr>
          <t>Bryan:</t>
        </r>
        <r>
          <rPr>
            <sz val="9"/>
            <color indexed="81"/>
            <rFont val="Tahoma"/>
            <family val="2"/>
          </rPr>
          <t xml:space="preserve">
Tied to enrollment for new building.</t>
        </r>
      </text>
    </comment>
    <comment ref="AY83" authorId="1" shapeId="0" xr:uid="{9D80822E-5E88-4F34-AF08-55D14F71127E}">
      <text>
        <r>
          <rPr>
            <b/>
            <sz val="9"/>
            <color indexed="81"/>
            <rFont val="Tahoma"/>
            <family val="2"/>
          </rPr>
          <t>Bryan:</t>
        </r>
        <r>
          <rPr>
            <sz val="9"/>
            <color indexed="81"/>
            <rFont val="Tahoma"/>
            <family val="2"/>
          </rPr>
          <t xml:space="preserve">
Tied to enrollment for new building.</t>
        </r>
      </text>
    </comment>
    <comment ref="AZ83" authorId="1" shapeId="0" xr:uid="{88B7FFFC-CCCA-4D82-97FB-F9236FF68E60}">
      <text>
        <r>
          <rPr>
            <b/>
            <sz val="9"/>
            <color indexed="81"/>
            <rFont val="Tahoma"/>
            <family val="2"/>
          </rPr>
          <t>Bryan:</t>
        </r>
        <r>
          <rPr>
            <sz val="9"/>
            <color indexed="81"/>
            <rFont val="Tahoma"/>
            <family val="2"/>
          </rPr>
          <t xml:space="preserve">
Tied to enrollment for new building.</t>
        </r>
      </text>
    </comment>
    <comment ref="AO84" authorId="1" shapeId="0" xr:uid="{08DCA2C1-E35E-4A33-A013-CD91EFE24F63}">
      <text>
        <r>
          <rPr>
            <b/>
            <sz val="9"/>
            <color indexed="81"/>
            <rFont val="Tahoma"/>
            <family val="2"/>
          </rPr>
          <t>Bryan:</t>
        </r>
        <r>
          <rPr>
            <sz val="9"/>
            <color indexed="81"/>
            <rFont val="Tahoma"/>
            <family val="2"/>
          </rPr>
          <t xml:space="preserve">
Tied to enrollment for new building.</t>
        </r>
      </text>
    </comment>
    <comment ref="AP84" authorId="1" shapeId="0" xr:uid="{60BC4C09-0ECB-4C96-B771-0EA26AED2CA3}">
      <text>
        <r>
          <rPr>
            <b/>
            <sz val="9"/>
            <color indexed="81"/>
            <rFont val="Tahoma"/>
            <family val="2"/>
          </rPr>
          <t>Bryan:</t>
        </r>
        <r>
          <rPr>
            <sz val="9"/>
            <color indexed="81"/>
            <rFont val="Tahoma"/>
            <family val="2"/>
          </rPr>
          <t xml:space="preserve">
Tied to enrollment for new building.</t>
        </r>
      </text>
    </comment>
    <comment ref="AQ84" authorId="1" shapeId="0" xr:uid="{275ED7DA-D035-4514-8CE7-9C58C9EEA9AD}">
      <text>
        <r>
          <rPr>
            <b/>
            <sz val="9"/>
            <color indexed="81"/>
            <rFont val="Tahoma"/>
            <family val="2"/>
          </rPr>
          <t>Bryan:</t>
        </r>
        <r>
          <rPr>
            <sz val="9"/>
            <color indexed="81"/>
            <rFont val="Tahoma"/>
            <family val="2"/>
          </rPr>
          <t xml:space="preserve">
Tied to enrollment for new building.</t>
        </r>
      </text>
    </comment>
    <comment ref="AR84" authorId="1" shapeId="0" xr:uid="{B387E0D1-8AF9-482B-9801-CD195386AAD5}">
      <text>
        <r>
          <rPr>
            <b/>
            <sz val="9"/>
            <color indexed="81"/>
            <rFont val="Tahoma"/>
            <family val="2"/>
          </rPr>
          <t>Bryan:</t>
        </r>
        <r>
          <rPr>
            <sz val="9"/>
            <color indexed="81"/>
            <rFont val="Tahoma"/>
            <family val="2"/>
          </rPr>
          <t xml:space="preserve">
Tied to enrollment for new building.</t>
        </r>
      </text>
    </comment>
    <comment ref="AS84" authorId="1" shapeId="0" xr:uid="{82786129-18A2-42FC-99E0-DF98CA126DD3}">
      <text>
        <r>
          <rPr>
            <b/>
            <sz val="9"/>
            <color indexed="81"/>
            <rFont val="Tahoma"/>
            <family val="2"/>
          </rPr>
          <t>Bryan:</t>
        </r>
        <r>
          <rPr>
            <sz val="9"/>
            <color indexed="81"/>
            <rFont val="Tahoma"/>
            <family val="2"/>
          </rPr>
          <t xml:space="preserve">
Tied to enrollment for new building.</t>
        </r>
      </text>
    </comment>
    <comment ref="AT84" authorId="1" shapeId="0" xr:uid="{05C90BAC-A78C-4E8F-851E-2A51B639EB7B}">
      <text>
        <r>
          <rPr>
            <b/>
            <sz val="9"/>
            <color indexed="81"/>
            <rFont val="Tahoma"/>
            <family val="2"/>
          </rPr>
          <t>Bryan:</t>
        </r>
        <r>
          <rPr>
            <sz val="9"/>
            <color indexed="81"/>
            <rFont val="Tahoma"/>
            <family val="2"/>
          </rPr>
          <t xml:space="preserve">
Tied to enrollment for new building.</t>
        </r>
      </text>
    </comment>
    <comment ref="AU84" authorId="1" shapeId="0" xr:uid="{04568596-5598-4AC1-A5F7-3455A4AACE44}">
      <text>
        <r>
          <rPr>
            <b/>
            <sz val="9"/>
            <color indexed="81"/>
            <rFont val="Tahoma"/>
            <family val="2"/>
          </rPr>
          <t>Bryan:</t>
        </r>
        <r>
          <rPr>
            <sz val="9"/>
            <color indexed="81"/>
            <rFont val="Tahoma"/>
            <family val="2"/>
          </rPr>
          <t xml:space="preserve">
Tied to enrollment for new building.</t>
        </r>
      </text>
    </comment>
    <comment ref="AV84" authorId="1" shapeId="0" xr:uid="{B654B338-1A54-4857-B2E5-0F673C0EB7B2}">
      <text>
        <r>
          <rPr>
            <b/>
            <sz val="9"/>
            <color indexed="81"/>
            <rFont val="Tahoma"/>
            <family val="2"/>
          </rPr>
          <t>Bryan:</t>
        </r>
        <r>
          <rPr>
            <sz val="9"/>
            <color indexed="81"/>
            <rFont val="Tahoma"/>
            <family val="2"/>
          </rPr>
          <t xml:space="preserve">
Tied to enrollment for new building.</t>
        </r>
      </text>
    </comment>
    <comment ref="AW84" authorId="1" shapeId="0" xr:uid="{5E79F2DE-1FFD-4BB0-A25D-BB2D5FA41159}">
      <text>
        <r>
          <rPr>
            <b/>
            <sz val="9"/>
            <color indexed="81"/>
            <rFont val="Tahoma"/>
            <family val="2"/>
          </rPr>
          <t>Bryan:</t>
        </r>
        <r>
          <rPr>
            <sz val="9"/>
            <color indexed="81"/>
            <rFont val="Tahoma"/>
            <family val="2"/>
          </rPr>
          <t xml:space="preserve">
Tied to enrollment for new building.</t>
        </r>
      </text>
    </comment>
    <comment ref="AX84" authorId="1" shapeId="0" xr:uid="{8A6A6654-6FDF-490F-8527-7E664E91A73E}">
      <text>
        <r>
          <rPr>
            <b/>
            <sz val="9"/>
            <color indexed="81"/>
            <rFont val="Tahoma"/>
            <family val="2"/>
          </rPr>
          <t>Bryan:</t>
        </r>
        <r>
          <rPr>
            <sz val="9"/>
            <color indexed="81"/>
            <rFont val="Tahoma"/>
            <family val="2"/>
          </rPr>
          <t xml:space="preserve">
Tied to enrollment for new building.</t>
        </r>
      </text>
    </comment>
    <comment ref="AY84" authorId="1" shapeId="0" xr:uid="{8AADAB36-557F-4DF6-AFAA-5517E1786F88}">
      <text>
        <r>
          <rPr>
            <b/>
            <sz val="9"/>
            <color indexed="81"/>
            <rFont val="Tahoma"/>
            <family val="2"/>
          </rPr>
          <t>Bryan:</t>
        </r>
        <r>
          <rPr>
            <sz val="9"/>
            <color indexed="81"/>
            <rFont val="Tahoma"/>
            <family val="2"/>
          </rPr>
          <t xml:space="preserve">
Tied to enrollment for new building.</t>
        </r>
      </text>
    </comment>
    <comment ref="AZ84" authorId="1" shapeId="0" xr:uid="{1631CAAA-B04F-4C4C-9B6E-A3BDEC7A23D4}">
      <text>
        <r>
          <rPr>
            <b/>
            <sz val="9"/>
            <color indexed="81"/>
            <rFont val="Tahoma"/>
            <family val="2"/>
          </rPr>
          <t>Bryan:</t>
        </r>
        <r>
          <rPr>
            <sz val="9"/>
            <color indexed="81"/>
            <rFont val="Tahoma"/>
            <family val="2"/>
          </rPr>
          <t xml:space="preserve">
Tied to enrollment for new building.</t>
        </r>
      </text>
    </comment>
    <comment ref="AD93" authorId="1" shapeId="0" xr:uid="{6B5DED64-F176-495D-AA85-D13AEE8D69E7}">
      <text>
        <r>
          <rPr>
            <b/>
            <sz val="9"/>
            <color indexed="81"/>
            <rFont val="Tahoma"/>
            <family val="2"/>
          </rPr>
          <t>Bryan:</t>
        </r>
        <r>
          <rPr>
            <sz val="9"/>
            <color indexed="81"/>
            <rFont val="Tahoma"/>
            <family val="2"/>
          </rPr>
          <t xml:space="preserve">
Expenses are tied to grants.</t>
        </r>
      </text>
    </comment>
    <comment ref="AE93" authorId="1" shapeId="0" xr:uid="{D13E8EC9-DE27-4E4D-BDA7-9C442CC2DE29}">
      <text>
        <r>
          <rPr>
            <b/>
            <sz val="9"/>
            <color indexed="81"/>
            <rFont val="Tahoma"/>
            <family val="2"/>
          </rPr>
          <t>Bryan:</t>
        </r>
        <r>
          <rPr>
            <sz val="9"/>
            <color indexed="81"/>
            <rFont val="Tahoma"/>
            <family val="2"/>
          </rPr>
          <t xml:space="preserve">
Expenses are tied to grants.</t>
        </r>
      </text>
    </comment>
    <comment ref="AF93" authorId="1" shapeId="0" xr:uid="{91EABAB6-67B1-4DDC-8687-DD8062D60486}">
      <text>
        <r>
          <rPr>
            <b/>
            <sz val="9"/>
            <color indexed="81"/>
            <rFont val="Tahoma"/>
            <family val="2"/>
          </rPr>
          <t>Bryan:</t>
        </r>
        <r>
          <rPr>
            <sz val="9"/>
            <color indexed="81"/>
            <rFont val="Tahoma"/>
            <family val="2"/>
          </rPr>
          <t xml:space="preserve">
Expenses are tied to grants.</t>
        </r>
      </text>
    </comment>
    <comment ref="AG93" authorId="1" shapeId="0" xr:uid="{D7E5A7B4-E9B9-4285-B90D-909E8AD31A11}">
      <text>
        <r>
          <rPr>
            <b/>
            <sz val="9"/>
            <color indexed="81"/>
            <rFont val="Tahoma"/>
            <family val="2"/>
          </rPr>
          <t>Bryan:</t>
        </r>
        <r>
          <rPr>
            <sz val="9"/>
            <color indexed="81"/>
            <rFont val="Tahoma"/>
            <family val="2"/>
          </rPr>
          <t xml:space="preserve">
Expenses are tied to grants.</t>
        </r>
      </text>
    </comment>
    <comment ref="AH93" authorId="1" shapeId="0" xr:uid="{5AB84F55-8CBE-4AB2-9911-F11790276F6C}">
      <text>
        <r>
          <rPr>
            <b/>
            <sz val="9"/>
            <color indexed="81"/>
            <rFont val="Tahoma"/>
            <family val="2"/>
          </rPr>
          <t>Bryan:</t>
        </r>
        <r>
          <rPr>
            <sz val="9"/>
            <color indexed="81"/>
            <rFont val="Tahoma"/>
            <family val="2"/>
          </rPr>
          <t xml:space="preserve">
Expenses are tied to grants.</t>
        </r>
      </text>
    </comment>
    <comment ref="AI93" authorId="1" shapeId="0" xr:uid="{DDD5A7AF-AD60-480E-A2CA-138F94628DD6}">
      <text>
        <r>
          <rPr>
            <b/>
            <sz val="9"/>
            <color indexed="81"/>
            <rFont val="Tahoma"/>
            <family val="2"/>
          </rPr>
          <t>Bryan:</t>
        </r>
        <r>
          <rPr>
            <sz val="9"/>
            <color indexed="81"/>
            <rFont val="Tahoma"/>
            <family val="2"/>
          </rPr>
          <t xml:space="preserve">
Expenses are tied to grants.</t>
        </r>
      </text>
    </comment>
    <comment ref="AJ93" authorId="1" shapeId="0" xr:uid="{632B24EF-1F03-458F-B611-1FBD822FC928}">
      <text>
        <r>
          <rPr>
            <b/>
            <sz val="9"/>
            <color indexed="81"/>
            <rFont val="Tahoma"/>
            <family val="2"/>
          </rPr>
          <t>Bryan:</t>
        </r>
        <r>
          <rPr>
            <sz val="9"/>
            <color indexed="81"/>
            <rFont val="Tahoma"/>
            <family val="2"/>
          </rPr>
          <t xml:space="preserve">
Expenses are tied to grants.</t>
        </r>
      </text>
    </comment>
    <comment ref="AK93" authorId="1" shapeId="0" xr:uid="{946E7B48-B716-4732-AE9D-A0CF4B900FD1}">
      <text>
        <r>
          <rPr>
            <b/>
            <sz val="9"/>
            <color indexed="81"/>
            <rFont val="Tahoma"/>
            <family val="2"/>
          </rPr>
          <t>Bryan:</t>
        </r>
        <r>
          <rPr>
            <sz val="9"/>
            <color indexed="81"/>
            <rFont val="Tahoma"/>
            <family val="2"/>
          </rPr>
          <t xml:space="preserve">
Expenses are tied to grants.</t>
        </r>
      </text>
    </comment>
    <comment ref="AL93" authorId="1" shapeId="0" xr:uid="{9BB68788-6F6A-4238-B23F-85CC718A258F}">
      <text>
        <r>
          <rPr>
            <b/>
            <sz val="9"/>
            <color indexed="81"/>
            <rFont val="Tahoma"/>
            <family val="2"/>
          </rPr>
          <t>Bryan:</t>
        </r>
        <r>
          <rPr>
            <sz val="9"/>
            <color indexed="81"/>
            <rFont val="Tahoma"/>
            <family val="2"/>
          </rPr>
          <t xml:space="preserve">
Expenses are tied to grants.</t>
        </r>
      </text>
    </comment>
    <comment ref="AM93" authorId="1" shapeId="0" xr:uid="{4818BE30-CDE6-464C-8DE4-8C081A036BBB}">
      <text>
        <r>
          <rPr>
            <b/>
            <sz val="9"/>
            <color indexed="81"/>
            <rFont val="Tahoma"/>
            <family val="2"/>
          </rPr>
          <t>Bryan:</t>
        </r>
        <r>
          <rPr>
            <sz val="9"/>
            <color indexed="81"/>
            <rFont val="Tahoma"/>
            <family val="2"/>
          </rPr>
          <t xml:space="preserve">
Expenses are tied to grants.</t>
        </r>
      </text>
    </comment>
    <comment ref="AN93" authorId="1" shapeId="0" xr:uid="{05616170-F543-45B7-9758-B30DF9350115}">
      <text>
        <r>
          <rPr>
            <b/>
            <sz val="9"/>
            <color indexed="81"/>
            <rFont val="Tahoma"/>
            <family val="2"/>
          </rPr>
          <t>Bryan:</t>
        </r>
        <r>
          <rPr>
            <sz val="9"/>
            <color indexed="81"/>
            <rFont val="Tahoma"/>
            <family val="2"/>
          </rPr>
          <t xml:space="preserve">
Expenses are tied to grants.</t>
        </r>
      </text>
    </comment>
    <comment ref="AO126" authorId="1" shapeId="0" xr:uid="{A438F96D-46AA-4B13-B469-3F0E069A7C78}">
      <text>
        <r>
          <rPr>
            <b/>
            <sz val="9"/>
            <color indexed="81"/>
            <rFont val="Tahoma"/>
            <family val="2"/>
          </rPr>
          <t>Bryan:</t>
        </r>
        <r>
          <rPr>
            <sz val="9"/>
            <color indexed="81"/>
            <rFont val="Tahoma"/>
            <family val="2"/>
          </rPr>
          <t xml:space="preserve">
Tied to enrollment for new building.</t>
        </r>
      </text>
    </comment>
    <comment ref="AP126" authorId="1" shapeId="0" xr:uid="{6E33B4C2-85FE-4149-A589-5CAFAE12E4B3}">
      <text>
        <r>
          <rPr>
            <b/>
            <sz val="9"/>
            <color indexed="81"/>
            <rFont val="Tahoma"/>
            <family val="2"/>
          </rPr>
          <t>Bryan:</t>
        </r>
        <r>
          <rPr>
            <sz val="9"/>
            <color indexed="81"/>
            <rFont val="Tahoma"/>
            <family val="2"/>
          </rPr>
          <t xml:space="preserve">
Tied to enrollment for new building.</t>
        </r>
      </text>
    </comment>
    <comment ref="AQ126" authorId="1" shapeId="0" xr:uid="{BA4BD3E8-1B17-4543-9592-D1484D19B6E9}">
      <text>
        <r>
          <rPr>
            <b/>
            <sz val="9"/>
            <color indexed="81"/>
            <rFont val="Tahoma"/>
            <family val="2"/>
          </rPr>
          <t>Bryan:</t>
        </r>
        <r>
          <rPr>
            <sz val="9"/>
            <color indexed="81"/>
            <rFont val="Tahoma"/>
            <family val="2"/>
          </rPr>
          <t xml:space="preserve">
Tied to enrollment for new building.</t>
        </r>
      </text>
    </comment>
    <comment ref="AR126" authorId="1" shapeId="0" xr:uid="{26801BDB-A066-4388-A06D-6B2568F701CA}">
      <text>
        <r>
          <rPr>
            <b/>
            <sz val="9"/>
            <color indexed="81"/>
            <rFont val="Tahoma"/>
            <family val="2"/>
          </rPr>
          <t>Bryan:</t>
        </r>
        <r>
          <rPr>
            <sz val="9"/>
            <color indexed="81"/>
            <rFont val="Tahoma"/>
            <family val="2"/>
          </rPr>
          <t xml:space="preserve">
Tied to enrollment for new building.</t>
        </r>
      </text>
    </comment>
    <comment ref="AS126" authorId="1" shapeId="0" xr:uid="{63520B6B-5B28-4607-818D-07A898FBE3F6}">
      <text>
        <r>
          <rPr>
            <b/>
            <sz val="9"/>
            <color indexed="81"/>
            <rFont val="Tahoma"/>
            <family val="2"/>
          </rPr>
          <t>Bryan:</t>
        </r>
        <r>
          <rPr>
            <sz val="9"/>
            <color indexed="81"/>
            <rFont val="Tahoma"/>
            <family val="2"/>
          </rPr>
          <t xml:space="preserve">
Tied to enrollment for new building.</t>
        </r>
      </text>
    </comment>
    <comment ref="AT126" authorId="1" shapeId="0" xr:uid="{A2D8DB05-09E6-4CF2-918C-EA2BD955FFA4}">
      <text>
        <r>
          <rPr>
            <b/>
            <sz val="9"/>
            <color indexed="81"/>
            <rFont val="Tahoma"/>
            <family val="2"/>
          </rPr>
          <t>Bryan:</t>
        </r>
        <r>
          <rPr>
            <sz val="9"/>
            <color indexed="81"/>
            <rFont val="Tahoma"/>
            <family val="2"/>
          </rPr>
          <t xml:space="preserve">
Tied to enrollment for new building.</t>
        </r>
      </text>
    </comment>
    <comment ref="AU126" authorId="1" shapeId="0" xr:uid="{2ADDAC65-E370-4458-A7D6-2A061FCA8EAC}">
      <text>
        <r>
          <rPr>
            <b/>
            <sz val="9"/>
            <color indexed="81"/>
            <rFont val="Tahoma"/>
            <family val="2"/>
          </rPr>
          <t>Bryan:</t>
        </r>
        <r>
          <rPr>
            <sz val="9"/>
            <color indexed="81"/>
            <rFont val="Tahoma"/>
            <family val="2"/>
          </rPr>
          <t xml:space="preserve">
Tied to enrollment for new building.</t>
        </r>
      </text>
    </comment>
    <comment ref="AV126" authorId="1" shapeId="0" xr:uid="{C415F744-0168-4C60-A699-967EE8255D4D}">
      <text>
        <r>
          <rPr>
            <b/>
            <sz val="9"/>
            <color indexed="81"/>
            <rFont val="Tahoma"/>
            <family val="2"/>
          </rPr>
          <t>Bryan:</t>
        </r>
        <r>
          <rPr>
            <sz val="9"/>
            <color indexed="81"/>
            <rFont val="Tahoma"/>
            <family val="2"/>
          </rPr>
          <t xml:space="preserve">
Tied to enrollment for new building.</t>
        </r>
      </text>
    </comment>
    <comment ref="AW126" authorId="1" shapeId="0" xr:uid="{78573904-58BA-4648-8DC9-A81960594047}">
      <text>
        <r>
          <rPr>
            <b/>
            <sz val="9"/>
            <color indexed="81"/>
            <rFont val="Tahoma"/>
            <family val="2"/>
          </rPr>
          <t>Bryan:</t>
        </r>
        <r>
          <rPr>
            <sz val="9"/>
            <color indexed="81"/>
            <rFont val="Tahoma"/>
            <family val="2"/>
          </rPr>
          <t xml:space="preserve">
Tied to enrollment for new building.</t>
        </r>
      </text>
    </comment>
    <comment ref="AX126" authorId="1" shapeId="0" xr:uid="{933C2647-3366-45B4-A298-0619E75D49E9}">
      <text>
        <r>
          <rPr>
            <b/>
            <sz val="9"/>
            <color indexed="81"/>
            <rFont val="Tahoma"/>
            <family val="2"/>
          </rPr>
          <t>Bryan:</t>
        </r>
        <r>
          <rPr>
            <sz val="9"/>
            <color indexed="81"/>
            <rFont val="Tahoma"/>
            <family val="2"/>
          </rPr>
          <t xml:space="preserve">
Tied to enrollment for new building.</t>
        </r>
      </text>
    </comment>
    <comment ref="AY126" authorId="1" shapeId="0" xr:uid="{DF8265DC-56B0-4393-B17D-5EABAB2FE3F4}">
      <text>
        <r>
          <rPr>
            <b/>
            <sz val="9"/>
            <color indexed="81"/>
            <rFont val="Tahoma"/>
            <family val="2"/>
          </rPr>
          <t>Bryan:</t>
        </r>
        <r>
          <rPr>
            <sz val="9"/>
            <color indexed="81"/>
            <rFont val="Tahoma"/>
            <family val="2"/>
          </rPr>
          <t xml:space="preserve">
Tied to enrollment for new building.</t>
        </r>
      </text>
    </comment>
    <comment ref="AZ126" authorId="1" shapeId="0" xr:uid="{EBC9678C-E74E-4F32-B8B7-5008320C9C08}">
      <text>
        <r>
          <rPr>
            <b/>
            <sz val="9"/>
            <color indexed="81"/>
            <rFont val="Tahoma"/>
            <family val="2"/>
          </rPr>
          <t>Bryan:</t>
        </r>
        <r>
          <rPr>
            <sz val="9"/>
            <color indexed="81"/>
            <rFont val="Tahoma"/>
            <family val="2"/>
          </rPr>
          <t xml:space="preserve">
Tied to enrollment for new building.</t>
        </r>
      </text>
    </comment>
    <comment ref="AO128" authorId="1" shapeId="0" xr:uid="{FA1B772C-4227-465C-87D5-D827479C2A9F}">
      <text>
        <r>
          <rPr>
            <b/>
            <sz val="9"/>
            <color indexed="81"/>
            <rFont val="Tahoma"/>
            <family val="2"/>
          </rPr>
          <t>Bryan:</t>
        </r>
        <r>
          <rPr>
            <sz val="9"/>
            <color indexed="81"/>
            <rFont val="Tahoma"/>
            <family val="2"/>
          </rPr>
          <t xml:space="preserve">
Tied to enrollment for new building.</t>
        </r>
      </text>
    </comment>
    <comment ref="AP128" authorId="1" shapeId="0" xr:uid="{B6150D32-AA32-4134-8381-AA20CE2C52C5}">
      <text>
        <r>
          <rPr>
            <b/>
            <sz val="9"/>
            <color indexed="81"/>
            <rFont val="Tahoma"/>
            <family val="2"/>
          </rPr>
          <t>Bryan:</t>
        </r>
        <r>
          <rPr>
            <sz val="9"/>
            <color indexed="81"/>
            <rFont val="Tahoma"/>
            <family val="2"/>
          </rPr>
          <t xml:space="preserve">
Tied to enrollment for new building.</t>
        </r>
      </text>
    </comment>
    <comment ref="AQ128" authorId="1" shapeId="0" xr:uid="{32B33890-3228-4D1C-A16E-F2671D4A0085}">
      <text>
        <r>
          <rPr>
            <b/>
            <sz val="9"/>
            <color indexed="81"/>
            <rFont val="Tahoma"/>
            <family val="2"/>
          </rPr>
          <t>Bryan:</t>
        </r>
        <r>
          <rPr>
            <sz val="9"/>
            <color indexed="81"/>
            <rFont val="Tahoma"/>
            <family val="2"/>
          </rPr>
          <t xml:space="preserve">
Tied to enrollment for new building.</t>
        </r>
      </text>
    </comment>
    <comment ref="AR128" authorId="1" shapeId="0" xr:uid="{A96A5CCD-B98D-4178-8263-7D1E67D01877}">
      <text>
        <r>
          <rPr>
            <b/>
            <sz val="9"/>
            <color indexed="81"/>
            <rFont val="Tahoma"/>
            <family val="2"/>
          </rPr>
          <t>Bryan:</t>
        </r>
        <r>
          <rPr>
            <sz val="9"/>
            <color indexed="81"/>
            <rFont val="Tahoma"/>
            <family val="2"/>
          </rPr>
          <t xml:space="preserve">
Tied to enrollment for new building.</t>
        </r>
      </text>
    </comment>
    <comment ref="AS128" authorId="1" shapeId="0" xr:uid="{D03601A9-7B91-4640-96E5-83CE9AC922CC}">
      <text>
        <r>
          <rPr>
            <b/>
            <sz val="9"/>
            <color indexed="81"/>
            <rFont val="Tahoma"/>
            <family val="2"/>
          </rPr>
          <t>Bryan:</t>
        </r>
        <r>
          <rPr>
            <sz val="9"/>
            <color indexed="81"/>
            <rFont val="Tahoma"/>
            <family val="2"/>
          </rPr>
          <t xml:space="preserve">
Tied to enrollment for new building.</t>
        </r>
      </text>
    </comment>
    <comment ref="AT128" authorId="1" shapeId="0" xr:uid="{AF2AFC2E-0ABF-47E0-BA34-E96BA600FCE1}">
      <text>
        <r>
          <rPr>
            <b/>
            <sz val="9"/>
            <color indexed="81"/>
            <rFont val="Tahoma"/>
            <family val="2"/>
          </rPr>
          <t>Bryan:</t>
        </r>
        <r>
          <rPr>
            <sz val="9"/>
            <color indexed="81"/>
            <rFont val="Tahoma"/>
            <family val="2"/>
          </rPr>
          <t xml:space="preserve">
Tied to enrollment for new building.</t>
        </r>
      </text>
    </comment>
    <comment ref="AU128" authorId="1" shapeId="0" xr:uid="{D686D494-E11A-4A71-8CEB-50DB46F603EB}">
      <text>
        <r>
          <rPr>
            <b/>
            <sz val="9"/>
            <color indexed="81"/>
            <rFont val="Tahoma"/>
            <family val="2"/>
          </rPr>
          <t>Bryan:</t>
        </r>
        <r>
          <rPr>
            <sz val="9"/>
            <color indexed="81"/>
            <rFont val="Tahoma"/>
            <family val="2"/>
          </rPr>
          <t xml:space="preserve">
Tied to enrollment for new building.</t>
        </r>
      </text>
    </comment>
    <comment ref="AV128" authorId="1" shapeId="0" xr:uid="{CC09DA03-4D69-4671-90EC-A0F464937E68}">
      <text>
        <r>
          <rPr>
            <b/>
            <sz val="9"/>
            <color indexed="81"/>
            <rFont val="Tahoma"/>
            <family val="2"/>
          </rPr>
          <t>Bryan:</t>
        </r>
        <r>
          <rPr>
            <sz val="9"/>
            <color indexed="81"/>
            <rFont val="Tahoma"/>
            <family val="2"/>
          </rPr>
          <t xml:space="preserve">
Tied to enrollment for new building.</t>
        </r>
      </text>
    </comment>
    <comment ref="AW128" authorId="1" shapeId="0" xr:uid="{74B23F59-9010-4445-BF58-61A0706E1553}">
      <text>
        <r>
          <rPr>
            <b/>
            <sz val="9"/>
            <color indexed="81"/>
            <rFont val="Tahoma"/>
            <family val="2"/>
          </rPr>
          <t>Bryan:</t>
        </r>
        <r>
          <rPr>
            <sz val="9"/>
            <color indexed="81"/>
            <rFont val="Tahoma"/>
            <family val="2"/>
          </rPr>
          <t xml:space="preserve">
Tied to enrollment for new building.</t>
        </r>
      </text>
    </comment>
    <comment ref="AX128" authorId="1" shapeId="0" xr:uid="{0F8EBAF3-6C4E-4738-9948-458AC71722E9}">
      <text>
        <r>
          <rPr>
            <b/>
            <sz val="9"/>
            <color indexed="81"/>
            <rFont val="Tahoma"/>
            <family val="2"/>
          </rPr>
          <t>Bryan:</t>
        </r>
        <r>
          <rPr>
            <sz val="9"/>
            <color indexed="81"/>
            <rFont val="Tahoma"/>
            <family val="2"/>
          </rPr>
          <t xml:space="preserve">
Tied to enrollment for new building.</t>
        </r>
      </text>
    </comment>
    <comment ref="AY128" authorId="1" shapeId="0" xr:uid="{20CCE320-A75F-4C27-B3B7-5A19AE307223}">
      <text>
        <r>
          <rPr>
            <b/>
            <sz val="9"/>
            <color indexed="81"/>
            <rFont val="Tahoma"/>
            <family val="2"/>
          </rPr>
          <t>Bryan:</t>
        </r>
        <r>
          <rPr>
            <sz val="9"/>
            <color indexed="81"/>
            <rFont val="Tahoma"/>
            <family val="2"/>
          </rPr>
          <t xml:space="preserve">
Tied to enrollment for new building.</t>
        </r>
      </text>
    </comment>
    <comment ref="AZ128" authorId="1" shapeId="0" xr:uid="{7ACCC9B6-0487-446C-93EC-BCEAAD9C5ED2}">
      <text>
        <r>
          <rPr>
            <b/>
            <sz val="9"/>
            <color indexed="81"/>
            <rFont val="Tahoma"/>
            <family val="2"/>
          </rPr>
          <t>Bryan:</t>
        </r>
        <r>
          <rPr>
            <sz val="9"/>
            <color indexed="81"/>
            <rFont val="Tahoma"/>
            <family val="2"/>
          </rPr>
          <t xml:space="preserve">
Tied to enrollment for new building.</t>
        </r>
      </text>
    </comment>
    <comment ref="AO132" authorId="1" shapeId="0" xr:uid="{782FC480-4E6F-4275-81D3-8B99CF6866E5}">
      <text>
        <r>
          <rPr>
            <b/>
            <sz val="9"/>
            <color indexed="81"/>
            <rFont val="Tahoma"/>
            <family val="2"/>
          </rPr>
          <t>Bryan:</t>
        </r>
        <r>
          <rPr>
            <sz val="9"/>
            <color indexed="81"/>
            <rFont val="Tahoma"/>
            <family val="2"/>
          </rPr>
          <t xml:space="preserve">
Tied to enrollment for new building.</t>
        </r>
      </text>
    </comment>
    <comment ref="AP132" authorId="1" shapeId="0" xr:uid="{CD951EE7-66C9-4A0D-99B6-37F352F9F35A}">
      <text>
        <r>
          <rPr>
            <b/>
            <sz val="9"/>
            <color indexed="81"/>
            <rFont val="Tahoma"/>
            <family val="2"/>
          </rPr>
          <t>Bryan:</t>
        </r>
        <r>
          <rPr>
            <sz val="9"/>
            <color indexed="81"/>
            <rFont val="Tahoma"/>
            <family val="2"/>
          </rPr>
          <t xml:space="preserve">
Tied to enrollment for new building.</t>
        </r>
      </text>
    </comment>
    <comment ref="AQ132" authorId="1" shapeId="0" xr:uid="{BF978A8D-AE8F-4FD2-AAFF-240D04F7A5CB}">
      <text>
        <r>
          <rPr>
            <b/>
            <sz val="9"/>
            <color indexed="81"/>
            <rFont val="Tahoma"/>
            <family val="2"/>
          </rPr>
          <t>Bryan:</t>
        </r>
        <r>
          <rPr>
            <sz val="9"/>
            <color indexed="81"/>
            <rFont val="Tahoma"/>
            <family val="2"/>
          </rPr>
          <t xml:space="preserve">
Tied to enrollment for new building.</t>
        </r>
      </text>
    </comment>
    <comment ref="AR132" authorId="1" shapeId="0" xr:uid="{60D41E12-30F4-423D-BC87-BA87B4F34C8F}">
      <text>
        <r>
          <rPr>
            <b/>
            <sz val="9"/>
            <color indexed="81"/>
            <rFont val="Tahoma"/>
            <family val="2"/>
          </rPr>
          <t>Bryan:</t>
        </r>
        <r>
          <rPr>
            <sz val="9"/>
            <color indexed="81"/>
            <rFont val="Tahoma"/>
            <family val="2"/>
          </rPr>
          <t xml:space="preserve">
Tied to enrollment for new building.</t>
        </r>
      </text>
    </comment>
    <comment ref="AS132" authorId="1" shapeId="0" xr:uid="{36C55C51-B28C-47C9-8068-CA0863BA2D55}">
      <text>
        <r>
          <rPr>
            <b/>
            <sz val="9"/>
            <color indexed="81"/>
            <rFont val="Tahoma"/>
            <family val="2"/>
          </rPr>
          <t>Bryan:</t>
        </r>
        <r>
          <rPr>
            <sz val="9"/>
            <color indexed="81"/>
            <rFont val="Tahoma"/>
            <family val="2"/>
          </rPr>
          <t xml:space="preserve">
Tied to enrollment for new building.</t>
        </r>
      </text>
    </comment>
    <comment ref="AT132" authorId="1" shapeId="0" xr:uid="{63BD84DB-01D4-4BC3-93B7-B690DFA7F0FE}">
      <text>
        <r>
          <rPr>
            <b/>
            <sz val="9"/>
            <color indexed="81"/>
            <rFont val="Tahoma"/>
            <family val="2"/>
          </rPr>
          <t>Bryan:</t>
        </r>
        <r>
          <rPr>
            <sz val="9"/>
            <color indexed="81"/>
            <rFont val="Tahoma"/>
            <family val="2"/>
          </rPr>
          <t xml:space="preserve">
Tied to enrollment for new building.</t>
        </r>
      </text>
    </comment>
    <comment ref="AU132" authorId="1" shapeId="0" xr:uid="{7A316573-FC1A-4FBA-B027-19F5425213D6}">
      <text>
        <r>
          <rPr>
            <b/>
            <sz val="9"/>
            <color indexed="81"/>
            <rFont val="Tahoma"/>
            <family val="2"/>
          </rPr>
          <t>Bryan:</t>
        </r>
        <r>
          <rPr>
            <sz val="9"/>
            <color indexed="81"/>
            <rFont val="Tahoma"/>
            <family val="2"/>
          </rPr>
          <t xml:space="preserve">
Tied to enrollment for new building.</t>
        </r>
      </text>
    </comment>
    <comment ref="AV132" authorId="1" shapeId="0" xr:uid="{0690D041-78CB-4AC3-BCEC-369E73729A50}">
      <text>
        <r>
          <rPr>
            <b/>
            <sz val="9"/>
            <color indexed="81"/>
            <rFont val="Tahoma"/>
            <family val="2"/>
          </rPr>
          <t>Bryan:</t>
        </r>
        <r>
          <rPr>
            <sz val="9"/>
            <color indexed="81"/>
            <rFont val="Tahoma"/>
            <family val="2"/>
          </rPr>
          <t xml:space="preserve">
Tied to enrollment for new building.</t>
        </r>
      </text>
    </comment>
    <comment ref="AW132" authorId="1" shapeId="0" xr:uid="{FE92B5E2-10DD-4554-836E-5525368F8D6A}">
      <text>
        <r>
          <rPr>
            <b/>
            <sz val="9"/>
            <color indexed="81"/>
            <rFont val="Tahoma"/>
            <family val="2"/>
          </rPr>
          <t>Bryan:</t>
        </r>
        <r>
          <rPr>
            <sz val="9"/>
            <color indexed="81"/>
            <rFont val="Tahoma"/>
            <family val="2"/>
          </rPr>
          <t xml:space="preserve">
Tied to enrollment for new building.</t>
        </r>
      </text>
    </comment>
    <comment ref="AX132" authorId="1" shapeId="0" xr:uid="{90A15A3F-5075-4123-A19F-8B2C511A70DB}">
      <text>
        <r>
          <rPr>
            <b/>
            <sz val="9"/>
            <color indexed="81"/>
            <rFont val="Tahoma"/>
            <family val="2"/>
          </rPr>
          <t>Bryan:</t>
        </r>
        <r>
          <rPr>
            <sz val="9"/>
            <color indexed="81"/>
            <rFont val="Tahoma"/>
            <family val="2"/>
          </rPr>
          <t xml:space="preserve">
Tied to enrollment for new building.</t>
        </r>
      </text>
    </comment>
    <comment ref="AY132" authorId="1" shapeId="0" xr:uid="{E8C59E28-3021-4EE9-B751-92562D750264}">
      <text>
        <r>
          <rPr>
            <b/>
            <sz val="9"/>
            <color indexed="81"/>
            <rFont val="Tahoma"/>
            <family val="2"/>
          </rPr>
          <t>Bryan:</t>
        </r>
        <r>
          <rPr>
            <sz val="9"/>
            <color indexed="81"/>
            <rFont val="Tahoma"/>
            <family val="2"/>
          </rPr>
          <t xml:space="preserve">
Tied to enrollment for new building.</t>
        </r>
      </text>
    </comment>
    <comment ref="AZ132" authorId="1" shapeId="0" xr:uid="{C822A321-0D0F-4CEF-981A-98F15C2EBE03}">
      <text>
        <r>
          <rPr>
            <b/>
            <sz val="9"/>
            <color indexed="81"/>
            <rFont val="Tahoma"/>
            <family val="2"/>
          </rPr>
          <t>Bryan:</t>
        </r>
        <r>
          <rPr>
            <sz val="9"/>
            <color indexed="81"/>
            <rFont val="Tahoma"/>
            <family val="2"/>
          </rPr>
          <t xml:space="preserve">
Tied to enrollment for new building.</t>
        </r>
      </text>
    </comment>
    <comment ref="AO134" authorId="1" shapeId="0" xr:uid="{D1135D97-B933-49C3-AD21-42824ECCE846}">
      <text>
        <r>
          <rPr>
            <b/>
            <sz val="9"/>
            <color indexed="81"/>
            <rFont val="Tahoma"/>
            <family val="2"/>
          </rPr>
          <t>Bryan:</t>
        </r>
        <r>
          <rPr>
            <sz val="9"/>
            <color indexed="81"/>
            <rFont val="Tahoma"/>
            <family val="2"/>
          </rPr>
          <t xml:space="preserve">
Tied to enrollment for new building.</t>
        </r>
      </text>
    </comment>
    <comment ref="AP134" authorId="1" shapeId="0" xr:uid="{F03CC869-D126-4314-B83F-825D2CD72A17}">
      <text>
        <r>
          <rPr>
            <b/>
            <sz val="9"/>
            <color indexed="81"/>
            <rFont val="Tahoma"/>
            <family val="2"/>
          </rPr>
          <t>Bryan:</t>
        </r>
        <r>
          <rPr>
            <sz val="9"/>
            <color indexed="81"/>
            <rFont val="Tahoma"/>
            <family val="2"/>
          </rPr>
          <t xml:space="preserve">
Tied to enrollment for new building.</t>
        </r>
      </text>
    </comment>
    <comment ref="AQ134" authorId="1" shapeId="0" xr:uid="{17C9B08B-506D-49C0-B379-5277EBDBEA1A}">
      <text>
        <r>
          <rPr>
            <b/>
            <sz val="9"/>
            <color indexed="81"/>
            <rFont val="Tahoma"/>
            <family val="2"/>
          </rPr>
          <t>Bryan:</t>
        </r>
        <r>
          <rPr>
            <sz val="9"/>
            <color indexed="81"/>
            <rFont val="Tahoma"/>
            <family val="2"/>
          </rPr>
          <t xml:space="preserve">
Tied to enrollment for new building.</t>
        </r>
      </text>
    </comment>
    <comment ref="AR134" authorId="1" shapeId="0" xr:uid="{5DDDDD6F-2D6D-4797-8CFE-3523F06344DE}">
      <text>
        <r>
          <rPr>
            <b/>
            <sz val="9"/>
            <color indexed="81"/>
            <rFont val="Tahoma"/>
            <family val="2"/>
          </rPr>
          <t>Bryan:</t>
        </r>
        <r>
          <rPr>
            <sz val="9"/>
            <color indexed="81"/>
            <rFont val="Tahoma"/>
            <family val="2"/>
          </rPr>
          <t xml:space="preserve">
Tied to enrollment for new building.</t>
        </r>
      </text>
    </comment>
    <comment ref="AS134" authorId="1" shapeId="0" xr:uid="{7B64FFFF-F747-4549-9554-7F33753A6F6D}">
      <text>
        <r>
          <rPr>
            <b/>
            <sz val="9"/>
            <color indexed="81"/>
            <rFont val="Tahoma"/>
            <family val="2"/>
          </rPr>
          <t>Bryan:</t>
        </r>
        <r>
          <rPr>
            <sz val="9"/>
            <color indexed="81"/>
            <rFont val="Tahoma"/>
            <family val="2"/>
          </rPr>
          <t xml:space="preserve">
Tied to enrollment for new building.</t>
        </r>
      </text>
    </comment>
    <comment ref="AT134" authorId="1" shapeId="0" xr:uid="{228515E2-2ED5-4B72-8523-B5EFB47537C3}">
      <text>
        <r>
          <rPr>
            <b/>
            <sz val="9"/>
            <color indexed="81"/>
            <rFont val="Tahoma"/>
            <family val="2"/>
          </rPr>
          <t>Bryan:</t>
        </r>
        <r>
          <rPr>
            <sz val="9"/>
            <color indexed="81"/>
            <rFont val="Tahoma"/>
            <family val="2"/>
          </rPr>
          <t xml:space="preserve">
Tied to enrollment for new building.</t>
        </r>
      </text>
    </comment>
    <comment ref="AU134" authorId="1" shapeId="0" xr:uid="{D05EB627-25A5-4307-87DD-05420A8F4F3F}">
      <text>
        <r>
          <rPr>
            <b/>
            <sz val="9"/>
            <color indexed="81"/>
            <rFont val="Tahoma"/>
            <family val="2"/>
          </rPr>
          <t>Bryan:</t>
        </r>
        <r>
          <rPr>
            <sz val="9"/>
            <color indexed="81"/>
            <rFont val="Tahoma"/>
            <family val="2"/>
          </rPr>
          <t xml:space="preserve">
Tied to enrollment for new building.</t>
        </r>
      </text>
    </comment>
    <comment ref="AV134" authorId="1" shapeId="0" xr:uid="{468DE1C7-A0F8-4A8E-AE55-42FE86039BE3}">
      <text>
        <r>
          <rPr>
            <b/>
            <sz val="9"/>
            <color indexed="81"/>
            <rFont val="Tahoma"/>
            <family val="2"/>
          </rPr>
          <t>Bryan:</t>
        </r>
        <r>
          <rPr>
            <sz val="9"/>
            <color indexed="81"/>
            <rFont val="Tahoma"/>
            <family val="2"/>
          </rPr>
          <t xml:space="preserve">
Tied to enrollment for new building.</t>
        </r>
      </text>
    </comment>
    <comment ref="AW134" authorId="1" shapeId="0" xr:uid="{6210DBD5-13C8-49B5-B452-26DF40938309}">
      <text>
        <r>
          <rPr>
            <b/>
            <sz val="9"/>
            <color indexed="81"/>
            <rFont val="Tahoma"/>
            <family val="2"/>
          </rPr>
          <t>Bryan:</t>
        </r>
        <r>
          <rPr>
            <sz val="9"/>
            <color indexed="81"/>
            <rFont val="Tahoma"/>
            <family val="2"/>
          </rPr>
          <t xml:space="preserve">
Tied to enrollment for new building.</t>
        </r>
      </text>
    </comment>
    <comment ref="AX134" authorId="1" shapeId="0" xr:uid="{5A2012D3-C873-44F4-8093-44542E473C52}">
      <text>
        <r>
          <rPr>
            <b/>
            <sz val="9"/>
            <color indexed="81"/>
            <rFont val="Tahoma"/>
            <family val="2"/>
          </rPr>
          <t>Bryan:</t>
        </r>
        <r>
          <rPr>
            <sz val="9"/>
            <color indexed="81"/>
            <rFont val="Tahoma"/>
            <family val="2"/>
          </rPr>
          <t xml:space="preserve">
Tied to enrollment for new building.</t>
        </r>
      </text>
    </comment>
    <comment ref="AY134" authorId="1" shapeId="0" xr:uid="{9A0A0C72-38AD-4C38-9343-E2C2BB629214}">
      <text>
        <r>
          <rPr>
            <b/>
            <sz val="9"/>
            <color indexed="81"/>
            <rFont val="Tahoma"/>
            <family val="2"/>
          </rPr>
          <t>Bryan:</t>
        </r>
        <r>
          <rPr>
            <sz val="9"/>
            <color indexed="81"/>
            <rFont val="Tahoma"/>
            <family val="2"/>
          </rPr>
          <t xml:space="preserve">
Tied to enrollment for new building.</t>
        </r>
      </text>
    </comment>
    <comment ref="AZ134" authorId="1" shapeId="0" xr:uid="{FD9F16B5-6A16-4184-B598-F9981C2A9122}">
      <text>
        <r>
          <rPr>
            <b/>
            <sz val="9"/>
            <color indexed="81"/>
            <rFont val="Tahoma"/>
            <family val="2"/>
          </rPr>
          <t>Bryan:</t>
        </r>
        <r>
          <rPr>
            <sz val="9"/>
            <color indexed="81"/>
            <rFont val="Tahoma"/>
            <family val="2"/>
          </rPr>
          <t xml:space="preserve">
Tied to enrollment for new building.</t>
        </r>
      </text>
    </comment>
    <comment ref="AO135" authorId="1" shapeId="0" xr:uid="{86E538C2-3577-47C3-8A51-E4A0BE574334}">
      <text>
        <r>
          <rPr>
            <b/>
            <sz val="9"/>
            <color indexed="81"/>
            <rFont val="Tahoma"/>
            <family val="2"/>
          </rPr>
          <t>Bryan:</t>
        </r>
        <r>
          <rPr>
            <sz val="9"/>
            <color indexed="81"/>
            <rFont val="Tahoma"/>
            <family val="2"/>
          </rPr>
          <t xml:space="preserve">
Tied to enrollment for new building.</t>
        </r>
      </text>
    </comment>
    <comment ref="AP135" authorId="1" shapeId="0" xr:uid="{F24A539C-0221-4F59-ABE7-AEF5D57F2743}">
      <text>
        <r>
          <rPr>
            <b/>
            <sz val="9"/>
            <color indexed="81"/>
            <rFont val="Tahoma"/>
            <family val="2"/>
          </rPr>
          <t>Bryan:</t>
        </r>
        <r>
          <rPr>
            <sz val="9"/>
            <color indexed="81"/>
            <rFont val="Tahoma"/>
            <family val="2"/>
          </rPr>
          <t xml:space="preserve">
Tied to enrollment for new building.</t>
        </r>
      </text>
    </comment>
    <comment ref="AQ135" authorId="1" shapeId="0" xr:uid="{31801CC4-2143-4DD7-B719-DB335AA2C24F}">
      <text>
        <r>
          <rPr>
            <b/>
            <sz val="9"/>
            <color indexed="81"/>
            <rFont val="Tahoma"/>
            <family val="2"/>
          </rPr>
          <t>Bryan:</t>
        </r>
        <r>
          <rPr>
            <sz val="9"/>
            <color indexed="81"/>
            <rFont val="Tahoma"/>
            <family val="2"/>
          </rPr>
          <t xml:space="preserve">
Tied to enrollment for new building.</t>
        </r>
      </text>
    </comment>
    <comment ref="AR135" authorId="1" shapeId="0" xr:uid="{A67B5019-7D48-449F-A9EA-79828622B7E1}">
      <text>
        <r>
          <rPr>
            <b/>
            <sz val="9"/>
            <color indexed="81"/>
            <rFont val="Tahoma"/>
            <family val="2"/>
          </rPr>
          <t>Bryan:</t>
        </r>
        <r>
          <rPr>
            <sz val="9"/>
            <color indexed="81"/>
            <rFont val="Tahoma"/>
            <family val="2"/>
          </rPr>
          <t xml:space="preserve">
Tied to enrollment for new building.</t>
        </r>
      </text>
    </comment>
    <comment ref="AS135" authorId="1" shapeId="0" xr:uid="{4224CAD7-6138-4C4E-A956-B069E10D5B8D}">
      <text>
        <r>
          <rPr>
            <b/>
            <sz val="9"/>
            <color indexed="81"/>
            <rFont val="Tahoma"/>
            <family val="2"/>
          </rPr>
          <t>Bryan:</t>
        </r>
        <r>
          <rPr>
            <sz val="9"/>
            <color indexed="81"/>
            <rFont val="Tahoma"/>
            <family val="2"/>
          </rPr>
          <t xml:space="preserve">
Tied to enrollment for new building.</t>
        </r>
      </text>
    </comment>
    <comment ref="AT135" authorId="1" shapeId="0" xr:uid="{FD73C6FC-D6C9-4D62-AD6A-6D578AD7D748}">
      <text>
        <r>
          <rPr>
            <b/>
            <sz val="9"/>
            <color indexed="81"/>
            <rFont val="Tahoma"/>
            <family val="2"/>
          </rPr>
          <t>Bryan:</t>
        </r>
        <r>
          <rPr>
            <sz val="9"/>
            <color indexed="81"/>
            <rFont val="Tahoma"/>
            <family val="2"/>
          </rPr>
          <t xml:space="preserve">
Tied to enrollment for new building.</t>
        </r>
      </text>
    </comment>
    <comment ref="AU135" authorId="1" shapeId="0" xr:uid="{74BADF51-F576-4B37-86D9-1816076FA746}">
      <text>
        <r>
          <rPr>
            <b/>
            <sz val="9"/>
            <color indexed="81"/>
            <rFont val="Tahoma"/>
            <family val="2"/>
          </rPr>
          <t>Bryan:</t>
        </r>
        <r>
          <rPr>
            <sz val="9"/>
            <color indexed="81"/>
            <rFont val="Tahoma"/>
            <family val="2"/>
          </rPr>
          <t xml:space="preserve">
Tied to enrollment for new building.</t>
        </r>
      </text>
    </comment>
    <comment ref="AV135" authorId="1" shapeId="0" xr:uid="{CC96D7F1-292B-4FAD-8ADC-6F60FF039C1D}">
      <text>
        <r>
          <rPr>
            <b/>
            <sz val="9"/>
            <color indexed="81"/>
            <rFont val="Tahoma"/>
            <family val="2"/>
          </rPr>
          <t>Bryan:</t>
        </r>
        <r>
          <rPr>
            <sz val="9"/>
            <color indexed="81"/>
            <rFont val="Tahoma"/>
            <family val="2"/>
          </rPr>
          <t xml:space="preserve">
Tied to enrollment for new building.</t>
        </r>
      </text>
    </comment>
    <comment ref="AW135" authorId="1" shapeId="0" xr:uid="{DCB05B83-1B86-4AAF-98FE-2642E690B7BF}">
      <text>
        <r>
          <rPr>
            <b/>
            <sz val="9"/>
            <color indexed="81"/>
            <rFont val="Tahoma"/>
            <family val="2"/>
          </rPr>
          <t>Bryan:</t>
        </r>
        <r>
          <rPr>
            <sz val="9"/>
            <color indexed="81"/>
            <rFont val="Tahoma"/>
            <family val="2"/>
          </rPr>
          <t xml:space="preserve">
Tied to enrollment for new building.</t>
        </r>
      </text>
    </comment>
    <comment ref="AX135" authorId="1" shapeId="0" xr:uid="{CAE00778-9B66-48FA-9623-FE8ECC953673}">
      <text>
        <r>
          <rPr>
            <b/>
            <sz val="9"/>
            <color indexed="81"/>
            <rFont val="Tahoma"/>
            <family val="2"/>
          </rPr>
          <t>Bryan:</t>
        </r>
        <r>
          <rPr>
            <sz val="9"/>
            <color indexed="81"/>
            <rFont val="Tahoma"/>
            <family val="2"/>
          </rPr>
          <t xml:space="preserve">
Tied to enrollment for new building.</t>
        </r>
      </text>
    </comment>
    <comment ref="AY135" authorId="1" shapeId="0" xr:uid="{63C12598-5C4D-4BFC-9A8D-415E2D7DC5BB}">
      <text>
        <r>
          <rPr>
            <b/>
            <sz val="9"/>
            <color indexed="81"/>
            <rFont val="Tahoma"/>
            <family val="2"/>
          </rPr>
          <t>Bryan:</t>
        </r>
        <r>
          <rPr>
            <sz val="9"/>
            <color indexed="81"/>
            <rFont val="Tahoma"/>
            <family val="2"/>
          </rPr>
          <t xml:space="preserve">
Tied to enrollment for new building.</t>
        </r>
      </text>
    </comment>
    <comment ref="AZ135" authorId="1" shapeId="0" xr:uid="{B0BEFFB1-9C38-4947-9642-2CFA0C914793}">
      <text>
        <r>
          <rPr>
            <b/>
            <sz val="9"/>
            <color indexed="81"/>
            <rFont val="Tahoma"/>
            <family val="2"/>
          </rPr>
          <t>Bryan:</t>
        </r>
        <r>
          <rPr>
            <sz val="9"/>
            <color indexed="81"/>
            <rFont val="Tahoma"/>
            <family val="2"/>
          </rPr>
          <t xml:space="preserve">
Tied to enrollment for new building.</t>
        </r>
      </text>
    </comment>
    <comment ref="AO136" authorId="1" shapeId="0" xr:uid="{B6AC94BF-D71B-4541-AD38-646207D223AC}">
      <text>
        <r>
          <rPr>
            <b/>
            <sz val="9"/>
            <color indexed="81"/>
            <rFont val="Tahoma"/>
            <family val="2"/>
          </rPr>
          <t>Bryan:</t>
        </r>
        <r>
          <rPr>
            <sz val="9"/>
            <color indexed="81"/>
            <rFont val="Tahoma"/>
            <family val="2"/>
          </rPr>
          <t xml:space="preserve">
Tied to enrollment for new building.</t>
        </r>
      </text>
    </comment>
    <comment ref="AP136" authorId="1" shapeId="0" xr:uid="{9E96F443-B888-4E57-A94F-F07868A08F1E}">
      <text>
        <r>
          <rPr>
            <b/>
            <sz val="9"/>
            <color indexed="81"/>
            <rFont val="Tahoma"/>
            <family val="2"/>
          </rPr>
          <t>Bryan:</t>
        </r>
        <r>
          <rPr>
            <sz val="9"/>
            <color indexed="81"/>
            <rFont val="Tahoma"/>
            <family val="2"/>
          </rPr>
          <t xml:space="preserve">
Tied to enrollment for new building.</t>
        </r>
      </text>
    </comment>
    <comment ref="AQ136" authorId="1" shapeId="0" xr:uid="{9470A76B-189E-40FE-8C8A-B7DE22FFACB9}">
      <text>
        <r>
          <rPr>
            <b/>
            <sz val="9"/>
            <color indexed="81"/>
            <rFont val="Tahoma"/>
            <family val="2"/>
          </rPr>
          <t>Bryan:</t>
        </r>
        <r>
          <rPr>
            <sz val="9"/>
            <color indexed="81"/>
            <rFont val="Tahoma"/>
            <family val="2"/>
          </rPr>
          <t xml:space="preserve">
Tied to enrollment for new building.</t>
        </r>
      </text>
    </comment>
    <comment ref="AR136" authorId="1" shapeId="0" xr:uid="{E37014AF-245A-4D87-B5C5-B7DA1DD32F4C}">
      <text>
        <r>
          <rPr>
            <b/>
            <sz val="9"/>
            <color indexed="81"/>
            <rFont val="Tahoma"/>
            <family val="2"/>
          </rPr>
          <t>Bryan:</t>
        </r>
        <r>
          <rPr>
            <sz val="9"/>
            <color indexed="81"/>
            <rFont val="Tahoma"/>
            <family val="2"/>
          </rPr>
          <t xml:space="preserve">
Tied to enrollment for new building.</t>
        </r>
      </text>
    </comment>
    <comment ref="AS136" authorId="1" shapeId="0" xr:uid="{1E78C182-5A83-4452-AD9E-4FCBFC42489D}">
      <text>
        <r>
          <rPr>
            <b/>
            <sz val="9"/>
            <color indexed="81"/>
            <rFont val="Tahoma"/>
            <family val="2"/>
          </rPr>
          <t>Bryan:</t>
        </r>
        <r>
          <rPr>
            <sz val="9"/>
            <color indexed="81"/>
            <rFont val="Tahoma"/>
            <family val="2"/>
          </rPr>
          <t xml:space="preserve">
Tied to enrollment for new building.</t>
        </r>
      </text>
    </comment>
    <comment ref="AT136" authorId="1" shapeId="0" xr:uid="{F856E85A-C15F-4A0A-B505-DAD1A89FC881}">
      <text>
        <r>
          <rPr>
            <b/>
            <sz val="9"/>
            <color indexed="81"/>
            <rFont val="Tahoma"/>
            <family val="2"/>
          </rPr>
          <t>Bryan:</t>
        </r>
        <r>
          <rPr>
            <sz val="9"/>
            <color indexed="81"/>
            <rFont val="Tahoma"/>
            <family val="2"/>
          </rPr>
          <t xml:space="preserve">
Tied to enrollment for new building.</t>
        </r>
      </text>
    </comment>
    <comment ref="AU136" authorId="1" shapeId="0" xr:uid="{3C5B8A1C-0A2E-4ED2-AAC1-6EB17BDEE541}">
      <text>
        <r>
          <rPr>
            <b/>
            <sz val="9"/>
            <color indexed="81"/>
            <rFont val="Tahoma"/>
            <family val="2"/>
          </rPr>
          <t>Bryan:</t>
        </r>
        <r>
          <rPr>
            <sz val="9"/>
            <color indexed="81"/>
            <rFont val="Tahoma"/>
            <family val="2"/>
          </rPr>
          <t xml:space="preserve">
Tied to enrollment for new building.</t>
        </r>
      </text>
    </comment>
    <comment ref="AV136" authorId="1" shapeId="0" xr:uid="{D02C6FF8-280D-492D-A90E-DA91526B92B5}">
      <text>
        <r>
          <rPr>
            <b/>
            <sz val="9"/>
            <color indexed="81"/>
            <rFont val="Tahoma"/>
            <family val="2"/>
          </rPr>
          <t>Bryan:</t>
        </r>
        <r>
          <rPr>
            <sz val="9"/>
            <color indexed="81"/>
            <rFont val="Tahoma"/>
            <family val="2"/>
          </rPr>
          <t xml:space="preserve">
Tied to enrollment for new building.</t>
        </r>
      </text>
    </comment>
    <comment ref="AW136" authorId="1" shapeId="0" xr:uid="{30A08971-9A52-476A-A13F-48F7206606FE}">
      <text>
        <r>
          <rPr>
            <b/>
            <sz val="9"/>
            <color indexed="81"/>
            <rFont val="Tahoma"/>
            <family val="2"/>
          </rPr>
          <t>Bryan:</t>
        </r>
        <r>
          <rPr>
            <sz val="9"/>
            <color indexed="81"/>
            <rFont val="Tahoma"/>
            <family val="2"/>
          </rPr>
          <t xml:space="preserve">
Tied to enrollment for new building.</t>
        </r>
      </text>
    </comment>
    <comment ref="AX136" authorId="1" shapeId="0" xr:uid="{00EDB8D6-A124-4480-819A-70DDBE01AC70}">
      <text>
        <r>
          <rPr>
            <b/>
            <sz val="9"/>
            <color indexed="81"/>
            <rFont val="Tahoma"/>
            <family val="2"/>
          </rPr>
          <t>Bryan:</t>
        </r>
        <r>
          <rPr>
            <sz val="9"/>
            <color indexed="81"/>
            <rFont val="Tahoma"/>
            <family val="2"/>
          </rPr>
          <t xml:space="preserve">
Tied to enrollment for new building.</t>
        </r>
      </text>
    </comment>
    <comment ref="AY136" authorId="1" shapeId="0" xr:uid="{9F36B9A8-F214-4544-BE15-5B70779ABC0E}">
      <text>
        <r>
          <rPr>
            <b/>
            <sz val="9"/>
            <color indexed="81"/>
            <rFont val="Tahoma"/>
            <family val="2"/>
          </rPr>
          <t>Bryan:</t>
        </r>
        <r>
          <rPr>
            <sz val="9"/>
            <color indexed="81"/>
            <rFont val="Tahoma"/>
            <family val="2"/>
          </rPr>
          <t xml:space="preserve">
Tied to enrollment for new building.</t>
        </r>
      </text>
    </comment>
    <comment ref="AZ136" authorId="1" shapeId="0" xr:uid="{7243F86C-D6BE-458D-9014-78E397378461}">
      <text>
        <r>
          <rPr>
            <b/>
            <sz val="9"/>
            <color indexed="81"/>
            <rFont val="Tahoma"/>
            <family val="2"/>
          </rPr>
          <t>Bryan:</t>
        </r>
        <r>
          <rPr>
            <sz val="9"/>
            <color indexed="81"/>
            <rFont val="Tahoma"/>
            <family val="2"/>
          </rPr>
          <t xml:space="preserve">
Tied to enrollment for new building.</t>
        </r>
      </text>
    </comment>
    <comment ref="AO137" authorId="1" shapeId="0" xr:uid="{9E09336C-08D4-4E80-A3E5-D1843E604E57}">
      <text>
        <r>
          <rPr>
            <b/>
            <sz val="9"/>
            <color indexed="81"/>
            <rFont val="Tahoma"/>
            <family val="2"/>
          </rPr>
          <t>Bryan:</t>
        </r>
        <r>
          <rPr>
            <sz val="9"/>
            <color indexed="81"/>
            <rFont val="Tahoma"/>
            <family val="2"/>
          </rPr>
          <t xml:space="preserve">
Tied to enrollment for new building.</t>
        </r>
      </text>
    </comment>
    <comment ref="AP137" authorId="1" shapeId="0" xr:uid="{5E25500F-D349-431C-8989-FBBBB7C2C2E1}">
      <text>
        <r>
          <rPr>
            <b/>
            <sz val="9"/>
            <color indexed="81"/>
            <rFont val="Tahoma"/>
            <family val="2"/>
          </rPr>
          <t>Bryan:</t>
        </r>
        <r>
          <rPr>
            <sz val="9"/>
            <color indexed="81"/>
            <rFont val="Tahoma"/>
            <family val="2"/>
          </rPr>
          <t xml:space="preserve">
Tied to enrollment for new building.</t>
        </r>
      </text>
    </comment>
    <comment ref="AQ137" authorId="1" shapeId="0" xr:uid="{50E668EE-474E-4D66-8C6C-ADC630405785}">
      <text>
        <r>
          <rPr>
            <b/>
            <sz val="9"/>
            <color indexed="81"/>
            <rFont val="Tahoma"/>
            <family val="2"/>
          </rPr>
          <t>Bryan:</t>
        </r>
        <r>
          <rPr>
            <sz val="9"/>
            <color indexed="81"/>
            <rFont val="Tahoma"/>
            <family val="2"/>
          </rPr>
          <t xml:space="preserve">
Tied to enrollment for new building.</t>
        </r>
      </text>
    </comment>
    <comment ref="AR137" authorId="1" shapeId="0" xr:uid="{972A2302-1E3F-4435-936D-117B34186160}">
      <text>
        <r>
          <rPr>
            <b/>
            <sz val="9"/>
            <color indexed="81"/>
            <rFont val="Tahoma"/>
            <family val="2"/>
          </rPr>
          <t>Bryan:</t>
        </r>
        <r>
          <rPr>
            <sz val="9"/>
            <color indexed="81"/>
            <rFont val="Tahoma"/>
            <family val="2"/>
          </rPr>
          <t xml:space="preserve">
Tied to enrollment for new building.</t>
        </r>
      </text>
    </comment>
    <comment ref="AS137" authorId="1" shapeId="0" xr:uid="{D890A860-C031-4026-86DF-1586B18C7F05}">
      <text>
        <r>
          <rPr>
            <b/>
            <sz val="9"/>
            <color indexed="81"/>
            <rFont val="Tahoma"/>
            <family val="2"/>
          </rPr>
          <t>Bryan:</t>
        </r>
        <r>
          <rPr>
            <sz val="9"/>
            <color indexed="81"/>
            <rFont val="Tahoma"/>
            <family val="2"/>
          </rPr>
          <t xml:space="preserve">
Tied to enrollment for new building.</t>
        </r>
      </text>
    </comment>
    <comment ref="AT137" authorId="1" shapeId="0" xr:uid="{1419A021-E091-440B-9571-2A9B5F97C6D0}">
      <text>
        <r>
          <rPr>
            <b/>
            <sz val="9"/>
            <color indexed="81"/>
            <rFont val="Tahoma"/>
            <family val="2"/>
          </rPr>
          <t>Bryan:</t>
        </r>
        <r>
          <rPr>
            <sz val="9"/>
            <color indexed="81"/>
            <rFont val="Tahoma"/>
            <family val="2"/>
          </rPr>
          <t xml:space="preserve">
Tied to enrollment for new building.</t>
        </r>
      </text>
    </comment>
    <comment ref="AU137" authorId="1" shapeId="0" xr:uid="{ED72231A-1E94-4661-BE4F-FFCD67BC4790}">
      <text>
        <r>
          <rPr>
            <b/>
            <sz val="9"/>
            <color indexed="81"/>
            <rFont val="Tahoma"/>
            <family val="2"/>
          </rPr>
          <t>Bryan:</t>
        </r>
        <r>
          <rPr>
            <sz val="9"/>
            <color indexed="81"/>
            <rFont val="Tahoma"/>
            <family val="2"/>
          </rPr>
          <t xml:space="preserve">
Tied to enrollment for new building.</t>
        </r>
      </text>
    </comment>
    <comment ref="AV137" authorId="1" shapeId="0" xr:uid="{F26B8D46-9988-41F3-8EDB-B1F45129CF43}">
      <text>
        <r>
          <rPr>
            <b/>
            <sz val="9"/>
            <color indexed="81"/>
            <rFont val="Tahoma"/>
            <family val="2"/>
          </rPr>
          <t>Bryan:</t>
        </r>
        <r>
          <rPr>
            <sz val="9"/>
            <color indexed="81"/>
            <rFont val="Tahoma"/>
            <family val="2"/>
          </rPr>
          <t xml:space="preserve">
Tied to enrollment for new building.</t>
        </r>
      </text>
    </comment>
    <comment ref="AW137" authorId="1" shapeId="0" xr:uid="{D2B482FB-C12F-40FA-BF0E-E24CE37D4E80}">
      <text>
        <r>
          <rPr>
            <b/>
            <sz val="9"/>
            <color indexed="81"/>
            <rFont val="Tahoma"/>
            <family val="2"/>
          </rPr>
          <t>Bryan:</t>
        </r>
        <r>
          <rPr>
            <sz val="9"/>
            <color indexed="81"/>
            <rFont val="Tahoma"/>
            <family val="2"/>
          </rPr>
          <t xml:space="preserve">
Tied to enrollment for new building.</t>
        </r>
      </text>
    </comment>
    <comment ref="AX137" authorId="1" shapeId="0" xr:uid="{453E1663-494B-41F7-9961-72061A6AEEE8}">
      <text>
        <r>
          <rPr>
            <b/>
            <sz val="9"/>
            <color indexed="81"/>
            <rFont val="Tahoma"/>
            <family val="2"/>
          </rPr>
          <t>Bryan:</t>
        </r>
        <r>
          <rPr>
            <sz val="9"/>
            <color indexed="81"/>
            <rFont val="Tahoma"/>
            <family val="2"/>
          </rPr>
          <t xml:space="preserve">
Tied to enrollment for new building.</t>
        </r>
      </text>
    </comment>
    <comment ref="AY137" authorId="1" shapeId="0" xr:uid="{504865D1-4965-40EE-A680-A74D3DB09EF5}">
      <text>
        <r>
          <rPr>
            <b/>
            <sz val="9"/>
            <color indexed="81"/>
            <rFont val="Tahoma"/>
            <family val="2"/>
          </rPr>
          <t>Bryan:</t>
        </r>
        <r>
          <rPr>
            <sz val="9"/>
            <color indexed="81"/>
            <rFont val="Tahoma"/>
            <family val="2"/>
          </rPr>
          <t xml:space="preserve">
Tied to enrollment for new building.</t>
        </r>
      </text>
    </comment>
    <comment ref="AZ137" authorId="1" shapeId="0" xr:uid="{6B774C4B-C783-4B70-BE90-AD6703A782D8}">
      <text>
        <r>
          <rPr>
            <b/>
            <sz val="9"/>
            <color indexed="81"/>
            <rFont val="Tahoma"/>
            <family val="2"/>
          </rPr>
          <t>Bryan:</t>
        </r>
        <r>
          <rPr>
            <sz val="9"/>
            <color indexed="81"/>
            <rFont val="Tahoma"/>
            <family val="2"/>
          </rPr>
          <t xml:space="preserve">
Tied to enrollment for new building.</t>
        </r>
      </text>
    </comment>
    <comment ref="AO138" authorId="1" shapeId="0" xr:uid="{823A9B25-C533-4444-AC0F-138413ECBA65}">
      <text>
        <r>
          <rPr>
            <b/>
            <sz val="9"/>
            <color indexed="81"/>
            <rFont val="Tahoma"/>
            <family val="2"/>
          </rPr>
          <t>Bryan:</t>
        </r>
        <r>
          <rPr>
            <sz val="9"/>
            <color indexed="81"/>
            <rFont val="Tahoma"/>
            <family val="2"/>
          </rPr>
          <t xml:space="preserve">
Tied to enrollment for new building.</t>
        </r>
      </text>
    </comment>
    <comment ref="AP138" authorId="1" shapeId="0" xr:uid="{0D94D82E-4924-4735-B5B5-17CE7DA03ACD}">
      <text>
        <r>
          <rPr>
            <b/>
            <sz val="9"/>
            <color indexed="81"/>
            <rFont val="Tahoma"/>
            <family val="2"/>
          </rPr>
          <t>Bryan:</t>
        </r>
        <r>
          <rPr>
            <sz val="9"/>
            <color indexed="81"/>
            <rFont val="Tahoma"/>
            <family val="2"/>
          </rPr>
          <t xml:space="preserve">
Tied to enrollment for new building.</t>
        </r>
      </text>
    </comment>
    <comment ref="AQ138" authorId="1" shapeId="0" xr:uid="{CDABBE45-7EA0-47C9-B0EC-4FCE7348D13B}">
      <text>
        <r>
          <rPr>
            <b/>
            <sz val="9"/>
            <color indexed="81"/>
            <rFont val="Tahoma"/>
            <family val="2"/>
          </rPr>
          <t>Bryan:</t>
        </r>
        <r>
          <rPr>
            <sz val="9"/>
            <color indexed="81"/>
            <rFont val="Tahoma"/>
            <family val="2"/>
          </rPr>
          <t xml:space="preserve">
Tied to enrollment for new building.</t>
        </r>
      </text>
    </comment>
    <comment ref="AR138" authorId="1" shapeId="0" xr:uid="{04EC5605-CB2A-4E5D-882C-A1E7DF88EAA4}">
      <text>
        <r>
          <rPr>
            <b/>
            <sz val="9"/>
            <color indexed="81"/>
            <rFont val="Tahoma"/>
            <family val="2"/>
          </rPr>
          <t>Bryan:</t>
        </r>
        <r>
          <rPr>
            <sz val="9"/>
            <color indexed="81"/>
            <rFont val="Tahoma"/>
            <family val="2"/>
          </rPr>
          <t xml:space="preserve">
Tied to enrollment for new building.</t>
        </r>
      </text>
    </comment>
    <comment ref="AS138" authorId="1" shapeId="0" xr:uid="{3ED9AD9F-441E-41F2-8B8D-F4A16F5967CC}">
      <text>
        <r>
          <rPr>
            <b/>
            <sz val="9"/>
            <color indexed="81"/>
            <rFont val="Tahoma"/>
            <family val="2"/>
          </rPr>
          <t>Bryan:</t>
        </r>
        <r>
          <rPr>
            <sz val="9"/>
            <color indexed="81"/>
            <rFont val="Tahoma"/>
            <family val="2"/>
          </rPr>
          <t xml:space="preserve">
Tied to enrollment for new building.</t>
        </r>
      </text>
    </comment>
    <comment ref="AT138" authorId="1" shapeId="0" xr:uid="{A33DD546-CDCC-47A6-8E33-590D1BEECF9A}">
      <text>
        <r>
          <rPr>
            <b/>
            <sz val="9"/>
            <color indexed="81"/>
            <rFont val="Tahoma"/>
            <family val="2"/>
          </rPr>
          <t>Bryan:</t>
        </r>
        <r>
          <rPr>
            <sz val="9"/>
            <color indexed="81"/>
            <rFont val="Tahoma"/>
            <family val="2"/>
          </rPr>
          <t xml:space="preserve">
Tied to enrollment for new building.</t>
        </r>
      </text>
    </comment>
    <comment ref="AU138" authorId="1" shapeId="0" xr:uid="{0306ACA2-9BE7-49F8-9F51-E404E669F424}">
      <text>
        <r>
          <rPr>
            <b/>
            <sz val="9"/>
            <color indexed="81"/>
            <rFont val="Tahoma"/>
            <family val="2"/>
          </rPr>
          <t>Bryan:</t>
        </r>
        <r>
          <rPr>
            <sz val="9"/>
            <color indexed="81"/>
            <rFont val="Tahoma"/>
            <family val="2"/>
          </rPr>
          <t xml:space="preserve">
Tied to enrollment for new building.</t>
        </r>
      </text>
    </comment>
    <comment ref="AV138" authorId="1" shapeId="0" xr:uid="{DEF515AC-84BF-4A04-9437-8968432624E5}">
      <text>
        <r>
          <rPr>
            <b/>
            <sz val="9"/>
            <color indexed="81"/>
            <rFont val="Tahoma"/>
            <family val="2"/>
          </rPr>
          <t>Bryan:</t>
        </r>
        <r>
          <rPr>
            <sz val="9"/>
            <color indexed="81"/>
            <rFont val="Tahoma"/>
            <family val="2"/>
          </rPr>
          <t xml:space="preserve">
Tied to enrollment for new building.</t>
        </r>
      </text>
    </comment>
    <comment ref="AW138" authorId="1" shapeId="0" xr:uid="{D029312B-C69B-4AAA-B31B-29CB1E128EB7}">
      <text>
        <r>
          <rPr>
            <b/>
            <sz val="9"/>
            <color indexed="81"/>
            <rFont val="Tahoma"/>
            <family val="2"/>
          </rPr>
          <t>Bryan:</t>
        </r>
        <r>
          <rPr>
            <sz val="9"/>
            <color indexed="81"/>
            <rFont val="Tahoma"/>
            <family val="2"/>
          </rPr>
          <t xml:space="preserve">
Tied to enrollment for new building.</t>
        </r>
      </text>
    </comment>
    <comment ref="AX138" authorId="1" shapeId="0" xr:uid="{3A2707E0-13F7-4D6D-9F62-9A337CD09FE1}">
      <text>
        <r>
          <rPr>
            <b/>
            <sz val="9"/>
            <color indexed="81"/>
            <rFont val="Tahoma"/>
            <family val="2"/>
          </rPr>
          <t>Bryan:</t>
        </r>
        <r>
          <rPr>
            <sz val="9"/>
            <color indexed="81"/>
            <rFont val="Tahoma"/>
            <family val="2"/>
          </rPr>
          <t xml:space="preserve">
Tied to enrollment for new building.</t>
        </r>
      </text>
    </comment>
    <comment ref="AY138" authorId="1" shapeId="0" xr:uid="{2C47A207-7FEF-4E10-9141-BA3B1B4D32B3}">
      <text>
        <r>
          <rPr>
            <b/>
            <sz val="9"/>
            <color indexed="81"/>
            <rFont val="Tahoma"/>
            <family val="2"/>
          </rPr>
          <t>Bryan:</t>
        </r>
        <r>
          <rPr>
            <sz val="9"/>
            <color indexed="81"/>
            <rFont val="Tahoma"/>
            <family val="2"/>
          </rPr>
          <t xml:space="preserve">
Tied to enrollment for new building.</t>
        </r>
      </text>
    </comment>
    <comment ref="AZ138" authorId="1" shapeId="0" xr:uid="{BE13C053-5769-4548-90BC-94AF2E3D603D}">
      <text>
        <r>
          <rPr>
            <b/>
            <sz val="9"/>
            <color indexed="81"/>
            <rFont val="Tahoma"/>
            <family val="2"/>
          </rPr>
          <t>Bryan:</t>
        </r>
        <r>
          <rPr>
            <sz val="9"/>
            <color indexed="81"/>
            <rFont val="Tahoma"/>
            <family val="2"/>
          </rPr>
          <t xml:space="preserve">
Tied to enrollment for new building.</t>
        </r>
      </text>
    </comment>
    <comment ref="AO155" authorId="1" shapeId="0" xr:uid="{EBBEFE8E-FC53-4574-8E85-BD13CE51077D}">
      <text>
        <r>
          <rPr>
            <b/>
            <sz val="9"/>
            <color indexed="81"/>
            <rFont val="Tahoma"/>
            <family val="2"/>
          </rPr>
          <t>Bryan:</t>
        </r>
        <r>
          <rPr>
            <sz val="9"/>
            <color indexed="81"/>
            <rFont val="Tahoma"/>
            <family val="2"/>
          </rPr>
          <t xml:space="preserve">
Tied to enrollment for new building.</t>
        </r>
      </text>
    </comment>
    <comment ref="AP155" authorId="1" shapeId="0" xr:uid="{14402FF4-57B2-4802-975E-B5DCFB826498}">
      <text>
        <r>
          <rPr>
            <b/>
            <sz val="9"/>
            <color indexed="81"/>
            <rFont val="Tahoma"/>
            <family val="2"/>
          </rPr>
          <t>Bryan:</t>
        </r>
        <r>
          <rPr>
            <sz val="9"/>
            <color indexed="81"/>
            <rFont val="Tahoma"/>
            <family val="2"/>
          </rPr>
          <t xml:space="preserve">
Tied to enrollment for new building.</t>
        </r>
      </text>
    </comment>
    <comment ref="AQ155" authorId="1" shapeId="0" xr:uid="{57E4E514-DFA0-4DC0-83F6-8092F5154F7D}">
      <text>
        <r>
          <rPr>
            <b/>
            <sz val="9"/>
            <color indexed="81"/>
            <rFont val="Tahoma"/>
            <family val="2"/>
          </rPr>
          <t>Bryan:</t>
        </r>
        <r>
          <rPr>
            <sz val="9"/>
            <color indexed="81"/>
            <rFont val="Tahoma"/>
            <family val="2"/>
          </rPr>
          <t xml:space="preserve">
Tied to enrollment for new building.</t>
        </r>
      </text>
    </comment>
    <comment ref="AR155" authorId="1" shapeId="0" xr:uid="{70908045-10F8-4FC8-8403-F2DCDEC61CF3}">
      <text>
        <r>
          <rPr>
            <b/>
            <sz val="9"/>
            <color indexed="81"/>
            <rFont val="Tahoma"/>
            <family val="2"/>
          </rPr>
          <t>Bryan:</t>
        </r>
        <r>
          <rPr>
            <sz val="9"/>
            <color indexed="81"/>
            <rFont val="Tahoma"/>
            <family val="2"/>
          </rPr>
          <t xml:space="preserve">
Tied to enrollment for new building.</t>
        </r>
      </text>
    </comment>
    <comment ref="AS155" authorId="1" shapeId="0" xr:uid="{27342004-D028-49DB-84C6-2FE3C61326AB}">
      <text>
        <r>
          <rPr>
            <b/>
            <sz val="9"/>
            <color indexed="81"/>
            <rFont val="Tahoma"/>
            <family val="2"/>
          </rPr>
          <t>Bryan:</t>
        </r>
        <r>
          <rPr>
            <sz val="9"/>
            <color indexed="81"/>
            <rFont val="Tahoma"/>
            <family val="2"/>
          </rPr>
          <t xml:space="preserve">
Tied to enrollment for new building.</t>
        </r>
      </text>
    </comment>
    <comment ref="AT155" authorId="1" shapeId="0" xr:uid="{68F06564-5FA0-4EA8-A8AC-CF74D0E385E4}">
      <text>
        <r>
          <rPr>
            <b/>
            <sz val="9"/>
            <color indexed="81"/>
            <rFont val="Tahoma"/>
            <family val="2"/>
          </rPr>
          <t>Bryan:</t>
        </r>
        <r>
          <rPr>
            <sz val="9"/>
            <color indexed="81"/>
            <rFont val="Tahoma"/>
            <family val="2"/>
          </rPr>
          <t xml:space="preserve">
Tied to enrollment for new building.</t>
        </r>
      </text>
    </comment>
    <comment ref="AU155" authorId="1" shapeId="0" xr:uid="{BFEEE8D7-8654-4DAA-9933-93969F902444}">
      <text>
        <r>
          <rPr>
            <b/>
            <sz val="9"/>
            <color indexed="81"/>
            <rFont val="Tahoma"/>
            <family val="2"/>
          </rPr>
          <t>Bryan:</t>
        </r>
        <r>
          <rPr>
            <sz val="9"/>
            <color indexed="81"/>
            <rFont val="Tahoma"/>
            <family val="2"/>
          </rPr>
          <t xml:space="preserve">
Tied to enrollment for new building.</t>
        </r>
      </text>
    </comment>
    <comment ref="AV155" authorId="1" shapeId="0" xr:uid="{A8844BCD-95A1-445A-A094-511AF3F495B5}">
      <text>
        <r>
          <rPr>
            <b/>
            <sz val="9"/>
            <color indexed="81"/>
            <rFont val="Tahoma"/>
            <family val="2"/>
          </rPr>
          <t>Bryan:</t>
        </r>
        <r>
          <rPr>
            <sz val="9"/>
            <color indexed="81"/>
            <rFont val="Tahoma"/>
            <family val="2"/>
          </rPr>
          <t xml:space="preserve">
Tied to enrollment for new building.</t>
        </r>
      </text>
    </comment>
    <comment ref="AW155" authorId="1" shapeId="0" xr:uid="{03CBFE2D-2F33-4B47-8B95-017C77A2B43A}">
      <text>
        <r>
          <rPr>
            <b/>
            <sz val="9"/>
            <color indexed="81"/>
            <rFont val="Tahoma"/>
            <family val="2"/>
          </rPr>
          <t>Bryan:</t>
        </r>
        <r>
          <rPr>
            <sz val="9"/>
            <color indexed="81"/>
            <rFont val="Tahoma"/>
            <family val="2"/>
          </rPr>
          <t xml:space="preserve">
Tied to enrollment for new building.</t>
        </r>
      </text>
    </comment>
    <comment ref="AX155" authorId="1" shapeId="0" xr:uid="{B8D4686A-2FBF-4DFF-A5BF-BD909D195C48}">
      <text>
        <r>
          <rPr>
            <b/>
            <sz val="9"/>
            <color indexed="81"/>
            <rFont val="Tahoma"/>
            <family val="2"/>
          </rPr>
          <t>Bryan:</t>
        </r>
        <r>
          <rPr>
            <sz val="9"/>
            <color indexed="81"/>
            <rFont val="Tahoma"/>
            <family val="2"/>
          </rPr>
          <t xml:space="preserve">
Tied to enrollment for new building.</t>
        </r>
      </text>
    </comment>
    <comment ref="AY155" authorId="1" shapeId="0" xr:uid="{C2B655A3-8AE0-4A7F-9EDA-F1170110F002}">
      <text>
        <r>
          <rPr>
            <b/>
            <sz val="9"/>
            <color indexed="81"/>
            <rFont val="Tahoma"/>
            <family val="2"/>
          </rPr>
          <t>Bryan:</t>
        </r>
        <r>
          <rPr>
            <sz val="9"/>
            <color indexed="81"/>
            <rFont val="Tahoma"/>
            <family val="2"/>
          </rPr>
          <t xml:space="preserve">
Tied to enrollment for new building.</t>
        </r>
      </text>
    </comment>
    <comment ref="AZ155" authorId="1" shapeId="0" xr:uid="{2203F9EF-2A14-423B-BC2F-53544EA22E65}">
      <text>
        <r>
          <rPr>
            <b/>
            <sz val="9"/>
            <color indexed="81"/>
            <rFont val="Tahoma"/>
            <family val="2"/>
          </rPr>
          <t>Bryan:</t>
        </r>
        <r>
          <rPr>
            <sz val="9"/>
            <color indexed="81"/>
            <rFont val="Tahoma"/>
            <family val="2"/>
          </rPr>
          <t xml:space="preserve">
Tied to enrollment for new building.</t>
        </r>
      </text>
    </comment>
    <comment ref="E222" authorId="0" shapeId="0" xr:uid="{3BCC5842-F954-4F10-9D65-6D538E094251}">
      <text>
        <r>
          <rPr>
            <b/>
            <sz val="9"/>
            <color indexed="81"/>
            <rFont val="Tahoma"/>
            <family val="2"/>
          </rPr>
          <t>Bryan Weeks:</t>
        </r>
        <r>
          <rPr>
            <sz val="9"/>
            <color indexed="81"/>
            <rFont val="Tahoma"/>
            <family val="2"/>
          </rPr>
          <t xml:space="preserve">
24 student and 14 classrooms</t>
        </r>
      </text>
    </comment>
    <comment ref="AD260" authorId="1" shapeId="0" xr:uid="{2CC29816-601A-4B3C-B9C6-535E8848D1A3}">
      <text>
        <r>
          <rPr>
            <b/>
            <sz val="9"/>
            <color indexed="81"/>
            <rFont val="Tahoma"/>
            <family val="2"/>
          </rPr>
          <t>Bryan:</t>
        </r>
        <r>
          <rPr>
            <sz val="9"/>
            <color indexed="81"/>
            <rFont val="Tahoma"/>
            <family val="2"/>
          </rPr>
          <t xml:space="preserve">
Per Charter Authority and department of Ed workbook</t>
        </r>
      </text>
    </comment>
    <comment ref="AD269" authorId="1" shapeId="0" xr:uid="{394936C6-3B9C-4202-BDBE-34DE6C653D9A}">
      <text>
        <r>
          <rPr>
            <b/>
            <sz val="9"/>
            <color indexed="81"/>
            <rFont val="Tahoma"/>
            <family val="2"/>
          </rPr>
          <t>Bryan:</t>
        </r>
        <r>
          <rPr>
            <sz val="9"/>
            <color indexed="81"/>
            <rFont val="Tahoma"/>
            <family val="2"/>
          </rPr>
          <t xml:space="preserve">
Bring on speech therapist as an employee. Moved out of special ed support/professionl serv.</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Bryan Weeks</author>
    <author>Bryan</author>
  </authors>
  <commentList>
    <comment ref="C7" authorId="0" shapeId="0" xr:uid="{33135273-143F-49AA-9AC6-1C5453C413EB}">
      <text>
        <r>
          <rPr>
            <b/>
            <sz val="9"/>
            <color indexed="81"/>
            <rFont val="Tahoma"/>
            <family val="2"/>
          </rPr>
          <t>Bryan Weeks:</t>
        </r>
        <r>
          <rPr>
            <sz val="9"/>
            <color indexed="81"/>
            <rFont val="Tahoma"/>
            <family val="2"/>
          </rPr>
          <t xml:space="preserve">
24 students with 7  classrooms</t>
        </r>
      </text>
    </comment>
    <comment ref="AD10" authorId="1" shapeId="0" xr:uid="{AE7D0B91-6704-47E6-A502-0488B90E16EB}">
      <text>
        <r>
          <rPr>
            <b/>
            <sz val="9"/>
            <color indexed="81"/>
            <rFont val="Tahoma"/>
            <family val="2"/>
          </rPr>
          <t>Bryan:</t>
        </r>
        <r>
          <rPr>
            <sz val="9"/>
            <color indexed="81"/>
            <rFont val="Tahoma"/>
            <family val="2"/>
          </rPr>
          <t xml:space="preserve">
0 Siblings/Returning Students plus 22 from the lottery</t>
        </r>
      </text>
    </comment>
    <comment ref="BB10" authorId="1" shapeId="0" xr:uid="{72F2591A-400F-4212-A035-A1D81BAA2145}">
      <text>
        <r>
          <rPr>
            <b/>
            <sz val="9"/>
            <color indexed="81"/>
            <rFont val="Tahoma"/>
            <family val="2"/>
          </rPr>
          <t>Bryan:</t>
        </r>
        <r>
          <rPr>
            <sz val="9"/>
            <color indexed="81"/>
            <rFont val="Tahoma"/>
            <family val="2"/>
          </rPr>
          <t xml:space="preserve">
Two Kinder classes</t>
        </r>
      </text>
    </comment>
    <comment ref="BN11" authorId="1" shapeId="0" xr:uid="{178C2041-9CCC-4908-99E5-26263952FCF4}">
      <text>
        <r>
          <rPr>
            <b/>
            <sz val="9"/>
            <color indexed="81"/>
            <rFont val="Tahoma"/>
            <charset val="1"/>
          </rPr>
          <t>Bryan:</t>
        </r>
        <r>
          <rPr>
            <sz val="9"/>
            <color indexed="81"/>
            <rFont val="Tahoma"/>
            <charset val="1"/>
          </rPr>
          <t xml:space="preserve">
2 classrooms.</t>
        </r>
      </text>
    </comment>
    <comment ref="Z48" authorId="1" shapeId="0" xr:uid="{CF0E03C8-C73B-4D0A-8DB5-49D36959212B}">
      <text>
        <r>
          <rPr>
            <b/>
            <sz val="9"/>
            <color indexed="81"/>
            <rFont val="Tahoma"/>
            <family val="2"/>
          </rPr>
          <t>Bryan:</t>
        </r>
        <r>
          <rPr>
            <sz val="9"/>
            <color indexed="81"/>
            <rFont val="Tahoma"/>
            <family val="2"/>
          </rPr>
          <t xml:space="preserve">
ESSER Funds</t>
        </r>
      </text>
    </comment>
    <comment ref="AB48" authorId="1" shapeId="0" xr:uid="{873B0312-EEE4-4413-9BAD-12E4713B5AB2}">
      <text>
        <r>
          <rPr>
            <b/>
            <sz val="9"/>
            <color indexed="81"/>
            <rFont val="Tahoma"/>
            <family val="2"/>
          </rPr>
          <t>Bryan:</t>
        </r>
        <r>
          <rPr>
            <sz val="9"/>
            <color indexed="81"/>
            <rFont val="Tahoma"/>
            <family val="2"/>
          </rPr>
          <t xml:space="preserve">
ESSER Funds</t>
        </r>
      </text>
    </comment>
    <comment ref="AJ48" authorId="1" shapeId="0" xr:uid="{C7746F37-119A-4D3C-8AA9-24D61C2CBCA1}">
      <text>
        <r>
          <rPr>
            <b/>
            <sz val="9"/>
            <color indexed="81"/>
            <rFont val="Tahoma"/>
            <family val="2"/>
          </rPr>
          <t>Bryan:</t>
        </r>
        <r>
          <rPr>
            <sz val="9"/>
            <color indexed="81"/>
            <rFont val="Tahoma"/>
            <family val="2"/>
          </rPr>
          <t xml:space="preserve">
ESSER Funds</t>
        </r>
      </text>
    </comment>
    <comment ref="AK48" authorId="1" shapeId="0" xr:uid="{D1725344-AE7B-4051-9D86-78C490B90049}">
      <text>
        <r>
          <rPr>
            <b/>
            <sz val="9"/>
            <color indexed="81"/>
            <rFont val="Tahoma"/>
            <family val="2"/>
          </rPr>
          <t>Bryan:</t>
        </r>
        <r>
          <rPr>
            <sz val="9"/>
            <color indexed="81"/>
            <rFont val="Tahoma"/>
            <family val="2"/>
          </rPr>
          <t xml:space="preserve">
ESSER Funds</t>
        </r>
      </text>
    </comment>
    <comment ref="AL48" authorId="1" shapeId="0" xr:uid="{1990A267-F06C-4E5A-954C-53A598D9E67B}">
      <text>
        <r>
          <rPr>
            <b/>
            <sz val="9"/>
            <color indexed="81"/>
            <rFont val="Tahoma"/>
            <family val="2"/>
          </rPr>
          <t>Bryan:</t>
        </r>
        <r>
          <rPr>
            <sz val="9"/>
            <color indexed="81"/>
            <rFont val="Tahoma"/>
            <family val="2"/>
          </rPr>
          <t xml:space="preserve">
ESSER Funds</t>
        </r>
      </text>
    </comment>
    <comment ref="AM48" authorId="1" shapeId="0" xr:uid="{76FFFE2F-B622-4037-9277-380B8C3472B4}">
      <text>
        <r>
          <rPr>
            <b/>
            <sz val="9"/>
            <color indexed="81"/>
            <rFont val="Tahoma"/>
            <family val="2"/>
          </rPr>
          <t>Bryan:</t>
        </r>
        <r>
          <rPr>
            <sz val="9"/>
            <color indexed="81"/>
            <rFont val="Tahoma"/>
            <family val="2"/>
          </rPr>
          <t xml:space="preserve">
ESSER Funds</t>
        </r>
      </text>
    </comment>
    <comment ref="Y93" authorId="1" shapeId="0" xr:uid="{E97DF448-4550-4D7A-BADA-7E74A6D907F9}">
      <text>
        <r>
          <rPr>
            <b/>
            <sz val="9"/>
            <color indexed="81"/>
            <rFont val="Tahoma"/>
            <family val="2"/>
          </rPr>
          <t>Bryan:</t>
        </r>
        <r>
          <rPr>
            <sz val="9"/>
            <color indexed="81"/>
            <rFont val="Tahoma"/>
            <family val="2"/>
          </rPr>
          <t xml:space="preserve">
Expenses are tied to grants. Will decrease in school year 2023.</t>
        </r>
      </text>
    </comment>
    <comment ref="E222" authorId="0" shapeId="0" xr:uid="{5CBCE48D-2992-4489-86D9-826C8663E308}">
      <text>
        <r>
          <rPr>
            <b/>
            <sz val="9"/>
            <color indexed="81"/>
            <rFont val="Tahoma"/>
            <family val="2"/>
          </rPr>
          <t>Bryan Weeks:</t>
        </r>
        <r>
          <rPr>
            <sz val="9"/>
            <color indexed="81"/>
            <rFont val="Tahoma"/>
            <family val="2"/>
          </rPr>
          <t xml:space="preserve">
24 students with 7  classrooms</t>
        </r>
      </text>
    </comment>
    <comment ref="AD260" authorId="1" shapeId="0" xr:uid="{686DF109-7059-4170-8510-AA44945BE0FA}">
      <text>
        <r>
          <rPr>
            <b/>
            <sz val="9"/>
            <color indexed="81"/>
            <rFont val="Tahoma"/>
            <family val="2"/>
          </rPr>
          <t>Bryan:</t>
        </r>
        <r>
          <rPr>
            <sz val="9"/>
            <color indexed="81"/>
            <rFont val="Tahoma"/>
            <family val="2"/>
          </rPr>
          <t xml:space="preserve">
Per Charter Authority and department of Ed workbook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Bryan</author>
  </authors>
  <commentList>
    <comment ref="O10" authorId="0" shapeId="0" xr:uid="{CEEFF09C-6E37-484B-A6BF-9285D8761CCC}">
      <text>
        <r>
          <rPr>
            <b/>
            <sz val="9"/>
            <color indexed="81"/>
            <rFont val="Tahoma"/>
            <family val="2"/>
          </rPr>
          <t>Bryan:</t>
        </r>
        <r>
          <rPr>
            <sz val="9"/>
            <color indexed="81"/>
            <rFont val="Tahoma"/>
            <family val="2"/>
          </rPr>
          <t xml:space="preserve">
Year-end entry for GASB 68</t>
        </r>
      </text>
    </comment>
    <comment ref="AB15" authorId="0" shapeId="0" xr:uid="{EC98A3B8-5A98-437E-A091-520CE8521876}">
      <text>
        <r>
          <rPr>
            <b/>
            <sz val="9"/>
            <color indexed="81"/>
            <rFont val="Tahoma"/>
            <family val="2"/>
          </rPr>
          <t>Bryan:</t>
        </r>
        <r>
          <rPr>
            <sz val="9"/>
            <color indexed="81"/>
            <rFont val="Tahoma"/>
            <family val="2"/>
          </rPr>
          <t xml:space="preserve">
Playground. Ongoing capex.</t>
        </r>
      </text>
    </comment>
    <comment ref="AF15" authorId="0" shapeId="0" xr:uid="{FC45F71B-529E-42F5-BBBE-7B51A45EEF36}">
      <text>
        <r>
          <rPr>
            <b/>
            <sz val="9"/>
            <color indexed="81"/>
            <rFont val="Tahoma"/>
            <family val="2"/>
          </rPr>
          <t>Bryan:</t>
        </r>
        <r>
          <rPr>
            <sz val="9"/>
            <color indexed="81"/>
            <rFont val="Tahoma"/>
            <family val="2"/>
          </rPr>
          <t xml:space="preserve">
Outdoor awning</t>
        </r>
      </text>
    </comment>
  </commentList>
</comments>
</file>

<file path=xl/sharedStrings.xml><?xml version="1.0" encoding="utf-8"?>
<sst xmlns="http://schemas.openxmlformats.org/spreadsheetml/2006/main" count="843" uniqueCount="439">
  <si>
    <t>Discovery Charter School</t>
  </si>
  <si>
    <t>Income</t>
  </si>
  <si>
    <t xml:space="preserve">   1500.1 Interest</t>
  </si>
  <si>
    <t xml:space="preserve">   1750.1 Fundraiser</t>
  </si>
  <si>
    <t xml:space="preserve">      1920.4 Music Program Income</t>
  </si>
  <si>
    <t xml:space="preserve">   Total 1750.1 Fundraiser</t>
  </si>
  <si>
    <t xml:space="preserve">   1751.0 Commissions</t>
  </si>
  <si>
    <t xml:space="preserve">   1900.1 Other Revenues</t>
  </si>
  <si>
    <t xml:space="preserve">   1920.2 DiscoveryMisc Revenue/Donations</t>
  </si>
  <si>
    <t xml:space="preserve">   1921.1 DAP ACHIEVEMENT</t>
  </si>
  <si>
    <t xml:space="preserve">   1921.2 DAP Scholarship</t>
  </si>
  <si>
    <t xml:space="preserve">   1950 SUNSHINE COMMITTEE INCOME</t>
  </si>
  <si>
    <t xml:space="preserve">   301.3 SB 391 - Read By 3 Program</t>
  </si>
  <si>
    <t xml:space="preserve">   3100.1 DSA Revenue</t>
  </si>
  <si>
    <t xml:space="preserve">   3300 GRANT Revenue</t>
  </si>
  <si>
    <t xml:space="preserve">   Yearbook Sales</t>
  </si>
  <si>
    <t>Total Income</t>
  </si>
  <si>
    <t>Gross Profit</t>
  </si>
  <si>
    <t>Expenses</t>
  </si>
  <si>
    <t xml:space="preserve">   100 General Fund</t>
  </si>
  <si>
    <t xml:space="preserve">      1000 Instruction</t>
  </si>
  <si>
    <t xml:space="preserve">         111.1 Wages - Licensed Teachers</t>
  </si>
  <si>
    <t xml:space="preserve">         113.1 Wages - Substitute Teachers</t>
  </si>
  <si>
    <t xml:space="preserve">         211.1 Medical Ins. - Teachers</t>
  </si>
  <si>
    <t xml:space="preserve">         221.1 Payroll Tax - Licensed Teachers</t>
  </si>
  <si>
    <t xml:space="preserve">         223.1 Payroll Tax - Substitute Teachers</t>
  </si>
  <si>
    <t xml:space="preserve">         231.1 PERS - Licensed Teachers</t>
  </si>
  <si>
    <t xml:space="preserve">         233.1 PERS - Substitute Teachers</t>
  </si>
  <si>
    <t xml:space="preserve">         261.1 SUI - Licensed Teachers</t>
  </si>
  <si>
    <t xml:space="preserve">         263.1 SUI - Substitute Teachers</t>
  </si>
  <si>
    <t xml:space="preserve">         271.1 WC - Licensed Teachers</t>
  </si>
  <si>
    <t xml:space="preserve">         535.1 Data Communication Internet Svc</t>
  </si>
  <si>
    <t xml:space="preserve">         610.1 Classroom Supplies/Consumables</t>
  </si>
  <si>
    <t xml:space="preserve">         612.1 General Equipment &amp; Supplies</t>
  </si>
  <si>
    <t xml:space="preserve">         640.1 Curriculum - Textbooks</t>
  </si>
  <si>
    <t xml:space="preserve">         734.1 Classroom Computers &amp; Equipment</t>
  </si>
  <si>
    <t xml:space="preserve">      Total 1000 Instruction</t>
  </si>
  <si>
    <t xml:space="preserve">      2100 Support Services - Student</t>
  </si>
  <si>
    <t xml:space="preserve">         422.1 Janitorial Service</t>
  </si>
  <si>
    <t xml:space="preserve">         531.1 Postage</t>
  </si>
  <si>
    <t xml:space="preserve">         610.2 Supplies</t>
  </si>
  <si>
    <t xml:space="preserve">         890.3 Music Kits</t>
  </si>
  <si>
    <t xml:space="preserve">         890.5 Incentives - Student</t>
  </si>
  <si>
    <t xml:space="preserve">         890.8 Yearbook Expenses</t>
  </si>
  <si>
    <t xml:space="preserve">      Total 2100 Support Services - Student</t>
  </si>
  <si>
    <t xml:space="preserve">      2200 Support Services - Instruction</t>
  </si>
  <si>
    <t xml:space="preserve">         112.1 Wages - Support Staff</t>
  </si>
  <si>
    <t xml:space="preserve">         212.1 Medical Ins. - Support Staff</t>
  </si>
  <si>
    <t xml:space="preserve">         222.1 Payroll Tax - Support Staff</t>
  </si>
  <si>
    <t xml:space="preserve">         232.1 PERS - Support Staff</t>
  </si>
  <si>
    <t xml:space="preserve">         262.1 SUI - Support Staff</t>
  </si>
  <si>
    <t xml:space="preserve">         272.1 WC - Support Staff</t>
  </si>
  <si>
    <t xml:space="preserve">         340.8 Contracted Services</t>
  </si>
  <si>
    <t xml:space="preserve">         350.2 Instructional Contracted Ser</t>
  </si>
  <si>
    <t xml:space="preserve">         892.5 Incentives - Staff</t>
  </si>
  <si>
    <t xml:space="preserve">      Total 2200 Support Services - Instruction</t>
  </si>
  <si>
    <t xml:space="preserve">      2220 Library/Media</t>
  </si>
  <si>
    <t xml:space="preserve">         652.3 Computer/Technology</t>
  </si>
  <si>
    <t xml:space="preserve">      Total 2220 Library/Media</t>
  </si>
  <si>
    <t xml:space="preserve">      2300 Support - General Admin</t>
  </si>
  <si>
    <t xml:space="preserve">         115.1 Wages - Nurse</t>
  </si>
  <si>
    <t xml:space="preserve">         225.1 Payroll Tax - Nurse</t>
  </si>
  <si>
    <t xml:space="preserve">         265.1 SUI - Nurse</t>
  </si>
  <si>
    <t xml:space="preserve">         340.1 Audit</t>
  </si>
  <si>
    <t xml:space="preserve">         340.2 Legal</t>
  </si>
  <si>
    <t xml:space="preserve">         340.4 Financial Consultant</t>
  </si>
  <si>
    <t xml:space="preserve">         340.5 Payroll Service</t>
  </si>
  <si>
    <t xml:space="preserve">         600.3 General Office Supplies</t>
  </si>
  <si>
    <t xml:space="preserve">         890 SUNSHINE COMMITTEE EXPENSE</t>
  </si>
  <si>
    <t xml:space="preserve">         890.7 Bank Charges</t>
  </si>
  <si>
    <t xml:space="preserve">      Total 2300 Support - General Admin</t>
  </si>
  <si>
    <t xml:space="preserve">      2400 School Administration</t>
  </si>
  <si>
    <t xml:space="preserve">         114.1 Wages - Admin Licensed</t>
  </si>
  <si>
    <t xml:space="preserve">         214.1 Medical Ins. - Admin Licensed</t>
  </si>
  <si>
    <t xml:space="preserve">         224.1 Payroll Tax - Admin Licensed</t>
  </si>
  <si>
    <t xml:space="preserve">         234.1 PERS - Admin Licensed</t>
  </si>
  <si>
    <t xml:space="preserve">         264.1 SUI - Admin Licensed</t>
  </si>
  <si>
    <t xml:space="preserve">         274.1 WC - Admin Licensed</t>
  </si>
  <si>
    <t xml:space="preserve">         310.1 Official/Administrative Service</t>
  </si>
  <si>
    <t xml:space="preserve">         334.1 Prof. Development</t>
  </si>
  <si>
    <t xml:space="preserve">      Total 2400 School Administration</t>
  </si>
  <si>
    <t xml:space="preserve">      2600 Operation and Maintenance</t>
  </si>
  <si>
    <t xml:space="preserve">         1940 Garden Expense</t>
  </si>
  <si>
    <t xml:space="preserve">         411.1 Water</t>
  </si>
  <si>
    <t xml:space="preserve">         411.2 Sewer</t>
  </si>
  <si>
    <t xml:space="preserve">         421.1 Trash</t>
  </si>
  <si>
    <t xml:space="preserve">         441.1 Lease</t>
  </si>
  <si>
    <t xml:space="preserve">         522.1 Liability Insurance</t>
  </si>
  <si>
    <t xml:space="preserve">         523.1 Other Insurance</t>
  </si>
  <si>
    <t xml:space="preserve">         533.1 Telephone - Landline</t>
  </si>
  <si>
    <t xml:space="preserve">         610.4 Gen Maint &amp; Janitorial Supplies</t>
  </si>
  <si>
    <t xml:space="preserve">         610.5 Maint &amp; Misc Facility Costs</t>
  </si>
  <si>
    <t xml:space="preserve">         610.6 Security &amp; Fire System</t>
  </si>
  <si>
    <t xml:space="preserve">         621.1 Natural Gas</t>
  </si>
  <si>
    <t xml:space="preserve">         622.1 Electricity</t>
  </si>
  <si>
    <t xml:space="preserve">         733.1 Depreciation</t>
  </si>
  <si>
    <t xml:space="preserve">      Total 2600 Operation and Maintenance</t>
  </si>
  <si>
    <t xml:space="preserve">   Total 100 General Fund</t>
  </si>
  <si>
    <t xml:space="preserve">   200 Special Education Fund</t>
  </si>
  <si>
    <t xml:space="preserve">      SP1000 SPED - Instruction</t>
  </si>
  <si>
    <t xml:space="preserve">         111.2 SPED - Wages SPED Teachers</t>
  </si>
  <si>
    <t xml:space="preserve">         112.2 SPED - Wages SPED Support</t>
  </si>
  <si>
    <t xml:space="preserve">         211.2 SPED - Medical Ins. SPED Teachers</t>
  </si>
  <si>
    <t xml:space="preserve">         221.2 SPED - Payroll Tax SPED Teachers</t>
  </si>
  <si>
    <t xml:space="preserve">         222.2 SPED - Payroll Tax SPED Support</t>
  </si>
  <si>
    <t xml:space="preserve">         231.2 SPED - PERS SPED Teachers</t>
  </si>
  <si>
    <t xml:space="preserve">         232.2 SPED - PERS SPED Support</t>
  </si>
  <si>
    <t xml:space="preserve">         261.2 SPED - SUI SPED Teachers</t>
  </si>
  <si>
    <t xml:space="preserve">         262.2 SPED - SUI SPED Support</t>
  </si>
  <si>
    <t xml:space="preserve">         271.2 SPED - WC SPED Teachers</t>
  </si>
  <si>
    <t xml:space="preserve">         272.2 SPED - WC SPED Support</t>
  </si>
  <si>
    <t xml:space="preserve">         340.20 SPED - Special Ed Services</t>
  </si>
  <si>
    <t xml:space="preserve">      Total SP1000 SPED - Instruction</t>
  </si>
  <si>
    <t xml:space="preserve">   Total 200 Special Education Fund</t>
  </si>
  <si>
    <t xml:space="preserve">   241.30 Transportation Expenses</t>
  </si>
  <si>
    <t xml:space="preserve">   312.2 Receiver</t>
  </si>
  <si>
    <t>Total Expenses</t>
  </si>
  <si>
    <t>Net Operating Income</t>
  </si>
  <si>
    <t>Net Income</t>
  </si>
  <si>
    <t>Classification</t>
  </si>
  <si>
    <t>as of</t>
  </si>
  <si>
    <t>Current Month</t>
  </si>
  <si>
    <t>Year-to-Date</t>
  </si>
  <si>
    <t>Revenue</t>
  </si>
  <si>
    <t>Other</t>
  </si>
  <si>
    <t>DSA</t>
  </si>
  <si>
    <t>Grants</t>
  </si>
  <si>
    <t>DAP</t>
  </si>
  <si>
    <t>Total Revenue</t>
  </si>
  <si>
    <t>YTD</t>
  </si>
  <si>
    <t>Month</t>
  </si>
  <si>
    <t>Lookups</t>
  </si>
  <si>
    <t>Actual</t>
  </si>
  <si>
    <t>Budget</t>
  </si>
  <si>
    <t>Sandhill Campus</t>
  </si>
  <si>
    <t>Salaries</t>
  </si>
  <si>
    <t>Benefits</t>
  </si>
  <si>
    <t>Lease</t>
  </si>
  <si>
    <t>Utilities</t>
  </si>
  <si>
    <t>Repairs/Maint</t>
  </si>
  <si>
    <t>Supplies</t>
  </si>
  <si>
    <t>Curriculum</t>
  </si>
  <si>
    <t>Insurance</t>
  </si>
  <si>
    <t>DAP Payroll</t>
  </si>
  <si>
    <t>Net Change</t>
  </si>
  <si>
    <t>Total Discovery Charter School</t>
  </si>
  <si>
    <t>Misc.</t>
  </si>
  <si>
    <t>Financial Report</t>
  </si>
  <si>
    <t>Discovery Charter School ("DCS")</t>
  </si>
  <si>
    <t>Enrollment</t>
  </si>
  <si>
    <t>General Ledger Detail</t>
  </si>
  <si>
    <t>Summary Detail</t>
  </si>
  <si>
    <t>Vlookup (tied to P&amp;L Detail)</t>
  </si>
  <si>
    <t>Current YTD</t>
  </si>
  <si>
    <t>Current Full Year</t>
  </si>
  <si>
    <t>Current School Year</t>
  </si>
  <si>
    <t>%</t>
  </si>
  <si>
    <t>Availability</t>
  </si>
  <si>
    <t>% Capacity</t>
  </si>
  <si>
    <t>Depreciation</t>
  </si>
  <si>
    <t>Dashboard</t>
  </si>
  <si>
    <t>in the</t>
  </si>
  <si>
    <t>ASSETS</t>
  </si>
  <si>
    <t xml:space="preserve">   Current Assets</t>
  </si>
  <si>
    <t xml:space="preserve">      Bank Accounts</t>
  </si>
  <si>
    <t xml:space="preserve">         101 Checking</t>
  </si>
  <si>
    <t xml:space="preserve">         110 Reserve Account</t>
  </si>
  <si>
    <t xml:space="preserve">         115 DAP</t>
  </si>
  <si>
    <t xml:space="preserve">      Total Bank Accounts</t>
  </si>
  <si>
    <t xml:space="preserve">      Accounts Receivable</t>
  </si>
  <si>
    <t xml:space="preserve">         132 *Accounts Receivable</t>
  </si>
  <si>
    <t xml:space="preserve">      Total Accounts Receivable</t>
  </si>
  <si>
    <t xml:space="preserve">      Other Current Assets</t>
  </si>
  <si>
    <t xml:space="preserve">         181.5 Pre Paid Rent Expense</t>
  </si>
  <si>
    <t xml:space="preserve">         191 Deposits</t>
  </si>
  <si>
    <t xml:space="preserve">         199 Uncategorized Asset</t>
  </si>
  <si>
    <t xml:space="preserve">      Total Other Current Assets</t>
  </si>
  <si>
    <t xml:space="preserve">   Total Current Assets</t>
  </si>
  <si>
    <t xml:space="preserve">   Fixed Assets</t>
  </si>
  <si>
    <t xml:space="preserve">      241 Bus</t>
  </si>
  <si>
    <t xml:space="preserve">      241.10 Business-type Equipment</t>
  </si>
  <si>
    <t xml:space="preserve">      242 Accum Depreciation</t>
  </si>
  <si>
    <t xml:space="preserve">   Total Fixed Assets</t>
  </si>
  <si>
    <t xml:space="preserve">   Other Assets</t>
  </si>
  <si>
    <t xml:space="preserve">      191.2 Security Deposit</t>
  </si>
  <si>
    <t xml:space="preserve">      192 Deferred Outflow of Resources</t>
  </si>
  <si>
    <t xml:space="preserve">   Total Other Assets</t>
  </si>
  <si>
    <t>TOTAL ASSETS</t>
  </si>
  <si>
    <t>LIABILITIES AND EQUITY</t>
  </si>
  <si>
    <t xml:space="preserve">   Liabilities</t>
  </si>
  <si>
    <t xml:space="preserve">      Current Liabilities</t>
  </si>
  <si>
    <t xml:space="preserve">         Accounts Payable</t>
  </si>
  <si>
    <t xml:space="preserve">            421 *Accounts Payable</t>
  </si>
  <si>
    <t xml:space="preserve">         Total Accounts Payable</t>
  </si>
  <si>
    <t xml:space="preserve">         Other Current Liabilities</t>
  </si>
  <si>
    <t xml:space="preserve">            461 Accrued Payroll Liability</t>
  </si>
  <si>
    <t xml:space="preserve">            461.1 Accrued Receiver Fees</t>
  </si>
  <si>
    <t xml:space="preserve">            471.10 Payroll Liability</t>
  </si>
  <si>
    <t xml:space="preserve">            471.12 Payroll Tax Liability</t>
  </si>
  <si>
    <t xml:space="preserve">            471.15 Garnishment</t>
  </si>
  <si>
    <t xml:space="preserve">            473 PERS Payable</t>
  </si>
  <si>
    <t xml:space="preserve">            481.1 Deferred Lease Liability</t>
  </si>
  <si>
    <t xml:space="preserve">         Total Other Current Liabilities</t>
  </si>
  <si>
    <t xml:space="preserve">      Total Current Liabilities</t>
  </si>
  <si>
    <t xml:space="preserve">      Long-Term Liabilities</t>
  </si>
  <si>
    <t xml:space="preserve">         491.1 Deferred Inflows of Resources</t>
  </si>
  <si>
    <t xml:space="preserve">         495.1 Net Pension Liability</t>
  </si>
  <si>
    <t xml:space="preserve">      Total Long-Term Liabilities</t>
  </si>
  <si>
    <t xml:space="preserve">   Equity</t>
  </si>
  <si>
    <t xml:space="preserve">      32000 Retained Earnings</t>
  </si>
  <si>
    <t xml:space="preserve">      Net Income</t>
  </si>
  <si>
    <t>TOTAL LIABILITIES AND EQUITY</t>
  </si>
  <si>
    <t>Lookup</t>
  </si>
  <si>
    <t>Cash</t>
  </si>
  <si>
    <t>Accounts Receivables</t>
  </si>
  <si>
    <t>Fixed Assets, net</t>
  </si>
  <si>
    <t>Deferred Inflows</t>
  </si>
  <si>
    <t>Net Pension</t>
  </si>
  <si>
    <t>Equity</t>
  </si>
  <si>
    <t>Total Liabilities</t>
  </si>
  <si>
    <t>Audited</t>
  </si>
  <si>
    <t>Checks</t>
  </si>
  <si>
    <t>Prepaid Expenses</t>
  </si>
  <si>
    <t>Statement of Financial Position</t>
  </si>
  <si>
    <t>Updated as of</t>
  </si>
  <si>
    <t>Working Capital</t>
  </si>
  <si>
    <t>Support</t>
  </si>
  <si>
    <t>Check 1</t>
  </si>
  <si>
    <t>Check 2</t>
  </si>
  <si>
    <t>Check 3</t>
  </si>
  <si>
    <t>Cap Ex</t>
  </si>
  <si>
    <t>Capital Expenditures</t>
  </si>
  <si>
    <t xml:space="preserve">   Total Equity</t>
  </si>
  <si>
    <t xml:space="preserve">      241.2 Leasehold Improvements</t>
  </si>
  <si>
    <t>Operating Activities</t>
  </si>
  <si>
    <t>Changes in Working Capital</t>
  </si>
  <si>
    <t>Net Cash from Operations</t>
  </si>
  <si>
    <t>Investing Activities</t>
  </si>
  <si>
    <t>Net Cash from Investing</t>
  </si>
  <si>
    <t>Financing Activities</t>
  </si>
  <si>
    <t>Net Cash from Financing</t>
  </si>
  <si>
    <t>Changes in Cash</t>
  </si>
  <si>
    <t>Cash at Beginning</t>
  </si>
  <si>
    <t>Ending Cash Balance</t>
  </si>
  <si>
    <t>RedHook</t>
  </si>
  <si>
    <t>Check</t>
  </si>
  <si>
    <t>Check (should be zero)</t>
  </si>
  <si>
    <t xml:space="preserve">   Total Liabilities</t>
  </si>
  <si>
    <t>`</t>
  </si>
  <si>
    <t>Cash Flow Statement</t>
  </si>
  <si>
    <t>Net Change in Cash</t>
  </si>
  <si>
    <t>Cash at Beginning of Period</t>
  </si>
  <si>
    <t>Assets</t>
  </si>
  <si>
    <t>Total Assets</t>
  </si>
  <si>
    <t>Liabilities And Equity</t>
  </si>
  <si>
    <t>Total Liabilities And Equity</t>
  </si>
  <si>
    <t>Special Educ.</t>
  </si>
  <si>
    <t>Computers</t>
  </si>
  <si>
    <t>Prof. Serv.</t>
  </si>
  <si>
    <t>Cleaning Serv.</t>
  </si>
  <si>
    <t>DO NOT PRINT</t>
  </si>
  <si>
    <t>Operations</t>
  </si>
  <si>
    <t>Dashboard Directions</t>
  </si>
  <si>
    <t>Steps</t>
  </si>
  <si>
    <t>Detailed Explaination</t>
  </si>
  <si>
    <t>Notes</t>
  </si>
  <si>
    <t>Comments</t>
  </si>
  <si>
    <t>Black Numbers or all numbers on the summaries are formula driven. They are a function of the Blue Numbers.</t>
  </si>
  <si>
    <t>Blue Numbers/Words are "Drivers," generally speaking they are hard coded. Formulas are based on Blue Numbers.</t>
  </si>
  <si>
    <t>Capacity: Confirm capacity is correct or hasn't changed with Admin.</t>
  </si>
  <si>
    <t>Generally Speaking, you do NOT want to change formulas, only update drivers (blue numbers or words)</t>
  </si>
  <si>
    <t>Copy formulas from Step 4 and paste as values.</t>
  </si>
  <si>
    <t>Change Date on "Support" tab to the end-of-the-month reporting date.</t>
  </si>
  <si>
    <t>Double check that all "Checks" on all tabs are zero.</t>
  </si>
  <si>
    <t>Starting with Hillpoint Detail, copy the VLOOKUP formulas (see below for examples) in the reporting month to lookup the correct campus in the exported reports from Step 1. Repeat for Sandhill Detail and the Balance Sheet Detail.</t>
  </si>
  <si>
    <t>Ref.</t>
  </si>
  <si>
    <t>Vlookups for Detailed Tabs (except Cash Flow)</t>
  </si>
  <si>
    <t>Balance Sheet: =if(iserror(vlookup(B$10,"Balance Sheet Reporting File Range",Column #,0)),0,vlookup(B$10,"Balance Sheet Reporting File Range",Column #,0)</t>
  </si>
  <si>
    <t>Hillpoint &amp; Sandhill: =if(iserror(vlookup(B$13,"P&amp;L Reporting File Range",Column #,0)),0,vlookup(B$13,"P&amp;L Reporting File Range",Column #,0)</t>
  </si>
  <si>
    <t>General Ledger Detail: Run the reporting month P&amp;L and balance sheet from Quickbooks; export to Excel and save to your harddrive. Do NOT change anything in the exported reports.</t>
  </si>
  <si>
    <t>Double check that all "Checks" are zero and the totals in the Dashboard tie to the G/L on the Hillpoint Detail tab, Sandhill Detail tab, and the Balance Sheet. This ensures that your detailed tabs tie-out to the G/L.</t>
  </si>
  <si>
    <t>Key Statistics</t>
  </si>
  <si>
    <t>DSA/Enrollee</t>
  </si>
  <si>
    <t>Rev/Enrollee</t>
  </si>
  <si>
    <t>Staff</t>
  </si>
  <si>
    <t>Exp/Enrollee</t>
  </si>
  <si>
    <t>Key Metrics</t>
  </si>
  <si>
    <t>Enrollees</t>
  </si>
  <si>
    <t>Current Ratio</t>
  </si>
  <si>
    <t>Unrestricted Cash on Hand (days)</t>
  </si>
  <si>
    <t>with A/R</t>
  </si>
  <si>
    <t>Enrollment Accuracy</t>
  </si>
  <si>
    <t>Net Margin</t>
  </si>
  <si>
    <t>Net Chg./Enr.</t>
  </si>
  <si>
    <t>Debt to Assets (w/o pension)</t>
  </si>
  <si>
    <t>Deposits</t>
  </si>
  <si>
    <t>Deferred Outflow</t>
  </si>
  <si>
    <t>Multi-Year Change in Cash</t>
  </si>
  <si>
    <t>Coverage Ratio (Lease Expense)</t>
  </si>
  <si>
    <t>NA</t>
  </si>
  <si>
    <t>&lt; 90%</t>
  </si>
  <si>
    <t>Standard</t>
  </si>
  <si>
    <t>Total Margin</t>
  </si>
  <si>
    <t>3 yr Positive ∆</t>
  </si>
  <si>
    <t>&gt;= 1.1</t>
  </si>
  <si>
    <t>&gt;= 60 days</t>
  </si>
  <si>
    <t>&gt;= 95%</t>
  </si>
  <si>
    <t>Cost/Staff</t>
  </si>
  <si>
    <t>Approved Budget Detail</t>
  </si>
  <si>
    <t>Current Year</t>
  </si>
  <si>
    <t>School Year</t>
  </si>
  <si>
    <t>Hillpointe Campus</t>
  </si>
  <si>
    <t xml:space="preserve">   3115 Special Ed Funding</t>
  </si>
  <si>
    <t xml:space="preserve">         153.1 Accounts Receivable (deleted)</t>
  </si>
  <si>
    <t xml:space="preserve">            421.10 Accounts Payable (deleted)</t>
  </si>
  <si>
    <t xml:space="preserve">      241.4 Fixed Asset Software</t>
  </si>
  <si>
    <t xml:space="preserve">      241.3 Fixed Asset Computers</t>
  </si>
  <si>
    <t>Current Liabilities</t>
  </si>
  <si>
    <t>Deferred Lease</t>
  </si>
  <si>
    <t>Payroll Accrual</t>
  </si>
  <si>
    <t>Expense Inc.</t>
  </si>
  <si>
    <t>DCS Detail, Hillpoint Detail, and Sandhill Detail are mirrors of one another. Hillpointe and Sandhill Lookups are linked to DCS Detail. Ensure that whatever changes (i.e. adding a new account line item from the G/L or changing a descriptor) are made to DCS Detail, Hillpoint are also made to Sandhill.</t>
  </si>
  <si>
    <t xml:space="preserve">      1920.3 Field Trip Income</t>
  </si>
  <si>
    <t xml:space="preserve">   1960 Sports Income</t>
  </si>
  <si>
    <t xml:space="preserve">         651.1 Educational Software</t>
  </si>
  <si>
    <t xml:space="preserve">         610.3 Field Trips and Awards</t>
  </si>
  <si>
    <t xml:space="preserve">      1750.14 Scholastic Book Fair</t>
  </si>
  <si>
    <t xml:space="preserve">         890.9 Sports Expenses</t>
  </si>
  <si>
    <t xml:space="preserve">         340.7 IT Consult/Website</t>
  </si>
  <si>
    <t xml:space="preserve">         810.1 Dues &amp; Subscriptions</t>
  </si>
  <si>
    <t xml:space="preserve">   800.1 Parent Involvement</t>
  </si>
  <si>
    <t xml:space="preserve">   Advertisement</t>
  </si>
  <si>
    <t xml:space="preserve">         112 Frost Bank Account - 7241</t>
  </si>
  <si>
    <t xml:space="preserve">         171.5 Pre Paid Insurance Expense</t>
  </si>
  <si>
    <t xml:space="preserve">            441 PPP Loan Payable</t>
  </si>
  <si>
    <t xml:space="preserve">   1920.1 Donations</t>
  </si>
  <si>
    <t xml:space="preserve">         273.1 WC - Substitute Teachers</t>
  </si>
  <si>
    <t xml:space="preserve">   1750.17 Fundraising - Playground</t>
  </si>
  <si>
    <t xml:space="preserve">            451 Other Current Liabilities</t>
  </si>
  <si>
    <t xml:space="preserve">      241.5 Buildings</t>
  </si>
  <si>
    <t xml:space="preserve">         496 Capital Lease Obligation</t>
  </si>
  <si>
    <t xml:space="preserve">         175.5 Pre Paid Services</t>
  </si>
  <si>
    <t>Other Expenses</t>
  </si>
  <si>
    <t xml:space="preserve">   900 Interest Expense</t>
  </si>
  <si>
    <t>Total Other Expenses</t>
  </si>
  <si>
    <t>Net Other Income</t>
  </si>
  <si>
    <t>Interest</t>
  </si>
  <si>
    <t xml:space="preserve">   328.1 Windsong Grant</t>
  </si>
  <si>
    <t xml:space="preserve">   1750.18 Fundraising - Private Match</t>
  </si>
  <si>
    <t xml:space="preserve">         650.1 Fundraiser Supplies</t>
  </si>
  <si>
    <t xml:space="preserve">      1750.19 Fundraiser - Trunk or Treat</t>
  </si>
  <si>
    <t xml:space="preserve">      1940.10 Garden</t>
  </si>
  <si>
    <t>KG</t>
  </si>
  <si>
    <t>First</t>
  </si>
  <si>
    <t>Second</t>
  </si>
  <si>
    <t>Third</t>
  </si>
  <si>
    <t>Fourth</t>
  </si>
  <si>
    <t>Fifth</t>
  </si>
  <si>
    <t>Sixth</t>
  </si>
  <si>
    <t>Seventh</t>
  </si>
  <si>
    <t>Eighth</t>
  </si>
  <si>
    <t>Actual Enrollment</t>
  </si>
  <si>
    <t>Student Waiting List</t>
  </si>
  <si>
    <t>Sandhill</t>
  </si>
  <si>
    <t>Total</t>
  </si>
  <si>
    <t>Waitlist by Grade</t>
  </si>
  <si>
    <t>as of March 16, 2022</t>
  </si>
  <si>
    <t xml:space="preserve">   639 Part B</t>
  </si>
  <si>
    <t xml:space="preserve">      231.4 PERS</t>
  </si>
  <si>
    <t xml:space="preserve">   Total 639 Part B</t>
  </si>
  <si>
    <t>DSA Annual Revenue per Student</t>
  </si>
  <si>
    <t>Key Assumptions</t>
  </si>
  <si>
    <t>FTEs</t>
  </si>
  <si>
    <t>General Expense Inflation</t>
  </si>
  <si>
    <t>Administration</t>
  </si>
  <si>
    <t>Avg. Salary &amp; Wages</t>
  </si>
  <si>
    <t>Licensed Teachers</t>
  </si>
  <si>
    <t>Substitute Teachers</t>
  </si>
  <si>
    <t>SPED Teachers</t>
  </si>
  <si>
    <t>SPED Support</t>
  </si>
  <si>
    <t>Support Staff</t>
  </si>
  <si>
    <t>RedHook Lease</t>
  </si>
  <si>
    <t>Capital Lease</t>
  </si>
  <si>
    <t xml:space="preserve">         170.5 Pre Paid Dues/Subscriptions</t>
  </si>
  <si>
    <t>Adjusted EBITDA</t>
  </si>
  <si>
    <t>Reporting</t>
  </si>
  <si>
    <t>Non-Recurring</t>
  </si>
  <si>
    <r>
      <t xml:space="preserve">3 yr Positive </t>
    </r>
    <r>
      <rPr>
        <sz val="10"/>
        <color theme="1"/>
        <rFont val="Rage Italic"/>
        <family val="4"/>
      </rPr>
      <t>∆</t>
    </r>
  </si>
  <si>
    <t>Non-Operating</t>
  </si>
  <si>
    <t>Adj EBITDA</t>
  </si>
  <si>
    <t xml:space="preserve">Red Numbers signify a change in formula. </t>
  </si>
  <si>
    <t>The Cash Flow Detail tab is a function of the Balance Sheet Detail and Campus Detail. No changes necessary (other then a "plug" to reconcile cash).</t>
  </si>
  <si>
    <t>DRAFT-In Process</t>
  </si>
  <si>
    <t>A/P</t>
  </si>
  <si>
    <t xml:space="preserve">Enrollment: Update the reporting month with actual enrollment for each campus; use the end-of-the-month report. </t>
  </si>
  <si>
    <t>Other Assumptions</t>
  </si>
  <si>
    <t>Average Useful Life of Fixed Assets (years)</t>
  </si>
  <si>
    <t>Activity</t>
  </si>
  <si>
    <t>Consolidated Activity</t>
  </si>
  <si>
    <t>Hillpointe Activity</t>
  </si>
  <si>
    <t>Sandhill Activity</t>
  </si>
  <si>
    <t>Hillpointe</t>
  </si>
  <si>
    <t>Building Capacity</t>
  </si>
  <si>
    <t>Charter Capacity</t>
  </si>
  <si>
    <t>DAP Revenue</t>
  </si>
  <si>
    <t>DSA Growth</t>
  </si>
  <si>
    <t>Special Ed Growth</t>
  </si>
  <si>
    <t>GATE Revenue - Placeholder</t>
  </si>
  <si>
    <t>Special Ed / GATE Growth</t>
  </si>
  <si>
    <t>% Growth</t>
  </si>
  <si>
    <t>NM</t>
  </si>
  <si>
    <t>% change</t>
  </si>
  <si>
    <t>Enrollment Changes</t>
  </si>
  <si>
    <t>Total Change</t>
  </si>
  <si>
    <t>Enrollment % Change</t>
  </si>
  <si>
    <t xml:space="preserve">            441.2 HOA Expense</t>
  </si>
  <si>
    <t xml:space="preserve">         640.20 SPED - Special Ed Supplies</t>
  </si>
  <si>
    <t xml:space="preserve">      1750.20 Student Store</t>
  </si>
  <si>
    <t>Bond Debt</t>
  </si>
  <si>
    <t>Red Hook Lease</t>
  </si>
  <si>
    <t>Bond Amortization</t>
  </si>
  <si>
    <t>Debt Ammortization</t>
  </si>
  <si>
    <t>Bond Debt Borrowing</t>
  </si>
  <si>
    <t>Bond Debt Amortization</t>
  </si>
  <si>
    <t>Capitalized Interest</t>
  </si>
  <si>
    <t>Debt Borrowings</t>
  </si>
  <si>
    <t>Fees &amp; Expenses</t>
  </si>
  <si>
    <t>Debt Interest</t>
  </si>
  <si>
    <t>Hillpointe Acquisition</t>
  </si>
  <si>
    <t>Debt Reserve Fund</t>
  </si>
  <si>
    <t>Hillpointe Acquisition/Build-Out</t>
  </si>
  <si>
    <t>Bond</t>
  </si>
  <si>
    <t>Acquistion &amp; New Build</t>
  </si>
  <si>
    <t>Acquistion &amp; New Build Dep &amp; Amort</t>
  </si>
  <si>
    <t>Hillpointe Acquistion/New Build</t>
  </si>
  <si>
    <t>Non-Cash Gain</t>
  </si>
  <si>
    <t xml:space="preserve">   6400 Paycheck Protection Program</t>
  </si>
  <si>
    <t xml:space="preserve">      1750.30 Farmers Market</t>
  </si>
  <si>
    <t xml:space="preserve">      1750.13 Fundraiser - Box Tops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</si>
</sst>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409]mmmm\ d\,\ yyyy;@"/>
    <numFmt numFmtId="165" formatCode="[$-409]mmm\-yy;@"/>
    <numFmt numFmtId="166" formatCode="_(&quot;$&quot;* #,##0_);_(&quot;$&quot;* \(#,##0\);_(&quot;$&quot;* &quot;-&quot;??_);_(@_)"/>
    <numFmt numFmtId="167" formatCode="_(* #,##0_);_(* \(#,##0\);_(* &quot;-&quot;??_);_(@_)"/>
    <numFmt numFmtId="168" formatCode="_(* #,##0.0_);_(* \(#,##0.0\);_(* &quot;-&quot;??_);_(@_)"/>
    <numFmt numFmtId="169" formatCode="0&quot; School Year&quot;"/>
    <numFmt numFmtId="170" formatCode="0.00\x"/>
    <numFmt numFmtId="171" formatCode="0.0%"/>
    <numFmt numFmtId="172" formatCode="_(* #,##0.000_);_(* \(#,##0.000\);_(* &quot;-&quot;??_);_(@_)"/>
    <numFmt numFmtId="173" formatCode="[$-409]mmmm\-yy;@"/>
    <numFmt numFmtId="174" formatCode="_(* #,##0.0_);_(* \(#,##0.0\);_(* &quot;-&quot;?_);_(@_)"/>
  </numFmts>
  <fonts count="54" x14ac:knownFonts="1">
    <font>
      <sz val="11"/>
      <color theme="1"/>
      <name val="Bodoni MT"/>
      <family val="2"/>
    </font>
    <font>
      <sz val="11"/>
      <color theme="1"/>
      <name val="Bodoni MT"/>
      <family val="2"/>
    </font>
    <font>
      <b/>
      <sz val="11"/>
      <color theme="1"/>
      <name val="Bodoni MT"/>
      <family val="1"/>
    </font>
    <font>
      <i/>
      <sz val="11"/>
      <color theme="1"/>
      <name val="Bodoni MT"/>
      <family val="1"/>
    </font>
    <font>
      <b/>
      <i/>
      <sz val="11"/>
      <color theme="1"/>
      <name val="Bodoni MT"/>
      <family val="1"/>
    </font>
    <font>
      <b/>
      <sz val="11"/>
      <color theme="0"/>
      <name val="Bodoni MT"/>
      <family val="1"/>
    </font>
    <font>
      <sz val="11"/>
      <color rgb="FF0000FF"/>
      <name val="Bodoni MT"/>
      <family val="2"/>
    </font>
    <font>
      <b/>
      <sz val="12"/>
      <color theme="1"/>
      <name val="Bodoni MT"/>
      <family val="1"/>
    </font>
    <font>
      <b/>
      <i/>
      <sz val="12"/>
      <color theme="1"/>
      <name val="Bodoni MT"/>
      <family val="1"/>
    </font>
    <font>
      <b/>
      <sz val="11"/>
      <color indexed="8"/>
      <name val="Bodoni MT"/>
      <family val="1"/>
    </font>
    <font>
      <b/>
      <sz val="26"/>
      <color theme="1"/>
      <name val="Bodoni MT"/>
      <family val="1"/>
    </font>
    <font>
      <sz val="24"/>
      <color theme="1"/>
      <name val="Bodoni MT"/>
      <family val="2"/>
    </font>
    <font>
      <sz val="18"/>
      <color theme="1"/>
      <name val="Bodoni MT"/>
      <family val="2"/>
    </font>
    <font>
      <b/>
      <sz val="18"/>
      <color theme="1"/>
      <name val="Bodoni MT"/>
      <family val="1"/>
    </font>
    <font>
      <sz val="11"/>
      <color theme="1"/>
      <name val="Bodoni MT"/>
      <family val="1"/>
    </font>
    <font>
      <b/>
      <sz val="11"/>
      <color indexed="9"/>
      <name val="Bodoni MT"/>
      <family val="1"/>
    </font>
    <font>
      <sz val="11"/>
      <color theme="0"/>
      <name val="Bodoni MT"/>
      <family val="1"/>
    </font>
    <font>
      <sz val="11"/>
      <color rgb="FF0000FF"/>
      <name val="Bodoni MT"/>
      <family val="1"/>
    </font>
    <font>
      <sz val="11"/>
      <name val="Bodoni MT"/>
      <family val="2"/>
    </font>
    <font>
      <sz val="18"/>
      <color rgb="FF0000FF"/>
      <name val="Bodoni MT"/>
      <family val="2"/>
    </font>
    <font>
      <i/>
      <sz val="11"/>
      <name val="Bodoni MT"/>
      <family val="1"/>
    </font>
    <font>
      <sz val="8"/>
      <name val="Bodoni MT"/>
      <family val="2"/>
    </font>
    <font>
      <sz val="18"/>
      <name val="Bodoni MT"/>
      <family val="2"/>
    </font>
    <font>
      <i/>
      <sz val="11"/>
      <color indexed="8"/>
      <name val="Bodoni MT"/>
      <family val="1"/>
    </font>
    <font>
      <i/>
      <sz val="11"/>
      <color theme="0"/>
      <name val="Bodoni MT"/>
      <family val="1"/>
    </font>
    <font>
      <b/>
      <sz val="11"/>
      <color rgb="FF0000FF"/>
      <name val="Bodoni MT"/>
      <family val="1"/>
    </font>
    <font>
      <b/>
      <sz val="11"/>
      <name val="Bodoni MT"/>
      <family val="1"/>
    </font>
    <font>
      <sz val="11"/>
      <name val="Bodoni MT"/>
      <family val="1"/>
    </font>
    <font>
      <sz val="9"/>
      <color indexed="81"/>
      <name val="Tahoma"/>
      <family val="2"/>
    </font>
    <font>
      <b/>
      <sz val="9"/>
      <color indexed="81"/>
      <name val="Tahoma"/>
      <family val="2"/>
    </font>
    <font>
      <sz val="11"/>
      <color rgb="FFFF0000"/>
      <name val="Bodoni MT"/>
      <family val="2"/>
    </font>
    <font>
      <i/>
      <sz val="11"/>
      <color rgb="FF0000FF"/>
      <name val="Bodoni MT"/>
      <family val="1"/>
    </font>
    <font>
      <i/>
      <sz val="11"/>
      <color indexed="12"/>
      <name val="Bodoni MT"/>
      <family val="1"/>
    </font>
    <font>
      <b/>
      <i/>
      <sz val="11"/>
      <color rgb="FF0000FF"/>
      <name val="Bodoni MT"/>
      <family val="1"/>
    </font>
    <font>
      <b/>
      <i/>
      <sz val="11"/>
      <name val="Bodoni MT"/>
      <family val="1"/>
    </font>
    <font>
      <b/>
      <sz val="10"/>
      <color theme="1"/>
      <name val="Bodoni MT"/>
      <family val="1"/>
    </font>
    <font>
      <sz val="10"/>
      <color theme="1"/>
      <name val="Bodoni MT"/>
      <family val="2"/>
    </font>
    <font>
      <i/>
      <sz val="10"/>
      <name val="Bodoni MT"/>
      <family val="1"/>
    </font>
    <font>
      <i/>
      <sz val="10"/>
      <color theme="0"/>
      <name val="Bodoni MT"/>
      <family val="1"/>
    </font>
    <font>
      <i/>
      <sz val="10"/>
      <color theme="1"/>
      <name val="Bodoni MT"/>
      <family val="1"/>
    </font>
    <font>
      <b/>
      <sz val="10"/>
      <color theme="0"/>
      <name val="Bodoni MT"/>
      <family val="1"/>
    </font>
    <font>
      <sz val="10"/>
      <color theme="0"/>
      <name val="Bodoni MT"/>
      <family val="1"/>
    </font>
    <font>
      <sz val="10"/>
      <color theme="1"/>
      <name val="Bodoni MT"/>
      <family val="1"/>
    </font>
    <font>
      <sz val="10"/>
      <name val="Bodoni MT"/>
      <family val="1"/>
    </font>
    <font>
      <sz val="10"/>
      <name val="Bodoni MT"/>
      <family val="2"/>
    </font>
    <font>
      <sz val="10"/>
      <color theme="1"/>
      <name val="Rage Italic"/>
      <family val="4"/>
    </font>
    <font>
      <sz val="10"/>
      <color rgb="FF0000FF"/>
      <name val="Bodoni MT"/>
      <family val="2"/>
    </font>
    <font>
      <sz val="10"/>
      <color rgb="FF0000FF"/>
      <name val="Bodoni MT"/>
      <family val="1"/>
    </font>
    <font>
      <b/>
      <sz val="10"/>
      <name val="Bodoni MT"/>
      <family val="1"/>
    </font>
    <font>
      <sz val="11"/>
      <color indexed="8"/>
      <name val="Bodoni MT"/>
      <family val="1"/>
    </font>
    <font>
      <sz val="9"/>
      <color indexed="81"/>
      <name val="Tahoma"/>
      <charset val="1"/>
    </font>
    <font>
      <b/>
      <sz val="9"/>
      <color indexed="81"/>
      <name val="Tahoma"/>
      <charset val="1"/>
    </font>
    <font>
      <sz val="11"/>
      <color theme="1"/>
      <name val="Calibri"/>
      <family val="2"/>
      <scheme val="minor"/>
    </font>
    <font>
      <i/>
      <sz val="22"/>
      <color theme="1"/>
      <name val="Bodoni MT"/>
      <family val="1"/>
    </font>
  </fonts>
  <fills count="7">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FFFF00"/>
        <bgColor indexed="64"/>
      </patternFill>
    </fill>
    <fill>
      <patternFill patternType="solid">
        <fgColor theme="8" tint="0.79998168889431442"/>
        <bgColor indexed="64"/>
      </patternFill>
    </fill>
  </fills>
  <borders count="2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diagonal/>
    </border>
    <border>
      <left style="thin">
        <color auto="1"/>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52" fillId="0" borderId="0" applyFont="0" applyFill="0" applyBorder="0" applyAlignment="0" applyProtection="0"/>
  </cellStyleXfs>
  <cellXfs count="453">
    <xf numFmtId="0" fontId="0" fillId="0" borderId="0" xfId="0"/>
    <xf numFmtId="0" fontId="2" fillId="0" borderId="0" xfId="0" applyFont="1"/>
    <xf numFmtId="0" fontId="3" fillId="0" borderId="0" xfId="0" applyFont="1"/>
    <xf numFmtId="165" fontId="2" fillId="0" borderId="1" xfId="0" applyNumberFormat="1" applyFont="1" applyBorder="1" applyAlignment="1">
      <alignment horizontal="center"/>
    </xf>
    <xf numFmtId="0" fontId="2" fillId="0" borderId="1" xfId="0" applyFont="1" applyBorder="1" applyAlignment="1">
      <alignment horizontal="center"/>
    </xf>
    <xf numFmtId="0" fontId="4" fillId="0" borderId="0" xfId="0" applyFont="1" applyAlignment="1">
      <alignment horizontal="right"/>
    </xf>
    <xf numFmtId="0" fontId="0" fillId="0" borderId="0" xfId="0" applyAlignment="1">
      <alignment horizontal="center"/>
    </xf>
    <xf numFmtId="0" fontId="0" fillId="0" borderId="1" xfId="0" applyBorder="1"/>
    <xf numFmtId="167" fontId="0" fillId="0" borderId="0" xfId="1" applyNumberFormat="1" applyFont="1"/>
    <xf numFmtId="167" fontId="0" fillId="0" borderId="1" xfId="1" applyNumberFormat="1" applyFont="1" applyBorder="1"/>
    <xf numFmtId="0" fontId="6" fillId="0" borderId="0" xfId="0" applyFont="1" applyAlignment="1">
      <alignment horizontal="center"/>
    </xf>
    <xf numFmtId="167" fontId="0" fillId="0" borderId="0" xfId="1" applyNumberFormat="1" applyFont="1" applyBorder="1"/>
    <xf numFmtId="0" fontId="7" fillId="0" borderId="0" xfId="0" applyFont="1"/>
    <xf numFmtId="167" fontId="0" fillId="0" borderId="0" xfId="0" applyNumberFormat="1"/>
    <xf numFmtId="0" fontId="10"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167" fontId="6" fillId="0" borderId="0" xfId="1" applyNumberFormat="1" applyFont="1"/>
    <xf numFmtId="0" fontId="6" fillId="0" borderId="1" xfId="0" applyFont="1" applyBorder="1"/>
    <xf numFmtId="0" fontId="2" fillId="0" borderId="0" xfId="0" applyFont="1" applyAlignment="1">
      <alignment horizontal="left"/>
    </xf>
    <xf numFmtId="0" fontId="9" fillId="0" borderId="0" xfId="0" applyFont="1" applyAlignment="1">
      <alignment horizontal="left"/>
    </xf>
    <xf numFmtId="167" fontId="0" fillId="0" borderId="3" xfId="0" applyNumberFormat="1" applyBorder="1"/>
    <xf numFmtId="0" fontId="5" fillId="2" borderId="0" xfId="0" applyFont="1" applyFill="1"/>
    <xf numFmtId="0" fontId="15" fillId="2" borderId="0" xfId="0" applyFont="1" applyFill="1"/>
    <xf numFmtId="0" fontId="6" fillId="0" borderId="0" xfId="0" applyFont="1"/>
    <xf numFmtId="167" fontId="0" fillId="0" borderId="0" xfId="0" applyNumberFormat="1" applyBorder="1"/>
    <xf numFmtId="168" fontId="0" fillId="0" borderId="0" xfId="1" applyNumberFormat="1" applyFont="1"/>
    <xf numFmtId="168" fontId="6" fillId="0" borderId="0" xfId="1" applyNumberFormat="1" applyFont="1"/>
    <xf numFmtId="0" fontId="5" fillId="2" borderId="1" xfId="0" applyFont="1" applyFill="1" applyBorder="1"/>
    <xf numFmtId="0" fontId="16" fillId="2" borderId="1" xfId="0" applyFont="1" applyFill="1" applyBorder="1"/>
    <xf numFmtId="0" fontId="17" fillId="0" borderId="0" xfId="0" applyFont="1" applyAlignment="1">
      <alignment horizontal="center"/>
    </xf>
    <xf numFmtId="0" fontId="18" fillId="0" borderId="0" xfId="0" applyFont="1" applyAlignment="1">
      <alignment horizontal="center"/>
    </xf>
    <xf numFmtId="0" fontId="18" fillId="0" borderId="0" xfId="0" applyFont="1"/>
    <xf numFmtId="0" fontId="2" fillId="0" borderId="0" xfId="0" applyFont="1" applyAlignment="1">
      <alignment horizontal="center"/>
    </xf>
    <xf numFmtId="0" fontId="9" fillId="0" borderId="0" xfId="0" applyFont="1" applyAlignment="1">
      <alignment horizontal="center"/>
    </xf>
    <xf numFmtId="167" fontId="18" fillId="0" borderId="0" xfId="1" applyNumberFormat="1" applyFont="1"/>
    <xf numFmtId="167" fontId="6" fillId="0" borderId="0" xfId="0" applyNumberFormat="1" applyFont="1" applyBorder="1"/>
    <xf numFmtId="43" fontId="0" fillId="0" borderId="0" xfId="0" applyNumberFormat="1"/>
    <xf numFmtId="167" fontId="3" fillId="0" borderId="0" xfId="1" applyNumberFormat="1" applyFont="1" applyBorder="1"/>
    <xf numFmtId="43" fontId="3" fillId="0" borderId="0" xfId="1" applyNumberFormat="1" applyFont="1" applyBorder="1"/>
    <xf numFmtId="164" fontId="19" fillId="0" borderId="0" xfId="0" applyNumberFormat="1" applyFont="1" applyAlignment="1">
      <alignment horizontal="center"/>
    </xf>
    <xf numFmtId="169" fontId="19" fillId="0" borderId="0" xfId="0" applyNumberFormat="1" applyFont="1" applyAlignment="1">
      <alignment horizontal="center"/>
    </xf>
    <xf numFmtId="167" fontId="18" fillId="0" borderId="4" xfId="1" applyNumberFormat="1" applyFont="1" applyBorder="1"/>
    <xf numFmtId="169" fontId="20" fillId="0" borderId="0" xfId="0" applyNumberFormat="1" applyFont="1" applyAlignment="1"/>
    <xf numFmtId="169" fontId="20" fillId="0" borderId="0" xfId="0" applyNumberFormat="1" applyFont="1" applyAlignment="1">
      <alignment horizontal="center"/>
    </xf>
    <xf numFmtId="0" fontId="3" fillId="0" borderId="0" xfId="0" applyFont="1" applyAlignment="1">
      <alignment horizontal="center"/>
    </xf>
    <xf numFmtId="164" fontId="8" fillId="0" borderId="0" xfId="0" applyNumberFormat="1" applyFont="1" applyAlignment="1"/>
    <xf numFmtId="0" fontId="0" fillId="0" borderId="0" xfId="0" applyBorder="1"/>
    <xf numFmtId="164" fontId="22" fillId="0" borderId="0" xfId="0" applyNumberFormat="1" applyFont="1" applyAlignment="1">
      <alignment horizontal="center"/>
    </xf>
    <xf numFmtId="169" fontId="22" fillId="0" borderId="0" xfId="0" applyNumberFormat="1" applyFont="1" applyAlignment="1">
      <alignment horizontal="center"/>
    </xf>
    <xf numFmtId="169" fontId="20" fillId="0" borderId="0" xfId="0" applyNumberFormat="1" applyFont="1" applyAlignment="1">
      <alignment horizontal="left"/>
    </xf>
    <xf numFmtId="166" fontId="0" fillId="0" borderId="0" xfId="2" applyNumberFormat="1" applyFont="1"/>
    <xf numFmtId="0" fontId="2" fillId="0" borderId="1" xfId="0" applyNumberFormat="1" applyFont="1" applyBorder="1" applyAlignment="1">
      <alignment horizontal="center"/>
    </xf>
    <xf numFmtId="166" fontId="0" fillId="0" borderId="2" xfId="2" applyNumberFormat="1" applyFont="1" applyBorder="1"/>
    <xf numFmtId="167" fontId="3" fillId="0" borderId="0" xfId="1" applyNumberFormat="1" applyFont="1"/>
    <xf numFmtId="0" fontId="23" fillId="0" borderId="0" xfId="0" applyFont="1"/>
    <xf numFmtId="167" fontId="3" fillId="0" borderId="0" xfId="0" applyNumberFormat="1" applyFont="1"/>
    <xf numFmtId="167" fontId="23" fillId="0" borderId="0" xfId="0" applyNumberFormat="1" applyFont="1"/>
    <xf numFmtId="167" fontId="14" fillId="0" borderId="0" xfId="1" applyNumberFormat="1" applyFont="1"/>
    <xf numFmtId="0" fontId="24" fillId="2" borderId="0" xfId="0" applyFont="1" applyFill="1" applyAlignment="1">
      <alignment horizontal="center"/>
    </xf>
    <xf numFmtId="165" fontId="5" fillId="2" borderId="1" xfId="0" applyNumberFormat="1" applyFont="1" applyFill="1" applyBorder="1" applyAlignment="1">
      <alignment horizontal="center"/>
    </xf>
    <xf numFmtId="0" fontId="5" fillId="4" borderId="0" xfId="0" applyFont="1" applyFill="1"/>
    <xf numFmtId="167" fontId="14" fillId="3" borderId="0" xfId="1" applyNumberFormat="1" applyFont="1" applyFill="1"/>
    <xf numFmtId="0" fontId="25" fillId="0" borderId="0" xfId="0" applyFont="1"/>
    <xf numFmtId="0" fontId="5" fillId="2" borderId="1" xfId="0" applyNumberFormat="1" applyFont="1" applyFill="1" applyBorder="1" applyAlignment="1">
      <alignment horizontal="center"/>
    </xf>
    <xf numFmtId="167" fontId="5" fillId="4" borderId="0" xfId="1" applyNumberFormat="1" applyFont="1" applyFill="1"/>
    <xf numFmtId="167" fontId="5" fillId="4" borderId="0" xfId="1" applyNumberFormat="1" applyFont="1" applyFill="1" applyBorder="1" applyAlignment="1">
      <alignment horizontal="center"/>
    </xf>
    <xf numFmtId="167" fontId="14" fillId="0" borderId="0" xfId="1" applyNumberFormat="1" applyFont="1" applyFill="1"/>
    <xf numFmtId="167" fontId="0" fillId="0" borderId="0" xfId="1" applyNumberFormat="1" applyFont="1" applyFill="1"/>
    <xf numFmtId="0" fontId="26" fillId="0" borderId="0" xfId="0" applyFont="1" applyFill="1"/>
    <xf numFmtId="0" fontId="27" fillId="0" borderId="0" xfId="0" applyFont="1" applyFill="1"/>
    <xf numFmtId="167" fontId="27" fillId="0" borderId="0" xfId="1" applyNumberFormat="1" applyFont="1" applyFill="1"/>
    <xf numFmtId="167" fontId="27" fillId="0" borderId="1" xfId="1" applyNumberFormat="1" applyFont="1" applyFill="1" applyBorder="1"/>
    <xf numFmtId="167" fontId="26" fillId="0" borderId="0" xfId="1" applyNumberFormat="1" applyFont="1" applyFill="1"/>
    <xf numFmtId="167" fontId="26" fillId="0" borderId="0" xfId="1" applyNumberFormat="1" applyFont="1" applyFill="1" applyBorder="1" applyAlignment="1">
      <alignment horizontal="center"/>
    </xf>
    <xf numFmtId="166" fontId="5" fillId="4" borderId="0" xfId="2" applyNumberFormat="1" applyFont="1" applyFill="1" applyBorder="1" applyAlignment="1">
      <alignment horizontal="center"/>
    </xf>
    <xf numFmtId="167" fontId="0" fillId="0" borderId="3" xfId="1" applyNumberFormat="1" applyFont="1" applyBorder="1"/>
    <xf numFmtId="0" fontId="26" fillId="3" borderId="0" xfId="0" applyFont="1" applyFill="1"/>
    <xf numFmtId="0" fontId="27" fillId="3" borderId="0" xfId="0" applyFont="1" applyFill="1"/>
    <xf numFmtId="167" fontId="27" fillId="3" borderId="0" xfId="1" applyNumberFormat="1" applyFont="1" applyFill="1"/>
    <xf numFmtId="167" fontId="27" fillId="3" borderId="0" xfId="1" applyNumberFormat="1" applyFont="1" applyFill="1" applyBorder="1" applyAlignment="1">
      <alignment horizontal="center"/>
    </xf>
    <xf numFmtId="167" fontId="26" fillId="3" borderId="0" xfId="1" applyNumberFormat="1" applyFont="1" applyFill="1"/>
    <xf numFmtId="167" fontId="26" fillId="3" borderId="0" xfId="1" applyNumberFormat="1" applyFont="1" applyFill="1" applyBorder="1" applyAlignment="1">
      <alignment horizontal="center"/>
    </xf>
    <xf numFmtId="0" fontId="17" fillId="0" borderId="0" xfId="0" applyFont="1"/>
    <xf numFmtId="0" fontId="0" fillId="0" borderId="0" xfId="0" applyAlignment="1">
      <alignment vertical="center" wrapText="1"/>
    </xf>
    <xf numFmtId="0" fontId="0" fillId="0" borderId="0" xfId="0" applyAlignment="1">
      <alignment horizontal="center" vertical="center"/>
    </xf>
    <xf numFmtId="0" fontId="6" fillId="2" borderId="0" xfId="0" applyFont="1" applyFill="1" applyAlignment="1">
      <alignment horizontal="center"/>
    </xf>
    <xf numFmtId="0" fontId="0" fillId="2" borderId="0" xfId="0" applyFill="1"/>
    <xf numFmtId="167" fontId="0" fillId="2" borderId="0" xfId="0" applyNumberFormat="1" applyFill="1" applyBorder="1"/>
    <xf numFmtId="168" fontId="6" fillId="2" borderId="0" xfId="1" applyNumberFormat="1" applyFont="1" applyFill="1"/>
    <xf numFmtId="168" fontId="0" fillId="2" borderId="0" xfId="1" applyNumberFormat="1" applyFont="1" applyFill="1"/>
    <xf numFmtId="0" fontId="0" fillId="2" borderId="0" xfId="0" applyFill="1" applyAlignment="1">
      <alignment horizontal="center"/>
    </xf>
    <xf numFmtId="0" fontId="6" fillId="2" borderId="0" xfId="0" applyFont="1" applyFill="1"/>
    <xf numFmtId="0" fontId="18" fillId="2" borderId="0" xfId="0" applyFont="1" applyFill="1" applyAlignment="1">
      <alignment horizontal="center"/>
    </xf>
    <xf numFmtId="0" fontId="18" fillId="2" borderId="0" xfId="0" applyFont="1" applyFill="1"/>
    <xf numFmtId="167" fontId="6" fillId="5" borderId="0" xfId="0" applyNumberFormat="1" applyFont="1" applyFill="1" applyBorder="1"/>
    <xf numFmtId="0" fontId="27" fillId="0" borderId="0" xfId="0" applyFont="1"/>
    <xf numFmtId="167" fontId="6" fillId="0" borderId="0" xfId="0" applyNumberFormat="1" applyFont="1" applyFill="1" applyBorder="1"/>
    <xf numFmtId="167" fontId="18" fillId="0" borderId="0" xfId="0" applyNumberFormat="1" applyFont="1" applyFill="1" applyBorder="1"/>
    <xf numFmtId="168" fontId="18" fillId="0" borderId="0" xfId="1" applyNumberFormat="1" applyFont="1" applyFill="1"/>
    <xf numFmtId="168" fontId="6" fillId="0" borderId="0" xfId="1" applyNumberFormat="1" applyFont="1" applyFill="1"/>
    <xf numFmtId="167" fontId="30" fillId="0" borderId="0" xfId="1" applyNumberFormat="1" applyFont="1"/>
    <xf numFmtId="167" fontId="6" fillId="0" borderId="0" xfId="1" applyNumberFormat="1" applyFont="1" applyFill="1"/>
    <xf numFmtId="168" fontId="0" fillId="0" borderId="0" xfId="1" applyNumberFormat="1" applyFont="1" applyFill="1"/>
    <xf numFmtId="167" fontId="18" fillId="0" borderId="0" xfId="1" applyNumberFormat="1" applyFont="1" applyFill="1"/>
    <xf numFmtId="0" fontId="27" fillId="0" borderId="0" xfId="0" applyFont="1" applyAlignment="1">
      <alignment horizontal="center"/>
    </xf>
    <xf numFmtId="0" fontId="20" fillId="0" borderId="0" xfId="0" applyFont="1"/>
    <xf numFmtId="0" fontId="26" fillId="0" borderId="0" xfId="0" applyFont="1"/>
    <xf numFmtId="0" fontId="26" fillId="0" borderId="0" xfId="0" applyFont="1" applyAlignment="1">
      <alignment horizontal="left"/>
    </xf>
    <xf numFmtId="167" fontId="30" fillId="0" borderId="1" xfId="1" applyNumberFormat="1" applyFont="1" applyBorder="1"/>
    <xf numFmtId="167" fontId="18" fillId="0" borderId="2" xfId="1" applyNumberFormat="1" applyFont="1" applyBorder="1"/>
    <xf numFmtId="167" fontId="18" fillId="0" borderId="3" xfId="1" applyNumberFormat="1" applyFont="1" applyBorder="1"/>
    <xf numFmtId="172" fontId="0" fillId="0" borderId="0" xfId="0" applyNumberFormat="1"/>
    <xf numFmtId="0" fontId="3" fillId="0" borderId="0" xfId="0" applyFont="1" applyAlignment="1">
      <alignment horizontal="right"/>
    </xf>
    <xf numFmtId="0" fontId="23" fillId="0" borderId="0" xfId="0" applyFont="1" applyAlignment="1">
      <alignment horizontal="right"/>
    </xf>
    <xf numFmtId="171" fontId="31" fillId="0" borderId="0" xfId="3" applyNumberFormat="1" applyFont="1"/>
    <xf numFmtId="171" fontId="32" fillId="0" borderId="0" xfId="3" applyNumberFormat="1" applyFont="1"/>
    <xf numFmtId="171" fontId="3" fillId="0" borderId="0" xfId="0" applyNumberFormat="1" applyFont="1"/>
    <xf numFmtId="171" fontId="23" fillId="0" borderId="0" xfId="0" applyNumberFormat="1" applyFont="1"/>
    <xf numFmtId="167" fontId="18" fillId="6" borderId="0" xfId="1" applyNumberFormat="1" applyFont="1" applyFill="1"/>
    <xf numFmtId="167" fontId="6" fillId="0" borderId="1" xfId="1" applyNumberFormat="1" applyFont="1" applyBorder="1"/>
    <xf numFmtId="167" fontId="27" fillId="0" borderId="0" xfId="1" applyNumberFormat="1" applyFont="1" applyFill="1" applyBorder="1" applyAlignment="1">
      <alignment horizontal="center"/>
    </xf>
    <xf numFmtId="166" fontId="27" fillId="3" borderId="0" xfId="2" applyNumberFormat="1" applyFont="1" applyFill="1" applyBorder="1" applyAlignment="1">
      <alignment horizontal="left"/>
    </xf>
    <xf numFmtId="168" fontId="30" fillId="0" borderId="0" xfId="1" applyNumberFormat="1" applyFont="1" applyFill="1"/>
    <xf numFmtId="0" fontId="30" fillId="0" borderId="1" xfId="0" applyFont="1" applyBorder="1"/>
    <xf numFmtId="168" fontId="18" fillId="0" borderId="3" xfId="1" applyNumberFormat="1" applyFont="1" applyFill="1" applyBorder="1"/>
    <xf numFmtId="0" fontId="9" fillId="0" borderId="0" xfId="0" applyFont="1"/>
    <xf numFmtId="168" fontId="18" fillId="0" borderId="3" xfId="1" applyNumberFormat="1" applyFont="1" applyBorder="1"/>
    <xf numFmtId="0" fontId="2" fillId="0" borderId="1" xfId="0" applyFont="1" applyBorder="1"/>
    <xf numFmtId="0" fontId="0" fillId="0" borderId="3" xfId="0" applyBorder="1" applyAlignment="1">
      <alignment horizontal="center"/>
    </xf>
    <xf numFmtId="168" fontId="6" fillId="0" borderId="0" xfId="0" applyNumberFormat="1" applyFont="1" applyFill="1" applyBorder="1"/>
    <xf numFmtId="166" fontId="6" fillId="0" borderId="0" xfId="2" applyNumberFormat="1" applyFont="1"/>
    <xf numFmtId="0" fontId="18" fillId="0" borderId="0" xfId="0" applyFont="1" applyAlignment="1">
      <alignment horizontal="left" indent="1"/>
    </xf>
    <xf numFmtId="166" fontId="30" fillId="0" borderId="0" xfId="0" applyNumberFormat="1" applyFont="1"/>
    <xf numFmtId="168" fontId="30" fillId="0" borderId="0" xfId="1" applyNumberFormat="1" applyFont="1"/>
    <xf numFmtId="168" fontId="18" fillId="0" borderId="0" xfId="1" applyNumberFormat="1" applyFont="1"/>
    <xf numFmtId="167" fontId="18" fillId="0" borderId="1" xfId="1" applyNumberFormat="1" applyFont="1" applyBorder="1"/>
    <xf numFmtId="167" fontId="30" fillId="0" borderId="0" xfId="1" applyNumberFormat="1" applyFont="1" applyFill="1"/>
    <xf numFmtId="0" fontId="27" fillId="0" borderId="1" xfId="0" applyFont="1" applyBorder="1" applyAlignment="1">
      <alignment horizontal="center"/>
    </xf>
    <xf numFmtId="167" fontId="6" fillId="0" borderId="1" xfId="1" applyNumberFormat="1" applyFont="1" applyFill="1" applyBorder="1"/>
    <xf numFmtId="167" fontId="18" fillId="0" borderId="1" xfId="1" applyNumberFormat="1" applyFont="1" applyFill="1" applyBorder="1"/>
    <xf numFmtId="167" fontId="6" fillId="0" borderId="3" xfId="1" applyNumberFormat="1" applyFont="1" applyBorder="1"/>
    <xf numFmtId="167" fontId="18" fillId="0" borderId="3" xfId="1" applyNumberFormat="1" applyFont="1" applyFill="1" applyBorder="1"/>
    <xf numFmtId="167" fontId="18" fillId="6" borderId="1" xfId="1" applyNumberFormat="1" applyFont="1" applyFill="1" applyBorder="1"/>
    <xf numFmtId="0" fontId="27" fillId="0" borderId="0" xfId="0" applyFont="1" applyBorder="1" applyAlignment="1">
      <alignment horizontal="center"/>
    </xf>
    <xf numFmtId="167" fontId="6" fillId="0" borderId="0" xfId="1" applyNumberFormat="1" applyFont="1" applyBorder="1"/>
    <xf numFmtId="167" fontId="6" fillId="0" borderId="0" xfId="1" applyNumberFormat="1" applyFont="1" applyFill="1" applyBorder="1"/>
    <xf numFmtId="167" fontId="18" fillId="0" borderId="0" xfId="1" applyNumberFormat="1" applyFont="1" applyFill="1" applyBorder="1"/>
    <xf numFmtId="167" fontId="30" fillId="0" borderId="0" xfId="1" applyNumberFormat="1" applyFont="1" applyBorder="1"/>
    <xf numFmtId="166" fontId="6" fillId="0" borderId="0" xfId="0" applyNumberFormat="1" applyFont="1"/>
    <xf numFmtId="0" fontId="18" fillId="0" borderId="0" xfId="0" applyNumberFormat="1" applyFont="1" applyAlignment="1">
      <alignment horizontal="center"/>
    </xf>
    <xf numFmtId="165" fontId="25" fillId="0" borderId="1" xfId="0" applyNumberFormat="1" applyFont="1" applyBorder="1" applyAlignment="1">
      <alignment horizontal="center"/>
    </xf>
    <xf numFmtId="0" fontId="33" fillId="0" borderId="0" xfId="0" applyFont="1" applyAlignment="1">
      <alignment horizontal="center"/>
    </xf>
    <xf numFmtId="0" fontId="34" fillId="0" borderId="0" xfId="0" applyFont="1" applyAlignment="1">
      <alignment horizontal="center"/>
    </xf>
    <xf numFmtId="0" fontId="17" fillId="0" borderId="0" xfId="1" applyNumberFormat="1" applyFont="1" applyAlignment="1">
      <alignment horizontal="center"/>
    </xf>
    <xf numFmtId="0" fontId="35" fillId="0" borderId="0" xfId="0" applyFont="1"/>
    <xf numFmtId="0" fontId="36" fillId="0" borderId="0" xfId="0" applyFont="1"/>
    <xf numFmtId="169" fontId="37" fillId="0" borderId="0" xfId="0" applyNumberFormat="1" applyFont="1" applyAlignment="1">
      <alignment horizontal="left"/>
    </xf>
    <xf numFmtId="0" fontId="38" fillId="2" borderId="0" xfId="0" applyFont="1" applyFill="1" applyAlignment="1">
      <alignment horizontal="center"/>
    </xf>
    <xf numFmtId="0" fontId="39" fillId="0" borderId="0" xfId="0" applyFont="1" applyAlignment="1">
      <alignment horizontal="center"/>
    </xf>
    <xf numFmtId="0" fontId="40" fillId="2" borderId="1" xfId="0" applyFont="1" applyFill="1" applyBorder="1"/>
    <xf numFmtId="0" fontId="41" fillId="2" borderId="1" xfId="0" applyFont="1" applyFill="1" applyBorder="1"/>
    <xf numFmtId="0" fontId="36" fillId="0" borderId="0" xfId="0" applyFont="1" applyBorder="1"/>
    <xf numFmtId="165" fontId="40" fillId="2" borderId="1" xfId="0" applyNumberFormat="1" applyFont="1" applyFill="1" applyBorder="1" applyAlignment="1">
      <alignment horizontal="center"/>
    </xf>
    <xf numFmtId="165" fontId="35" fillId="0" borderId="0" xfId="0" applyNumberFormat="1" applyFont="1" applyBorder="1" applyAlignment="1">
      <alignment horizontal="center"/>
    </xf>
    <xf numFmtId="167" fontId="42" fillId="0" borderId="0" xfId="1" applyNumberFormat="1" applyFont="1"/>
    <xf numFmtId="167" fontId="42" fillId="0" borderId="0" xfId="1" applyNumberFormat="1" applyFont="1" applyBorder="1" applyAlignment="1">
      <alignment horizontal="center"/>
    </xf>
    <xf numFmtId="0" fontId="40" fillId="4" borderId="0" xfId="0" applyFont="1" applyFill="1" applyBorder="1"/>
    <xf numFmtId="0" fontId="41" fillId="4" borderId="0" xfId="0" applyFont="1" applyFill="1" applyBorder="1"/>
    <xf numFmtId="167" fontId="41" fillId="4" borderId="0" xfId="1" applyNumberFormat="1" applyFont="1" applyFill="1" applyBorder="1"/>
    <xf numFmtId="167" fontId="41" fillId="4" borderId="0" xfId="1" applyNumberFormat="1" applyFont="1" applyFill="1" applyBorder="1" applyAlignment="1">
      <alignment horizontal="center"/>
    </xf>
    <xf numFmtId="166" fontId="42" fillId="0" borderId="0" xfId="2" applyNumberFormat="1" applyFont="1" applyBorder="1" applyAlignment="1">
      <alignment horizontal="left"/>
    </xf>
    <xf numFmtId="166" fontId="42" fillId="0" borderId="0" xfId="2" applyNumberFormat="1" applyFont="1" applyBorder="1" applyAlignment="1">
      <alignment horizontal="center"/>
    </xf>
    <xf numFmtId="0" fontId="36" fillId="3" borderId="0" xfId="0" applyFont="1" applyFill="1"/>
    <xf numFmtId="167" fontId="42" fillId="3" borderId="0" xfId="1" applyNumberFormat="1" applyFont="1" applyFill="1"/>
    <xf numFmtId="167" fontId="42" fillId="3" borderId="0" xfId="1" applyNumberFormat="1" applyFont="1" applyFill="1" applyBorder="1" applyAlignment="1">
      <alignment horizontal="center"/>
    </xf>
    <xf numFmtId="0" fontId="36" fillId="0" borderId="0" xfId="0" applyFont="1" applyFill="1"/>
    <xf numFmtId="167" fontId="42" fillId="0" borderId="0" xfId="1" applyNumberFormat="1" applyFont="1" applyFill="1"/>
    <xf numFmtId="167" fontId="40" fillId="4" borderId="0" xfId="1" applyNumberFormat="1" applyFont="1" applyFill="1" applyBorder="1"/>
    <xf numFmtId="166" fontId="40" fillId="4" borderId="0" xfId="2" applyNumberFormat="1" applyFont="1" applyFill="1" applyBorder="1" applyAlignment="1">
      <alignment horizontal="center"/>
    </xf>
    <xf numFmtId="167" fontId="40" fillId="4" borderId="0" xfId="1" applyNumberFormat="1" applyFont="1" applyFill="1" applyBorder="1" applyAlignment="1">
      <alignment horizontal="center"/>
    </xf>
    <xf numFmtId="0" fontId="35" fillId="3" borderId="0" xfId="0" applyFont="1" applyFill="1"/>
    <xf numFmtId="0" fontId="35" fillId="0" borderId="0" xfId="0" applyFont="1" applyFill="1"/>
    <xf numFmtId="167" fontId="42" fillId="0" borderId="0" xfId="1" applyNumberFormat="1" applyFont="1" applyFill="1" applyBorder="1" applyAlignment="1">
      <alignment horizontal="center"/>
    </xf>
    <xf numFmtId="167" fontId="42" fillId="0" borderId="1" xfId="1" applyNumberFormat="1" applyFont="1" applyBorder="1" applyAlignment="1">
      <alignment horizontal="center"/>
    </xf>
    <xf numFmtId="167" fontId="42" fillId="0" borderId="0" xfId="1" applyNumberFormat="1" applyFont="1" applyBorder="1"/>
    <xf numFmtId="0" fontId="40" fillId="4" borderId="0" xfId="0" applyFont="1" applyFill="1"/>
    <xf numFmtId="0" fontId="41" fillId="4" borderId="0" xfId="0" applyFont="1" applyFill="1"/>
    <xf numFmtId="167" fontId="40" fillId="4" borderId="0" xfId="1" applyNumberFormat="1" applyFont="1" applyFill="1"/>
    <xf numFmtId="167" fontId="40" fillId="4" borderId="0" xfId="1" applyNumberFormat="1" applyFont="1" applyFill="1" applyAlignment="1">
      <alignment horizontal="center"/>
    </xf>
    <xf numFmtId="166" fontId="40" fillId="4" borderId="3" xfId="2" applyNumberFormat="1" applyFont="1" applyFill="1" applyBorder="1" applyAlignment="1">
      <alignment horizontal="center"/>
    </xf>
    <xf numFmtId="170" fontId="42" fillId="0" borderId="0" xfId="1" applyNumberFormat="1" applyFont="1" applyBorder="1" applyAlignment="1">
      <alignment horizontal="center"/>
    </xf>
    <xf numFmtId="167" fontId="42" fillId="3" borderId="0" xfId="1" applyNumberFormat="1" applyFont="1" applyFill="1" applyAlignment="1">
      <alignment horizontal="center"/>
    </xf>
    <xf numFmtId="43" fontId="42" fillId="3" borderId="0" xfId="1" applyFont="1" applyFill="1" applyBorder="1" applyAlignment="1">
      <alignment horizontal="center"/>
    </xf>
    <xf numFmtId="43" fontId="43" fillId="3" borderId="0" xfId="1" applyFont="1" applyFill="1" applyBorder="1" applyAlignment="1">
      <alignment horizontal="center"/>
    </xf>
    <xf numFmtId="0" fontId="36" fillId="0" borderId="0" xfId="0" applyFont="1" applyAlignment="1">
      <alignment horizontal="left" indent="1"/>
    </xf>
    <xf numFmtId="167" fontId="42" fillId="0" borderId="0" xfId="1" applyNumberFormat="1" applyFont="1" applyAlignment="1">
      <alignment horizontal="center"/>
    </xf>
    <xf numFmtId="43" fontId="42" fillId="0" borderId="0" xfId="1" applyFont="1" applyBorder="1" applyAlignment="1">
      <alignment horizontal="center"/>
    </xf>
    <xf numFmtId="43" fontId="43" fillId="0" borderId="0" xfId="1" applyFont="1" applyBorder="1" applyAlignment="1">
      <alignment horizontal="center"/>
    </xf>
    <xf numFmtId="9" fontId="42" fillId="3" borderId="0" xfId="3" applyFont="1" applyFill="1" applyBorder="1" applyAlignment="1">
      <alignment horizontal="center"/>
    </xf>
    <xf numFmtId="9" fontId="43" fillId="3" borderId="0" xfId="3" applyFont="1" applyFill="1" applyBorder="1" applyAlignment="1">
      <alignment horizontal="center"/>
    </xf>
    <xf numFmtId="0" fontId="36" fillId="0" borderId="0" xfId="0" applyFont="1" applyAlignment="1">
      <alignment horizontal="center"/>
    </xf>
    <xf numFmtId="9" fontId="42" fillId="0" borderId="0" xfId="3" applyFont="1" applyBorder="1" applyAlignment="1">
      <alignment horizontal="center"/>
    </xf>
    <xf numFmtId="171" fontId="36" fillId="0" borderId="0" xfId="3" applyNumberFormat="1" applyFont="1" applyAlignment="1">
      <alignment horizontal="center"/>
    </xf>
    <xf numFmtId="171" fontId="44" fillId="0" borderId="0" xfId="3" applyNumberFormat="1" applyFont="1" applyFill="1" applyAlignment="1">
      <alignment horizontal="center"/>
    </xf>
    <xf numFmtId="171" fontId="36" fillId="0" borderId="0" xfId="3" applyNumberFormat="1" applyFont="1" applyFill="1" applyAlignment="1">
      <alignment horizontal="center"/>
    </xf>
    <xf numFmtId="167" fontId="42" fillId="0" borderId="0" xfId="1" applyNumberFormat="1" applyFont="1" applyFill="1" applyAlignment="1">
      <alignment horizontal="center"/>
    </xf>
    <xf numFmtId="9" fontId="42" fillId="0" borderId="0" xfId="3" applyFont="1" applyFill="1" applyBorder="1" applyAlignment="1">
      <alignment horizontal="center"/>
    </xf>
    <xf numFmtId="166" fontId="42" fillId="0" borderId="0" xfId="2" applyNumberFormat="1" applyFont="1" applyFill="1" applyBorder="1" applyAlignment="1">
      <alignment horizontal="center"/>
    </xf>
    <xf numFmtId="166" fontId="42" fillId="0" borderId="0" xfId="3" applyNumberFormat="1" applyFont="1" applyFill="1" applyBorder="1" applyAlignment="1">
      <alignment horizontal="center"/>
    </xf>
    <xf numFmtId="170" fontId="42" fillId="3" borderId="0" xfId="1" applyNumberFormat="1" applyFont="1" applyFill="1" applyBorder="1" applyAlignment="1">
      <alignment horizontal="center"/>
    </xf>
    <xf numFmtId="170" fontId="43" fillId="3" borderId="0" xfId="1" applyNumberFormat="1" applyFont="1" applyFill="1" applyBorder="1" applyAlignment="1">
      <alignment horizontal="center"/>
    </xf>
    <xf numFmtId="167" fontId="36" fillId="0" borderId="0" xfId="1" applyNumberFormat="1" applyFont="1"/>
    <xf numFmtId="0" fontId="35" fillId="0" borderId="0" xfId="0" applyFont="1" applyAlignment="1">
      <alignment horizontal="left"/>
    </xf>
    <xf numFmtId="0" fontId="46" fillId="0" borderId="0" xfId="0" applyFont="1" applyAlignment="1">
      <alignment horizontal="center"/>
    </xf>
    <xf numFmtId="167" fontId="42" fillId="4" borderId="0" xfId="1" applyNumberFormat="1" applyFont="1" applyFill="1"/>
    <xf numFmtId="167" fontId="42" fillId="4" borderId="0" xfId="1" applyNumberFormat="1" applyFont="1" applyFill="1" applyBorder="1"/>
    <xf numFmtId="167" fontId="35" fillId="3" borderId="0" xfId="1" applyNumberFormat="1" applyFont="1" applyFill="1"/>
    <xf numFmtId="167" fontId="35" fillId="3" borderId="0" xfId="1" applyNumberFormat="1" applyFont="1" applyFill="1" applyBorder="1" applyAlignment="1">
      <alignment horizontal="center"/>
    </xf>
    <xf numFmtId="0" fontId="14" fillId="0" borderId="0" xfId="0" applyFont="1"/>
    <xf numFmtId="164" fontId="4" fillId="0" borderId="0" xfId="0" applyNumberFormat="1" applyFont="1" applyAlignment="1"/>
    <xf numFmtId="0" fontId="42" fillId="0" borderId="0" xfId="0" applyFont="1"/>
    <xf numFmtId="0" fontId="40" fillId="2" borderId="0" xfId="0" applyFont="1" applyFill="1" applyBorder="1"/>
    <xf numFmtId="0" fontId="41" fillId="2" borderId="0" xfId="0" applyFont="1" applyFill="1" applyBorder="1"/>
    <xf numFmtId="165" fontId="35" fillId="0" borderId="1" xfId="0" applyNumberFormat="1" applyFont="1" applyBorder="1" applyAlignment="1">
      <alignment horizontal="center"/>
    </xf>
    <xf numFmtId="0" fontId="42" fillId="0" borderId="0" xfId="0" applyFont="1" applyBorder="1"/>
    <xf numFmtId="0" fontId="35" fillId="3" borderId="0" xfId="0" applyFont="1" applyFill="1" applyBorder="1"/>
    <xf numFmtId="0" fontId="42" fillId="3" borderId="0" xfId="0" applyFont="1" applyFill="1" applyBorder="1"/>
    <xf numFmtId="0" fontId="42" fillId="3" borderId="0" xfId="0" applyFont="1" applyFill="1"/>
    <xf numFmtId="167" fontId="42" fillId="3" borderId="0" xfId="1" applyNumberFormat="1" applyFont="1" applyFill="1" applyBorder="1"/>
    <xf numFmtId="0" fontId="35" fillId="0" borderId="0" xfId="0" applyFont="1" applyFill="1" applyBorder="1"/>
    <xf numFmtId="0" fontId="42" fillId="0" borderId="0" xfId="0" applyFont="1" applyFill="1" applyBorder="1"/>
    <xf numFmtId="0" fontId="42" fillId="0" borderId="0" xfId="0" applyFont="1" applyFill="1"/>
    <xf numFmtId="167" fontId="42" fillId="0" borderId="0" xfId="1" applyNumberFormat="1" applyFont="1" applyFill="1" applyBorder="1"/>
    <xf numFmtId="167" fontId="42" fillId="0" borderId="1" xfId="1" applyNumberFormat="1" applyFont="1" applyBorder="1"/>
    <xf numFmtId="167" fontId="42" fillId="0" borderId="1" xfId="1" applyNumberFormat="1" applyFont="1" applyFill="1" applyBorder="1"/>
    <xf numFmtId="0" fontId="39" fillId="0" borderId="0" xfId="0" applyFont="1" applyFill="1" applyBorder="1"/>
    <xf numFmtId="9" fontId="39" fillId="0" borderId="0" xfId="3" applyFont="1" applyFill="1" applyBorder="1"/>
    <xf numFmtId="166" fontId="42" fillId="0" borderId="0" xfId="2" applyNumberFormat="1" applyFont="1" applyBorder="1"/>
    <xf numFmtId="166" fontId="42" fillId="3" borderId="3" xfId="2" applyNumberFormat="1" applyFont="1" applyFill="1" applyBorder="1"/>
    <xf numFmtId="0" fontId="35" fillId="0" borderId="0" xfId="0" applyFont="1" applyBorder="1"/>
    <xf numFmtId="166" fontId="42" fillId="3" borderId="0" xfId="0" applyNumberFormat="1" applyFont="1" applyFill="1"/>
    <xf numFmtId="166" fontId="42" fillId="3" borderId="2" xfId="2" applyNumberFormat="1" applyFont="1" applyFill="1" applyBorder="1"/>
    <xf numFmtId="166" fontId="42" fillId="0" borderId="0" xfId="0" applyNumberFormat="1" applyFont="1"/>
    <xf numFmtId="0" fontId="47" fillId="0" borderId="0" xfId="0" applyNumberFormat="1" applyFont="1" applyAlignment="1">
      <alignment horizontal="center"/>
    </xf>
    <xf numFmtId="0" fontId="40" fillId="0" borderId="13" xfId="0" applyFont="1" applyFill="1" applyBorder="1" applyAlignment="1"/>
    <xf numFmtId="0" fontId="42" fillId="0" borderId="14" xfId="0" applyFont="1" applyBorder="1"/>
    <xf numFmtId="0" fontId="40" fillId="4" borderId="0" xfId="0" applyFont="1" applyFill="1" applyBorder="1" applyAlignment="1">
      <alignment horizontal="center"/>
    </xf>
    <xf numFmtId="0" fontId="40" fillId="4" borderId="9" xfId="0" applyFont="1" applyFill="1" applyBorder="1" applyAlignment="1">
      <alignment horizontal="center"/>
    </xf>
    <xf numFmtId="0" fontId="42" fillId="0" borderId="13" xfId="0" applyFont="1" applyBorder="1"/>
    <xf numFmtId="0" fontId="40" fillId="2" borderId="19" xfId="0" applyFont="1" applyFill="1" applyBorder="1"/>
    <xf numFmtId="0" fontId="41" fillId="2" borderId="20" xfId="0" applyFont="1" applyFill="1" applyBorder="1"/>
    <xf numFmtId="0" fontId="35" fillId="3" borderId="8" xfId="0" applyFont="1" applyFill="1" applyBorder="1" applyAlignment="1">
      <alignment horizontal="center"/>
    </xf>
    <xf numFmtId="0" fontId="42" fillId="3" borderId="0" xfId="0" applyFont="1" applyFill="1" applyBorder="1" applyAlignment="1">
      <alignment horizontal="center"/>
    </xf>
    <xf numFmtId="0" fontId="35" fillId="3" borderId="0" xfId="0" applyFont="1" applyFill="1" applyBorder="1" applyAlignment="1">
      <alignment horizontal="center"/>
    </xf>
    <xf numFmtId="0" fontId="35" fillId="3" borderId="9" xfId="0" applyFont="1" applyFill="1" applyBorder="1" applyAlignment="1">
      <alignment horizontal="center"/>
    </xf>
    <xf numFmtId="0" fontId="42" fillId="0" borderId="8" xfId="0" applyFont="1" applyBorder="1"/>
    <xf numFmtId="0" fontId="42" fillId="0" borderId="9" xfId="0" applyFont="1" applyBorder="1"/>
    <xf numFmtId="0" fontId="35" fillId="3" borderId="8" xfId="0" applyFont="1" applyFill="1" applyBorder="1"/>
    <xf numFmtId="0" fontId="42" fillId="3" borderId="9" xfId="0" applyFont="1" applyFill="1" applyBorder="1"/>
    <xf numFmtId="167" fontId="42" fillId="3" borderId="8" xfId="1" applyNumberFormat="1" applyFont="1" applyFill="1" applyBorder="1"/>
    <xf numFmtId="167" fontId="42" fillId="3" borderId="13" xfId="1" applyNumberFormat="1" applyFont="1" applyFill="1" applyBorder="1"/>
    <xf numFmtId="167" fontId="42" fillId="3" borderId="14" xfId="1" applyNumberFormat="1" applyFont="1" applyFill="1" applyBorder="1"/>
    <xf numFmtId="9" fontId="42" fillId="3" borderId="9" xfId="3" applyFont="1" applyFill="1" applyBorder="1" applyAlignment="1">
      <alignment horizontal="center"/>
    </xf>
    <xf numFmtId="0" fontId="35" fillId="0" borderId="8" xfId="0" applyFont="1" applyFill="1" applyBorder="1"/>
    <xf numFmtId="0" fontId="42" fillId="0" borderId="9" xfId="0" applyFont="1" applyFill="1" applyBorder="1"/>
    <xf numFmtId="167" fontId="42" fillId="0" borderId="8" xfId="1" applyNumberFormat="1" applyFont="1" applyFill="1" applyBorder="1"/>
    <xf numFmtId="167" fontId="42" fillId="0" borderId="13" xfId="1" applyNumberFormat="1" applyFont="1" applyFill="1" applyBorder="1"/>
    <xf numFmtId="167" fontId="42" fillId="0" borderId="14" xfId="1" applyNumberFormat="1" applyFont="1" applyFill="1" applyBorder="1"/>
    <xf numFmtId="9" fontId="42" fillId="0" borderId="9" xfId="3" applyFont="1" applyBorder="1" applyAlignment="1">
      <alignment horizontal="center"/>
    </xf>
    <xf numFmtId="167" fontId="42" fillId="0" borderId="15" xfId="1" applyNumberFormat="1" applyFont="1" applyFill="1" applyBorder="1"/>
    <xf numFmtId="167" fontId="42" fillId="0" borderId="16" xfId="1" applyNumberFormat="1" applyFont="1" applyBorder="1"/>
    <xf numFmtId="0" fontId="39" fillId="0" borderId="9" xfId="0" applyFont="1" applyFill="1" applyBorder="1"/>
    <xf numFmtId="9" fontId="39" fillId="0" borderId="8" xfId="3" applyFont="1" applyFill="1" applyBorder="1"/>
    <xf numFmtId="167" fontId="42" fillId="0" borderId="9" xfId="1" applyNumberFormat="1" applyFont="1" applyFill="1" applyBorder="1"/>
    <xf numFmtId="0" fontId="42" fillId="3" borderId="8" xfId="0" applyFont="1" applyFill="1" applyBorder="1"/>
    <xf numFmtId="0" fontId="42" fillId="3" borderId="13" xfId="0" applyFont="1" applyFill="1" applyBorder="1"/>
    <xf numFmtId="0" fontId="42" fillId="3" borderId="14" xfId="0" applyFont="1" applyFill="1" applyBorder="1"/>
    <xf numFmtId="166" fontId="42" fillId="0" borderId="8" xfId="2" applyNumberFormat="1" applyFont="1" applyBorder="1"/>
    <xf numFmtId="166" fontId="42" fillId="0" borderId="13" xfId="2" applyNumberFormat="1" applyFont="1" applyBorder="1"/>
    <xf numFmtId="166" fontId="42" fillId="0" borderId="14" xfId="2" applyNumberFormat="1" applyFont="1" applyBorder="1"/>
    <xf numFmtId="167" fontId="42" fillId="0" borderId="8" xfId="1" applyNumberFormat="1" applyFont="1" applyBorder="1"/>
    <xf numFmtId="167" fontId="42" fillId="0" borderId="13" xfId="1" applyNumberFormat="1" applyFont="1" applyBorder="1"/>
    <xf numFmtId="167" fontId="42" fillId="0" borderId="14" xfId="1" applyNumberFormat="1" applyFont="1" applyBorder="1"/>
    <xf numFmtId="167" fontId="42" fillId="0" borderId="15" xfId="1" applyNumberFormat="1" applyFont="1" applyBorder="1"/>
    <xf numFmtId="167" fontId="42" fillId="0" borderId="9" xfId="1" applyNumberFormat="1" applyFont="1" applyBorder="1"/>
    <xf numFmtId="167" fontId="42" fillId="3" borderId="9" xfId="1" applyNumberFormat="1" applyFont="1" applyFill="1" applyBorder="1"/>
    <xf numFmtId="167" fontId="42" fillId="0" borderId="17" xfId="1" applyNumberFormat="1" applyFont="1" applyFill="1" applyBorder="1"/>
    <xf numFmtId="167" fontId="42" fillId="0" borderId="3" xfId="1" applyNumberFormat="1" applyFont="1" applyFill="1" applyBorder="1"/>
    <xf numFmtId="9" fontId="42" fillId="0" borderId="18" xfId="3" applyFont="1" applyFill="1" applyBorder="1" applyAlignment="1">
      <alignment horizontal="center"/>
    </xf>
    <xf numFmtId="167" fontId="42" fillId="0" borderId="17" xfId="2" applyNumberFormat="1" applyFont="1" applyFill="1" applyBorder="1"/>
    <xf numFmtId="167" fontId="42" fillId="0" borderId="0" xfId="0" applyNumberFormat="1" applyFont="1" applyFill="1" applyBorder="1"/>
    <xf numFmtId="167" fontId="42" fillId="0" borderId="3" xfId="2" applyNumberFormat="1" applyFont="1" applyFill="1" applyBorder="1"/>
    <xf numFmtId="167" fontId="42" fillId="0" borderId="13" xfId="0" applyNumberFormat="1" applyFont="1" applyFill="1" applyBorder="1"/>
    <xf numFmtId="167" fontId="42" fillId="0" borderId="14" xfId="0" applyNumberFormat="1" applyFont="1" applyFill="1" applyBorder="1"/>
    <xf numFmtId="167" fontId="42" fillId="0" borderId="0" xfId="2" applyNumberFormat="1" applyFont="1" applyFill="1" applyBorder="1"/>
    <xf numFmtId="0" fontId="35" fillId="0" borderId="8" xfId="0" applyFont="1" applyBorder="1"/>
    <xf numFmtId="166" fontId="42" fillId="3" borderId="21" xfId="2" applyNumberFormat="1" applyFont="1" applyFill="1" applyBorder="1"/>
    <xf numFmtId="166" fontId="42" fillId="3" borderId="2" xfId="1" applyNumberFormat="1" applyFont="1" applyFill="1" applyBorder="1"/>
    <xf numFmtId="9" fontId="42" fillId="3" borderId="22" xfId="3" applyFont="1" applyFill="1" applyBorder="1" applyAlignment="1">
      <alignment horizontal="center"/>
    </xf>
    <xf numFmtId="166" fontId="42" fillId="3" borderId="21" xfId="1" applyNumberFormat="1" applyFont="1" applyFill="1" applyBorder="1"/>
    <xf numFmtId="0" fontId="42" fillId="0" borderId="10" xfId="0" applyFont="1" applyBorder="1"/>
    <xf numFmtId="0" fontId="42" fillId="0" borderId="12" xfId="0" applyFont="1" applyBorder="1"/>
    <xf numFmtId="167" fontId="42" fillId="0" borderId="10" xfId="1" applyNumberFormat="1" applyFont="1" applyBorder="1"/>
    <xf numFmtId="167" fontId="42" fillId="0" borderId="11" xfId="1" applyNumberFormat="1" applyFont="1" applyBorder="1"/>
    <xf numFmtId="167" fontId="42" fillId="0" borderId="12" xfId="1" applyNumberFormat="1" applyFont="1" applyBorder="1"/>
    <xf numFmtId="0" fontId="42" fillId="0" borderId="11" xfId="0" applyFont="1" applyBorder="1"/>
    <xf numFmtId="0" fontId="42" fillId="0" borderId="5" xfId="0" applyFont="1" applyBorder="1"/>
    <xf numFmtId="0" fontId="42" fillId="0" borderId="7" xfId="0" applyFont="1" applyBorder="1"/>
    <xf numFmtId="167" fontId="42" fillId="0" borderId="5" xfId="1" applyNumberFormat="1" applyFont="1" applyBorder="1"/>
    <xf numFmtId="167" fontId="42" fillId="0" borderId="6" xfId="1" applyNumberFormat="1" applyFont="1" applyBorder="1"/>
    <xf numFmtId="167" fontId="42" fillId="0" borderId="7" xfId="1" applyNumberFormat="1" applyFont="1" applyBorder="1"/>
    <xf numFmtId="0" fontId="42" fillId="0" borderId="6" xfId="0" applyFont="1" applyBorder="1"/>
    <xf numFmtId="0" fontId="40" fillId="2" borderId="8" xfId="0" applyFont="1" applyFill="1" applyBorder="1"/>
    <xf numFmtId="0" fontId="41" fillId="2" borderId="9" xfId="0" applyFont="1" applyFill="1" applyBorder="1"/>
    <xf numFmtId="0" fontId="42" fillId="0" borderId="8" xfId="0" applyFont="1" applyFill="1" applyBorder="1"/>
    <xf numFmtId="0" fontId="48" fillId="0" borderId="8" xfId="0" applyFont="1" applyFill="1" applyBorder="1"/>
    <xf numFmtId="0" fontId="43" fillId="0" borderId="9" xfId="0" applyFont="1" applyFill="1" applyBorder="1"/>
    <xf numFmtId="0" fontId="43" fillId="0" borderId="0" xfId="0" applyFont="1"/>
    <xf numFmtId="167" fontId="43" fillId="0" borderId="8" xfId="1" applyNumberFormat="1" applyFont="1" applyBorder="1"/>
    <xf numFmtId="167" fontId="43" fillId="0" borderId="0" xfId="1" applyNumberFormat="1" applyFont="1" applyBorder="1"/>
    <xf numFmtId="167" fontId="43" fillId="0" borderId="13" xfId="1" applyNumberFormat="1" applyFont="1" applyBorder="1"/>
    <xf numFmtId="167" fontId="43" fillId="0" borderId="14" xfId="1" applyNumberFormat="1" applyFont="1" applyBorder="1"/>
    <xf numFmtId="167" fontId="43" fillId="0" borderId="9" xfId="1" applyNumberFormat="1" applyFont="1" applyBorder="1"/>
    <xf numFmtId="0" fontId="43" fillId="0" borderId="8" xfId="0" applyFont="1" applyBorder="1"/>
    <xf numFmtId="0" fontId="43" fillId="0" borderId="0" xfId="0" applyFont="1" applyBorder="1"/>
    <xf numFmtId="0" fontId="43" fillId="0" borderId="9" xfId="0" applyFont="1" applyBorder="1"/>
    <xf numFmtId="0" fontId="43" fillId="0" borderId="0" xfId="0" applyFont="1" applyFill="1"/>
    <xf numFmtId="9" fontId="43" fillId="0" borderId="8" xfId="3" applyNumberFormat="1" applyFont="1" applyFill="1" applyBorder="1"/>
    <xf numFmtId="167" fontId="43" fillId="0" borderId="0" xfId="1" applyNumberFormat="1" applyFont="1" applyFill="1" applyBorder="1"/>
    <xf numFmtId="9" fontId="43" fillId="0" borderId="0" xfId="3" applyNumberFormat="1" applyFont="1" applyFill="1" applyBorder="1"/>
    <xf numFmtId="167" fontId="43" fillId="0" borderId="13" xfId="1" applyNumberFormat="1" applyFont="1" applyFill="1" applyBorder="1"/>
    <xf numFmtId="167" fontId="43" fillId="0" borderId="14" xfId="1" applyNumberFormat="1" applyFont="1" applyFill="1" applyBorder="1"/>
    <xf numFmtId="0" fontId="43" fillId="0" borderId="0" xfId="0" applyFont="1" applyFill="1" applyBorder="1"/>
    <xf numFmtId="0" fontId="43" fillId="3" borderId="8" xfId="0" applyFont="1" applyFill="1" applyBorder="1"/>
    <xf numFmtId="0" fontId="43" fillId="3" borderId="9" xfId="0" applyFont="1" applyFill="1" applyBorder="1"/>
    <xf numFmtId="0" fontId="43" fillId="3" borderId="0" xfId="0" applyFont="1" applyFill="1"/>
    <xf numFmtId="166" fontId="43" fillId="3" borderId="8" xfId="2" applyNumberFormat="1" applyFont="1" applyFill="1" applyBorder="1"/>
    <xf numFmtId="166" fontId="43" fillId="3" borderId="0" xfId="1" applyNumberFormat="1" applyFont="1" applyFill="1" applyBorder="1"/>
    <xf numFmtId="166" fontId="43" fillId="3" borderId="0" xfId="2" applyNumberFormat="1" applyFont="1" applyFill="1" applyBorder="1"/>
    <xf numFmtId="166" fontId="43" fillId="3" borderId="13" xfId="1" applyNumberFormat="1" applyFont="1" applyFill="1" applyBorder="1"/>
    <xf numFmtId="166" fontId="43" fillId="3" borderId="14" xfId="1" applyNumberFormat="1" applyFont="1" applyFill="1" applyBorder="1"/>
    <xf numFmtId="166" fontId="43" fillId="3" borderId="0" xfId="0" applyNumberFormat="1" applyFont="1" applyFill="1"/>
    <xf numFmtId="166" fontId="43" fillId="3" borderId="0" xfId="0" applyNumberFormat="1" applyFont="1" applyFill="1" applyBorder="1"/>
    <xf numFmtId="0" fontId="43" fillId="3" borderId="0" xfId="0" applyFont="1" applyFill="1" applyBorder="1"/>
    <xf numFmtId="0" fontId="43" fillId="0" borderId="8" xfId="0" applyFont="1" applyFill="1" applyBorder="1"/>
    <xf numFmtId="166" fontId="43" fillId="0" borderId="8" xfId="2" applyNumberFormat="1" applyFont="1" applyFill="1" applyBorder="1"/>
    <xf numFmtId="166" fontId="43" fillId="0" borderId="0" xfId="2" applyNumberFormat="1" applyFont="1" applyFill="1" applyBorder="1"/>
    <xf numFmtId="167" fontId="43" fillId="3" borderId="8" xfId="1" applyNumberFormat="1" applyFont="1" applyFill="1" applyBorder="1"/>
    <xf numFmtId="168" fontId="43" fillId="3" borderId="0" xfId="1" applyNumberFormat="1" applyFont="1" applyFill="1" applyBorder="1"/>
    <xf numFmtId="167" fontId="43" fillId="3" borderId="0" xfId="1" applyNumberFormat="1" applyFont="1" applyFill="1" applyBorder="1"/>
    <xf numFmtId="168" fontId="43" fillId="3" borderId="13" xfId="1" applyNumberFormat="1" applyFont="1" applyFill="1" applyBorder="1"/>
    <xf numFmtId="168" fontId="43" fillId="3" borderId="14" xfId="1" applyNumberFormat="1" applyFont="1" applyFill="1" applyBorder="1"/>
    <xf numFmtId="168" fontId="43" fillId="3" borderId="0" xfId="1" applyNumberFormat="1" applyFont="1" applyFill="1"/>
    <xf numFmtId="166" fontId="43" fillId="0" borderId="13" xfId="2" applyNumberFormat="1" applyFont="1" applyFill="1" applyBorder="1"/>
    <xf numFmtId="166" fontId="43" fillId="0" borderId="14" xfId="2" applyNumberFormat="1" applyFont="1" applyFill="1" applyBorder="1"/>
    <xf numFmtId="166" fontId="43" fillId="3" borderId="13" xfId="2" applyNumberFormat="1" applyFont="1" applyFill="1" applyBorder="1"/>
    <xf numFmtId="166" fontId="43" fillId="3" borderId="14" xfId="2" applyNumberFormat="1" applyFont="1" applyFill="1" applyBorder="1"/>
    <xf numFmtId="166" fontId="43" fillId="3" borderId="0" xfId="2" applyNumberFormat="1" applyFont="1" applyFill="1"/>
    <xf numFmtId="166" fontId="43" fillId="0" borderId="0" xfId="2" applyNumberFormat="1" applyFont="1" applyFill="1"/>
    <xf numFmtId="167" fontId="43" fillId="0" borderId="9" xfId="1" applyNumberFormat="1" applyFont="1" applyFill="1" applyBorder="1"/>
    <xf numFmtId="0" fontId="43" fillId="0" borderId="10" xfId="0" applyFont="1" applyFill="1" applyBorder="1"/>
    <xf numFmtId="0" fontId="43" fillId="0" borderId="12" xfId="0" applyFont="1" applyFill="1" applyBorder="1"/>
    <xf numFmtId="167" fontId="43" fillId="0" borderId="10" xfId="1" applyNumberFormat="1" applyFont="1" applyFill="1" applyBorder="1"/>
    <xf numFmtId="167" fontId="43" fillId="0" borderId="11" xfId="1" applyNumberFormat="1" applyFont="1" applyFill="1" applyBorder="1"/>
    <xf numFmtId="167" fontId="43" fillId="0" borderId="12" xfId="1" applyNumberFormat="1" applyFont="1" applyFill="1" applyBorder="1"/>
    <xf numFmtId="0" fontId="43" fillId="0" borderId="11" xfId="0" applyFont="1" applyFill="1" applyBorder="1"/>
    <xf numFmtId="167" fontId="14" fillId="0" borderId="0" xfId="0" applyNumberFormat="1" applyFont="1"/>
    <xf numFmtId="167" fontId="49" fillId="0" borderId="0" xfId="0" applyNumberFormat="1" applyFont="1"/>
    <xf numFmtId="167" fontId="17" fillId="0" borderId="0" xfId="0" applyNumberFormat="1" applyFont="1"/>
    <xf numFmtId="167" fontId="14" fillId="0" borderId="3" xfId="0" applyNumberFormat="1" applyFont="1" applyBorder="1"/>
    <xf numFmtId="167" fontId="49" fillId="0" borderId="3" xfId="0" applyNumberFormat="1" applyFont="1" applyBorder="1"/>
    <xf numFmtId="0" fontId="17" fillId="0" borderId="0" xfId="0" applyFont="1" applyAlignment="1">
      <alignment horizontal="left"/>
    </xf>
    <xf numFmtId="167" fontId="14" fillId="0" borderId="3" xfId="1" applyNumberFormat="1" applyFont="1" applyBorder="1"/>
    <xf numFmtId="166" fontId="18" fillId="0" borderId="0" xfId="0" applyNumberFormat="1" applyFont="1"/>
    <xf numFmtId="0" fontId="4" fillId="5" borderId="0" xfId="0" applyFont="1" applyFill="1"/>
    <xf numFmtId="167" fontId="49" fillId="0" borderId="3" xfId="1" applyNumberFormat="1" applyFont="1" applyBorder="1"/>
    <xf numFmtId="168" fontId="0" fillId="0" borderId="0" xfId="1" applyNumberFormat="1" applyFont="1" applyAlignment="1">
      <alignment horizontal="center"/>
    </xf>
    <xf numFmtId="167" fontId="27" fillId="0" borderId="0" xfId="1" applyNumberFormat="1" applyFont="1"/>
    <xf numFmtId="168" fontId="27" fillId="0" borderId="0" xfId="1" applyNumberFormat="1" applyFont="1" applyFill="1"/>
    <xf numFmtId="168" fontId="27" fillId="0" borderId="3" xfId="1" applyNumberFormat="1" applyFont="1" applyBorder="1"/>
    <xf numFmtId="168" fontId="27" fillId="0" borderId="0" xfId="1" applyNumberFormat="1" applyFont="1"/>
    <xf numFmtId="0" fontId="27" fillId="2" borderId="0" xfId="0" applyFont="1" applyFill="1"/>
    <xf numFmtId="168" fontId="27" fillId="2" borderId="0" xfId="1" applyNumberFormat="1" applyFont="1" applyFill="1"/>
    <xf numFmtId="167" fontId="27" fillId="0" borderId="3" xfId="1" applyNumberFormat="1" applyFont="1" applyFill="1" applyBorder="1"/>
    <xf numFmtId="167" fontId="27" fillId="0" borderId="0" xfId="1" applyNumberFormat="1" applyFont="1" applyFill="1" applyBorder="1"/>
    <xf numFmtId="167" fontId="27" fillId="0" borderId="2" xfId="1" applyNumberFormat="1" applyFont="1" applyBorder="1"/>
    <xf numFmtId="167" fontId="20" fillId="0" borderId="0" xfId="0" applyNumberFormat="1" applyFont="1"/>
    <xf numFmtId="167" fontId="27" fillId="0" borderId="0" xfId="0" applyNumberFormat="1" applyFont="1"/>
    <xf numFmtId="167" fontId="27" fillId="0" borderId="3" xfId="0" applyNumberFormat="1" applyFont="1" applyBorder="1"/>
    <xf numFmtId="0" fontId="27" fillId="0" borderId="1" xfId="0" applyFont="1" applyBorder="1"/>
    <xf numFmtId="167" fontId="20" fillId="0" borderId="0" xfId="1" applyNumberFormat="1" applyFont="1" applyBorder="1"/>
    <xf numFmtId="167" fontId="27" fillId="0" borderId="3" xfId="1" applyNumberFormat="1" applyFont="1" applyBorder="1"/>
    <xf numFmtId="43" fontId="20" fillId="0" borderId="0" xfId="1" applyNumberFormat="1" applyFont="1" applyBorder="1"/>
    <xf numFmtId="167" fontId="27" fillId="2" borderId="0" xfId="0" applyNumberFormat="1" applyFont="1" applyFill="1" applyBorder="1"/>
    <xf numFmtId="167" fontId="27" fillId="0" borderId="0" xfId="0" applyNumberFormat="1" applyFont="1" applyBorder="1"/>
    <xf numFmtId="167" fontId="30" fillId="5" borderId="0" xfId="1" applyNumberFormat="1" applyFont="1" applyFill="1"/>
    <xf numFmtId="167" fontId="30" fillId="5" borderId="1" xfId="1" applyNumberFormat="1" applyFont="1" applyFill="1" applyBorder="1"/>
    <xf numFmtId="171" fontId="42" fillId="0" borderId="0" xfId="3" applyNumberFormat="1" applyFont="1"/>
    <xf numFmtId="171" fontId="31" fillId="0" borderId="0" xfId="0" applyNumberFormat="1" applyFont="1"/>
    <xf numFmtId="174" fontId="0" fillId="0" borderId="0" xfId="0" applyNumberFormat="1"/>
    <xf numFmtId="166" fontId="18" fillId="0" borderId="0" xfId="2" applyNumberFormat="1" applyFont="1"/>
    <xf numFmtId="10" fontId="31" fillId="0" borderId="0" xfId="0" applyNumberFormat="1" applyFont="1"/>
    <xf numFmtId="10" fontId="32" fillId="0" borderId="0" xfId="3" applyNumberFormat="1" applyFont="1"/>
    <xf numFmtId="167" fontId="6" fillId="5" borderId="0" xfId="1" applyNumberFormat="1" applyFont="1" applyFill="1"/>
    <xf numFmtId="167" fontId="18" fillId="5" borderId="0" xfId="1" applyNumberFormat="1" applyFont="1" applyFill="1"/>
    <xf numFmtId="167" fontId="18" fillId="5" borderId="1" xfId="1" applyNumberFormat="1" applyFont="1" applyFill="1" applyBorder="1"/>
    <xf numFmtId="167" fontId="6" fillId="5" borderId="1" xfId="1" applyNumberFormat="1" applyFont="1" applyFill="1" applyBorder="1"/>
    <xf numFmtId="0" fontId="39" fillId="0" borderId="0" xfId="0" applyFont="1" applyBorder="1" applyAlignment="1">
      <alignment vertical="top"/>
    </xf>
    <xf numFmtId="0" fontId="42" fillId="0" borderId="0" xfId="0" applyFont="1" applyAlignment="1">
      <alignment vertical="top"/>
    </xf>
    <xf numFmtId="171" fontId="39" fillId="0" borderId="0" xfId="3" applyNumberFormat="1" applyFont="1" applyBorder="1" applyAlignment="1">
      <alignment horizontal="right" vertical="top"/>
    </xf>
    <xf numFmtId="0" fontId="39" fillId="0" borderId="0" xfId="0" applyFont="1" applyAlignment="1">
      <alignment vertical="top"/>
    </xf>
    <xf numFmtId="171" fontId="39" fillId="0" borderId="0" xfId="3" applyNumberFormat="1" applyFont="1" applyBorder="1" applyAlignment="1">
      <alignment vertical="top"/>
    </xf>
    <xf numFmtId="171" fontId="6" fillId="0" borderId="0" xfId="3" applyNumberFormat="1" applyFont="1"/>
    <xf numFmtId="0" fontId="20" fillId="0" borderId="0" xfId="0" applyFont="1" applyAlignment="1">
      <alignment horizontal="left"/>
    </xf>
    <xf numFmtId="171" fontId="20" fillId="0" borderId="0" xfId="3" applyNumberFormat="1" applyFont="1"/>
    <xf numFmtId="171" fontId="20" fillId="0" borderId="0" xfId="3" applyNumberFormat="1" applyFont="1" applyAlignment="1">
      <alignment horizontal="center"/>
    </xf>
    <xf numFmtId="171" fontId="0" fillId="0" borderId="0" xfId="3" applyNumberFormat="1" applyFont="1"/>
    <xf numFmtId="171" fontId="0" fillId="0" borderId="1" xfId="3" applyNumberFormat="1" applyFont="1" applyBorder="1"/>
    <xf numFmtId="171" fontId="6" fillId="0" borderId="1" xfId="3" applyNumberFormat="1" applyFont="1" applyBorder="1"/>
    <xf numFmtId="171" fontId="30" fillId="0" borderId="0" xfId="3" applyNumberFormat="1" applyFont="1"/>
    <xf numFmtId="171" fontId="30" fillId="0" borderId="1" xfId="3" applyNumberFormat="1" applyFont="1" applyBorder="1"/>
    <xf numFmtId="171" fontId="6" fillId="0" borderId="0" xfId="0" applyNumberFormat="1" applyFont="1"/>
    <xf numFmtId="171" fontId="6" fillId="0" borderId="1" xfId="0" applyNumberFormat="1" applyFont="1" applyBorder="1"/>
    <xf numFmtId="171" fontId="6" fillId="5" borderId="0" xfId="0" applyNumberFormat="1" applyFont="1" applyFill="1"/>
    <xf numFmtId="0" fontId="39" fillId="3" borderId="0" xfId="0" applyFont="1" applyFill="1" applyBorder="1" applyAlignment="1">
      <alignment vertical="top"/>
    </xf>
    <xf numFmtId="0" fontId="42" fillId="3" borderId="0" xfId="0" applyFont="1" applyFill="1" applyAlignment="1">
      <alignment vertical="top"/>
    </xf>
    <xf numFmtId="171" fontId="39" fillId="3" borderId="0" xfId="3" applyNumberFormat="1" applyFont="1" applyFill="1" applyBorder="1" applyAlignment="1">
      <alignment horizontal="right" vertical="top"/>
    </xf>
    <xf numFmtId="171" fontId="39" fillId="3" borderId="0" xfId="3" applyNumberFormat="1" applyFont="1" applyFill="1" applyBorder="1" applyAlignment="1">
      <alignment vertical="top"/>
    </xf>
    <xf numFmtId="0" fontId="39" fillId="3" borderId="0" xfId="0" applyFont="1" applyFill="1" applyAlignment="1">
      <alignment vertical="top"/>
    </xf>
    <xf numFmtId="173" fontId="4" fillId="0" borderId="0" xfId="0" applyNumberFormat="1" applyFont="1" applyAlignment="1">
      <alignment horizontal="left"/>
    </xf>
    <xf numFmtId="0" fontId="25" fillId="5" borderId="23" xfId="0" applyFont="1" applyFill="1" applyBorder="1" applyAlignment="1">
      <alignment horizontal="center"/>
    </xf>
    <xf numFmtId="167" fontId="46" fillId="0" borderId="0" xfId="1" applyNumberFormat="1" applyFont="1"/>
    <xf numFmtId="43" fontId="6" fillId="0" borderId="0" xfId="1" applyNumberFormat="1" applyFont="1"/>
    <xf numFmtId="167" fontId="36" fillId="0" borderId="0" xfId="0" applyNumberFormat="1" applyFont="1"/>
    <xf numFmtId="171" fontId="6" fillId="5" borderId="1" xfId="0" applyNumberFormat="1" applyFont="1" applyFill="1" applyBorder="1"/>
    <xf numFmtId="0" fontId="53" fillId="0" borderId="0" xfId="0" applyFont="1" applyAlignment="1">
      <alignment horizontal="center"/>
    </xf>
    <xf numFmtId="43" fontId="30" fillId="0" borderId="0" xfId="1" applyNumberFormat="1" applyFont="1"/>
    <xf numFmtId="43" fontId="18" fillId="0" borderId="0" xfId="1" applyNumberFormat="1" applyFont="1"/>
    <xf numFmtId="168" fontId="18" fillId="5" borderId="0" xfId="1" applyNumberFormat="1" applyFont="1" applyFill="1"/>
    <xf numFmtId="167" fontId="6" fillId="5" borderId="0" xfId="1" applyNumberFormat="1" applyFont="1" applyFill="1" applyBorder="1"/>
    <xf numFmtId="167" fontId="6" fillId="0" borderId="4" xfId="1" applyNumberFormat="1" applyFont="1" applyBorder="1"/>
    <xf numFmtId="9" fontId="42" fillId="0" borderId="0" xfId="3" applyFont="1"/>
    <xf numFmtId="169" fontId="20" fillId="0" borderId="0" xfId="0" applyNumberFormat="1" applyFont="1" applyAlignment="1">
      <alignment horizontal="left"/>
    </xf>
    <xf numFmtId="0" fontId="40" fillId="2" borderId="5" xfId="0" applyFont="1" applyFill="1" applyBorder="1" applyAlignment="1">
      <alignment horizontal="center"/>
    </xf>
    <xf numFmtId="0" fontId="40" fillId="2" borderId="6" xfId="0" applyFont="1" applyFill="1" applyBorder="1" applyAlignment="1">
      <alignment horizontal="center"/>
    </xf>
    <xf numFmtId="0" fontId="40" fillId="2" borderId="7" xfId="0" applyFont="1" applyFill="1" applyBorder="1" applyAlignment="1">
      <alignment horizontal="center"/>
    </xf>
    <xf numFmtId="0" fontId="40" fillId="4" borderId="8" xfId="0" applyFont="1" applyFill="1" applyBorder="1" applyAlignment="1">
      <alignment horizontal="center"/>
    </xf>
    <xf numFmtId="0" fontId="40" fillId="4" borderId="0" xfId="0" applyFont="1" applyFill="1" applyBorder="1" applyAlignment="1">
      <alignment horizontal="center"/>
    </xf>
    <xf numFmtId="173" fontId="4" fillId="0" borderId="0" xfId="0" applyNumberFormat="1" applyFont="1" applyAlignment="1">
      <alignment horizontal="left"/>
    </xf>
    <xf numFmtId="0" fontId="40" fillId="4" borderId="9" xfId="0" applyFont="1" applyFill="1" applyBorder="1" applyAlignment="1">
      <alignment horizontal="center"/>
    </xf>
    <xf numFmtId="0" fontId="5" fillId="2" borderId="0" xfId="0" applyFont="1" applyFill="1" applyAlignment="1">
      <alignment horizontal="center"/>
    </xf>
  </cellXfs>
  <cellStyles count="5">
    <cellStyle name="Comma" xfId="1" builtinId="3"/>
    <cellStyle name="Comma 10 2" xfId="4" xr:uid="{FC1C6F40-2DDB-47C2-B9D4-3908A57C8EF7}"/>
    <cellStyle name="Currency" xfId="2" builtinId="4"/>
    <cellStyle name="Normal" xfId="0" builtinId="0"/>
    <cellStyle name="Percent" xfId="3"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1280160</xdr:colOff>
      <xdr:row>0</xdr:row>
      <xdr:rowOff>60960</xdr:rowOff>
    </xdr:from>
    <xdr:to>
      <xdr:col>0</xdr:col>
      <xdr:colOff>3584069</xdr:colOff>
      <xdr:row>10</xdr:row>
      <xdr:rowOff>167640</xdr:rowOff>
    </xdr:to>
    <xdr:pic>
      <xdr:nvPicPr>
        <xdr:cNvPr id="2" name="Picture 1">
          <a:extLst>
            <a:ext uri="{FF2B5EF4-FFF2-40B4-BE49-F238E27FC236}">
              <a16:creationId xmlns:a16="http://schemas.microsoft.com/office/drawing/2014/main" id="{B305145A-619B-4FE0-9644-E9EF21498F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0160" y="60960"/>
          <a:ext cx="2303909" cy="19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1280160</xdr:colOff>
      <xdr:row>0</xdr:row>
      <xdr:rowOff>60960</xdr:rowOff>
    </xdr:from>
    <xdr:to>
      <xdr:col>0</xdr:col>
      <xdr:colOff>3584069</xdr:colOff>
      <xdr:row>10</xdr:row>
      <xdr:rowOff>167640</xdr:rowOff>
    </xdr:to>
    <xdr:pic>
      <xdr:nvPicPr>
        <xdr:cNvPr id="2" name="Picture 1">
          <a:extLst>
            <a:ext uri="{FF2B5EF4-FFF2-40B4-BE49-F238E27FC236}">
              <a16:creationId xmlns:a16="http://schemas.microsoft.com/office/drawing/2014/main" id="{0917AFFF-6B4A-4AA6-9332-A67F569D00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0160" y="60960"/>
          <a:ext cx="2303909" cy="19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scovery_Dashboard_Apr.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Activity"/>
      <sheetName val="Financial Position"/>
      <sheetName val="Cash Flow"/>
      <sheetName val="Support"/>
      <sheetName val="DCS Detail"/>
      <sheetName val="Hillpointe Detail"/>
      <sheetName val="Sandhill Detail"/>
      <sheetName val="Financial Position Detail"/>
      <sheetName val="Cash Flow Detail"/>
      <sheetName val="Waitlist"/>
      <sheetName val="Model Comments"/>
    </sheetNames>
    <sheetDataSet>
      <sheetData sheetId="0"/>
      <sheetData sheetId="1"/>
      <sheetData sheetId="2">
        <row r="15">
          <cell r="H15">
            <v>3331411.5900000003</v>
          </cell>
          <cell r="J15">
            <v>3199847.0783333331</v>
          </cell>
          <cell r="L15">
            <v>3927972.9393441668</v>
          </cell>
          <cell r="N15">
            <v>4872433.6967130862</v>
          </cell>
          <cell r="P15">
            <v>5252961.1857249504</v>
          </cell>
          <cell r="R15">
            <v>5408240.0696131252</v>
          </cell>
        </row>
        <row r="16">
          <cell r="H16">
            <v>532502.76</v>
          </cell>
          <cell r="J16">
            <v>1014086.74</v>
          </cell>
          <cell r="L16">
            <v>780756</v>
          </cell>
          <cell r="N16">
            <v>571821.68000000017</v>
          </cell>
          <cell r="P16">
            <v>573115.60939999972</v>
          </cell>
          <cell r="R16">
            <v>574043.23211749992</v>
          </cell>
        </row>
        <row r="17">
          <cell r="H17">
            <v>88008.25</v>
          </cell>
          <cell r="J17">
            <v>92403.05</v>
          </cell>
          <cell r="L17">
            <v>93632.010565000019</v>
          </cell>
          <cell r="N17">
            <v>96440.970881950023</v>
          </cell>
          <cell r="P17">
            <v>98128.687872384136</v>
          </cell>
          <cell r="R17">
            <v>99355.296470788919</v>
          </cell>
        </row>
        <row r="18">
          <cell r="H18">
            <v>30200.5</v>
          </cell>
          <cell r="J18">
            <v>42793.710000000006</v>
          </cell>
          <cell r="L18">
            <v>71322.849999999991</v>
          </cell>
          <cell r="N18">
            <v>85587.420000000013</v>
          </cell>
          <cell r="P18">
            <v>89866.790999999997</v>
          </cell>
          <cell r="R18">
            <v>94360.130550000016</v>
          </cell>
        </row>
        <row r="19">
          <cell r="H19">
            <v>10148.129999999999</v>
          </cell>
          <cell r="J19">
            <v>28186.92</v>
          </cell>
          <cell r="L19">
            <v>708561.96000000031</v>
          </cell>
          <cell r="N19">
            <v>28186.92</v>
          </cell>
          <cell r="P19">
            <v>28186.92</v>
          </cell>
          <cell r="R19">
            <v>28186.92</v>
          </cell>
        </row>
        <row r="21">
          <cell r="H21">
            <v>3992271.2300000004</v>
          </cell>
          <cell r="J21">
            <v>4377317.4983333331</v>
          </cell>
          <cell r="L21">
            <v>5582245.759909166</v>
          </cell>
          <cell r="N21">
            <v>5654470.6875950359</v>
          </cell>
          <cell r="P21">
            <v>6042259.1939973338</v>
          </cell>
          <cell r="R21">
            <v>6204185.6487514144</v>
          </cell>
        </row>
        <row r="24">
          <cell r="H24">
            <v>1538103.76</v>
          </cell>
          <cell r="J24">
            <v>1876397.94</v>
          </cell>
          <cell r="L24">
            <v>1921755.0266666673</v>
          </cell>
          <cell r="N24">
            <v>2116747.7342248061</v>
          </cell>
          <cell r="P24">
            <v>2216254.5236555506</v>
          </cell>
          <cell r="R24">
            <v>2282742.1593652172</v>
          </cell>
        </row>
        <row r="25">
          <cell r="H25">
            <v>459078.67999999993</v>
          </cell>
          <cell r="J25">
            <v>481727.00458762195</v>
          </cell>
          <cell r="L25">
            <v>413764.41171621031</v>
          </cell>
          <cell r="N25">
            <v>447885.72812864702</v>
          </cell>
          <cell r="P25">
            <v>469652.34773157432</v>
          </cell>
          <cell r="R25">
            <v>483741.40308366157</v>
          </cell>
        </row>
        <row r="26">
          <cell r="H26">
            <v>254662.9599999999</v>
          </cell>
          <cell r="J26">
            <v>124038.99999999997</v>
          </cell>
          <cell r="L26">
            <v>102971.15999999997</v>
          </cell>
          <cell r="N26">
            <v>106060.29480000002</v>
          </cell>
          <cell r="P26">
            <v>109242.10364400003</v>
          </cell>
          <cell r="R26">
            <v>112519.36675332004</v>
          </cell>
        </row>
        <row r="27">
          <cell r="H27">
            <v>88001.159999999989</v>
          </cell>
          <cell r="J27">
            <v>101068.35283333334</v>
          </cell>
          <cell r="L27">
            <v>103630.98551833333</v>
          </cell>
          <cell r="N27">
            <v>117929.83062617769</v>
          </cell>
          <cell r="P27">
            <v>121467.72554496303</v>
          </cell>
          <cell r="R27">
            <v>125111.75731131191</v>
          </cell>
        </row>
        <row r="28">
          <cell r="H28">
            <v>37825.859999999993</v>
          </cell>
          <cell r="J28">
            <v>37321.199399999998</v>
          </cell>
          <cell r="L28">
            <v>38440.835382000005</v>
          </cell>
          <cell r="N28">
            <v>45967.784955228701</v>
          </cell>
          <cell r="P28">
            <v>47346.818503885566</v>
          </cell>
          <cell r="R28">
            <v>48767.223059002128</v>
          </cell>
        </row>
        <row r="29">
          <cell r="H29">
            <v>21671.469999999998</v>
          </cell>
          <cell r="J29">
            <v>34399.360499999995</v>
          </cell>
          <cell r="L29">
            <v>35431.341315000005</v>
          </cell>
          <cell r="N29">
            <v>39513.990036779564</v>
          </cell>
          <cell r="P29">
            <v>40699.409737882954</v>
          </cell>
          <cell r="R29">
            <v>41920.392030019444</v>
          </cell>
        </row>
        <row r="30">
          <cell r="H30">
            <v>88515.840000000011</v>
          </cell>
          <cell r="J30">
            <v>198570.44140000001</v>
          </cell>
          <cell r="L30">
            <v>144064.86544200001</v>
          </cell>
          <cell r="N30">
            <v>165715.85798261306</v>
          </cell>
          <cell r="P30">
            <v>170687.33372209145</v>
          </cell>
          <cell r="R30">
            <v>175807.9537337542</v>
          </cell>
        </row>
        <row r="31">
          <cell r="H31">
            <v>255584.67</v>
          </cell>
          <cell r="J31">
            <v>282876.68399999995</v>
          </cell>
          <cell r="L31">
            <v>291362.98452</v>
          </cell>
          <cell r="N31">
            <v>340235.01032882783</v>
          </cell>
          <cell r="P31">
            <v>350442.0606386927</v>
          </cell>
          <cell r="R31">
            <v>360955.32245785347</v>
          </cell>
        </row>
        <row r="32">
          <cell r="H32">
            <v>58107.31</v>
          </cell>
          <cell r="J32">
            <v>27762.289999999997</v>
          </cell>
          <cell r="L32">
            <v>65147.099799999996</v>
          </cell>
          <cell r="N32">
            <v>42852.697004826085</v>
          </cell>
          <cell r="P32">
            <v>44138.277914970873</v>
          </cell>
          <cell r="R32">
            <v>45462.426252419995</v>
          </cell>
        </row>
        <row r="33">
          <cell r="H33">
            <v>133250.36000000002</v>
          </cell>
          <cell r="J33">
            <v>312375.35399999999</v>
          </cell>
          <cell r="L33">
            <v>206393.22396999999</v>
          </cell>
          <cell r="N33">
            <v>211835.02068909997</v>
          </cell>
          <cell r="P33">
            <v>217440.07130977302</v>
          </cell>
          <cell r="R33">
            <v>223213.27344906621</v>
          </cell>
        </row>
        <row r="34">
          <cell r="H34">
            <v>17115.77</v>
          </cell>
          <cell r="J34">
            <v>37700.4545</v>
          </cell>
          <cell r="L34">
            <v>38831.468134999996</v>
          </cell>
          <cell r="N34">
            <v>46732.921478869568</v>
          </cell>
          <cell r="P34">
            <v>48134.909123235659</v>
          </cell>
          <cell r="R34">
            <v>49578.956396932736</v>
          </cell>
        </row>
        <row r="35">
          <cell r="H35">
            <v>146409.43</v>
          </cell>
          <cell r="J35">
            <v>286222.90999999997</v>
          </cell>
          <cell r="L35">
            <v>359815.28593989002</v>
          </cell>
          <cell r="N35">
            <v>549312.75452507765</v>
          </cell>
          <cell r="P35">
            <v>563590.69704761845</v>
          </cell>
          <cell r="R35">
            <v>566447.83990476094</v>
          </cell>
        </row>
        <row r="36">
          <cell r="H36">
            <v>267350</v>
          </cell>
          <cell r="J36">
            <v>656906.10000000009</v>
          </cell>
          <cell r="L36">
            <v>608254.43999999994</v>
          </cell>
          <cell r="N36">
            <v>1000256.07</v>
          </cell>
          <cell r="P36">
            <v>1309750</v>
          </cell>
          <cell r="R36">
            <v>1300975</v>
          </cell>
        </row>
        <row r="37">
          <cell r="H37">
            <v>61896.020000000004</v>
          </cell>
          <cell r="J37">
            <v>20407.588299999999</v>
          </cell>
          <cell r="L37">
            <v>21019.815949</v>
          </cell>
          <cell r="N37">
            <v>21650.41042747</v>
          </cell>
          <cell r="P37">
            <v>22299.922740294103</v>
          </cell>
          <cell r="R37">
            <v>22968.920422502924</v>
          </cell>
        </row>
        <row r="39">
          <cell r="H39">
            <v>3427573.29</v>
          </cell>
          <cell r="J39">
            <v>4477774.6795209544</v>
          </cell>
          <cell r="L39">
            <v>4350882.944354102</v>
          </cell>
          <cell r="N39">
            <v>5252696.105208423</v>
          </cell>
          <cell r="P39">
            <v>5731146.2013145322</v>
          </cell>
          <cell r="R39">
            <v>5840211.9942198228</v>
          </cell>
        </row>
        <row r="41">
          <cell r="H41">
            <v>564697.94000000041</v>
          </cell>
          <cell r="J41">
            <v>-100457.18118762132</v>
          </cell>
          <cell r="L41">
            <v>1231362.815555064</v>
          </cell>
          <cell r="N41">
            <v>401774.58238661289</v>
          </cell>
          <cell r="P41">
            <v>311112.99268280156</v>
          </cell>
          <cell r="R41">
            <v>363973.65453159157</v>
          </cell>
        </row>
        <row r="49">
          <cell r="H49">
            <v>1013063.3700000003</v>
          </cell>
          <cell r="J49">
            <v>842671.82881237869</v>
          </cell>
          <cell r="L49">
            <v>1519057.5014949539</v>
          </cell>
          <cell r="N49">
            <v>1951343.4069116903</v>
          </cell>
          <cell r="P49">
            <v>2184453.6897304198</v>
          </cell>
          <cell r="R49">
            <v>2231396.4944363525</v>
          </cell>
        </row>
      </sheetData>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FE9F3-A784-4317-A145-010FB8C853A6}">
  <dimension ref="A13:A21"/>
  <sheetViews>
    <sheetView zoomScale="120" zoomScaleNormal="120" workbookViewId="0"/>
  </sheetViews>
  <sheetFormatPr defaultRowHeight="14.4" x14ac:dyDescent="0.3"/>
  <cols>
    <col min="1" max="1" width="71" bestFit="1" customWidth="1"/>
  </cols>
  <sheetData>
    <row r="13" spans="1:1" ht="33" x14ac:dyDescent="0.6">
      <c r="A13" s="14" t="s">
        <v>148</v>
      </c>
    </row>
    <row r="14" spans="1:1" ht="30.6" x14ac:dyDescent="0.55000000000000004">
      <c r="A14" s="15" t="s">
        <v>147</v>
      </c>
    </row>
    <row r="15" spans="1:1" ht="28.2" x14ac:dyDescent="0.5">
      <c r="A15" s="437" t="str">
        <f>CONCATENATE("(",'Hillpointe Detail'!$B$291," Scenario)")</f>
        <v>(Bond Scenario)</v>
      </c>
    </row>
    <row r="16" spans="1:1" ht="23.4" x14ac:dyDescent="0.45">
      <c r="A16" s="16" t="s">
        <v>120</v>
      </c>
    </row>
    <row r="17" spans="1:1" ht="23.4" x14ac:dyDescent="0.45">
      <c r="A17" s="49">
        <f>Support!A17</f>
        <v>44712</v>
      </c>
    </row>
    <row r="18" spans="1:1" ht="23.4" x14ac:dyDescent="0.45">
      <c r="A18" s="16" t="s">
        <v>161</v>
      </c>
    </row>
    <row r="19" spans="1:1" ht="23.4" x14ac:dyDescent="0.45">
      <c r="A19" s="50">
        <f>Support!A19</f>
        <v>2022</v>
      </c>
    </row>
    <row r="21" spans="1:1" ht="23.4" x14ac:dyDescent="0.45">
      <c r="A21" s="17"/>
    </row>
  </sheetData>
  <printOptions horizontalCentered="1" verticalCentered="1"/>
  <pageMargins left="0.7" right="0.7" top="0.75" bottom="0.75" header="0.3" footer="0.3"/>
  <pageSetup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C192E-050C-48DC-BA40-13E1F512722E}">
  <sheetPr>
    <pageSetUpPr fitToPage="1"/>
  </sheetPr>
  <dimension ref="A1:BY91"/>
  <sheetViews>
    <sheetView zoomScaleNormal="100" workbookViewId="0">
      <pane xSplit="2" ySplit="5" topLeftCell="C6" activePane="bottomRight" state="frozen"/>
      <selection activeCell="C5" sqref="C5"/>
      <selection pane="topRight" activeCell="C5" sqref="C5"/>
      <selection pane="bottomLeft" activeCell="C5" sqref="C5"/>
      <selection pane="bottomRight" activeCell="C6" sqref="C6"/>
    </sheetView>
  </sheetViews>
  <sheetFormatPr defaultRowHeight="14.4" x14ac:dyDescent="0.3"/>
  <cols>
    <col min="1" max="1" width="1.77734375" customWidth="1"/>
    <col min="2" max="2" width="36.33203125" customWidth="1"/>
    <col min="3" max="3" width="1.77734375" customWidth="1"/>
    <col min="4" max="77" width="11.21875" customWidth="1"/>
  </cols>
  <sheetData>
    <row r="1" spans="1:77" ht="15.6" x14ac:dyDescent="0.3">
      <c r="A1" s="12" t="str">
        <f>Support!A13</f>
        <v>Discovery Charter School ("DCS")</v>
      </c>
      <c r="B1" s="12"/>
      <c r="C1" s="12"/>
      <c r="D1" s="5"/>
      <c r="E1" s="5"/>
      <c r="F1" s="5"/>
      <c r="G1" s="5"/>
      <c r="H1" s="5"/>
      <c r="I1" s="5"/>
      <c r="J1" s="5"/>
      <c r="K1" s="5"/>
      <c r="L1" s="5"/>
      <c r="M1" s="5"/>
      <c r="N1" s="47"/>
      <c r="O1" s="47"/>
      <c r="P1" s="47"/>
      <c r="Q1" s="47"/>
    </row>
    <row r="2" spans="1:77" x14ac:dyDescent="0.3">
      <c r="A2" s="444">
        <f>Support!A19</f>
        <v>2022</v>
      </c>
      <c r="B2" s="444"/>
      <c r="C2" s="51"/>
      <c r="D2" s="44"/>
      <c r="K2" s="44"/>
    </row>
    <row r="3" spans="1:77" x14ac:dyDescent="0.3">
      <c r="A3" s="2" t="str">
        <f>Cover!A15</f>
        <v>(Bond Scenario)</v>
      </c>
      <c r="B3" s="44"/>
      <c r="C3" s="44"/>
      <c r="D3" s="44"/>
      <c r="E3" s="45"/>
      <c r="F3" s="45"/>
      <c r="G3" s="45"/>
      <c r="H3" s="45"/>
      <c r="I3" s="45"/>
      <c r="J3" s="45"/>
      <c r="K3" s="44"/>
    </row>
    <row r="4" spans="1:77" x14ac:dyDescent="0.3">
      <c r="D4" s="46" t="s">
        <v>220</v>
      </c>
      <c r="E4" s="46" t="s">
        <v>220</v>
      </c>
      <c r="F4" s="46" t="str">
        <f>IF(F5&lt;=Support!$A$17,"Actual","Forecast")</f>
        <v>Actual</v>
      </c>
      <c r="G4" s="46" t="str">
        <f>IF(G5&lt;=Support!$A$17,"Actual","Forecast")</f>
        <v>Actual</v>
      </c>
      <c r="H4" s="46" t="str">
        <f>IF(H5&lt;=Support!$A$17,"Actual","Forecast")</f>
        <v>Actual</v>
      </c>
      <c r="I4" s="46" t="str">
        <f>IF(I5&lt;=Support!$A$17,"Actual","Forecast")</f>
        <v>Actual</v>
      </c>
      <c r="J4" s="46" t="str">
        <f>IF(J5&lt;=Support!$A$17,"Actual","Forecast")</f>
        <v>Actual</v>
      </c>
      <c r="K4" s="46" t="str">
        <f>IF(K5&lt;=Support!$A$17,"Actual","Forecast")</f>
        <v>Actual</v>
      </c>
      <c r="L4" s="46" t="str">
        <f>IF(L5&lt;=Support!$A$17,"Actual","Forecast")</f>
        <v>Actual</v>
      </c>
      <c r="M4" s="46" t="str">
        <f>IF(M5&lt;=Support!$A$17,"Actual","Forecast")</f>
        <v>Actual</v>
      </c>
      <c r="N4" s="46" t="str">
        <f>IF(N5&lt;=Support!$A$17,"Actual","Forecast")</f>
        <v>Actual</v>
      </c>
      <c r="O4" s="46" t="str">
        <f>IF(O5&lt;=Support!$A$17,"Actual","Forecast")</f>
        <v>Actual</v>
      </c>
      <c r="P4" s="46" t="str">
        <f>IF(P5&lt;=Support!$A$17,"Actual","Forecast")</f>
        <v>Actual</v>
      </c>
      <c r="Q4" s="46" t="str">
        <f>IF(Q5&lt;=Support!$A$17,"Actual","Forecast")</f>
        <v>Actual</v>
      </c>
      <c r="R4" s="46" t="str">
        <f>IF(R5&lt;=Support!$A$17,"Actual","Forecast")</f>
        <v>Actual</v>
      </c>
      <c r="S4" s="46" t="str">
        <f>IF(S5&lt;=Support!$A$17,"Actual","Forecast")</f>
        <v>Actual</v>
      </c>
      <c r="T4" s="46" t="str">
        <f>IF(T5&lt;=Support!$A$17,"Actual","Forecast")</f>
        <v>Actual</v>
      </c>
      <c r="U4" s="46" t="str">
        <f>IF(U5&lt;=Support!$A$17,"Actual","Forecast")</f>
        <v>Actual</v>
      </c>
      <c r="V4" s="46" t="str">
        <f>IF(V5&lt;=Support!$A$17,"Actual","Forecast")</f>
        <v>Actual</v>
      </c>
      <c r="W4" s="46" t="str">
        <f>IF(W5&lt;=Support!$A$17,"Actual","Forecast")</f>
        <v>Actual</v>
      </c>
      <c r="X4" s="46" t="str">
        <f>IF(X5&lt;=Support!$A$17,"Actual","Forecast")</f>
        <v>Actual</v>
      </c>
      <c r="Y4" s="46" t="str">
        <f>IF(Y5&lt;=Support!$A$17,"Actual","Forecast")</f>
        <v>Actual</v>
      </c>
      <c r="Z4" s="46" t="str">
        <f>IF(Z5&lt;=Support!$A$17,"Actual","Forecast")</f>
        <v>Actual</v>
      </c>
      <c r="AA4" s="46" t="str">
        <f>IF(AA5&lt;=Support!$A$17,"Actual","Forecast")</f>
        <v>Actual</v>
      </c>
      <c r="AB4" s="46" t="str">
        <f>IF(AB5&lt;=Support!$A$17,"Actual","Forecast")</f>
        <v>Actual</v>
      </c>
      <c r="AC4" s="46" t="str">
        <f>IF(AC5&lt;=Support!$A$17,"Actual","Forecast")</f>
        <v>Forecast</v>
      </c>
      <c r="AD4" s="46" t="str">
        <f>IF(AD5&lt;=Support!$A$17,"Actual","Forecast")</f>
        <v>Forecast</v>
      </c>
      <c r="AE4" s="46" t="str">
        <f>IF(AE5&lt;=Support!$A$17,"Actual","Forecast")</f>
        <v>Forecast</v>
      </c>
      <c r="AF4" s="46" t="str">
        <f>IF(AF5&lt;=Support!$A$17,"Actual","Forecast")</f>
        <v>Forecast</v>
      </c>
      <c r="AG4" s="46" t="str">
        <f>IF(AG5&lt;=Support!$A$17,"Actual","Forecast")</f>
        <v>Forecast</v>
      </c>
      <c r="AH4" s="46" t="str">
        <f>IF(AH5&lt;=Support!$A$17,"Actual","Forecast")</f>
        <v>Forecast</v>
      </c>
      <c r="AI4" s="46" t="str">
        <f>IF(AI5&lt;=Support!$A$17,"Actual","Forecast")</f>
        <v>Forecast</v>
      </c>
      <c r="AJ4" s="46" t="str">
        <f>IF(AJ5&lt;=Support!$A$17,"Actual","Forecast")</f>
        <v>Forecast</v>
      </c>
      <c r="AK4" s="46" t="str">
        <f>IF(AK5&lt;=Support!$A$17,"Actual","Forecast")</f>
        <v>Forecast</v>
      </c>
      <c r="AL4" s="46" t="str">
        <f>IF(AL5&lt;=Support!$A$17,"Actual","Forecast")</f>
        <v>Forecast</v>
      </c>
      <c r="AM4" s="46" t="str">
        <f>IF(AM5&lt;=Support!$A$17,"Actual","Forecast")</f>
        <v>Forecast</v>
      </c>
      <c r="AN4" s="46" t="str">
        <f>IF(AN5&lt;=Support!$A$17,"Actual","Forecast")</f>
        <v>Forecast</v>
      </c>
      <c r="AO4" s="46" t="str">
        <f>IF(AO5&lt;=Support!$A$17,"Actual","Forecast")</f>
        <v>Forecast</v>
      </c>
      <c r="AP4" s="46" t="str">
        <f>IF(AP5&lt;=Support!$A$17,"Actual","Forecast")</f>
        <v>Forecast</v>
      </c>
      <c r="AQ4" s="46" t="str">
        <f>IF(AQ5&lt;=Support!$A$17,"Actual","Forecast")</f>
        <v>Forecast</v>
      </c>
      <c r="AR4" s="46" t="str">
        <f>IF(AR5&lt;=Support!$A$17,"Actual","Forecast")</f>
        <v>Forecast</v>
      </c>
      <c r="AS4" s="46" t="str">
        <f>IF(AS5&lt;=Support!$A$17,"Actual","Forecast")</f>
        <v>Forecast</v>
      </c>
      <c r="AT4" s="46" t="str">
        <f>IF(AT5&lt;=Support!$A$17,"Actual","Forecast")</f>
        <v>Forecast</v>
      </c>
      <c r="AU4" s="46" t="str">
        <f>IF(AU5&lt;=Support!$A$17,"Actual","Forecast")</f>
        <v>Forecast</v>
      </c>
      <c r="AV4" s="46" t="str">
        <f>IF(AV5&lt;=Support!$A$17,"Actual","Forecast")</f>
        <v>Forecast</v>
      </c>
      <c r="AW4" s="46" t="str">
        <f>IF(AW5&lt;=Support!$A$17,"Actual","Forecast")</f>
        <v>Forecast</v>
      </c>
      <c r="AX4" s="46" t="str">
        <f>IF(AX5&lt;=Support!$A$17,"Actual","Forecast")</f>
        <v>Forecast</v>
      </c>
      <c r="AY4" s="46" t="str">
        <f>IF(AY5&lt;=Support!$A$17,"Actual","Forecast")</f>
        <v>Forecast</v>
      </c>
      <c r="AZ4" s="46" t="str">
        <f>IF(AZ5&lt;=Support!$A$17,"Actual","Forecast")</f>
        <v>Forecast</v>
      </c>
      <c r="BA4" s="46" t="str">
        <f>IF(BA5&lt;=Support!$A$17,"Actual","Forecast")</f>
        <v>Forecast</v>
      </c>
      <c r="BB4" s="46" t="str">
        <f>IF(BB5&lt;=Support!$A$17,"Actual","Forecast")</f>
        <v>Forecast</v>
      </c>
      <c r="BC4" s="46" t="str">
        <f>IF(BC5&lt;=Support!$A$17,"Actual","Forecast")</f>
        <v>Forecast</v>
      </c>
      <c r="BD4" s="46" t="str">
        <f>IF(BD5&lt;=Support!$A$17,"Actual","Forecast")</f>
        <v>Forecast</v>
      </c>
      <c r="BE4" s="46" t="str">
        <f>IF(BE5&lt;=Support!$A$17,"Actual","Forecast")</f>
        <v>Forecast</v>
      </c>
      <c r="BF4" s="46" t="str">
        <f>IF(BF5&lt;=Support!$A$17,"Actual","Forecast")</f>
        <v>Forecast</v>
      </c>
      <c r="BG4" s="46" t="str">
        <f>IF(BG5&lt;=Support!$A$17,"Actual","Forecast")</f>
        <v>Forecast</v>
      </c>
      <c r="BH4" s="46" t="str">
        <f>IF(BH5&lt;=Support!$A$17,"Actual","Forecast")</f>
        <v>Forecast</v>
      </c>
      <c r="BI4" s="46" t="str">
        <f>IF(BI5&lt;=Support!$A$17,"Actual","Forecast")</f>
        <v>Forecast</v>
      </c>
      <c r="BJ4" s="46" t="str">
        <f>IF(BJ5&lt;=Support!$A$17,"Actual","Forecast")</f>
        <v>Forecast</v>
      </c>
      <c r="BK4" s="46" t="str">
        <f>IF(BK5&lt;=Support!$A$17,"Actual","Forecast")</f>
        <v>Forecast</v>
      </c>
      <c r="BL4" s="46" t="str">
        <f>IF(BL5&lt;=Support!$A$17,"Actual","Forecast")</f>
        <v>Forecast</v>
      </c>
      <c r="BM4" s="46" t="str">
        <f>IF(BM5&lt;=Support!$A$17,"Actual","Forecast")</f>
        <v>Forecast</v>
      </c>
      <c r="BN4" s="46" t="str">
        <f>IF(BN5&lt;=Support!$A$17,"Actual","Forecast")</f>
        <v>Forecast</v>
      </c>
      <c r="BO4" s="46" t="str">
        <f>IF(BO5&lt;=Support!$A$17,"Actual","Forecast")</f>
        <v>Forecast</v>
      </c>
      <c r="BP4" s="46" t="str">
        <f>IF(BP5&lt;=Support!$A$17,"Actual","Forecast")</f>
        <v>Forecast</v>
      </c>
      <c r="BQ4" s="46" t="str">
        <f>IF(BQ5&lt;=Support!$A$17,"Actual","Forecast")</f>
        <v>Forecast</v>
      </c>
      <c r="BR4" s="46" t="str">
        <f>IF(BR5&lt;=Support!$A$17,"Actual","Forecast")</f>
        <v>Forecast</v>
      </c>
      <c r="BS4" s="46" t="str">
        <f>IF(BS5&lt;=Support!$A$17,"Actual","Forecast")</f>
        <v>Forecast</v>
      </c>
      <c r="BT4" s="46" t="str">
        <f>IF(BT5&lt;=Support!$A$17,"Actual","Forecast")</f>
        <v>Forecast</v>
      </c>
      <c r="BU4" s="46" t="str">
        <f>IF(BU5&lt;=Support!$A$17,"Actual","Forecast")</f>
        <v>Forecast</v>
      </c>
      <c r="BV4" s="46" t="str">
        <f>IF(BV5&lt;=Support!$A$17,"Actual","Forecast")</f>
        <v>Forecast</v>
      </c>
      <c r="BW4" s="46" t="str">
        <f>IF(BW5&lt;=Support!$A$17,"Actual","Forecast")</f>
        <v>Forecast</v>
      </c>
      <c r="BX4" s="46" t="str">
        <f>IF(BX5&lt;=Support!$A$17,"Actual","Forecast")</f>
        <v>Forecast</v>
      </c>
      <c r="BY4" s="46" t="str">
        <f>IF(BY5&lt;=Support!$A$17,"Actual","Forecast")</f>
        <v>Forecast</v>
      </c>
    </row>
    <row r="5" spans="1:77" x14ac:dyDescent="0.3">
      <c r="B5" s="3" t="s">
        <v>212</v>
      </c>
      <c r="C5" s="3"/>
      <c r="D5" s="3">
        <v>43646</v>
      </c>
      <c r="E5" s="3">
        <v>44012</v>
      </c>
      <c r="F5" s="3">
        <f t="shared" ref="F5:L5" si="0">EOMONTH(E5,1)</f>
        <v>44043</v>
      </c>
      <c r="G5" s="3">
        <f t="shared" si="0"/>
        <v>44074</v>
      </c>
      <c r="H5" s="3">
        <f t="shared" si="0"/>
        <v>44104</v>
      </c>
      <c r="I5" s="3">
        <f t="shared" si="0"/>
        <v>44135</v>
      </c>
      <c r="J5" s="3">
        <f t="shared" si="0"/>
        <v>44165</v>
      </c>
      <c r="K5" s="3">
        <f t="shared" si="0"/>
        <v>44196</v>
      </c>
      <c r="L5" s="3">
        <f t="shared" si="0"/>
        <v>44227</v>
      </c>
      <c r="M5" s="3">
        <f t="shared" ref="M5:Q5" si="1">EOMONTH(L5,1)</f>
        <v>44255</v>
      </c>
      <c r="N5" s="3">
        <f t="shared" si="1"/>
        <v>44286</v>
      </c>
      <c r="O5" s="3">
        <f t="shared" si="1"/>
        <v>44316</v>
      </c>
      <c r="P5" s="3">
        <f t="shared" si="1"/>
        <v>44347</v>
      </c>
      <c r="Q5" s="3">
        <f t="shared" si="1"/>
        <v>44377</v>
      </c>
      <c r="R5" s="3">
        <f t="shared" ref="R5:AO5" si="2">EOMONTH(Q5,1)</f>
        <v>44408</v>
      </c>
      <c r="S5" s="3">
        <f t="shared" si="2"/>
        <v>44439</v>
      </c>
      <c r="T5" s="3">
        <f t="shared" si="2"/>
        <v>44469</v>
      </c>
      <c r="U5" s="3">
        <f t="shared" si="2"/>
        <v>44500</v>
      </c>
      <c r="V5" s="3">
        <f t="shared" si="2"/>
        <v>44530</v>
      </c>
      <c r="W5" s="3">
        <f t="shared" si="2"/>
        <v>44561</v>
      </c>
      <c r="X5" s="3">
        <f t="shared" si="2"/>
        <v>44592</v>
      </c>
      <c r="Y5" s="3">
        <f t="shared" si="2"/>
        <v>44620</v>
      </c>
      <c r="Z5" s="3">
        <f t="shared" si="2"/>
        <v>44651</v>
      </c>
      <c r="AA5" s="3">
        <f t="shared" si="2"/>
        <v>44681</v>
      </c>
      <c r="AB5" s="3">
        <f t="shared" si="2"/>
        <v>44712</v>
      </c>
      <c r="AC5" s="3">
        <f t="shared" si="2"/>
        <v>44742</v>
      </c>
      <c r="AD5" s="3">
        <f t="shared" si="2"/>
        <v>44773</v>
      </c>
      <c r="AE5" s="3">
        <f t="shared" si="2"/>
        <v>44804</v>
      </c>
      <c r="AF5" s="3">
        <f t="shared" si="2"/>
        <v>44834</v>
      </c>
      <c r="AG5" s="3">
        <f t="shared" si="2"/>
        <v>44865</v>
      </c>
      <c r="AH5" s="3">
        <f t="shared" si="2"/>
        <v>44895</v>
      </c>
      <c r="AI5" s="3">
        <f t="shared" si="2"/>
        <v>44926</v>
      </c>
      <c r="AJ5" s="3">
        <f t="shared" si="2"/>
        <v>44957</v>
      </c>
      <c r="AK5" s="3">
        <f t="shared" si="2"/>
        <v>44985</v>
      </c>
      <c r="AL5" s="3">
        <f t="shared" si="2"/>
        <v>45016</v>
      </c>
      <c r="AM5" s="3">
        <f t="shared" si="2"/>
        <v>45046</v>
      </c>
      <c r="AN5" s="3">
        <f t="shared" si="2"/>
        <v>45077</v>
      </c>
      <c r="AO5" s="3">
        <f t="shared" si="2"/>
        <v>45107</v>
      </c>
      <c r="AP5" s="3">
        <f t="shared" ref="AP5" si="3">EOMONTH(AO5,1)</f>
        <v>45138</v>
      </c>
      <c r="AQ5" s="3">
        <f t="shared" ref="AQ5" si="4">EOMONTH(AP5,1)</f>
        <v>45169</v>
      </c>
      <c r="AR5" s="3">
        <f t="shared" ref="AR5" si="5">EOMONTH(AQ5,1)</f>
        <v>45199</v>
      </c>
      <c r="AS5" s="3">
        <f t="shared" ref="AS5" si="6">EOMONTH(AR5,1)</f>
        <v>45230</v>
      </c>
      <c r="AT5" s="3">
        <f t="shared" ref="AT5" si="7">EOMONTH(AS5,1)</f>
        <v>45260</v>
      </c>
      <c r="AU5" s="3">
        <f t="shared" ref="AU5" si="8">EOMONTH(AT5,1)</f>
        <v>45291</v>
      </c>
      <c r="AV5" s="3">
        <f t="shared" ref="AV5" si="9">EOMONTH(AU5,1)</f>
        <v>45322</v>
      </c>
      <c r="AW5" s="3">
        <f t="shared" ref="AW5" si="10">EOMONTH(AV5,1)</f>
        <v>45351</v>
      </c>
      <c r="AX5" s="3">
        <f t="shared" ref="AX5" si="11">EOMONTH(AW5,1)</f>
        <v>45382</v>
      </c>
      <c r="AY5" s="3">
        <f t="shared" ref="AY5" si="12">EOMONTH(AX5,1)</f>
        <v>45412</v>
      </c>
      <c r="AZ5" s="3">
        <f t="shared" ref="AZ5" si="13">EOMONTH(AY5,1)</f>
        <v>45443</v>
      </c>
      <c r="BA5" s="3">
        <f t="shared" ref="BA5" si="14">EOMONTH(AZ5,1)</f>
        <v>45473</v>
      </c>
      <c r="BB5" s="3">
        <f t="shared" ref="BB5" si="15">EOMONTH(BA5,1)</f>
        <v>45504</v>
      </c>
      <c r="BC5" s="3">
        <f t="shared" ref="BC5" si="16">EOMONTH(BB5,1)</f>
        <v>45535</v>
      </c>
      <c r="BD5" s="3">
        <f t="shared" ref="BD5" si="17">EOMONTH(BC5,1)</f>
        <v>45565</v>
      </c>
      <c r="BE5" s="3">
        <f t="shared" ref="BE5" si="18">EOMONTH(BD5,1)</f>
        <v>45596</v>
      </c>
      <c r="BF5" s="3">
        <f t="shared" ref="BF5" si="19">EOMONTH(BE5,1)</f>
        <v>45626</v>
      </c>
      <c r="BG5" s="3">
        <f t="shared" ref="BG5" si="20">EOMONTH(BF5,1)</f>
        <v>45657</v>
      </c>
      <c r="BH5" s="3">
        <f t="shared" ref="BH5" si="21">EOMONTH(BG5,1)</f>
        <v>45688</v>
      </c>
      <c r="BI5" s="3">
        <f t="shared" ref="BI5" si="22">EOMONTH(BH5,1)</f>
        <v>45716</v>
      </c>
      <c r="BJ5" s="3">
        <f t="shared" ref="BJ5" si="23">EOMONTH(BI5,1)</f>
        <v>45747</v>
      </c>
      <c r="BK5" s="3">
        <f t="shared" ref="BK5" si="24">EOMONTH(BJ5,1)</f>
        <v>45777</v>
      </c>
      <c r="BL5" s="3">
        <f t="shared" ref="BL5" si="25">EOMONTH(BK5,1)</f>
        <v>45808</v>
      </c>
      <c r="BM5" s="3">
        <f t="shared" ref="BM5" si="26">EOMONTH(BL5,1)</f>
        <v>45838</v>
      </c>
      <c r="BN5" s="3">
        <f t="shared" ref="BN5" si="27">EOMONTH(BM5,1)</f>
        <v>45869</v>
      </c>
      <c r="BO5" s="3">
        <f t="shared" ref="BO5" si="28">EOMONTH(BN5,1)</f>
        <v>45900</v>
      </c>
      <c r="BP5" s="3">
        <f t="shared" ref="BP5" si="29">EOMONTH(BO5,1)</f>
        <v>45930</v>
      </c>
      <c r="BQ5" s="3">
        <f t="shared" ref="BQ5" si="30">EOMONTH(BP5,1)</f>
        <v>45961</v>
      </c>
      <c r="BR5" s="3">
        <f t="shared" ref="BR5" si="31">EOMONTH(BQ5,1)</f>
        <v>45991</v>
      </c>
      <c r="BS5" s="3">
        <f t="shared" ref="BS5" si="32">EOMONTH(BR5,1)</f>
        <v>46022</v>
      </c>
      <c r="BT5" s="3">
        <f t="shared" ref="BT5" si="33">EOMONTH(BS5,1)</f>
        <v>46053</v>
      </c>
      <c r="BU5" s="3">
        <f t="shared" ref="BU5" si="34">EOMONTH(BT5,1)</f>
        <v>46081</v>
      </c>
      <c r="BV5" s="3">
        <f t="shared" ref="BV5" si="35">EOMONTH(BU5,1)</f>
        <v>46112</v>
      </c>
      <c r="BW5" s="3">
        <f t="shared" ref="BW5" si="36">EOMONTH(BV5,1)</f>
        <v>46142</v>
      </c>
      <c r="BX5" s="3">
        <f t="shared" ref="BX5" si="37">EOMONTH(BW5,1)</f>
        <v>46173</v>
      </c>
      <c r="BY5" s="3">
        <f t="shared" ref="BY5" si="38">EOMONTH(BX5,1)</f>
        <v>46203</v>
      </c>
    </row>
    <row r="7" spans="1:77" x14ac:dyDescent="0.3">
      <c r="A7" s="1" t="s">
        <v>162</v>
      </c>
    </row>
    <row r="8" spans="1:77" x14ac:dyDescent="0.3">
      <c r="B8" s="25" t="s">
        <v>163</v>
      </c>
      <c r="C8" s="25"/>
    </row>
    <row r="9" spans="1:77" x14ac:dyDescent="0.3">
      <c r="B9" s="25" t="s">
        <v>164</v>
      </c>
      <c r="C9" s="25"/>
    </row>
    <row r="10" spans="1:77" x14ac:dyDescent="0.3">
      <c r="B10" s="25" t="s">
        <v>165</v>
      </c>
      <c r="C10" s="25"/>
      <c r="D10" s="18">
        <v>1646.82</v>
      </c>
      <c r="E10" s="18">
        <v>8653.18</v>
      </c>
      <c r="F10" s="18">
        <v>236245.33</v>
      </c>
      <c r="G10" s="18">
        <v>509250.17</v>
      </c>
      <c r="H10" s="18">
        <v>-17992.07</v>
      </c>
      <c r="I10" s="18">
        <v>298732.11</v>
      </c>
      <c r="J10" s="18">
        <v>-31232.639999999999</v>
      </c>
      <c r="K10" s="18">
        <v>261529.67</v>
      </c>
      <c r="L10" s="18">
        <v>2818.48</v>
      </c>
      <c r="M10" s="18">
        <v>72938.94</v>
      </c>
      <c r="N10" s="18">
        <v>-622.84</v>
      </c>
      <c r="O10" s="18">
        <v>290146.34000000003</v>
      </c>
      <c r="P10" s="18">
        <v>5347.27</v>
      </c>
      <c r="Q10" s="18">
        <v>97275.92</v>
      </c>
      <c r="R10" s="18">
        <v>366885.53</v>
      </c>
      <c r="S10" s="18">
        <v>29953.7</v>
      </c>
      <c r="T10" s="18">
        <v>323394.11</v>
      </c>
      <c r="U10" s="18">
        <v>258456.29</v>
      </c>
      <c r="V10" s="18">
        <v>30539.67</v>
      </c>
      <c r="W10" s="18">
        <v>227625.60000000001</v>
      </c>
      <c r="X10" s="18">
        <v>5179.92</v>
      </c>
      <c r="Y10" s="18">
        <v>3019.14</v>
      </c>
      <c r="Z10" s="18">
        <v>15482.54</v>
      </c>
      <c r="AA10" s="18">
        <v>-6215.37</v>
      </c>
      <c r="AB10" s="18">
        <v>20976.44</v>
      </c>
      <c r="AC10" s="102">
        <f>'Cash Flow Detail'!AA31</f>
        <v>623657.07026127516</v>
      </c>
      <c r="AD10" s="102">
        <f>'Cash Flow Detail'!AB31-AD11</f>
        <v>325230.7899611739</v>
      </c>
      <c r="AE10" s="102">
        <f>'Cash Flow Detail'!AC31-AE11</f>
        <v>433282.80220995471</v>
      </c>
      <c r="AF10" s="102">
        <f>'Cash Flow Detail'!AD31-AF11</f>
        <v>871246.28776617674</v>
      </c>
      <c r="AG10" s="102">
        <f>'Cash Flow Detail'!AE31-AG11</f>
        <v>836826.64851851249</v>
      </c>
      <c r="AH10" s="102">
        <f>'Cash Flow Detail'!AF31-AH11</f>
        <v>830296.77165317349</v>
      </c>
      <c r="AI10" s="102">
        <f>'Cash Flow Detail'!AG31-AI11</f>
        <v>836759.50121636363</v>
      </c>
      <c r="AJ10" s="102">
        <f>'Cash Flow Detail'!AH31-AJ11</f>
        <v>855830.19725522958</v>
      </c>
      <c r="AK10" s="102">
        <f>'Cash Flow Detail'!AI31-AK11</f>
        <v>974358.58723509125</v>
      </c>
      <c r="AL10" s="102">
        <f>'Cash Flow Detail'!AJ31-AL11</f>
        <v>1044514.9451681897</v>
      </c>
      <c r="AM10" s="102">
        <f>'Cash Flow Detail'!AK31-AM11</f>
        <v>1130955.8258895939</v>
      </c>
      <c r="AN10" s="102">
        <f>'Cash Flow Detail'!AL31-AN11</f>
        <v>1231618.4794446304</v>
      </c>
      <c r="AO10" s="102">
        <f>'Cash Flow Detail'!AM31-AO11</f>
        <v>1329342.3588559516</v>
      </c>
      <c r="AP10" s="102">
        <f>'Cash Flow Detail'!AN31-AP11</f>
        <v>1192590.6514537754</v>
      </c>
      <c r="AQ10" s="102">
        <f>'Cash Flow Detail'!AO31-AQ11</f>
        <v>1325865.8754065204</v>
      </c>
      <c r="AR10" s="102">
        <f>'Cash Flow Detail'!AP31-AR11</f>
        <v>1795497.6807660502</v>
      </c>
      <c r="AS10" s="102">
        <f>'Cash Flow Detail'!AQ31-AS11</f>
        <v>1780574.4587093974</v>
      </c>
      <c r="AT10" s="102">
        <f>'Cash Flow Detail'!AR31-AT11</f>
        <v>1800949.1331391116</v>
      </c>
      <c r="AU10" s="102">
        <f>'Cash Flow Detail'!AS31-AU11</f>
        <v>1822793.8372573876</v>
      </c>
      <c r="AV10" s="102">
        <f>'Cash Flow Detail'!AT31-AV11</f>
        <v>1856139.7214700421</v>
      </c>
      <c r="AW10" s="102">
        <f>'Cash Flow Detail'!AU31-AW11</f>
        <v>1925648.2357038655</v>
      </c>
      <c r="AX10" s="102">
        <f>'Cash Flow Detail'!AV31-AX11</f>
        <v>1981671.9982871893</v>
      </c>
      <c r="AY10" s="102">
        <f>'Cash Flow Detail'!AW31-AY11</f>
        <v>2021449.0943090161</v>
      </c>
      <c r="AZ10" s="102">
        <f>'Cash Flow Detail'!AX31-AZ11</f>
        <v>2075753.1902801911</v>
      </c>
      <c r="BA10" s="102">
        <f>'Cash Flow Detail'!AY31-BA11</f>
        <v>2195421.3243447007</v>
      </c>
      <c r="BB10" s="102">
        <f>'Cash Flow Detail'!AZ31-BB11</f>
        <v>2064893.9069046662</v>
      </c>
      <c r="BC10" s="102">
        <f>'Cash Flow Detail'!BA31-BC11</f>
        <v>2178557.3255699179</v>
      </c>
      <c r="BD10" s="102">
        <f>'Cash Flow Detail'!BB31-BD11</f>
        <v>2622677.8260348658</v>
      </c>
      <c r="BE10" s="102">
        <f>'Cash Flow Detail'!BC31-BE11</f>
        <v>2583621.198440541</v>
      </c>
      <c r="BF10" s="102">
        <f>'Cash Flow Detail'!BD31-BF11</f>
        <v>2581125.3003611173</v>
      </c>
      <c r="BG10" s="102">
        <f>'Cash Flow Detail'!BE31-BG11</f>
        <v>2581115.3414637093</v>
      </c>
      <c r="BH10" s="102">
        <f>'Cash Flow Detail'!BF31-BH11</f>
        <v>2593318.520690728</v>
      </c>
      <c r="BI10" s="102">
        <f>'Cash Flow Detail'!BG31-BI11</f>
        <v>2646582.1278199428</v>
      </c>
      <c r="BJ10" s="102">
        <f>'Cash Flow Detail'!BH31-BJ11</f>
        <v>2676405.8788978984</v>
      </c>
      <c r="BK10" s="102">
        <f>'Cash Flow Detail'!BI31-BK11</f>
        <v>2694804.0141357575</v>
      </c>
      <c r="BL10" s="102">
        <f>'Cash Flow Detail'!BJ31-BL11</f>
        <v>2727906.8976204321</v>
      </c>
      <c r="BM10" s="102">
        <f>'Cash Flow Detail'!BK31-BM11</f>
        <v>2829716.0551929874</v>
      </c>
      <c r="BN10" s="102">
        <f>'Cash Flow Detail'!BL31-BN11</f>
        <v>2708728.292990224</v>
      </c>
      <c r="BO10" s="102">
        <f>'Cash Flow Detail'!BM31-BO11</f>
        <v>2827682.935646411</v>
      </c>
      <c r="BP10" s="102">
        <f>'Cash Flow Detail'!BN31-BP11</f>
        <v>3273593.4060899466</v>
      </c>
      <c r="BQ10" s="102">
        <f>'Cash Flow Detail'!BO31-BQ11</f>
        <v>3236575.0966205206</v>
      </c>
      <c r="BR10" s="102">
        <f>'Cash Flow Detail'!BP31-BR11</f>
        <v>3235929.0364915999</v>
      </c>
      <c r="BS10" s="102">
        <f>'Cash Flow Detail'!BQ31-BS11</f>
        <v>3237720.652190472</v>
      </c>
      <c r="BT10" s="102">
        <f>'Cash Flow Detail'!BR31-BT11</f>
        <v>3251100.3524065437</v>
      </c>
      <c r="BU10" s="102">
        <f>'Cash Flow Detail'!BS31-BU11</f>
        <v>3308679.5424295096</v>
      </c>
      <c r="BV10" s="102">
        <f>'Cash Flow Detail'!BT31-BV11</f>
        <v>3341982.3165929392</v>
      </c>
      <c r="BW10" s="102">
        <f>'Cash Flow Detail'!BU31-BW11</f>
        <v>3363886.5563121634</v>
      </c>
      <c r="BX10" s="102">
        <f>'Cash Flow Detail'!BV31-BX11</f>
        <v>3400646.3213863363</v>
      </c>
      <c r="BY10" s="102">
        <f>'Cash Flow Detail'!BW31-BY11</f>
        <v>3508295.5129041607</v>
      </c>
    </row>
    <row r="11" spans="1:77" x14ac:dyDescent="0.3">
      <c r="B11" s="25" t="s">
        <v>166</v>
      </c>
      <c r="C11" s="25"/>
      <c r="D11" s="18">
        <v>89519.91</v>
      </c>
      <c r="E11" s="18">
        <v>122127.5</v>
      </c>
      <c r="F11" s="18">
        <v>122131.63</v>
      </c>
      <c r="G11" s="18">
        <v>93970.59</v>
      </c>
      <c r="H11" s="18">
        <v>518264.36</v>
      </c>
      <c r="I11" s="18">
        <v>501585.71</v>
      </c>
      <c r="J11" s="18">
        <v>597609.81000000006</v>
      </c>
      <c r="K11" s="18">
        <v>537633.54</v>
      </c>
      <c r="L11" s="18">
        <v>527654.61</v>
      </c>
      <c r="M11" s="18">
        <v>493214.11</v>
      </c>
      <c r="N11" s="18">
        <v>452591.18</v>
      </c>
      <c r="O11" s="18">
        <v>382608.69</v>
      </c>
      <c r="P11" s="18">
        <v>532624.44999999995</v>
      </c>
      <c r="Q11" s="18">
        <v>527650.51</v>
      </c>
      <c r="R11" s="18">
        <v>480840.74</v>
      </c>
      <c r="S11" s="18">
        <v>480861.67</v>
      </c>
      <c r="T11" s="18">
        <v>480881.29</v>
      </c>
      <c r="U11" s="18">
        <v>480900.26</v>
      </c>
      <c r="V11" s="18">
        <v>744408.41</v>
      </c>
      <c r="W11" s="18">
        <v>744420.87</v>
      </c>
      <c r="X11" s="18">
        <v>684432.93</v>
      </c>
      <c r="Y11" s="18">
        <v>577442.72</v>
      </c>
      <c r="Z11" s="18">
        <v>577452.39</v>
      </c>
      <c r="AA11" s="18">
        <v>567461.39</v>
      </c>
      <c r="AB11" s="18">
        <v>487470.73</v>
      </c>
      <c r="AC11" s="102">
        <v>0</v>
      </c>
      <c r="AD11" s="102">
        <f>IF('Hillpointe Detail'!$B$291="red hook",0,'Cash Flow Detail'!$AB$42)</f>
        <v>1444750</v>
      </c>
      <c r="AE11" s="102">
        <f>IF('Hillpointe Detail'!$B$291="red hook",0,'Cash Flow Detail'!$AB$42)</f>
        <v>1444750</v>
      </c>
      <c r="AF11" s="102">
        <f>IF('Hillpointe Detail'!$B$291="red hook",0,'Cash Flow Detail'!$AB$42)</f>
        <v>1444750</v>
      </c>
      <c r="AG11" s="102">
        <f>IF('Hillpointe Detail'!$B$291="red hook",0,'Cash Flow Detail'!$AB$42)</f>
        <v>1444750</v>
      </c>
      <c r="AH11" s="102">
        <f>IF('Hillpointe Detail'!$B$291="red hook",0,'Cash Flow Detail'!$AB$42)</f>
        <v>1444750</v>
      </c>
      <c r="AI11" s="102">
        <f>IF('Hillpointe Detail'!$B$291="red hook",0,'Cash Flow Detail'!$AB$42)</f>
        <v>1444750</v>
      </c>
      <c r="AJ11" s="102">
        <f>IF('Hillpointe Detail'!$B$291="red hook",0,'Cash Flow Detail'!$AB$42)</f>
        <v>1444750</v>
      </c>
      <c r="AK11" s="102">
        <f>IF('Hillpointe Detail'!$B$291="red hook",0,'Cash Flow Detail'!$AB$42)</f>
        <v>1444750</v>
      </c>
      <c r="AL11" s="102">
        <f>IF('Hillpointe Detail'!$B$291="red hook",0,'Cash Flow Detail'!$AB$42)</f>
        <v>1444750</v>
      </c>
      <c r="AM11" s="102">
        <f>IF('Hillpointe Detail'!$B$291="red hook",0,'Cash Flow Detail'!$AB$42)</f>
        <v>1444750</v>
      </c>
      <c r="AN11" s="102">
        <f>IF('Hillpointe Detail'!$B$291="red hook",0,'Cash Flow Detail'!$AB$42)</f>
        <v>1444750</v>
      </c>
      <c r="AO11" s="102">
        <f>IF('Hillpointe Detail'!$B$291="red hook",0,'Cash Flow Detail'!$AB$42)</f>
        <v>1444750</v>
      </c>
      <c r="AP11" s="102">
        <f>IF('Hillpointe Detail'!$B$291="red hook",0,'Cash Flow Detail'!$AB$42)</f>
        <v>1444750</v>
      </c>
      <c r="AQ11" s="102">
        <f>IF('Hillpointe Detail'!$B$291="red hook",0,'Cash Flow Detail'!$AB$42)</f>
        <v>1444750</v>
      </c>
      <c r="AR11" s="102">
        <f>IF('Hillpointe Detail'!$B$291="red hook",0,'Cash Flow Detail'!$AB$42)</f>
        <v>1444750</v>
      </c>
      <c r="AS11" s="102">
        <f>IF('Hillpointe Detail'!$B$291="red hook",0,'Cash Flow Detail'!$AB$42)</f>
        <v>1444750</v>
      </c>
      <c r="AT11" s="102">
        <f>IF('Hillpointe Detail'!$B$291="red hook",0,'Cash Flow Detail'!$AB$42)</f>
        <v>1444750</v>
      </c>
      <c r="AU11" s="102">
        <f>IF('Hillpointe Detail'!$B$291="red hook",0,'Cash Flow Detail'!$AB$42)</f>
        <v>1444750</v>
      </c>
      <c r="AV11" s="102">
        <f>IF('Hillpointe Detail'!$B$291="red hook",0,'Cash Flow Detail'!$AB$42)</f>
        <v>1444750</v>
      </c>
      <c r="AW11" s="102">
        <f>IF('Hillpointe Detail'!$B$291="red hook",0,'Cash Flow Detail'!$AB$42)</f>
        <v>1444750</v>
      </c>
      <c r="AX11" s="102">
        <f>IF('Hillpointe Detail'!$B$291="red hook",0,'Cash Flow Detail'!$AB$42)</f>
        <v>1444750</v>
      </c>
      <c r="AY11" s="102">
        <f>IF('Hillpointe Detail'!$B$291="red hook",0,'Cash Flow Detail'!$AB$42)</f>
        <v>1444750</v>
      </c>
      <c r="AZ11" s="102">
        <f>IF('Hillpointe Detail'!$B$291="red hook",0,'Cash Flow Detail'!$AB$42)</f>
        <v>1444750</v>
      </c>
      <c r="BA11" s="102">
        <f>IF('Hillpointe Detail'!$B$291="red hook",0,'Cash Flow Detail'!$AB$42)</f>
        <v>1444750</v>
      </c>
      <c r="BB11" s="102">
        <f>IF('Hillpointe Detail'!$B$291="red hook",0,'Cash Flow Detail'!$AB$42)</f>
        <v>1444750</v>
      </c>
      <c r="BC11" s="102">
        <f>IF('Hillpointe Detail'!$B$291="red hook",0,'Cash Flow Detail'!$AB$42)</f>
        <v>1444750</v>
      </c>
      <c r="BD11" s="102">
        <f>IF('Hillpointe Detail'!$B$291="red hook",0,'Cash Flow Detail'!$AB$42)</f>
        <v>1444750</v>
      </c>
      <c r="BE11" s="102">
        <f>IF('Hillpointe Detail'!$B$291="red hook",0,'Cash Flow Detail'!$AB$42)</f>
        <v>1444750</v>
      </c>
      <c r="BF11" s="102">
        <f>IF('Hillpointe Detail'!$B$291="red hook",0,'Cash Flow Detail'!$AB$42)</f>
        <v>1444750</v>
      </c>
      <c r="BG11" s="102">
        <f>IF('Hillpointe Detail'!$B$291="red hook",0,'Cash Flow Detail'!$AB$42)</f>
        <v>1444750</v>
      </c>
      <c r="BH11" s="102">
        <f>IF('Hillpointe Detail'!$B$291="red hook",0,'Cash Flow Detail'!$AB$42)</f>
        <v>1444750</v>
      </c>
      <c r="BI11" s="102">
        <f>IF('Hillpointe Detail'!$B$291="red hook",0,'Cash Flow Detail'!$AB$42)</f>
        <v>1444750</v>
      </c>
      <c r="BJ11" s="102">
        <f>IF('Hillpointe Detail'!$B$291="red hook",0,'Cash Flow Detail'!$AB$42)</f>
        <v>1444750</v>
      </c>
      <c r="BK11" s="102">
        <f>IF('Hillpointe Detail'!$B$291="red hook",0,'Cash Flow Detail'!$AB$42)</f>
        <v>1444750</v>
      </c>
      <c r="BL11" s="102">
        <f>IF('Hillpointe Detail'!$B$291="red hook",0,'Cash Flow Detail'!$AB$42)</f>
        <v>1444750</v>
      </c>
      <c r="BM11" s="102">
        <f>IF('Hillpointe Detail'!$B$291="red hook",0,'Cash Flow Detail'!$AB$42)</f>
        <v>1444750</v>
      </c>
      <c r="BN11" s="102">
        <f>IF('Hillpointe Detail'!$B$291="red hook",0,'Cash Flow Detail'!$AB$42)</f>
        <v>1444750</v>
      </c>
      <c r="BO11" s="102">
        <f>IF('Hillpointe Detail'!$B$291="red hook",0,'Cash Flow Detail'!$AB$42)</f>
        <v>1444750</v>
      </c>
      <c r="BP11" s="102">
        <f>IF('Hillpointe Detail'!$B$291="red hook",0,'Cash Flow Detail'!$AB$42)</f>
        <v>1444750</v>
      </c>
      <c r="BQ11" s="102">
        <f>IF('Hillpointe Detail'!$B$291="red hook",0,'Cash Flow Detail'!$AB$42)</f>
        <v>1444750</v>
      </c>
      <c r="BR11" s="102">
        <f>IF('Hillpointe Detail'!$B$291="red hook",0,'Cash Flow Detail'!$AB$42)</f>
        <v>1444750</v>
      </c>
      <c r="BS11" s="102">
        <f>IF('Hillpointe Detail'!$B$291="red hook",0,'Cash Flow Detail'!$AB$42)</f>
        <v>1444750</v>
      </c>
      <c r="BT11" s="102">
        <f>IF('Hillpointe Detail'!$B$291="red hook",0,'Cash Flow Detail'!$AB$42)</f>
        <v>1444750</v>
      </c>
      <c r="BU11" s="102">
        <f>IF('Hillpointe Detail'!$B$291="red hook",0,'Cash Flow Detail'!$AB$42)</f>
        <v>1444750</v>
      </c>
      <c r="BV11" s="102">
        <f>IF('Hillpointe Detail'!$B$291="red hook",0,'Cash Flow Detail'!$AB$42)</f>
        <v>1444750</v>
      </c>
      <c r="BW11" s="102">
        <f>IF('Hillpointe Detail'!$B$291="red hook",0,'Cash Flow Detail'!$AB$42)</f>
        <v>1444750</v>
      </c>
      <c r="BX11" s="102">
        <f>IF('Hillpointe Detail'!$B$291="red hook",0,'Cash Flow Detail'!$AB$42)</f>
        <v>1444750</v>
      </c>
      <c r="BY11" s="102">
        <f>IF('Hillpointe Detail'!$B$291="red hook",0,'Cash Flow Detail'!$AB$42)</f>
        <v>1444750</v>
      </c>
    </row>
    <row r="12" spans="1:77" x14ac:dyDescent="0.3">
      <c r="B12" s="25" t="s">
        <v>332</v>
      </c>
      <c r="C12" s="25"/>
      <c r="D12" s="18">
        <v>0</v>
      </c>
      <c r="E12" s="18">
        <v>0</v>
      </c>
      <c r="F12" s="18">
        <v>0</v>
      </c>
      <c r="G12" s="18">
        <v>0</v>
      </c>
      <c r="H12" s="18">
        <v>0</v>
      </c>
      <c r="I12" s="18">
        <v>0</v>
      </c>
      <c r="J12" s="18">
        <v>0</v>
      </c>
      <c r="K12" s="18">
        <v>0</v>
      </c>
      <c r="L12" s="18">
        <v>0</v>
      </c>
      <c r="M12" s="18">
        <v>0</v>
      </c>
      <c r="N12" s="18">
        <v>0</v>
      </c>
      <c r="O12" s="18">
        <v>0</v>
      </c>
      <c r="P12" s="18">
        <v>181000</v>
      </c>
      <c r="Q12" s="18">
        <v>6000</v>
      </c>
      <c r="R12" s="18">
        <v>90</v>
      </c>
      <c r="S12" s="18">
        <v>90</v>
      </c>
      <c r="T12" s="18">
        <v>90</v>
      </c>
      <c r="U12" s="18">
        <v>90</v>
      </c>
      <c r="V12" s="18">
        <v>90</v>
      </c>
      <c r="W12" s="18">
        <v>90</v>
      </c>
      <c r="X12" s="18">
        <v>90</v>
      </c>
      <c r="Y12" s="18">
        <v>90</v>
      </c>
      <c r="Z12" s="18">
        <v>90</v>
      </c>
      <c r="AA12" s="18">
        <v>90</v>
      </c>
      <c r="AB12" s="18">
        <v>90</v>
      </c>
      <c r="AC12" s="36">
        <v>0</v>
      </c>
      <c r="AD12" s="36">
        <v>0</v>
      </c>
      <c r="AE12" s="36">
        <v>0</v>
      </c>
      <c r="AF12" s="36">
        <v>0</v>
      </c>
      <c r="AG12" s="36">
        <v>0</v>
      </c>
      <c r="AH12" s="36">
        <v>0</v>
      </c>
      <c r="AI12" s="36">
        <v>0</v>
      </c>
      <c r="AJ12" s="36">
        <v>0</v>
      </c>
      <c r="AK12" s="36">
        <v>0</v>
      </c>
      <c r="AL12" s="36">
        <v>0</v>
      </c>
      <c r="AM12" s="36">
        <v>0</v>
      </c>
      <c r="AN12" s="36">
        <v>0</v>
      </c>
      <c r="AO12" s="36">
        <v>0</v>
      </c>
      <c r="AP12" s="36">
        <v>0</v>
      </c>
      <c r="AQ12" s="36">
        <v>0</v>
      </c>
      <c r="AR12" s="36">
        <v>0</v>
      </c>
      <c r="AS12" s="36">
        <v>0</v>
      </c>
      <c r="AT12" s="36">
        <v>0</v>
      </c>
      <c r="AU12" s="36">
        <v>0</v>
      </c>
      <c r="AV12" s="36">
        <v>0</v>
      </c>
      <c r="AW12" s="36">
        <v>0</v>
      </c>
      <c r="AX12" s="36">
        <v>0</v>
      </c>
      <c r="AY12" s="36">
        <v>0</v>
      </c>
      <c r="AZ12" s="36">
        <v>0</v>
      </c>
      <c r="BA12" s="36">
        <v>0</v>
      </c>
      <c r="BB12" s="36">
        <v>0</v>
      </c>
      <c r="BC12" s="36">
        <v>0</v>
      </c>
      <c r="BD12" s="36">
        <v>0</v>
      </c>
      <c r="BE12" s="36">
        <v>0</v>
      </c>
      <c r="BF12" s="36">
        <v>0</v>
      </c>
      <c r="BG12" s="36">
        <v>0</v>
      </c>
      <c r="BH12" s="36">
        <v>0</v>
      </c>
      <c r="BI12" s="36">
        <v>0</v>
      </c>
      <c r="BJ12" s="36">
        <v>0</v>
      </c>
      <c r="BK12" s="36">
        <v>0</v>
      </c>
      <c r="BL12" s="36">
        <v>0</v>
      </c>
      <c r="BM12" s="36">
        <v>0</v>
      </c>
      <c r="BN12" s="36">
        <v>0</v>
      </c>
      <c r="BO12" s="36">
        <v>0</v>
      </c>
      <c r="BP12" s="36">
        <v>0</v>
      </c>
      <c r="BQ12" s="36">
        <v>0</v>
      </c>
      <c r="BR12" s="36">
        <v>0</v>
      </c>
      <c r="BS12" s="36">
        <v>0</v>
      </c>
      <c r="BT12" s="36">
        <v>0</v>
      </c>
      <c r="BU12" s="36">
        <v>0</v>
      </c>
      <c r="BV12" s="36">
        <v>0</v>
      </c>
      <c r="BW12" s="36">
        <v>0</v>
      </c>
      <c r="BX12" s="36">
        <v>0</v>
      </c>
      <c r="BY12" s="36">
        <v>0</v>
      </c>
    </row>
    <row r="13" spans="1:77" x14ac:dyDescent="0.3">
      <c r="B13" s="25" t="s">
        <v>167</v>
      </c>
      <c r="C13" s="25"/>
      <c r="D13" s="18">
        <v>0</v>
      </c>
      <c r="E13" s="18">
        <v>0</v>
      </c>
      <c r="F13" s="18">
        <v>0</v>
      </c>
      <c r="G13" s="18">
        <v>0</v>
      </c>
      <c r="H13" s="18">
        <v>0</v>
      </c>
      <c r="I13" s="18">
        <v>0</v>
      </c>
      <c r="J13" s="18">
        <v>0</v>
      </c>
      <c r="K13" s="18">
        <v>0</v>
      </c>
      <c r="L13" s="18">
        <v>0</v>
      </c>
      <c r="M13" s="18">
        <v>0</v>
      </c>
      <c r="N13" s="8">
        <v>0</v>
      </c>
      <c r="O13" s="18">
        <v>0</v>
      </c>
      <c r="P13" s="18">
        <v>0</v>
      </c>
      <c r="Q13" s="18">
        <v>0</v>
      </c>
      <c r="R13" s="18">
        <v>0</v>
      </c>
      <c r="S13" s="18">
        <v>0</v>
      </c>
      <c r="T13" s="18">
        <v>0</v>
      </c>
      <c r="U13" s="18">
        <v>0</v>
      </c>
      <c r="V13" s="18">
        <v>0</v>
      </c>
      <c r="W13" s="18">
        <v>0</v>
      </c>
      <c r="X13" s="18">
        <v>0</v>
      </c>
      <c r="Y13" s="18">
        <v>0</v>
      </c>
      <c r="Z13" s="18">
        <v>0</v>
      </c>
      <c r="AA13" s="18">
        <v>0</v>
      </c>
      <c r="AB13" s="18">
        <v>0</v>
      </c>
      <c r="AC13" s="36">
        <v>0</v>
      </c>
      <c r="AD13" s="36">
        <v>0</v>
      </c>
      <c r="AE13" s="36">
        <v>0</v>
      </c>
      <c r="AF13" s="36">
        <v>0</v>
      </c>
      <c r="AG13" s="36">
        <v>0</v>
      </c>
      <c r="AH13" s="36">
        <v>0</v>
      </c>
      <c r="AI13" s="36">
        <v>0</v>
      </c>
      <c r="AJ13" s="36">
        <v>0</v>
      </c>
      <c r="AK13" s="36">
        <v>0</v>
      </c>
      <c r="AL13" s="36">
        <v>0</v>
      </c>
      <c r="AM13" s="36">
        <v>0</v>
      </c>
      <c r="AN13" s="36">
        <v>0</v>
      </c>
      <c r="AO13" s="36">
        <v>0</v>
      </c>
      <c r="AP13" s="36">
        <v>0</v>
      </c>
      <c r="AQ13" s="36">
        <v>0</v>
      </c>
      <c r="AR13" s="36">
        <v>0</v>
      </c>
      <c r="AS13" s="36">
        <v>0</v>
      </c>
      <c r="AT13" s="36">
        <v>0</v>
      </c>
      <c r="AU13" s="36">
        <v>0</v>
      </c>
      <c r="AV13" s="36">
        <v>0</v>
      </c>
      <c r="AW13" s="36">
        <v>0</v>
      </c>
      <c r="AX13" s="36">
        <v>0</v>
      </c>
      <c r="AY13" s="36">
        <v>0</v>
      </c>
      <c r="AZ13" s="36">
        <v>0</v>
      </c>
      <c r="BA13" s="36">
        <v>0</v>
      </c>
      <c r="BB13" s="36">
        <v>0</v>
      </c>
      <c r="BC13" s="36">
        <v>0</v>
      </c>
      <c r="BD13" s="36">
        <v>0</v>
      </c>
      <c r="BE13" s="36">
        <v>0</v>
      </c>
      <c r="BF13" s="36">
        <v>0</v>
      </c>
      <c r="BG13" s="36">
        <v>0</v>
      </c>
      <c r="BH13" s="36">
        <v>0</v>
      </c>
      <c r="BI13" s="36">
        <v>0</v>
      </c>
      <c r="BJ13" s="36">
        <v>0</v>
      </c>
      <c r="BK13" s="36">
        <v>0</v>
      </c>
      <c r="BL13" s="36">
        <v>0</v>
      </c>
      <c r="BM13" s="36">
        <v>0</v>
      </c>
      <c r="BN13" s="36">
        <v>0</v>
      </c>
      <c r="BO13" s="36">
        <v>0</v>
      </c>
      <c r="BP13" s="36">
        <v>0</v>
      </c>
      <c r="BQ13" s="36">
        <v>0</v>
      </c>
      <c r="BR13" s="36">
        <v>0</v>
      </c>
      <c r="BS13" s="36">
        <v>0</v>
      </c>
      <c r="BT13" s="36">
        <v>0</v>
      </c>
      <c r="BU13" s="36">
        <v>0</v>
      </c>
      <c r="BV13" s="36">
        <v>0</v>
      </c>
      <c r="BW13" s="36">
        <v>0</v>
      </c>
      <c r="BX13" s="36">
        <v>0</v>
      </c>
      <c r="BY13" s="36">
        <v>0</v>
      </c>
    </row>
    <row r="14" spans="1:77" collapsed="1" x14ac:dyDescent="0.3">
      <c r="B14" s="25" t="s">
        <v>168</v>
      </c>
      <c r="C14" s="25"/>
      <c r="D14" s="43">
        <f>SUM(D10:D13)</f>
        <v>91166.73000000001</v>
      </c>
      <c r="E14" s="43">
        <f t="shared" ref="E14:N14" si="39">SUM(E10:E13)</f>
        <v>130780.68</v>
      </c>
      <c r="F14" s="43">
        <f t="shared" si="39"/>
        <v>358376.95999999996</v>
      </c>
      <c r="G14" s="43">
        <f t="shared" si="39"/>
        <v>603220.76</v>
      </c>
      <c r="H14" s="43">
        <f t="shared" si="39"/>
        <v>500272.29</v>
      </c>
      <c r="I14" s="43">
        <f t="shared" si="39"/>
        <v>800317.82000000007</v>
      </c>
      <c r="J14" s="43">
        <f t="shared" si="39"/>
        <v>566377.17000000004</v>
      </c>
      <c r="K14" s="43">
        <f t="shared" si="39"/>
        <v>799163.21000000008</v>
      </c>
      <c r="L14" s="43">
        <f t="shared" si="39"/>
        <v>530473.09</v>
      </c>
      <c r="M14" s="43">
        <f t="shared" si="39"/>
        <v>566153.05000000005</v>
      </c>
      <c r="N14" s="43">
        <f t="shared" si="39"/>
        <v>451968.33999999997</v>
      </c>
      <c r="O14" s="43">
        <f t="shared" ref="O14" si="40">SUM(O10:O13)</f>
        <v>672755.03</v>
      </c>
      <c r="P14" s="43">
        <f t="shared" ref="P14" si="41">SUM(P10:P13)</f>
        <v>718971.72</v>
      </c>
      <c r="Q14" s="43">
        <f t="shared" ref="Q14" si="42">SUM(Q10:Q13)</f>
        <v>630926.43000000005</v>
      </c>
      <c r="R14" s="43">
        <f t="shared" ref="R14" si="43">SUM(R10:R13)</f>
        <v>847816.27</v>
      </c>
      <c r="S14" s="43">
        <f t="shared" ref="S14:T14" si="44">SUM(S10:S13)</f>
        <v>510905.37</v>
      </c>
      <c r="T14" s="43">
        <f t="shared" si="44"/>
        <v>804365.39999999991</v>
      </c>
      <c r="U14" s="43">
        <f t="shared" ref="U14:V14" si="45">SUM(U10:U13)</f>
        <v>739446.55</v>
      </c>
      <c r="V14" s="43">
        <f t="shared" si="45"/>
        <v>775038.08000000007</v>
      </c>
      <c r="W14" s="43">
        <f t="shared" ref="W14:X14" si="46">SUM(W10:W13)</f>
        <v>972136.47</v>
      </c>
      <c r="X14" s="43">
        <f t="shared" si="46"/>
        <v>689702.85000000009</v>
      </c>
      <c r="Y14" s="43">
        <f t="shared" ref="Y14" si="47">SUM(Y10:Y13)</f>
        <v>580551.86</v>
      </c>
      <c r="Z14" s="43">
        <f t="shared" ref="Z14" si="48">SUM(Z10:Z13)</f>
        <v>593024.93000000005</v>
      </c>
      <c r="AA14" s="43">
        <f t="shared" ref="AA14" si="49">SUM(AA10:AA13)</f>
        <v>561336.02</v>
      </c>
      <c r="AB14" s="43">
        <f t="shared" ref="AB14" si="50">SUM(AB10:AB13)</f>
        <v>508537.17</v>
      </c>
      <c r="AC14" s="43">
        <f t="shared" ref="AC14" si="51">SUM(AC10:AC13)</f>
        <v>623657.07026127516</v>
      </c>
      <c r="AD14" s="43">
        <f t="shared" ref="AD14" si="52">SUM(AD10:AD13)</f>
        <v>1769980.7899611739</v>
      </c>
      <c r="AE14" s="43">
        <f t="shared" ref="AE14" si="53">SUM(AE10:AE13)</f>
        <v>1878032.8022099547</v>
      </c>
      <c r="AF14" s="43">
        <f t="shared" ref="AF14" si="54">SUM(AF10:AF13)</f>
        <v>2315996.2877661767</v>
      </c>
      <c r="AG14" s="43">
        <f t="shared" ref="AG14" si="55">SUM(AG10:AG13)</f>
        <v>2281576.6485185125</v>
      </c>
      <c r="AH14" s="43">
        <f t="shared" ref="AH14" si="56">SUM(AH10:AH13)</f>
        <v>2275046.7716531735</v>
      </c>
      <c r="AI14" s="43">
        <f t="shared" ref="AI14" si="57">SUM(AI10:AI13)</f>
        <v>2281509.5012163636</v>
      </c>
      <c r="AJ14" s="43">
        <f t="shared" ref="AJ14" si="58">SUM(AJ10:AJ13)</f>
        <v>2300580.1972552296</v>
      </c>
      <c r="AK14" s="43">
        <f t="shared" ref="AK14" si="59">SUM(AK10:AK13)</f>
        <v>2419108.5872350913</v>
      </c>
      <c r="AL14" s="43">
        <f t="shared" ref="AL14" si="60">SUM(AL10:AL13)</f>
        <v>2489264.9451681897</v>
      </c>
      <c r="AM14" s="43">
        <f t="shared" ref="AM14" si="61">SUM(AM10:AM13)</f>
        <v>2575705.8258895939</v>
      </c>
      <c r="AN14" s="43">
        <f t="shared" ref="AN14" si="62">SUM(AN10:AN13)</f>
        <v>2676368.4794446304</v>
      </c>
      <c r="AO14" s="43">
        <f t="shared" ref="AO14" si="63">SUM(AO10:AO13)</f>
        <v>2774092.3588559516</v>
      </c>
      <c r="AP14" s="43">
        <f t="shared" ref="AP14:BM14" si="64">SUM(AP10:AP13)</f>
        <v>2637340.6514537754</v>
      </c>
      <c r="AQ14" s="43">
        <f t="shared" si="64"/>
        <v>2770615.8754065204</v>
      </c>
      <c r="AR14" s="43">
        <f t="shared" si="64"/>
        <v>3240247.6807660502</v>
      </c>
      <c r="AS14" s="43">
        <f t="shared" si="64"/>
        <v>3225324.4587093974</v>
      </c>
      <c r="AT14" s="43">
        <f t="shared" si="64"/>
        <v>3245699.1331391116</v>
      </c>
      <c r="AU14" s="43">
        <f t="shared" si="64"/>
        <v>3267543.8372573876</v>
      </c>
      <c r="AV14" s="43">
        <f t="shared" si="64"/>
        <v>3300889.7214700421</v>
      </c>
      <c r="AW14" s="43">
        <f t="shared" si="64"/>
        <v>3370398.2357038655</v>
      </c>
      <c r="AX14" s="43">
        <f t="shared" si="64"/>
        <v>3426421.9982871893</v>
      </c>
      <c r="AY14" s="43">
        <f t="shared" si="64"/>
        <v>3466199.0943090161</v>
      </c>
      <c r="AZ14" s="43">
        <f t="shared" si="64"/>
        <v>3520503.1902801911</v>
      </c>
      <c r="BA14" s="43">
        <f t="shared" si="64"/>
        <v>3640171.3243447007</v>
      </c>
      <c r="BB14" s="43">
        <f t="shared" si="64"/>
        <v>3509643.9069046662</v>
      </c>
      <c r="BC14" s="43">
        <f t="shared" si="64"/>
        <v>3623307.3255699179</v>
      </c>
      <c r="BD14" s="43">
        <f t="shared" si="64"/>
        <v>4067427.8260348658</v>
      </c>
      <c r="BE14" s="43">
        <f t="shared" si="64"/>
        <v>4028371.198440541</v>
      </c>
      <c r="BF14" s="43">
        <f t="shared" si="64"/>
        <v>4025875.3003611173</v>
      </c>
      <c r="BG14" s="43">
        <f t="shared" si="64"/>
        <v>4025865.3414637093</v>
      </c>
      <c r="BH14" s="43">
        <f t="shared" si="64"/>
        <v>4038068.520690728</v>
      </c>
      <c r="BI14" s="43">
        <f t="shared" si="64"/>
        <v>4091332.1278199428</v>
      </c>
      <c r="BJ14" s="43">
        <f t="shared" si="64"/>
        <v>4121155.8788978984</v>
      </c>
      <c r="BK14" s="43">
        <f t="shared" si="64"/>
        <v>4139554.0141357575</v>
      </c>
      <c r="BL14" s="43">
        <f t="shared" si="64"/>
        <v>4172656.8976204321</v>
      </c>
      <c r="BM14" s="43">
        <f t="shared" si="64"/>
        <v>4274466.0551929874</v>
      </c>
      <c r="BN14" s="43">
        <f t="shared" ref="BN14:BY14" si="65">SUM(BN10:BN13)</f>
        <v>4153478.292990224</v>
      </c>
      <c r="BO14" s="43">
        <f t="shared" si="65"/>
        <v>4272432.935646411</v>
      </c>
      <c r="BP14" s="43">
        <f t="shared" si="65"/>
        <v>4718343.4060899466</v>
      </c>
      <c r="BQ14" s="43">
        <f t="shared" si="65"/>
        <v>4681325.0966205206</v>
      </c>
      <c r="BR14" s="43">
        <f t="shared" si="65"/>
        <v>4680679.0364915999</v>
      </c>
      <c r="BS14" s="43">
        <f t="shared" si="65"/>
        <v>4682470.652190472</v>
      </c>
      <c r="BT14" s="43">
        <f t="shared" si="65"/>
        <v>4695850.3524065437</v>
      </c>
      <c r="BU14" s="43">
        <f t="shared" si="65"/>
        <v>4753429.5424295096</v>
      </c>
      <c r="BV14" s="43">
        <f t="shared" si="65"/>
        <v>4786732.3165929392</v>
      </c>
      <c r="BW14" s="43">
        <f t="shared" si="65"/>
        <v>4808636.5563121634</v>
      </c>
      <c r="BX14" s="43">
        <f t="shared" si="65"/>
        <v>4845396.3213863363</v>
      </c>
      <c r="BY14" s="43">
        <f t="shared" si="65"/>
        <v>4953045.5129041607</v>
      </c>
    </row>
    <row r="15" spans="1:77" x14ac:dyDescent="0.3">
      <c r="B15" s="25" t="s">
        <v>169</v>
      </c>
      <c r="C15" s="25"/>
      <c r="D15" s="18">
        <v>0</v>
      </c>
      <c r="E15" s="18">
        <v>0</v>
      </c>
      <c r="F15" s="18">
        <v>0</v>
      </c>
      <c r="G15" s="18">
        <v>0</v>
      </c>
      <c r="H15" s="18">
        <v>0</v>
      </c>
      <c r="I15" s="18">
        <v>0</v>
      </c>
      <c r="J15" s="18">
        <v>0</v>
      </c>
      <c r="K15" s="18">
        <v>0</v>
      </c>
      <c r="L15" s="18">
        <v>0</v>
      </c>
      <c r="M15" s="18">
        <v>0</v>
      </c>
      <c r="N15" s="8">
        <v>0</v>
      </c>
      <c r="O15" s="18">
        <v>0</v>
      </c>
      <c r="P15" s="18">
        <v>0</v>
      </c>
      <c r="Q15" s="18">
        <v>0</v>
      </c>
      <c r="R15" s="18">
        <v>0</v>
      </c>
      <c r="S15" s="18">
        <v>0</v>
      </c>
      <c r="T15" s="18">
        <v>0</v>
      </c>
      <c r="U15" s="18">
        <v>0</v>
      </c>
      <c r="V15" s="18">
        <v>0</v>
      </c>
      <c r="W15" s="18">
        <v>0</v>
      </c>
      <c r="X15" s="18">
        <v>0</v>
      </c>
      <c r="Y15" s="18">
        <v>0</v>
      </c>
      <c r="Z15" s="18">
        <v>0</v>
      </c>
      <c r="AA15" s="18">
        <v>0</v>
      </c>
      <c r="AB15" s="18">
        <v>0</v>
      </c>
      <c r="AC15" s="36">
        <v>0</v>
      </c>
      <c r="AD15" s="36">
        <v>0</v>
      </c>
      <c r="AE15" s="36">
        <v>0</v>
      </c>
      <c r="AF15" s="36">
        <v>0</v>
      </c>
      <c r="AG15" s="36">
        <v>0</v>
      </c>
      <c r="AH15" s="36">
        <v>0</v>
      </c>
      <c r="AI15" s="36">
        <v>0</v>
      </c>
      <c r="AJ15" s="36">
        <v>0</v>
      </c>
      <c r="AK15" s="36">
        <v>0</v>
      </c>
      <c r="AL15" s="36">
        <v>0</v>
      </c>
      <c r="AM15" s="36">
        <v>0</v>
      </c>
      <c r="AN15" s="36">
        <v>0</v>
      </c>
      <c r="AO15" s="36">
        <v>0</v>
      </c>
      <c r="AP15" s="36">
        <v>0</v>
      </c>
      <c r="AQ15" s="36">
        <v>0</v>
      </c>
      <c r="AR15" s="36">
        <v>0</v>
      </c>
      <c r="AS15" s="36">
        <v>0</v>
      </c>
      <c r="AT15" s="36">
        <v>0</v>
      </c>
      <c r="AU15" s="36">
        <v>0</v>
      </c>
      <c r="AV15" s="36">
        <v>0</v>
      </c>
      <c r="AW15" s="36">
        <v>0</v>
      </c>
      <c r="AX15" s="36">
        <v>0</v>
      </c>
      <c r="AY15" s="36">
        <v>0</v>
      </c>
      <c r="AZ15" s="36">
        <v>0</v>
      </c>
      <c r="BA15" s="36">
        <v>0</v>
      </c>
      <c r="BB15" s="36">
        <v>0</v>
      </c>
      <c r="BC15" s="36">
        <v>0</v>
      </c>
      <c r="BD15" s="36">
        <v>0</v>
      </c>
      <c r="BE15" s="36">
        <v>0</v>
      </c>
      <c r="BF15" s="36">
        <v>0</v>
      </c>
      <c r="BG15" s="36">
        <v>0</v>
      </c>
      <c r="BH15" s="36">
        <v>0</v>
      </c>
      <c r="BI15" s="36">
        <v>0</v>
      </c>
      <c r="BJ15" s="36">
        <v>0</v>
      </c>
      <c r="BK15" s="36">
        <v>0</v>
      </c>
      <c r="BL15" s="36">
        <v>0</v>
      </c>
      <c r="BM15" s="36">
        <v>0</v>
      </c>
      <c r="BN15" s="36">
        <v>0</v>
      </c>
      <c r="BO15" s="36">
        <v>0</v>
      </c>
      <c r="BP15" s="36">
        <v>0</v>
      </c>
      <c r="BQ15" s="36">
        <v>0</v>
      </c>
      <c r="BR15" s="36">
        <v>0</v>
      </c>
      <c r="BS15" s="36">
        <v>0</v>
      </c>
      <c r="BT15" s="36">
        <v>0</v>
      </c>
      <c r="BU15" s="36">
        <v>0</v>
      </c>
      <c r="BV15" s="36">
        <v>0</v>
      </c>
      <c r="BW15" s="36">
        <v>0</v>
      </c>
      <c r="BX15" s="36">
        <v>0</v>
      </c>
      <c r="BY15" s="36">
        <v>0</v>
      </c>
    </row>
    <row r="16" spans="1:77" x14ac:dyDescent="0.3">
      <c r="B16" s="25" t="s">
        <v>313</v>
      </c>
      <c r="C16" s="25"/>
      <c r="D16" s="18">
        <v>75138.22</v>
      </c>
      <c r="E16" s="18">
        <v>0</v>
      </c>
      <c r="F16" s="18">
        <v>0</v>
      </c>
      <c r="G16" s="18">
        <v>0</v>
      </c>
      <c r="H16" s="18">
        <v>0</v>
      </c>
      <c r="I16" s="18">
        <v>0</v>
      </c>
      <c r="J16" s="18">
        <v>0</v>
      </c>
      <c r="K16" s="18">
        <v>0</v>
      </c>
      <c r="L16" s="18">
        <v>0</v>
      </c>
      <c r="M16" s="18">
        <v>0</v>
      </c>
      <c r="N16" s="8">
        <v>0</v>
      </c>
      <c r="O16" s="18">
        <v>0</v>
      </c>
      <c r="P16" s="18">
        <v>0</v>
      </c>
      <c r="Q16" s="18">
        <v>0</v>
      </c>
      <c r="R16" s="18">
        <v>0</v>
      </c>
      <c r="S16" s="18">
        <v>0</v>
      </c>
      <c r="T16" s="18">
        <v>0</v>
      </c>
      <c r="U16" s="18">
        <v>0</v>
      </c>
      <c r="V16" s="18">
        <v>0</v>
      </c>
      <c r="W16" s="18">
        <v>0</v>
      </c>
      <c r="X16" s="18">
        <v>0</v>
      </c>
      <c r="Y16" s="18">
        <v>0</v>
      </c>
      <c r="Z16" s="18">
        <v>0</v>
      </c>
      <c r="AA16" s="18">
        <v>0</v>
      </c>
      <c r="AB16" s="18">
        <v>0</v>
      </c>
      <c r="AC16" s="36">
        <v>0</v>
      </c>
      <c r="AD16" s="36">
        <v>0</v>
      </c>
      <c r="AE16" s="36">
        <v>0</v>
      </c>
      <c r="AF16" s="36">
        <v>0</v>
      </c>
      <c r="AG16" s="36">
        <v>0</v>
      </c>
      <c r="AH16" s="36">
        <v>0</v>
      </c>
      <c r="AI16" s="36">
        <v>0</v>
      </c>
      <c r="AJ16" s="36">
        <v>0</v>
      </c>
      <c r="AK16" s="36">
        <v>0</v>
      </c>
      <c r="AL16" s="36">
        <v>0</v>
      </c>
      <c r="AM16" s="36">
        <v>0</v>
      </c>
      <c r="AN16" s="36">
        <v>0</v>
      </c>
      <c r="AO16" s="36">
        <v>0</v>
      </c>
      <c r="AP16" s="36">
        <v>0</v>
      </c>
      <c r="AQ16" s="36">
        <v>0</v>
      </c>
      <c r="AR16" s="36">
        <v>0</v>
      </c>
      <c r="AS16" s="36">
        <v>0</v>
      </c>
      <c r="AT16" s="36">
        <v>0</v>
      </c>
      <c r="AU16" s="36">
        <v>0</v>
      </c>
      <c r="AV16" s="36">
        <v>0</v>
      </c>
      <c r="AW16" s="36">
        <v>0</v>
      </c>
      <c r="AX16" s="36">
        <v>0</v>
      </c>
      <c r="AY16" s="36">
        <v>0</v>
      </c>
      <c r="AZ16" s="36">
        <v>0</v>
      </c>
      <c r="BA16" s="36">
        <v>0</v>
      </c>
      <c r="BB16" s="36">
        <v>0</v>
      </c>
      <c r="BC16" s="36">
        <v>0</v>
      </c>
      <c r="BD16" s="36">
        <v>0</v>
      </c>
      <c r="BE16" s="36">
        <v>0</v>
      </c>
      <c r="BF16" s="36">
        <v>0</v>
      </c>
      <c r="BG16" s="36">
        <v>0</v>
      </c>
      <c r="BH16" s="36">
        <v>0</v>
      </c>
      <c r="BI16" s="36">
        <v>0</v>
      </c>
      <c r="BJ16" s="36">
        <v>0</v>
      </c>
      <c r="BK16" s="36">
        <v>0</v>
      </c>
      <c r="BL16" s="36">
        <v>0</v>
      </c>
      <c r="BM16" s="36">
        <v>0</v>
      </c>
      <c r="BN16" s="36">
        <v>0</v>
      </c>
      <c r="BO16" s="36">
        <v>0</v>
      </c>
      <c r="BP16" s="36">
        <v>0</v>
      </c>
      <c r="BQ16" s="36">
        <v>0</v>
      </c>
      <c r="BR16" s="36">
        <v>0</v>
      </c>
      <c r="BS16" s="36">
        <v>0</v>
      </c>
      <c r="BT16" s="36">
        <v>0</v>
      </c>
      <c r="BU16" s="36">
        <v>0</v>
      </c>
      <c r="BV16" s="36">
        <v>0</v>
      </c>
      <c r="BW16" s="36">
        <v>0</v>
      </c>
      <c r="BX16" s="36">
        <v>0</v>
      </c>
      <c r="BY16" s="36">
        <v>0</v>
      </c>
    </row>
    <row r="17" spans="2:77" x14ac:dyDescent="0.3">
      <c r="B17" s="25" t="s">
        <v>170</v>
      </c>
      <c r="C17" s="25"/>
      <c r="D17" s="18">
        <v>0</v>
      </c>
      <c r="E17" s="18">
        <v>15408.37</v>
      </c>
      <c r="F17" s="18">
        <v>0</v>
      </c>
      <c r="G17" s="18">
        <v>0</v>
      </c>
      <c r="H17" s="18">
        <v>0</v>
      </c>
      <c r="I17" s="18">
        <v>0</v>
      </c>
      <c r="J17" s="18">
        <v>0</v>
      </c>
      <c r="K17" s="18">
        <v>0</v>
      </c>
      <c r="L17" s="18">
        <v>0</v>
      </c>
      <c r="M17" s="18">
        <v>0</v>
      </c>
      <c r="N17" s="8">
        <v>0</v>
      </c>
      <c r="O17" s="18">
        <v>0</v>
      </c>
      <c r="P17" s="18">
        <v>0</v>
      </c>
      <c r="Q17" s="18">
        <v>111752.72</v>
      </c>
      <c r="R17" s="18">
        <v>43039.71</v>
      </c>
      <c r="S17" s="18">
        <v>43039.71</v>
      </c>
      <c r="T17" s="18">
        <v>43039.71</v>
      </c>
      <c r="U17" s="18">
        <v>90567.93</v>
      </c>
      <c r="V17" s="18">
        <v>26656.85</v>
      </c>
      <c r="W17" s="18">
        <v>-250452.56</v>
      </c>
      <c r="X17" s="18">
        <v>26656.85</v>
      </c>
      <c r="Y17" s="18">
        <v>26756.85</v>
      </c>
      <c r="Z17" s="18">
        <v>26756.85</v>
      </c>
      <c r="AA17" s="18">
        <v>26756.85</v>
      </c>
      <c r="AB17" s="18">
        <v>26656.85</v>
      </c>
      <c r="AC17" s="36">
        <f t="shared" ref="AC17:AO17" si="66">AB17</f>
        <v>26656.85</v>
      </c>
      <c r="AD17" s="36">
        <f t="shared" si="66"/>
        <v>26656.85</v>
      </c>
      <c r="AE17" s="36">
        <f t="shared" si="66"/>
        <v>26656.85</v>
      </c>
      <c r="AF17" s="36">
        <f t="shared" si="66"/>
        <v>26656.85</v>
      </c>
      <c r="AG17" s="36">
        <f t="shared" si="66"/>
        <v>26656.85</v>
      </c>
      <c r="AH17" s="36">
        <f t="shared" si="66"/>
        <v>26656.85</v>
      </c>
      <c r="AI17" s="36">
        <f t="shared" si="66"/>
        <v>26656.85</v>
      </c>
      <c r="AJ17" s="36">
        <f t="shared" si="66"/>
        <v>26656.85</v>
      </c>
      <c r="AK17" s="36">
        <f t="shared" si="66"/>
        <v>26656.85</v>
      </c>
      <c r="AL17" s="36">
        <f t="shared" si="66"/>
        <v>26656.85</v>
      </c>
      <c r="AM17" s="36">
        <f t="shared" si="66"/>
        <v>26656.85</v>
      </c>
      <c r="AN17" s="36">
        <f t="shared" si="66"/>
        <v>26656.85</v>
      </c>
      <c r="AO17" s="36">
        <f t="shared" si="66"/>
        <v>26656.85</v>
      </c>
      <c r="AP17" s="36">
        <f t="shared" ref="AP17" si="67">AO17</f>
        <v>26656.85</v>
      </c>
      <c r="AQ17" s="36">
        <f t="shared" ref="AQ17" si="68">AP17</f>
        <v>26656.85</v>
      </c>
      <c r="AR17" s="36">
        <f t="shared" ref="AR17" si="69">AQ17</f>
        <v>26656.85</v>
      </c>
      <c r="AS17" s="36">
        <f t="shared" ref="AS17" si="70">AR17</f>
        <v>26656.85</v>
      </c>
      <c r="AT17" s="36">
        <f t="shared" ref="AT17" si="71">AS17</f>
        <v>26656.85</v>
      </c>
      <c r="AU17" s="36">
        <f t="shared" ref="AU17" si="72">AT17</f>
        <v>26656.85</v>
      </c>
      <c r="AV17" s="36">
        <f t="shared" ref="AV17" si="73">AU17</f>
        <v>26656.85</v>
      </c>
      <c r="AW17" s="36">
        <f t="shared" ref="AW17" si="74">AV17</f>
        <v>26656.85</v>
      </c>
      <c r="AX17" s="36">
        <f t="shared" ref="AX17" si="75">AW17</f>
        <v>26656.85</v>
      </c>
      <c r="AY17" s="36">
        <f t="shared" ref="AY17" si="76">AX17</f>
        <v>26656.85</v>
      </c>
      <c r="AZ17" s="36">
        <f t="shared" ref="AZ17" si="77">AY17</f>
        <v>26656.85</v>
      </c>
      <c r="BA17" s="36">
        <f t="shared" ref="BA17" si="78">AZ17</f>
        <v>26656.85</v>
      </c>
      <c r="BB17" s="36">
        <f t="shared" ref="BB17" si="79">BA17</f>
        <v>26656.85</v>
      </c>
      <c r="BC17" s="36">
        <f t="shared" ref="BC17" si="80">BB17</f>
        <v>26656.85</v>
      </c>
      <c r="BD17" s="36">
        <f t="shared" ref="BD17" si="81">BC17</f>
        <v>26656.85</v>
      </c>
      <c r="BE17" s="36">
        <f t="shared" ref="BE17" si="82">BD17</f>
        <v>26656.85</v>
      </c>
      <c r="BF17" s="36">
        <f t="shared" ref="BF17" si="83">BE17</f>
        <v>26656.85</v>
      </c>
      <c r="BG17" s="36">
        <f t="shared" ref="BG17" si="84">BF17</f>
        <v>26656.85</v>
      </c>
      <c r="BH17" s="36">
        <f t="shared" ref="BH17" si="85">BG17</f>
        <v>26656.85</v>
      </c>
      <c r="BI17" s="36">
        <f t="shared" ref="BI17" si="86">BH17</f>
        <v>26656.85</v>
      </c>
      <c r="BJ17" s="36">
        <f t="shared" ref="BJ17" si="87">BI17</f>
        <v>26656.85</v>
      </c>
      <c r="BK17" s="36">
        <f t="shared" ref="BK17" si="88">BJ17</f>
        <v>26656.85</v>
      </c>
      <c r="BL17" s="36">
        <f t="shared" ref="BL17" si="89">BK17</f>
        <v>26656.85</v>
      </c>
      <c r="BM17" s="36">
        <f t="shared" ref="BM17" si="90">BL17</f>
        <v>26656.85</v>
      </c>
      <c r="BN17" s="36">
        <f t="shared" ref="BN17" si="91">BM17</f>
        <v>26656.85</v>
      </c>
      <c r="BO17" s="36">
        <f t="shared" ref="BO17" si="92">BN17</f>
        <v>26656.85</v>
      </c>
      <c r="BP17" s="36">
        <f t="shared" ref="BP17" si="93">BO17</f>
        <v>26656.85</v>
      </c>
      <c r="BQ17" s="36">
        <f t="shared" ref="BQ17" si="94">BP17</f>
        <v>26656.85</v>
      </c>
      <c r="BR17" s="36">
        <f t="shared" ref="BR17" si="95">BQ17</f>
        <v>26656.85</v>
      </c>
      <c r="BS17" s="36">
        <f t="shared" ref="BS17" si="96">BR17</f>
        <v>26656.85</v>
      </c>
      <c r="BT17" s="36">
        <f t="shared" ref="BT17" si="97">BS17</f>
        <v>26656.85</v>
      </c>
      <c r="BU17" s="36">
        <f t="shared" ref="BU17" si="98">BT17</f>
        <v>26656.85</v>
      </c>
      <c r="BV17" s="36">
        <f t="shared" ref="BV17" si="99">BU17</f>
        <v>26656.85</v>
      </c>
      <c r="BW17" s="36">
        <f t="shared" ref="BW17" si="100">BV17</f>
        <v>26656.85</v>
      </c>
      <c r="BX17" s="36">
        <f t="shared" ref="BX17" si="101">BW17</f>
        <v>26656.85</v>
      </c>
      <c r="BY17" s="36">
        <f t="shared" ref="BY17" si="102">BX17</f>
        <v>26656.85</v>
      </c>
    </row>
    <row r="18" spans="2:77" collapsed="1" x14ac:dyDescent="0.3">
      <c r="B18" s="25" t="s">
        <v>171</v>
      </c>
      <c r="C18" s="25"/>
      <c r="D18" s="43">
        <f>SUM(D15:D17)</f>
        <v>75138.22</v>
      </c>
      <c r="E18" s="43">
        <f t="shared" ref="E18:M18" si="103">SUM(E15:E17)</f>
        <v>15408.37</v>
      </c>
      <c r="F18" s="43">
        <f t="shared" si="103"/>
        <v>0</v>
      </c>
      <c r="G18" s="43">
        <f t="shared" si="103"/>
        <v>0</v>
      </c>
      <c r="H18" s="43">
        <f t="shared" si="103"/>
        <v>0</v>
      </c>
      <c r="I18" s="43">
        <f t="shared" si="103"/>
        <v>0</v>
      </c>
      <c r="J18" s="43">
        <f t="shared" si="103"/>
        <v>0</v>
      </c>
      <c r="K18" s="43">
        <f t="shared" si="103"/>
        <v>0</v>
      </c>
      <c r="L18" s="43">
        <f t="shared" si="103"/>
        <v>0</v>
      </c>
      <c r="M18" s="43">
        <f t="shared" si="103"/>
        <v>0</v>
      </c>
      <c r="N18" s="43">
        <f t="shared" ref="N18" si="104">SUM(N15:N17)</f>
        <v>0</v>
      </c>
      <c r="O18" s="43">
        <f t="shared" ref="O18" si="105">SUM(O15:O17)</f>
        <v>0</v>
      </c>
      <c r="P18" s="43">
        <f t="shared" ref="P18" si="106">SUM(P15:P17)</f>
        <v>0</v>
      </c>
      <c r="Q18" s="43">
        <f t="shared" ref="Q18" si="107">SUM(Q15:Q17)</f>
        <v>111752.72</v>
      </c>
      <c r="R18" s="43">
        <f t="shared" ref="R18" si="108">SUM(R15:R17)</f>
        <v>43039.71</v>
      </c>
      <c r="S18" s="43">
        <f t="shared" ref="S18:T18" si="109">SUM(S15:S17)</f>
        <v>43039.71</v>
      </c>
      <c r="T18" s="43">
        <f t="shared" si="109"/>
        <v>43039.71</v>
      </c>
      <c r="U18" s="43">
        <f t="shared" ref="U18:V18" si="110">SUM(U15:U17)</f>
        <v>90567.93</v>
      </c>
      <c r="V18" s="43">
        <f t="shared" si="110"/>
        <v>26656.85</v>
      </c>
      <c r="W18" s="43">
        <f t="shared" ref="W18:X18" si="111">SUM(W15:W17)</f>
        <v>-250452.56</v>
      </c>
      <c r="X18" s="43">
        <f t="shared" si="111"/>
        <v>26656.85</v>
      </c>
      <c r="Y18" s="43">
        <f t="shared" ref="Y18" si="112">SUM(Y15:Y17)</f>
        <v>26756.85</v>
      </c>
      <c r="Z18" s="43">
        <f t="shared" ref="Z18" si="113">SUM(Z15:Z17)</f>
        <v>26756.85</v>
      </c>
      <c r="AA18" s="43">
        <f t="shared" ref="AA18" si="114">SUM(AA15:AA17)</f>
        <v>26756.85</v>
      </c>
      <c r="AB18" s="43">
        <f t="shared" ref="AB18" si="115">SUM(AB15:AB17)</f>
        <v>26656.85</v>
      </c>
      <c r="AC18" s="43">
        <f t="shared" ref="AC18" si="116">SUM(AC15:AC17)</f>
        <v>26656.85</v>
      </c>
      <c r="AD18" s="43">
        <f t="shared" ref="AD18" si="117">SUM(AD15:AD17)</f>
        <v>26656.85</v>
      </c>
      <c r="AE18" s="43">
        <f t="shared" ref="AE18" si="118">SUM(AE15:AE17)</f>
        <v>26656.85</v>
      </c>
      <c r="AF18" s="43">
        <f t="shared" ref="AF18" si="119">SUM(AF15:AF17)</f>
        <v>26656.85</v>
      </c>
      <c r="AG18" s="43">
        <f t="shared" ref="AG18" si="120">SUM(AG15:AG17)</f>
        <v>26656.85</v>
      </c>
      <c r="AH18" s="43">
        <f t="shared" ref="AH18" si="121">SUM(AH15:AH17)</f>
        <v>26656.85</v>
      </c>
      <c r="AI18" s="43">
        <f t="shared" ref="AI18" si="122">SUM(AI15:AI17)</f>
        <v>26656.85</v>
      </c>
      <c r="AJ18" s="43">
        <f t="shared" ref="AJ18" si="123">SUM(AJ15:AJ17)</f>
        <v>26656.85</v>
      </c>
      <c r="AK18" s="43">
        <f t="shared" ref="AK18" si="124">SUM(AK15:AK17)</f>
        <v>26656.85</v>
      </c>
      <c r="AL18" s="43">
        <f t="shared" ref="AL18" si="125">SUM(AL15:AL17)</f>
        <v>26656.85</v>
      </c>
      <c r="AM18" s="43">
        <f t="shared" ref="AM18" si="126">SUM(AM15:AM17)</f>
        <v>26656.85</v>
      </c>
      <c r="AN18" s="43">
        <f t="shared" ref="AN18" si="127">SUM(AN15:AN17)</f>
        <v>26656.85</v>
      </c>
      <c r="AO18" s="43">
        <f t="shared" ref="AO18" si="128">SUM(AO15:AO17)</f>
        <v>26656.85</v>
      </c>
      <c r="AP18" s="43">
        <f t="shared" ref="AP18:BM18" si="129">SUM(AP15:AP17)</f>
        <v>26656.85</v>
      </c>
      <c r="AQ18" s="43">
        <f t="shared" si="129"/>
        <v>26656.85</v>
      </c>
      <c r="AR18" s="43">
        <f t="shared" si="129"/>
        <v>26656.85</v>
      </c>
      <c r="AS18" s="43">
        <f t="shared" si="129"/>
        <v>26656.85</v>
      </c>
      <c r="AT18" s="43">
        <f t="shared" si="129"/>
        <v>26656.85</v>
      </c>
      <c r="AU18" s="43">
        <f t="shared" si="129"/>
        <v>26656.85</v>
      </c>
      <c r="AV18" s="43">
        <f t="shared" si="129"/>
        <v>26656.85</v>
      </c>
      <c r="AW18" s="43">
        <f t="shared" si="129"/>
        <v>26656.85</v>
      </c>
      <c r="AX18" s="43">
        <f t="shared" si="129"/>
        <v>26656.85</v>
      </c>
      <c r="AY18" s="43">
        <f t="shared" si="129"/>
        <v>26656.85</v>
      </c>
      <c r="AZ18" s="43">
        <f t="shared" si="129"/>
        <v>26656.85</v>
      </c>
      <c r="BA18" s="43">
        <f t="shared" si="129"/>
        <v>26656.85</v>
      </c>
      <c r="BB18" s="43">
        <f t="shared" si="129"/>
        <v>26656.85</v>
      </c>
      <c r="BC18" s="43">
        <f t="shared" si="129"/>
        <v>26656.85</v>
      </c>
      <c r="BD18" s="43">
        <f t="shared" si="129"/>
        <v>26656.85</v>
      </c>
      <c r="BE18" s="43">
        <f t="shared" si="129"/>
        <v>26656.85</v>
      </c>
      <c r="BF18" s="43">
        <f t="shared" si="129"/>
        <v>26656.85</v>
      </c>
      <c r="BG18" s="43">
        <f t="shared" si="129"/>
        <v>26656.85</v>
      </c>
      <c r="BH18" s="43">
        <f t="shared" si="129"/>
        <v>26656.85</v>
      </c>
      <c r="BI18" s="43">
        <f t="shared" si="129"/>
        <v>26656.85</v>
      </c>
      <c r="BJ18" s="43">
        <f t="shared" si="129"/>
        <v>26656.85</v>
      </c>
      <c r="BK18" s="43">
        <f t="shared" si="129"/>
        <v>26656.85</v>
      </c>
      <c r="BL18" s="43">
        <f t="shared" si="129"/>
        <v>26656.85</v>
      </c>
      <c r="BM18" s="43">
        <f t="shared" si="129"/>
        <v>26656.85</v>
      </c>
      <c r="BN18" s="43">
        <f t="shared" ref="BN18:BY18" si="130">SUM(BN15:BN17)</f>
        <v>26656.85</v>
      </c>
      <c r="BO18" s="43">
        <f t="shared" si="130"/>
        <v>26656.85</v>
      </c>
      <c r="BP18" s="43">
        <f t="shared" si="130"/>
        <v>26656.85</v>
      </c>
      <c r="BQ18" s="43">
        <f t="shared" si="130"/>
        <v>26656.85</v>
      </c>
      <c r="BR18" s="43">
        <f t="shared" si="130"/>
        <v>26656.85</v>
      </c>
      <c r="BS18" s="43">
        <f t="shared" si="130"/>
        <v>26656.85</v>
      </c>
      <c r="BT18" s="43">
        <f t="shared" si="130"/>
        <v>26656.85</v>
      </c>
      <c r="BU18" s="43">
        <f t="shared" si="130"/>
        <v>26656.85</v>
      </c>
      <c r="BV18" s="43">
        <f t="shared" si="130"/>
        <v>26656.85</v>
      </c>
      <c r="BW18" s="43">
        <f t="shared" si="130"/>
        <v>26656.85</v>
      </c>
      <c r="BX18" s="43">
        <f t="shared" si="130"/>
        <v>26656.85</v>
      </c>
      <c r="BY18" s="43">
        <f t="shared" si="130"/>
        <v>26656.85</v>
      </c>
    </row>
    <row r="19" spans="2:77" x14ac:dyDescent="0.3">
      <c r="B19" s="25" t="s">
        <v>172</v>
      </c>
      <c r="C19" s="25"/>
      <c r="D19" s="18">
        <v>0</v>
      </c>
      <c r="E19" s="18">
        <v>0</v>
      </c>
      <c r="F19" s="18">
        <v>0</v>
      </c>
      <c r="G19" s="18">
        <v>0</v>
      </c>
      <c r="H19" s="18">
        <v>0</v>
      </c>
      <c r="I19" s="18">
        <v>0</v>
      </c>
      <c r="J19" s="18">
        <v>0</v>
      </c>
      <c r="K19" s="18">
        <v>0</v>
      </c>
      <c r="L19" s="18">
        <v>0</v>
      </c>
      <c r="M19" s="18">
        <v>0</v>
      </c>
      <c r="N19" s="8">
        <v>0</v>
      </c>
      <c r="O19" s="18">
        <v>0</v>
      </c>
      <c r="P19" s="18">
        <v>0</v>
      </c>
      <c r="Q19" s="18">
        <v>0</v>
      </c>
      <c r="R19" s="18">
        <v>0</v>
      </c>
      <c r="S19" s="18">
        <v>0</v>
      </c>
      <c r="T19" s="18">
        <v>0</v>
      </c>
      <c r="U19" s="18">
        <v>0</v>
      </c>
      <c r="V19" s="18">
        <v>0</v>
      </c>
      <c r="W19" s="18">
        <v>0</v>
      </c>
      <c r="X19" s="18">
        <v>0</v>
      </c>
      <c r="Y19" s="18">
        <v>0</v>
      </c>
      <c r="Z19" s="18">
        <v>0</v>
      </c>
      <c r="AA19" s="18">
        <v>0</v>
      </c>
      <c r="AB19" s="18">
        <v>0</v>
      </c>
      <c r="AC19" s="36">
        <v>0</v>
      </c>
      <c r="AD19" s="36">
        <v>0</v>
      </c>
      <c r="AE19" s="36">
        <v>0</v>
      </c>
      <c r="AF19" s="36">
        <v>0</v>
      </c>
      <c r="AG19" s="36">
        <v>0</v>
      </c>
      <c r="AH19" s="36">
        <v>0</v>
      </c>
      <c r="AI19" s="36">
        <v>0</v>
      </c>
      <c r="AJ19" s="36">
        <v>0</v>
      </c>
      <c r="AK19" s="36">
        <v>0</v>
      </c>
      <c r="AL19" s="36">
        <v>0</v>
      </c>
      <c r="AM19" s="36">
        <v>0</v>
      </c>
      <c r="AN19" s="36">
        <v>0</v>
      </c>
      <c r="AO19" s="36">
        <v>0</v>
      </c>
      <c r="AP19" s="36">
        <v>0</v>
      </c>
      <c r="AQ19" s="36">
        <v>0</v>
      </c>
      <c r="AR19" s="36">
        <v>0</v>
      </c>
      <c r="AS19" s="36">
        <v>0</v>
      </c>
      <c r="AT19" s="36">
        <v>0</v>
      </c>
      <c r="AU19" s="36">
        <v>0</v>
      </c>
      <c r="AV19" s="36">
        <v>0</v>
      </c>
      <c r="AW19" s="36">
        <v>0</v>
      </c>
      <c r="AX19" s="36">
        <v>0</v>
      </c>
      <c r="AY19" s="36">
        <v>0</v>
      </c>
      <c r="AZ19" s="36">
        <v>0</v>
      </c>
      <c r="BA19" s="36">
        <v>0</v>
      </c>
      <c r="BB19" s="36">
        <v>0</v>
      </c>
      <c r="BC19" s="36">
        <v>0</v>
      </c>
      <c r="BD19" s="36">
        <v>0</v>
      </c>
      <c r="BE19" s="36">
        <v>0</v>
      </c>
      <c r="BF19" s="36">
        <v>0</v>
      </c>
      <c r="BG19" s="36">
        <v>0</v>
      </c>
      <c r="BH19" s="36">
        <v>0</v>
      </c>
      <c r="BI19" s="36">
        <v>0</v>
      </c>
      <c r="BJ19" s="36">
        <v>0</v>
      </c>
      <c r="BK19" s="36">
        <v>0</v>
      </c>
      <c r="BL19" s="36">
        <v>0</v>
      </c>
      <c r="BM19" s="36">
        <v>0</v>
      </c>
      <c r="BN19" s="36">
        <v>0</v>
      </c>
      <c r="BO19" s="36">
        <v>0</v>
      </c>
      <c r="BP19" s="36">
        <v>0</v>
      </c>
      <c r="BQ19" s="36">
        <v>0</v>
      </c>
      <c r="BR19" s="36">
        <v>0</v>
      </c>
      <c r="BS19" s="36">
        <v>0</v>
      </c>
      <c r="BT19" s="36">
        <v>0</v>
      </c>
      <c r="BU19" s="36">
        <v>0</v>
      </c>
      <c r="BV19" s="36">
        <v>0</v>
      </c>
      <c r="BW19" s="36">
        <v>0</v>
      </c>
      <c r="BX19" s="36">
        <v>0</v>
      </c>
      <c r="BY19" s="36">
        <v>0</v>
      </c>
    </row>
    <row r="20" spans="2:77" x14ac:dyDescent="0.3">
      <c r="B20" s="25" t="s">
        <v>383</v>
      </c>
      <c r="C20" s="25"/>
      <c r="D20" s="18">
        <v>0</v>
      </c>
      <c r="E20" s="18">
        <v>0</v>
      </c>
      <c r="F20" s="18">
        <v>0</v>
      </c>
      <c r="G20" s="18">
        <v>0</v>
      </c>
      <c r="H20" s="18">
        <v>0</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6950</v>
      </c>
      <c r="Z20" s="18">
        <v>6345.83</v>
      </c>
      <c r="AA20" s="18">
        <v>9316.66</v>
      </c>
      <c r="AB20" s="18">
        <v>10152.49</v>
      </c>
      <c r="AC20" s="36">
        <f t="shared" ref="AC20" si="131">AB20</f>
        <v>10152.49</v>
      </c>
      <c r="AD20" s="36">
        <f t="shared" ref="AD20" si="132">AC20</f>
        <v>10152.49</v>
      </c>
      <c r="AE20" s="36">
        <f t="shared" ref="AE20" si="133">AD20</f>
        <v>10152.49</v>
      </c>
      <c r="AF20" s="36">
        <f t="shared" ref="AF20" si="134">AE20</f>
        <v>10152.49</v>
      </c>
      <c r="AG20" s="36">
        <f t="shared" ref="AG20" si="135">AF20</f>
        <v>10152.49</v>
      </c>
      <c r="AH20" s="36">
        <f t="shared" ref="AH20" si="136">AG20</f>
        <v>10152.49</v>
      </c>
      <c r="AI20" s="36">
        <f t="shared" ref="AI20" si="137">AH20</f>
        <v>10152.49</v>
      </c>
      <c r="AJ20" s="36">
        <f t="shared" ref="AJ20" si="138">AI20</f>
        <v>10152.49</v>
      </c>
      <c r="AK20" s="36">
        <f t="shared" ref="AK20" si="139">AJ20</f>
        <v>10152.49</v>
      </c>
      <c r="AL20" s="36">
        <f t="shared" ref="AL20" si="140">AK20</f>
        <v>10152.49</v>
      </c>
      <c r="AM20" s="36">
        <f t="shared" ref="AM20" si="141">AL20</f>
        <v>10152.49</v>
      </c>
      <c r="AN20" s="36">
        <f t="shared" ref="AN20" si="142">AM20</f>
        <v>10152.49</v>
      </c>
      <c r="AO20" s="36">
        <f t="shared" ref="AO20" si="143">AN20</f>
        <v>10152.49</v>
      </c>
      <c r="AP20" s="36">
        <f t="shared" ref="AP20:AP23" si="144">AO20</f>
        <v>10152.49</v>
      </c>
      <c r="AQ20" s="36">
        <f t="shared" ref="AQ20:AQ23" si="145">AP20</f>
        <v>10152.49</v>
      </c>
      <c r="AR20" s="36">
        <f t="shared" ref="AR20:AR23" si="146">AQ20</f>
        <v>10152.49</v>
      </c>
      <c r="AS20" s="36">
        <f t="shared" ref="AS20:AS23" si="147">AR20</f>
        <v>10152.49</v>
      </c>
      <c r="AT20" s="36">
        <f t="shared" ref="AT20:AT23" si="148">AS20</f>
        <v>10152.49</v>
      </c>
      <c r="AU20" s="36">
        <f t="shared" ref="AU20:AU23" si="149">AT20</f>
        <v>10152.49</v>
      </c>
      <c r="AV20" s="36">
        <f t="shared" ref="AV20:AV23" si="150">AU20</f>
        <v>10152.49</v>
      </c>
      <c r="AW20" s="36">
        <f t="shared" ref="AW20:AW23" si="151">AV20</f>
        <v>10152.49</v>
      </c>
      <c r="AX20" s="36">
        <f t="shared" ref="AX20:AX23" si="152">AW20</f>
        <v>10152.49</v>
      </c>
      <c r="AY20" s="36">
        <f t="shared" ref="AY20:AY23" si="153">AX20</f>
        <v>10152.49</v>
      </c>
      <c r="AZ20" s="36">
        <f t="shared" ref="AZ20:AZ23" si="154">AY20</f>
        <v>10152.49</v>
      </c>
      <c r="BA20" s="36">
        <f t="shared" ref="BA20:BA23" si="155">AZ20</f>
        <v>10152.49</v>
      </c>
      <c r="BB20" s="36">
        <f t="shared" ref="BB20:BB23" si="156">BA20</f>
        <v>10152.49</v>
      </c>
      <c r="BC20" s="36">
        <f t="shared" ref="BC20:BC23" si="157">BB20</f>
        <v>10152.49</v>
      </c>
      <c r="BD20" s="36">
        <f t="shared" ref="BD20:BD23" si="158">BC20</f>
        <v>10152.49</v>
      </c>
      <c r="BE20" s="36">
        <f t="shared" ref="BE20:BE23" si="159">BD20</f>
        <v>10152.49</v>
      </c>
      <c r="BF20" s="36">
        <f t="shared" ref="BF20:BF23" si="160">BE20</f>
        <v>10152.49</v>
      </c>
      <c r="BG20" s="36">
        <f t="shared" ref="BG20:BG23" si="161">BF20</f>
        <v>10152.49</v>
      </c>
      <c r="BH20" s="36">
        <f t="shared" ref="BH20:BH23" si="162">BG20</f>
        <v>10152.49</v>
      </c>
      <c r="BI20" s="36">
        <f t="shared" ref="BI20:BI23" si="163">BH20</f>
        <v>10152.49</v>
      </c>
      <c r="BJ20" s="36">
        <f t="shared" ref="BJ20:BJ23" si="164">BI20</f>
        <v>10152.49</v>
      </c>
      <c r="BK20" s="36">
        <f t="shared" ref="BK20:BK23" si="165">BJ20</f>
        <v>10152.49</v>
      </c>
      <c r="BL20" s="36">
        <f t="shared" ref="BL20:BL23" si="166">BK20</f>
        <v>10152.49</v>
      </c>
      <c r="BM20" s="36">
        <f t="shared" ref="BM20:BM23" si="167">BL20</f>
        <v>10152.49</v>
      </c>
      <c r="BN20" s="36">
        <f t="shared" ref="BN20:BN23" si="168">BM20</f>
        <v>10152.49</v>
      </c>
      <c r="BO20" s="36">
        <f t="shared" ref="BO20:BO23" si="169">BN20</f>
        <v>10152.49</v>
      </c>
      <c r="BP20" s="36">
        <f t="shared" ref="BP20:BP23" si="170">BO20</f>
        <v>10152.49</v>
      </c>
      <c r="BQ20" s="36">
        <f t="shared" ref="BQ20:BQ23" si="171">BP20</f>
        <v>10152.49</v>
      </c>
      <c r="BR20" s="36">
        <f t="shared" ref="BR20:BR23" si="172">BQ20</f>
        <v>10152.49</v>
      </c>
      <c r="BS20" s="36">
        <f t="shared" ref="BS20:BS23" si="173">BR20</f>
        <v>10152.49</v>
      </c>
      <c r="BT20" s="36">
        <f t="shared" ref="BT20:BT23" si="174">BS20</f>
        <v>10152.49</v>
      </c>
      <c r="BU20" s="36">
        <f t="shared" ref="BU20:BU23" si="175">BT20</f>
        <v>10152.49</v>
      </c>
      <c r="BV20" s="36">
        <f t="shared" ref="BV20:BV23" si="176">BU20</f>
        <v>10152.49</v>
      </c>
      <c r="BW20" s="36">
        <f t="shared" ref="BW20:BW23" si="177">BV20</f>
        <v>10152.49</v>
      </c>
      <c r="BX20" s="36">
        <f t="shared" ref="BX20:BX23" si="178">BW20</f>
        <v>10152.49</v>
      </c>
      <c r="BY20" s="36">
        <f t="shared" ref="BY20:BY23" si="179">BX20</f>
        <v>10152.49</v>
      </c>
    </row>
    <row r="21" spans="2:77" x14ac:dyDescent="0.3">
      <c r="B21" s="25" t="s">
        <v>333</v>
      </c>
      <c r="C21" s="25"/>
      <c r="D21" s="18">
        <v>0</v>
      </c>
      <c r="E21" s="18">
        <v>0</v>
      </c>
      <c r="F21" s="18">
        <v>0</v>
      </c>
      <c r="G21" s="18">
        <v>0</v>
      </c>
      <c r="H21" s="18">
        <v>0</v>
      </c>
      <c r="I21" s="18">
        <v>0</v>
      </c>
      <c r="J21" s="18">
        <v>0</v>
      </c>
      <c r="K21" s="18">
        <v>0</v>
      </c>
      <c r="L21" s="18">
        <v>0</v>
      </c>
      <c r="M21" s="18">
        <v>0</v>
      </c>
      <c r="N21" s="8">
        <v>0</v>
      </c>
      <c r="O21" s="18">
        <v>0</v>
      </c>
      <c r="P21" s="18">
        <v>22488.99</v>
      </c>
      <c r="Q21" s="18">
        <v>22488.99</v>
      </c>
      <c r="R21" s="18">
        <v>22488.99</v>
      </c>
      <c r="S21" s="18">
        <v>22488.99</v>
      </c>
      <c r="T21" s="18">
        <v>25285.99</v>
      </c>
      <c r="U21" s="18">
        <v>31146.74</v>
      </c>
      <c r="V21" s="18">
        <v>26868.29</v>
      </c>
      <c r="W21" s="18">
        <v>27621.27</v>
      </c>
      <c r="X21" s="18">
        <v>26784.13</v>
      </c>
      <c r="Y21" s="18">
        <v>27723.3</v>
      </c>
      <c r="Z21" s="18">
        <v>26867.26</v>
      </c>
      <c r="AA21" s="18">
        <v>26867.26</v>
      </c>
      <c r="AB21" s="18">
        <v>26867.26</v>
      </c>
      <c r="AC21" s="36">
        <f t="shared" ref="AC21:AO23" si="180">AB21</f>
        <v>26867.26</v>
      </c>
      <c r="AD21" s="36">
        <f t="shared" si="180"/>
        <v>26867.26</v>
      </c>
      <c r="AE21" s="36">
        <f t="shared" si="180"/>
        <v>26867.26</v>
      </c>
      <c r="AF21" s="36">
        <f t="shared" si="180"/>
        <v>26867.26</v>
      </c>
      <c r="AG21" s="36">
        <f t="shared" si="180"/>
        <v>26867.26</v>
      </c>
      <c r="AH21" s="36">
        <f t="shared" si="180"/>
        <v>26867.26</v>
      </c>
      <c r="AI21" s="36">
        <f t="shared" si="180"/>
        <v>26867.26</v>
      </c>
      <c r="AJ21" s="36">
        <f t="shared" si="180"/>
        <v>26867.26</v>
      </c>
      <c r="AK21" s="36">
        <f t="shared" si="180"/>
        <v>26867.26</v>
      </c>
      <c r="AL21" s="36">
        <f t="shared" si="180"/>
        <v>26867.26</v>
      </c>
      <c r="AM21" s="36">
        <f t="shared" si="180"/>
        <v>26867.26</v>
      </c>
      <c r="AN21" s="36">
        <f t="shared" si="180"/>
        <v>26867.26</v>
      </c>
      <c r="AO21" s="36">
        <f t="shared" si="180"/>
        <v>26867.26</v>
      </c>
      <c r="AP21" s="36">
        <f t="shared" si="144"/>
        <v>26867.26</v>
      </c>
      <c r="AQ21" s="36">
        <f t="shared" si="145"/>
        <v>26867.26</v>
      </c>
      <c r="AR21" s="36">
        <f t="shared" si="146"/>
        <v>26867.26</v>
      </c>
      <c r="AS21" s="36">
        <f t="shared" si="147"/>
        <v>26867.26</v>
      </c>
      <c r="AT21" s="36">
        <f t="shared" si="148"/>
        <v>26867.26</v>
      </c>
      <c r="AU21" s="36">
        <f t="shared" si="149"/>
        <v>26867.26</v>
      </c>
      <c r="AV21" s="36">
        <f t="shared" si="150"/>
        <v>26867.26</v>
      </c>
      <c r="AW21" s="36">
        <f t="shared" si="151"/>
        <v>26867.26</v>
      </c>
      <c r="AX21" s="36">
        <f t="shared" si="152"/>
        <v>26867.26</v>
      </c>
      <c r="AY21" s="36">
        <f t="shared" si="153"/>
        <v>26867.26</v>
      </c>
      <c r="AZ21" s="36">
        <f t="shared" si="154"/>
        <v>26867.26</v>
      </c>
      <c r="BA21" s="36">
        <f t="shared" si="155"/>
        <v>26867.26</v>
      </c>
      <c r="BB21" s="36">
        <f t="shared" si="156"/>
        <v>26867.26</v>
      </c>
      <c r="BC21" s="36">
        <f t="shared" si="157"/>
        <v>26867.26</v>
      </c>
      <c r="BD21" s="36">
        <f t="shared" si="158"/>
        <v>26867.26</v>
      </c>
      <c r="BE21" s="36">
        <f t="shared" si="159"/>
        <v>26867.26</v>
      </c>
      <c r="BF21" s="36">
        <f t="shared" si="160"/>
        <v>26867.26</v>
      </c>
      <c r="BG21" s="36">
        <f t="shared" si="161"/>
        <v>26867.26</v>
      </c>
      <c r="BH21" s="36">
        <f t="shared" si="162"/>
        <v>26867.26</v>
      </c>
      <c r="BI21" s="36">
        <f t="shared" si="163"/>
        <v>26867.26</v>
      </c>
      <c r="BJ21" s="36">
        <f t="shared" si="164"/>
        <v>26867.26</v>
      </c>
      <c r="BK21" s="36">
        <f t="shared" si="165"/>
        <v>26867.26</v>
      </c>
      <c r="BL21" s="36">
        <f t="shared" si="166"/>
        <v>26867.26</v>
      </c>
      <c r="BM21" s="36">
        <f t="shared" si="167"/>
        <v>26867.26</v>
      </c>
      <c r="BN21" s="36">
        <f t="shared" si="168"/>
        <v>26867.26</v>
      </c>
      <c r="BO21" s="36">
        <f t="shared" si="169"/>
        <v>26867.26</v>
      </c>
      <c r="BP21" s="36">
        <f t="shared" si="170"/>
        <v>26867.26</v>
      </c>
      <c r="BQ21" s="36">
        <f t="shared" si="171"/>
        <v>26867.26</v>
      </c>
      <c r="BR21" s="36">
        <f t="shared" si="172"/>
        <v>26867.26</v>
      </c>
      <c r="BS21" s="36">
        <f t="shared" si="173"/>
        <v>26867.26</v>
      </c>
      <c r="BT21" s="36">
        <f t="shared" si="174"/>
        <v>26867.26</v>
      </c>
      <c r="BU21" s="36">
        <f t="shared" si="175"/>
        <v>26867.26</v>
      </c>
      <c r="BV21" s="36">
        <f t="shared" si="176"/>
        <v>26867.26</v>
      </c>
      <c r="BW21" s="36">
        <f t="shared" si="177"/>
        <v>26867.26</v>
      </c>
      <c r="BX21" s="36">
        <f t="shared" si="178"/>
        <v>26867.26</v>
      </c>
      <c r="BY21" s="36">
        <f t="shared" si="179"/>
        <v>26867.26</v>
      </c>
    </row>
    <row r="22" spans="2:77" x14ac:dyDescent="0.3">
      <c r="B22" s="25" t="s">
        <v>341</v>
      </c>
      <c r="C22" s="25"/>
      <c r="D22" s="18">
        <v>0</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2885</v>
      </c>
      <c r="W22" s="18">
        <v>914.5</v>
      </c>
      <c r="X22" s="18">
        <v>1125.52</v>
      </c>
      <c r="Y22" s="18">
        <v>535.66999999999996</v>
      </c>
      <c r="Z22" s="18">
        <v>1139.06</v>
      </c>
      <c r="AA22" s="18">
        <v>1937.79</v>
      </c>
      <c r="AB22" s="18">
        <v>3859.47</v>
      </c>
      <c r="AC22" s="36">
        <f t="shared" si="180"/>
        <v>3859.47</v>
      </c>
      <c r="AD22" s="36">
        <f t="shared" si="180"/>
        <v>3859.47</v>
      </c>
      <c r="AE22" s="36">
        <f t="shared" si="180"/>
        <v>3859.47</v>
      </c>
      <c r="AF22" s="36">
        <f t="shared" si="180"/>
        <v>3859.47</v>
      </c>
      <c r="AG22" s="36">
        <f t="shared" si="180"/>
        <v>3859.47</v>
      </c>
      <c r="AH22" s="36">
        <f t="shared" si="180"/>
        <v>3859.47</v>
      </c>
      <c r="AI22" s="36">
        <f t="shared" si="180"/>
        <v>3859.47</v>
      </c>
      <c r="AJ22" s="36">
        <f t="shared" si="180"/>
        <v>3859.47</v>
      </c>
      <c r="AK22" s="36">
        <f t="shared" si="180"/>
        <v>3859.47</v>
      </c>
      <c r="AL22" s="36">
        <f t="shared" si="180"/>
        <v>3859.47</v>
      </c>
      <c r="AM22" s="36">
        <f t="shared" si="180"/>
        <v>3859.47</v>
      </c>
      <c r="AN22" s="36">
        <f t="shared" si="180"/>
        <v>3859.47</v>
      </c>
      <c r="AO22" s="36">
        <f t="shared" si="180"/>
        <v>3859.47</v>
      </c>
      <c r="AP22" s="36">
        <f t="shared" si="144"/>
        <v>3859.47</v>
      </c>
      <c r="AQ22" s="36">
        <f t="shared" si="145"/>
        <v>3859.47</v>
      </c>
      <c r="AR22" s="36">
        <f t="shared" si="146"/>
        <v>3859.47</v>
      </c>
      <c r="AS22" s="36">
        <f t="shared" si="147"/>
        <v>3859.47</v>
      </c>
      <c r="AT22" s="36">
        <f t="shared" si="148"/>
        <v>3859.47</v>
      </c>
      <c r="AU22" s="36">
        <f t="shared" si="149"/>
        <v>3859.47</v>
      </c>
      <c r="AV22" s="36">
        <f t="shared" si="150"/>
        <v>3859.47</v>
      </c>
      <c r="AW22" s="36">
        <f t="shared" si="151"/>
        <v>3859.47</v>
      </c>
      <c r="AX22" s="36">
        <f t="shared" si="152"/>
        <v>3859.47</v>
      </c>
      <c r="AY22" s="36">
        <f t="shared" si="153"/>
        <v>3859.47</v>
      </c>
      <c r="AZ22" s="36">
        <f t="shared" si="154"/>
        <v>3859.47</v>
      </c>
      <c r="BA22" s="36">
        <f t="shared" si="155"/>
        <v>3859.47</v>
      </c>
      <c r="BB22" s="36">
        <f t="shared" si="156"/>
        <v>3859.47</v>
      </c>
      <c r="BC22" s="36">
        <f t="shared" si="157"/>
        <v>3859.47</v>
      </c>
      <c r="BD22" s="36">
        <f t="shared" si="158"/>
        <v>3859.47</v>
      </c>
      <c r="BE22" s="36">
        <f t="shared" si="159"/>
        <v>3859.47</v>
      </c>
      <c r="BF22" s="36">
        <f t="shared" si="160"/>
        <v>3859.47</v>
      </c>
      <c r="BG22" s="36">
        <f t="shared" si="161"/>
        <v>3859.47</v>
      </c>
      <c r="BH22" s="36">
        <f t="shared" si="162"/>
        <v>3859.47</v>
      </c>
      <c r="BI22" s="36">
        <f t="shared" si="163"/>
        <v>3859.47</v>
      </c>
      <c r="BJ22" s="36">
        <f t="shared" si="164"/>
        <v>3859.47</v>
      </c>
      <c r="BK22" s="36">
        <f t="shared" si="165"/>
        <v>3859.47</v>
      </c>
      <c r="BL22" s="36">
        <f t="shared" si="166"/>
        <v>3859.47</v>
      </c>
      <c r="BM22" s="36">
        <f t="shared" si="167"/>
        <v>3859.47</v>
      </c>
      <c r="BN22" s="36">
        <f t="shared" si="168"/>
        <v>3859.47</v>
      </c>
      <c r="BO22" s="36">
        <f t="shared" si="169"/>
        <v>3859.47</v>
      </c>
      <c r="BP22" s="36">
        <f t="shared" si="170"/>
        <v>3859.47</v>
      </c>
      <c r="BQ22" s="36">
        <f t="shared" si="171"/>
        <v>3859.47</v>
      </c>
      <c r="BR22" s="36">
        <f t="shared" si="172"/>
        <v>3859.47</v>
      </c>
      <c r="BS22" s="36">
        <f t="shared" si="173"/>
        <v>3859.47</v>
      </c>
      <c r="BT22" s="36">
        <f t="shared" si="174"/>
        <v>3859.47</v>
      </c>
      <c r="BU22" s="36">
        <f t="shared" si="175"/>
        <v>3859.47</v>
      </c>
      <c r="BV22" s="36">
        <f t="shared" si="176"/>
        <v>3859.47</v>
      </c>
      <c r="BW22" s="36">
        <f t="shared" si="177"/>
        <v>3859.47</v>
      </c>
      <c r="BX22" s="36">
        <f t="shared" si="178"/>
        <v>3859.47</v>
      </c>
      <c r="BY22" s="36">
        <f t="shared" si="179"/>
        <v>3859.47</v>
      </c>
    </row>
    <row r="23" spans="2:77" x14ac:dyDescent="0.3">
      <c r="B23" s="25" t="s">
        <v>173</v>
      </c>
      <c r="C23" s="25"/>
      <c r="D23" s="18">
        <v>0</v>
      </c>
      <c r="E23" s="18">
        <v>8098</v>
      </c>
      <c r="F23" s="18">
        <v>0</v>
      </c>
      <c r="G23" s="18">
        <v>0</v>
      </c>
      <c r="H23" s="18">
        <v>0</v>
      </c>
      <c r="I23" s="18">
        <v>0</v>
      </c>
      <c r="J23" s="18">
        <v>0</v>
      </c>
      <c r="K23" s="18">
        <v>0</v>
      </c>
      <c r="L23" s="18">
        <v>0</v>
      </c>
      <c r="M23" s="18">
        <v>8331</v>
      </c>
      <c r="N23" s="18">
        <v>0</v>
      </c>
      <c r="O23" s="18">
        <v>57078.32</v>
      </c>
      <c r="P23" s="18">
        <v>0</v>
      </c>
      <c r="Q23" s="18">
        <v>32398</v>
      </c>
      <c r="R23" s="18">
        <v>8331</v>
      </c>
      <c r="S23" s="18">
        <v>8331</v>
      </c>
      <c r="T23" s="18">
        <v>8331</v>
      </c>
      <c r="U23" s="18">
        <v>8331</v>
      </c>
      <c r="V23" s="18">
        <v>8331</v>
      </c>
      <c r="W23" s="18">
        <v>58516.74</v>
      </c>
      <c r="X23" s="18">
        <v>8331</v>
      </c>
      <c r="Y23" s="18">
        <v>8331</v>
      </c>
      <c r="Z23" s="18">
        <v>9131</v>
      </c>
      <c r="AA23" s="18">
        <v>8331</v>
      </c>
      <c r="AB23" s="18">
        <v>8331</v>
      </c>
      <c r="AC23" s="36">
        <f t="shared" si="180"/>
        <v>8331</v>
      </c>
      <c r="AD23" s="36">
        <f t="shared" si="180"/>
        <v>8331</v>
      </c>
      <c r="AE23" s="36">
        <f t="shared" si="180"/>
        <v>8331</v>
      </c>
      <c r="AF23" s="36">
        <f t="shared" si="180"/>
        <v>8331</v>
      </c>
      <c r="AG23" s="36">
        <f t="shared" si="180"/>
        <v>8331</v>
      </c>
      <c r="AH23" s="36">
        <f t="shared" si="180"/>
        <v>8331</v>
      </c>
      <c r="AI23" s="36">
        <f t="shared" si="180"/>
        <v>8331</v>
      </c>
      <c r="AJ23" s="36">
        <f t="shared" si="180"/>
        <v>8331</v>
      </c>
      <c r="AK23" s="36">
        <f t="shared" si="180"/>
        <v>8331</v>
      </c>
      <c r="AL23" s="36">
        <f t="shared" si="180"/>
        <v>8331</v>
      </c>
      <c r="AM23" s="36">
        <f t="shared" si="180"/>
        <v>8331</v>
      </c>
      <c r="AN23" s="36">
        <f t="shared" si="180"/>
        <v>8331</v>
      </c>
      <c r="AO23" s="36">
        <f t="shared" si="180"/>
        <v>8331</v>
      </c>
      <c r="AP23" s="36">
        <f t="shared" si="144"/>
        <v>8331</v>
      </c>
      <c r="AQ23" s="36">
        <f t="shared" si="145"/>
        <v>8331</v>
      </c>
      <c r="AR23" s="36">
        <f t="shared" si="146"/>
        <v>8331</v>
      </c>
      <c r="AS23" s="36">
        <f t="shared" si="147"/>
        <v>8331</v>
      </c>
      <c r="AT23" s="36">
        <f t="shared" si="148"/>
        <v>8331</v>
      </c>
      <c r="AU23" s="36">
        <f t="shared" si="149"/>
        <v>8331</v>
      </c>
      <c r="AV23" s="36">
        <f t="shared" si="150"/>
        <v>8331</v>
      </c>
      <c r="AW23" s="36">
        <f t="shared" si="151"/>
        <v>8331</v>
      </c>
      <c r="AX23" s="36">
        <f t="shared" si="152"/>
        <v>8331</v>
      </c>
      <c r="AY23" s="36">
        <f t="shared" si="153"/>
        <v>8331</v>
      </c>
      <c r="AZ23" s="36">
        <f t="shared" si="154"/>
        <v>8331</v>
      </c>
      <c r="BA23" s="36">
        <f t="shared" si="155"/>
        <v>8331</v>
      </c>
      <c r="BB23" s="36">
        <f t="shared" si="156"/>
        <v>8331</v>
      </c>
      <c r="BC23" s="36">
        <f t="shared" si="157"/>
        <v>8331</v>
      </c>
      <c r="BD23" s="36">
        <f t="shared" si="158"/>
        <v>8331</v>
      </c>
      <c r="BE23" s="36">
        <f t="shared" si="159"/>
        <v>8331</v>
      </c>
      <c r="BF23" s="36">
        <f t="shared" si="160"/>
        <v>8331</v>
      </c>
      <c r="BG23" s="36">
        <f t="shared" si="161"/>
        <v>8331</v>
      </c>
      <c r="BH23" s="36">
        <f t="shared" si="162"/>
        <v>8331</v>
      </c>
      <c r="BI23" s="36">
        <f t="shared" si="163"/>
        <v>8331</v>
      </c>
      <c r="BJ23" s="36">
        <f t="shared" si="164"/>
        <v>8331</v>
      </c>
      <c r="BK23" s="36">
        <f t="shared" si="165"/>
        <v>8331</v>
      </c>
      <c r="BL23" s="36">
        <f t="shared" si="166"/>
        <v>8331</v>
      </c>
      <c r="BM23" s="36">
        <f t="shared" si="167"/>
        <v>8331</v>
      </c>
      <c r="BN23" s="36">
        <f t="shared" si="168"/>
        <v>8331</v>
      </c>
      <c r="BO23" s="36">
        <f t="shared" si="169"/>
        <v>8331</v>
      </c>
      <c r="BP23" s="36">
        <f t="shared" si="170"/>
        <v>8331</v>
      </c>
      <c r="BQ23" s="36">
        <f t="shared" si="171"/>
        <v>8331</v>
      </c>
      <c r="BR23" s="36">
        <f t="shared" si="172"/>
        <v>8331</v>
      </c>
      <c r="BS23" s="36">
        <f t="shared" si="173"/>
        <v>8331</v>
      </c>
      <c r="BT23" s="36">
        <f t="shared" si="174"/>
        <v>8331</v>
      </c>
      <c r="BU23" s="36">
        <f t="shared" si="175"/>
        <v>8331</v>
      </c>
      <c r="BV23" s="36">
        <f t="shared" si="176"/>
        <v>8331</v>
      </c>
      <c r="BW23" s="36">
        <f t="shared" si="177"/>
        <v>8331</v>
      </c>
      <c r="BX23" s="36">
        <f t="shared" si="178"/>
        <v>8331</v>
      </c>
      <c r="BY23" s="36">
        <f t="shared" si="179"/>
        <v>8331</v>
      </c>
    </row>
    <row r="24" spans="2:77" x14ac:dyDescent="0.3">
      <c r="B24" s="25" t="s">
        <v>174</v>
      </c>
      <c r="C24" s="25"/>
      <c r="D24" s="18">
        <v>0</v>
      </c>
      <c r="E24" s="18">
        <v>0</v>
      </c>
      <c r="F24" s="18">
        <v>0</v>
      </c>
      <c r="G24" s="18">
        <v>0</v>
      </c>
      <c r="H24" s="18">
        <v>0</v>
      </c>
      <c r="I24" s="18">
        <v>0</v>
      </c>
      <c r="J24" s="18">
        <v>0</v>
      </c>
      <c r="K24" s="18">
        <v>0</v>
      </c>
      <c r="L24" s="18">
        <v>0</v>
      </c>
      <c r="M24" s="18">
        <v>0</v>
      </c>
      <c r="N24" s="8">
        <v>0</v>
      </c>
      <c r="O24" s="18">
        <v>0</v>
      </c>
      <c r="P24" s="18">
        <v>0</v>
      </c>
      <c r="Q24" s="18">
        <v>0</v>
      </c>
      <c r="R24" s="18">
        <v>0</v>
      </c>
      <c r="S24" s="18">
        <v>0</v>
      </c>
      <c r="T24" s="18">
        <v>0</v>
      </c>
      <c r="U24" s="18">
        <v>0</v>
      </c>
      <c r="V24" s="18">
        <v>0</v>
      </c>
      <c r="W24" s="18">
        <v>0</v>
      </c>
      <c r="X24" s="18">
        <v>0</v>
      </c>
      <c r="Y24" s="18">
        <v>0</v>
      </c>
      <c r="Z24" s="18">
        <v>0</v>
      </c>
      <c r="AA24" s="18">
        <v>0</v>
      </c>
      <c r="AB24" s="18">
        <v>0</v>
      </c>
      <c r="AC24" s="36">
        <v>0</v>
      </c>
      <c r="AD24" s="36">
        <v>0</v>
      </c>
      <c r="AE24" s="36">
        <v>0</v>
      </c>
      <c r="AF24" s="36">
        <v>0</v>
      </c>
      <c r="AG24" s="36">
        <v>0</v>
      </c>
      <c r="AH24" s="36">
        <v>0</v>
      </c>
      <c r="AI24" s="36">
        <v>0</v>
      </c>
      <c r="AJ24" s="36">
        <v>0</v>
      </c>
      <c r="AK24" s="36">
        <v>0</v>
      </c>
      <c r="AL24" s="36">
        <v>0</v>
      </c>
      <c r="AM24" s="36">
        <v>0</v>
      </c>
      <c r="AN24" s="36">
        <v>0</v>
      </c>
      <c r="AO24" s="36">
        <v>0</v>
      </c>
      <c r="AP24" s="36">
        <v>0</v>
      </c>
      <c r="AQ24" s="36">
        <v>0</v>
      </c>
      <c r="AR24" s="36">
        <v>0</v>
      </c>
      <c r="AS24" s="36">
        <v>0</v>
      </c>
      <c r="AT24" s="36">
        <v>0</v>
      </c>
      <c r="AU24" s="36">
        <v>0</v>
      </c>
      <c r="AV24" s="36">
        <v>0</v>
      </c>
      <c r="AW24" s="36">
        <v>0</v>
      </c>
      <c r="AX24" s="36">
        <v>0</v>
      </c>
      <c r="AY24" s="36">
        <v>0</v>
      </c>
      <c r="AZ24" s="36">
        <v>0</v>
      </c>
      <c r="BA24" s="36">
        <v>0</v>
      </c>
      <c r="BB24" s="36">
        <v>0</v>
      </c>
      <c r="BC24" s="36">
        <v>0</v>
      </c>
      <c r="BD24" s="36">
        <v>0</v>
      </c>
      <c r="BE24" s="36">
        <v>0</v>
      </c>
      <c r="BF24" s="36">
        <v>0</v>
      </c>
      <c r="BG24" s="36">
        <v>0</v>
      </c>
      <c r="BH24" s="36">
        <v>0</v>
      </c>
      <c r="BI24" s="36">
        <v>0</v>
      </c>
      <c r="BJ24" s="36">
        <v>0</v>
      </c>
      <c r="BK24" s="36">
        <v>0</v>
      </c>
      <c r="BL24" s="36">
        <v>0</v>
      </c>
      <c r="BM24" s="36">
        <v>0</v>
      </c>
      <c r="BN24" s="36">
        <v>0</v>
      </c>
      <c r="BO24" s="36">
        <v>0</v>
      </c>
      <c r="BP24" s="36">
        <v>0</v>
      </c>
      <c r="BQ24" s="36">
        <v>0</v>
      </c>
      <c r="BR24" s="36">
        <v>0</v>
      </c>
      <c r="BS24" s="36">
        <v>0</v>
      </c>
      <c r="BT24" s="36">
        <v>0</v>
      </c>
      <c r="BU24" s="36">
        <v>0</v>
      </c>
      <c r="BV24" s="36">
        <v>0</v>
      </c>
      <c r="BW24" s="36">
        <v>0</v>
      </c>
      <c r="BX24" s="36">
        <v>0</v>
      </c>
      <c r="BY24" s="36">
        <v>0</v>
      </c>
    </row>
    <row r="25" spans="2:77" x14ac:dyDescent="0.3">
      <c r="B25" s="25" t="s">
        <v>175</v>
      </c>
      <c r="C25" s="25"/>
      <c r="D25" s="18">
        <v>0</v>
      </c>
      <c r="E25" s="18">
        <v>0</v>
      </c>
      <c r="F25" s="18">
        <v>0</v>
      </c>
      <c r="G25" s="18">
        <v>0</v>
      </c>
      <c r="H25" s="18">
        <v>0</v>
      </c>
      <c r="I25" s="18">
        <v>0</v>
      </c>
      <c r="J25" s="18">
        <v>0</v>
      </c>
      <c r="K25" s="18">
        <v>0</v>
      </c>
      <c r="L25" s="18">
        <v>0</v>
      </c>
      <c r="M25" s="18">
        <v>0</v>
      </c>
      <c r="N25" s="8">
        <v>0</v>
      </c>
      <c r="O25" s="18">
        <v>0</v>
      </c>
      <c r="P25" s="18">
        <v>0</v>
      </c>
      <c r="Q25" s="18">
        <v>0</v>
      </c>
      <c r="R25" s="18">
        <v>0</v>
      </c>
      <c r="S25" s="18">
        <v>0</v>
      </c>
      <c r="T25" s="18">
        <v>0</v>
      </c>
      <c r="U25" s="18">
        <v>0</v>
      </c>
      <c r="V25" s="18">
        <v>0</v>
      </c>
      <c r="W25" s="18">
        <v>0</v>
      </c>
      <c r="X25" s="18">
        <v>0</v>
      </c>
      <c r="Y25" s="18">
        <v>0</v>
      </c>
      <c r="Z25" s="18">
        <v>0</v>
      </c>
      <c r="AA25" s="18">
        <v>0</v>
      </c>
      <c r="AB25" s="18">
        <v>0</v>
      </c>
      <c r="AC25" s="36">
        <v>0</v>
      </c>
      <c r="AD25" s="36">
        <v>0</v>
      </c>
      <c r="AE25" s="36">
        <v>0</v>
      </c>
      <c r="AF25" s="36">
        <v>0</v>
      </c>
      <c r="AG25" s="36">
        <v>0</v>
      </c>
      <c r="AH25" s="36">
        <v>0</v>
      </c>
      <c r="AI25" s="36">
        <v>0</v>
      </c>
      <c r="AJ25" s="36">
        <v>0</v>
      </c>
      <c r="AK25" s="36">
        <v>0</v>
      </c>
      <c r="AL25" s="36">
        <v>0</v>
      </c>
      <c r="AM25" s="36">
        <v>0</v>
      </c>
      <c r="AN25" s="36">
        <v>0</v>
      </c>
      <c r="AO25" s="36">
        <v>0</v>
      </c>
      <c r="AP25" s="36">
        <v>0</v>
      </c>
      <c r="AQ25" s="36">
        <v>0</v>
      </c>
      <c r="AR25" s="36">
        <v>0</v>
      </c>
      <c r="AS25" s="36">
        <v>0</v>
      </c>
      <c r="AT25" s="36">
        <v>0</v>
      </c>
      <c r="AU25" s="36">
        <v>0</v>
      </c>
      <c r="AV25" s="36">
        <v>0</v>
      </c>
      <c r="AW25" s="36">
        <v>0</v>
      </c>
      <c r="AX25" s="36">
        <v>0</v>
      </c>
      <c r="AY25" s="36">
        <v>0</v>
      </c>
      <c r="AZ25" s="36">
        <v>0</v>
      </c>
      <c r="BA25" s="36">
        <v>0</v>
      </c>
      <c r="BB25" s="36">
        <v>0</v>
      </c>
      <c r="BC25" s="36">
        <v>0</v>
      </c>
      <c r="BD25" s="36">
        <v>0</v>
      </c>
      <c r="BE25" s="36">
        <v>0</v>
      </c>
      <c r="BF25" s="36">
        <v>0</v>
      </c>
      <c r="BG25" s="36">
        <v>0</v>
      </c>
      <c r="BH25" s="36">
        <v>0</v>
      </c>
      <c r="BI25" s="36">
        <v>0</v>
      </c>
      <c r="BJ25" s="36">
        <v>0</v>
      </c>
      <c r="BK25" s="36">
        <v>0</v>
      </c>
      <c r="BL25" s="36">
        <v>0</v>
      </c>
      <c r="BM25" s="36">
        <v>0</v>
      </c>
      <c r="BN25" s="36">
        <v>0</v>
      </c>
      <c r="BO25" s="36">
        <v>0</v>
      </c>
      <c r="BP25" s="36">
        <v>0</v>
      </c>
      <c r="BQ25" s="36">
        <v>0</v>
      </c>
      <c r="BR25" s="36">
        <v>0</v>
      </c>
      <c r="BS25" s="36">
        <v>0</v>
      </c>
      <c r="BT25" s="36">
        <v>0</v>
      </c>
      <c r="BU25" s="36">
        <v>0</v>
      </c>
      <c r="BV25" s="36">
        <v>0</v>
      </c>
      <c r="BW25" s="36">
        <v>0</v>
      </c>
      <c r="BX25" s="36">
        <v>0</v>
      </c>
      <c r="BY25" s="36">
        <v>0</v>
      </c>
    </row>
    <row r="26" spans="2:77" collapsed="1" x14ac:dyDescent="0.3">
      <c r="B26" s="25" t="s">
        <v>176</v>
      </c>
      <c r="C26" s="25"/>
      <c r="D26" s="43">
        <f>SUM(D19:D25)</f>
        <v>0</v>
      </c>
      <c r="E26" s="43">
        <f t="shared" ref="E26:N26" si="181">SUM(E19:E25)</f>
        <v>8098</v>
      </c>
      <c r="F26" s="43">
        <f t="shared" si="181"/>
        <v>0</v>
      </c>
      <c r="G26" s="43">
        <f t="shared" si="181"/>
        <v>0</v>
      </c>
      <c r="H26" s="43">
        <f t="shared" si="181"/>
        <v>0</v>
      </c>
      <c r="I26" s="43">
        <f t="shared" si="181"/>
        <v>0</v>
      </c>
      <c r="J26" s="43">
        <f t="shared" si="181"/>
        <v>0</v>
      </c>
      <c r="K26" s="43">
        <f t="shared" si="181"/>
        <v>0</v>
      </c>
      <c r="L26" s="43">
        <f t="shared" si="181"/>
        <v>0</v>
      </c>
      <c r="M26" s="43">
        <f t="shared" si="181"/>
        <v>8331</v>
      </c>
      <c r="N26" s="43">
        <f t="shared" si="181"/>
        <v>0</v>
      </c>
      <c r="O26" s="43">
        <f t="shared" ref="O26" si="182">SUM(O19:O25)</f>
        <v>57078.32</v>
      </c>
      <c r="P26" s="43">
        <f t="shared" ref="P26" si="183">SUM(P19:P25)</f>
        <v>22488.99</v>
      </c>
      <c r="Q26" s="43">
        <f t="shared" ref="Q26" si="184">SUM(Q19:Q25)</f>
        <v>54886.990000000005</v>
      </c>
      <c r="R26" s="43">
        <f t="shared" ref="R26" si="185">SUM(R19:R25)</f>
        <v>30819.99</v>
      </c>
      <c r="S26" s="43">
        <f t="shared" ref="S26:T26" si="186">SUM(S19:S25)</f>
        <v>30819.99</v>
      </c>
      <c r="T26" s="43">
        <f t="shared" si="186"/>
        <v>33616.990000000005</v>
      </c>
      <c r="U26" s="43">
        <f t="shared" ref="U26:V26" si="187">SUM(U19:U25)</f>
        <v>39477.740000000005</v>
      </c>
      <c r="V26" s="43">
        <f t="shared" si="187"/>
        <v>38084.29</v>
      </c>
      <c r="W26" s="43">
        <f t="shared" ref="W26:X26" si="188">SUM(W19:W25)</f>
        <v>87052.51</v>
      </c>
      <c r="X26" s="43">
        <f t="shared" si="188"/>
        <v>36240.65</v>
      </c>
      <c r="Y26" s="43">
        <f t="shared" ref="Y26" si="189">SUM(Y19:Y25)</f>
        <v>43539.97</v>
      </c>
      <c r="Z26" s="43">
        <f t="shared" ref="Z26" si="190">SUM(Z19:Z25)</f>
        <v>43483.149999999994</v>
      </c>
      <c r="AA26" s="43">
        <f t="shared" ref="AA26" si="191">SUM(AA19:AA25)</f>
        <v>46452.71</v>
      </c>
      <c r="AB26" s="43">
        <f t="shared" ref="AB26" si="192">SUM(AB19:AB25)</f>
        <v>49210.22</v>
      </c>
      <c r="AC26" s="43">
        <f t="shared" ref="AC26" si="193">SUM(AC19:AC25)</f>
        <v>49210.22</v>
      </c>
      <c r="AD26" s="43">
        <f t="shared" ref="AD26" si="194">SUM(AD19:AD25)</f>
        <v>49210.22</v>
      </c>
      <c r="AE26" s="43">
        <f t="shared" ref="AE26" si="195">SUM(AE19:AE25)</f>
        <v>49210.22</v>
      </c>
      <c r="AF26" s="43">
        <f t="shared" ref="AF26" si="196">SUM(AF19:AF25)</f>
        <v>49210.22</v>
      </c>
      <c r="AG26" s="43">
        <f t="shared" ref="AG26" si="197">SUM(AG19:AG25)</f>
        <v>49210.22</v>
      </c>
      <c r="AH26" s="43">
        <f t="shared" ref="AH26" si="198">SUM(AH19:AH25)</f>
        <v>49210.22</v>
      </c>
      <c r="AI26" s="43">
        <f t="shared" ref="AI26" si="199">SUM(AI19:AI25)</f>
        <v>49210.22</v>
      </c>
      <c r="AJ26" s="43">
        <f t="shared" ref="AJ26" si="200">SUM(AJ19:AJ25)</f>
        <v>49210.22</v>
      </c>
      <c r="AK26" s="43">
        <f t="shared" ref="AK26" si="201">SUM(AK19:AK25)</f>
        <v>49210.22</v>
      </c>
      <c r="AL26" s="43">
        <f t="shared" ref="AL26" si="202">SUM(AL19:AL25)</f>
        <v>49210.22</v>
      </c>
      <c r="AM26" s="43">
        <f t="shared" ref="AM26" si="203">SUM(AM19:AM25)</f>
        <v>49210.22</v>
      </c>
      <c r="AN26" s="43">
        <f t="shared" ref="AN26" si="204">SUM(AN19:AN25)</f>
        <v>49210.22</v>
      </c>
      <c r="AO26" s="43">
        <f t="shared" ref="AO26" si="205">SUM(AO19:AO25)</f>
        <v>49210.22</v>
      </c>
      <c r="AP26" s="43">
        <f t="shared" ref="AP26:BM26" si="206">SUM(AP19:AP25)</f>
        <v>49210.22</v>
      </c>
      <c r="AQ26" s="43">
        <f t="shared" si="206"/>
        <v>49210.22</v>
      </c>
      <c r="AR26" s="43">
        <f t="shared" si="206"/>
        <v>49210.22</v>
      </c>
      <c r="AS26" s="43">
        <f t="shared" si="206"/>
        <v>49210.22</v>
      </c>
      <c r="AT26" s="43">
        <f t="shared" si="206"/>
        <v>49210.22</v>
      </c>
      <c r="AU26" s="43">
        <f t="shared" si="206"/>
        <v>49210.22</v>
      </c>
      <c r="AV26" s="43">
        <f t="shared" si="206"/>
        <v>49210.22</v>
      </c>
      <c r="AW26" s="43">
        <f t="shared" si="206"/>
        <v>49210.22</v>
      </c>
      <c r="AX26" s="43">
        <f t="shared" si="206"/>
        <v>49210.22</v>
      </c>
      <c r="AY26" s="43">
        <f t="shared" si="206"/>
        <v>49210.22</v>
      </c>
      <c r="AZ26" s="43">
        <f t="shared" si="206"/>
        <v>49210.22</v>
      </c>
      <c r="BA26" s="43">
        <f t="shared" si="206"/>
        <v>49210.22</v>
      </c>
      <c r="BB26" s="43">
        <f t="shared" si="206"/>
        <v>49210.22</v>
      </c>
      <c r="BC26" s="43">
        <f t="shared" si="206"/>
        <v>49210.22</v>
      </c>
      <c r="BD26" s="43">
        <f t="shared" si="206"/>
        <v>49210.22</v>
      </c>
      <c r="BE26" s="43">
        <f t="shared" si="206"/>
        <v>49210.22</v>
      </c>
      <c r="BF26" s="43">
        <f t="shared" si="206"/>
        <v>49210.22</v>
      </c>
      <c r="BG26" s="43">
        <f t="shared" si="206"/>
        <v>49210.22</v>
      </c>
      <c r="BH26" s="43">
        <f t="shared" si="206"/>
        <v>49210.22</v>
      </c>
      <c r="BI26" s="43">
        <f t="shared" si="206"/>
        <v>49210.22</v>
      </c>
      <c r="BJ26" s="43">
        <f t="shared" si="206"/>
        <v>49210.22</v>
      </c>
      <c r="BK26" s="43">
        <f t="shared" si="206"/>
        <v>49210.22</v>
      </c>
      <c r="BL26" s="43">
        <f t="shared" si="206"/>
        <v>49210.22</v>
      </c>
      <c r="BM26" s="43">
        <f t="shared" si="206"/>
        <v>49210.22</v>
      </c>
      <c r="BN26" s="43">
        <f t="shared" ref="BN26:BY26" si="207">SUM(BN19:BN25)</f>
        <v>49210.22</v>
      </c>
      <c r="BO26" s="43">
        <f t="shared" si="207"/>
        <v>49210.22</v>
      </c>
      <c r="BP26" s="43">
        <f t="shared" si="207"/>
        <v>49210.22</v>
      </c>
      <c r="BQ26" s="43">
        <f t="shared" si="207"/>
        <v>49210.22</v>
      </c>
      <c r="BR26" s="43">
        <f t="shared" si="207"/>
        <v>49210.22</v>
      </c>
      <c r="BS26" s="43">
        <f t="shared" si="207"/>
        <v>49210.22</v>
      </c>
      <c r="BT26" s="43">
        <f t="shared" si="207"/>
        <v>49210.22</v>
      </c>
      <c r="BU26" s="43">
        <f t="shared" si="207"/>
        <v>49210.22</v>
      </c>
      <c r="BV26" s="43">
        <f t="shared" si="207"/>
        <v>49210.22</v>
      </c>
      <c r="BW26" s="43">
        <f t="shared" si="207"/>
        <v>49210.22</v>
      </c>
      <c r="BX26" s="43">
        <f t="shared" si="207"/>
        <v>49210.22</v>
      </c>
      <c r="BY26" s="43">
        <f t="shared" si="207"/>
        <v>49210.22</v>
      </c>
    </row>
    <row r="27" spans="2:77" x14ac:dyDescent="0.3">
      <c r="B27" s="25" t="s">
        <v>177</v>
      </c>
      <c r="C27" s="25"/>
      <c r="D27" s="43">
        <f t="shared" ref="D27:S27" si="208">D14+D18+D26</f>
        <v>166304.95000000001</v>
      </c>
      <c r="E27" s="43">
        <f t="shared" si="208"/>
        <v>154287.04999999999</v>
      </c>
      <c r="F27" s="43">
        <f t="shared" si="208"/>
        <v>358376.95999999996</v>
      </c>
      <c r="G27" s="43">
        <f t="shared" si="208"/>
        <v>603220.76</v>
      </c>
      <c r="H27" s="43">
        <f t="shared" si="208"/>
        <v>500272.29</v>
      </c>
      <c r="I27" s="43">
        <f t="shared" si="208"/>
        <v>800317.82000000007</v>
      </c>
      <c r="J27" s="43">
        <f t="shared" si="208"/>
        <v>566377.17000000004</v>
      </c>
      <c r="K27" s="43">
        <f t="shared" si="208"/>
        <v>799163.21000000008</v>
      </c>
      <c r="L27" s="43">
        <f t="shared" si="208"/>
        <v>530473.09</v>
      </c>
      <c r="M27" s="43">
        <f t="shared" si="208"/>
        <v>574484.05000000005</v>
      </c>
      <c r="N27" s="43">
        <f t="shared" si="208"/>
        <v>451968.33999999997</v>
      </c>
      <c r="O27" s="43">
        <f t="shared" si="208"/>
        <v>729833.35</v>
      </c>
      <c r="P27" s="43">
        <f t="shared" si="208"/>
        <v>741460.71</v>
      </c>
      <c r="Q27" s="43">
        <f t="shared" si="208"/>
        <v>797566.14</v>
      </c>
      <c r="R27" s="43">
        <f t="shared" si="208"/>
        <v>921675.97</v>
      </c>
      <c r="S27" s="43">
        <f t="shared" si="208"/>
        <v>584765.06999999995</v>
      </c>
      <c r="T27" s="43">
        <f t="shared" ref="T27:U27" si="209">T14+T18+T26</f>
        <v>881022.09999999986</v>
      </c>
      <c r="U27" s="43">
        <f t="shared" si="209"/>
        <v>869492.22</v>
      </c>
      <c r="V27" s="43">
        <f t="shared" ref="V27:W27" si="210">V14+V18+V26</f>
        <v>839779.22000000009</v>
      </c>
      <c r="W27" s="43">
        <f t="shared" si="210"/>
        <v>808736.41999999993</v>
      </c>
      <c r="X27" s="43">
        <f t="shared" ref="X27" si="211">X14+X18+X26</f>
        <v>752600.35000000009</v>
      </c>
      <c r="Y27" s="43">
        <f t="shared" ref="Y27:AO27" si="212">Y14+Y18+Y26</f>
        <v>650848.67999999993</v>
      </c>
      <c r="Z27" s="43">
        <f t="shared" si="212"/>
        <v>663264.93000000005</v>
      </c>
      <c r="AA27" s="43">
        <f t="shared" si="212"/>
        <v>634545.57999999996</v>
      </c>
      <c r="AB27" s="43">
        <f t="shared" si="212"/>
        <v>584404.24</v>
      </c>
      <c r="AC27" s="43">
        <f t="shared" si="212"/>
        <v>699524.14026127511</v>
      </c>
      <c r="AD27" s="43">
        <f t="shared" si="212"/>
        <v>1845847.859961174</v>
      </c>
      <c r="AE27" s="43">
        <f t="shared" si="212"/>
        <v>1953899.8722099548</v>
      </c>
      <c r="AF27" s="43">
        <f t="shared" si="212"/>
        <v>2391863.357766177</v>
      </c>
      <c r="AG27" s="43">
        <f t="shared" si="212"/>
        <v>2357443.7185185128</v>
      </c>
      <c r="AH27" s="43">
        <f t="shared" si="212"/>
        <v>2350913.8416531738</v>
      </c>
      <c r="AI27" s="43">
        <f t="shared" si="212"/>
        <v>2357376.5712163639</v>
      </c>
      <c r="AJ27" s="43">
        <f t="shared" si="212"/>
        <v>2376447.2672552299</v>
      </c>
      <c r="AK27" s="43">
        <f t="shared" si="212"/>
        <v>2494975.6572350916</v>
      </c>
      <c r="AL27" s="43">
        <f t="shared" si="212"/>
        <v>2565132.01516819</v>
      </c>
      <c r="AM27" s="43">
        <f t="shared" si="212"/>
        <v>2651572.8958895942</v>
      </c>
      <c r="AN27" s="43">
        <f t="shared" si="212"/>
        <v>2752235.5494446307</v>
      </c>
      <c r="AO27" s="43">
        <f t="shared" si="212"/>
        <v>2849959.4288559519</v>
      </c>
      <c r="AP27" s="43">
        <f t="shared" ref="AP27:BM27" si="213">AP14+AP18+AP26</f>
        <v>2713207.7214537757</v>
      </c>
      <c r="AQ27" s="43">
        <f t="shared" si="213"/>
        <v>2846482.9454065207</v>
      </c>
      <c r="AR27" s="43">
        <f t="shared" si="213"/>
        <v>3316114.7507660505</v>
      </c>
      <c r="AS27" s="43">
        <f t="shared" si="213"/>
        <v>3301191.5287093977</v>
      </c>
      <c r="AT27" s="43">
        <f t="shared" si="213"/>
        <v>3321566.2031391119</v>
      </c>
      <c r="AU27" s="43">
        <f t="shared" si="213"/>
        <v>3343410.9072573879</v>
      </c>
      <c r="AV27" s="43">
        <f t="shared" si="213"/>
        <v>3376756.7914700424</v>
      </c>
      <c r="AW27" s="43">
        <f t="shared" si="213"/>
        <v>3446265.3057038658</v>
      </c>
      <c r="AX27" s="43">
        <f t="shared" si="213"/>
        <v>3502289.0682871896</v>
      </c>
      <c r="AY27" s="43">
        <f t="shared" si="213"/>
        <v>3542066.1643090164</v>
      </c>
      <c r="AZ27" s="43">
        <f t="shared" si="213"/>
        <v>3596370.2602801914</v>
      </c>
      <c r="BA27" s="43">
        <f t="shared" si="213"/>
        <v>3716038.394344701</v>
      </c>
      <c r="BB27" s="43">
        <f t="shared" si="213"/>
        <v>3585510.9769046665</v>
      </c>
      <c r="BC27" s="43">
        <f t="shared" si="213"/>
        <v>3699174.3955699182</v>
      </c>
      <c r="BD27" s="43">
        <f t="shared" si="213"/>
        <v>4143294.8960348661</v>
      </c>
      <c r="BE27" s="43">
        <f t="shared" si="213"/>
        <v>4104238.2684405413</v>
      </c>
      <c r="BF27" s="43">
        <f t="shared" si="213"/>
        <v>4101742.3703611176</v>
      </c>
      <c r="BG27" s="43">
        <f t="shared" si="213"/>
        <v>4101732.4114637095</v>
      </c>
      <c r="BH27" s="43">
        <f t="shared" si="213"/>
        <v>4113935.5906907283</v>
      </c>
      <c r="BI27" s="43">
        <f t="shared" si="213"/>
        <v>4167199.1978199431</v>
      </c>
      <c r="BJ27" s="43">
        <f t="shared" si="213"/>
        <v>4197022.9488978982</v>
      </c>
      <c r="BK27" s="43">
        <f t="shared" si="213"/>
        <v>4215421.0841357578</v>
      </c>
      <c r="BL27" s="43">
        <f t="shared" si="213"/>
        <v>4248523.9676204314</v>
      </c>
      <c r="BM27" s="43">
        <f t="shared" si="213"/>
        <v>4350333.1251929868</v>
      </c>
      <c r="BN27" s="43">
        <f t="shared" ref="BN27:BY27" si="214">BN14+BN18+BN26</f>
        <v>4229345.3629902238</v>
      </c>
      <c r="BO27" s="43">
        <f t="shared" si="214"/>
        <v>4348300.0056464104</v>
      </c>
      <c r="BP27" s="43">
        <f t="shared" si="214"/>
        <v>4794210.476089946</v>
      </c>
      <c r="BQ27" s="43">
        <f t="shared" si="214"/>
        <v>4757192.1666205199</v>
      </c>
      <c r="BR27" s="43">
        <f t="shared" si="214"/>
        <v>4756546.1064915992</v>
      </c>
      <c r="BS27" s="43">
        <f t="shared" si="214"/>
        <v>4758337.7221904714</v>
      </c>
      <c r="BT27" s="43">
        <f t="shared" si="214"/>
        <v>4771717.422406543</v>
      </c>
      <c r="BU27" s="43">
        <f t="shared" si="214"/>
        <v>4829296.6124295089</v>
      </c>
      <c r="BV27" s="43">
        <f t="shared" si="214"/>
        <v>4862599.3865929386</v>
      </c>
      <c r="BW27" s="43">
        <f t="shared" si="214"/>
        <v>4884503.6263121627</v>
      </c>
      <c r="BX27" s="43">
        <f t="shared" si="214"/>
        <v>4921263.3913863357</v>
      </c>
      <c r="BY27" s="43">
        <f t="shared" si="214"/>
        <v>5028912.58290416</v>
      </c>
    </row>
    <row r="28" spans="2:77" x14ac:dyDescent="0.3">
      <c r="B28" s="25" t="s">
        <v>178</v>
      </c>
      <c r="C28" s="25"/>
      <c r="D28" s="18">
        <v>0</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36">
        <v>0</v>
      </c>
      <c r="AD28" s="36">
        <v>0</v>
      </c>
      <c r="AE28" s="36">
        <v>0</v>
      </c>
      <c r="AF28" s="36">
        <v>0</v>
      </c>
      <c r="AG28" s="36">
        <v>0</v>
      </c>
      <c r="AH28" s="36">
        <v>0</v>
      </c>
      <c r="AI28" s="36">
        <v>0</v>
      </c>
      <c r="AJ28" s="36">
        <v>0</v>
      </c>
      <c r="AK28" s="36">
        <v>0</v>
      </c>
      <c r="AL28" s="36">
        <v>0</v>
      </c>
      <c r="AM28" s="36">
        <v>0</v>
      </c>
      <c r="AN28" s="36">
        <v>0</v>
      </c>
      <c r="AO28" s="36">
        <v>0</v>
      </c>
      <c r="AP28" s="36">
        <v>0</v>
      </c>
      <c r="AQ28" s="36">
        <v>0</v>
      </c>
      <c r="AR28" s="36">
        <v>0</v>
      </c>
      <c r="AS28" s="36">
        <v>0</v>
      </c>
      <c r="AT28" s="36">
        <v>0</v>
      </c>
      <c r="AU28" s="36">
        <v>0</v>
      </c>
      <c r="AV28" s="36">
        <v>0</v>
      </c>
      <c r="AW28" s="36">
        <v>0</v>
      </c>
      <c r="AX28" s="36">
        <v>0</v>
      </c>
      <c r="AY28" s="36">
        <v>0</v>
      </c>
      <c r="AZ28" s="36">
        <v>0</v>
      </c>
      <c r="BA28" s="36">
        <v>0</v>
      </c>
      <c r="BB28" s="36">
        <v>0</v>
      </c>
      <c r="BC28" s="36">
        <v>0</v>
      </c>
      <c r="BD28" s="36">
        <v>0</v>
      </c>
      <c r="BE28" s="36">
        <v>0</v>
      </c>
      <c r="BF28" s="36">
        <v>0</v>
      </c>
      <c r="BG28" s="36">
        <v>0</v>
      </c>
      <c r="BH28" s="36">
        <v>0</v>
      </c>
      <c r="BI28" s="36">
        <v>0</v>
      </c>
      <c r="BJ28" s="36">
        <v>0</v>
      </c>
      <c r="BK28" s="36">
        <v>0</v>
      </c>
      <c r="BL28" s="36">
        <v>0</v>
      </c>
      <c r="BM28" s="36">
        <v>0</v>
      </c>
      <c r="BN28" s="36">
        <v>0</v>
      </c>
      <c r="BO28" s="36">
        <v>0</v>
      </c>
      <c r="BP28" s="36">
        <v>0</v>
      </c>
      <c r="BQ28" s="36">
        <v>0</v>
      </c>
      <c r="BR28" s="36">
        <v>0</v>
      </c>
      <c r="BS28" s="36">
        <v>0</v>
      </c>
      <c r="BT28" s="36">
        <v>0</v>
      </c>
      <c r="BU28" s="36">
        <v>0</v>
      </c>
      <c r="BV28" s="36">
        <v>0</v>
      </c>
      <c r="BW28" s="36">
        <v>0</v>
      </c>
      <c r="BX28" s="36">
        <v>0</v>
      </c>
      <c r="BY28" s="36">
        <v>0</v>
      </c>
    </row>
    <row r="29" spans="2:77" x14ac:dyDescent="0.3">
      <c r="B29" s="25" t="s">
        <v>179</v>
      </c>
      <c r="C29" s="25"/>
      <c r="D29" s="18">
        <v>17000</v>
      </c>
      <c r="E29" s="18">
        <v>17000</v>
      </c>
      <c r="F29" s="18">
        <v>17000</v>
      </c>
      <c r="G29" s="18">
        <v>17000</v>
      </c>
      <c r="H29" s="18">
        <v>17000</v>
      </c>
      <c r="I29" s="18">
        <v>17000</v>
      </c>
      <c r="J29" s="18">
        <v>17000</v>
      </c>
      <c r="K29" s="18">
        <v>17000</v>
      </c>
      <c r="L29" s="18">
        <v>17000</v>
      </c>
      <c r="M29" s="18">
        <v>17000</v>
      </c>
      <c r="N29" s="18">
        <v>17000</v>
      </c>
      <c r="O29" s="18">
        <v>17000</v>
      </c>
      <c r="P29" s="18">
        <v>17000</v>
      </c>
      <c r="Q29" s="18">
        <v>17000</v>
      </c>
      <c r="R29" s="18">
        <v>17000</v>
      </c>
      <c r="S29" s="18">
        <v>17000</v>
      </c>
      <c r="T29" s="18">
        <v>17000</v>
      </c>
      <c r="U29" s="18">
        <v>17000</v>
      </c>
      <c r="V29" s="18">
        <v>17000</v>
      </c>
      <c r="W29" s="18">
        <v>17000</v>
      </c>
      <c r="X29" s="18">
        <v>17000</v>
      </c>
      <c r="Y29" s="18">
        <v>17000</v>
      </c>
      <c r="Z29" s="18">
        <v>17000</v>
      </c>
      <c r="AA29" s="18">
        <v>17000</v>
      </c>
      <c r="AB29" s="18">
        <v>17000</v>
      </c>
      <c r="AC29" s="18">
        <v>17000</v>
      </c>
      <c r="AD29" s="36">
        <f t="shared" ref="AD29:BY31" si="215">AC29</f>
        <v>17000</v>
      </c>
      <c r="AE29" s="36">
        <f t="shared" si="215"/>
        <v>17000</v>
      </c>
      <c r="AF29" s="36">
        <f t="shared" si="215"/>
        <v>17000</v>
      </c>
      <c r="AG29" s="36">
        <f t="shared" si="215"/>
        <v>17000</v>
      </c>
      <c r="AH29" s="36">
        <f t="shared" si="215"/>
        <v>17000</v>
      </c>
      <c r="AI29" s="36">
        <f t="shared" si="215"/>
        <v>17000</v>
      </c>
      <c r="AJ29" s="36">
        <f t="shared" si="215"/>
        <v>17000</v>
      </c>
      <c r="AK29" s="36">
        <f t="shared" si="215"/>
        <v>17000</v>
      </c>
      <c r="AL29" s="36">
        <f t="shared" si="215"/>
        <v>17000</v>
      </c>
      <c r="AM29" s="36">
        <f t="shared" si="215"/>
        <v>17000</v>
      </c>
      <c r="AN29" s="36">
        <f t="shared" si="215"/>
        <v>17000</v>
      </c>
      <c r="AO29" s="36">
        <f t="shared" si="215"/>
        <v>17000</v>
      </c>
      <c r="AP29" s="36">
        <f t="shared" si="215"/>
        <v>17000</v>
      </c>
      <c r="AQ29" s="36">
        <f t="shared" si="215"/>
        <v>17000</v>
      </c>
      <c r="AR29" s="36">
        <f t="shared" si="215"/>
        <v>17000</v>
      </c>
      <c r="AS29" s="36">
        <f t="shared" si="215"/>
        <v>17000</v>
      </c>
      <c r="AT29" s="36">
        <f t="shared" si="215"/>
        <v>17000</v>
      </c>
      <c r="AU29" s="36">
        <f t="shared" si="215"/>
        <v>17000</v>
      </c>
      <c r="AV29" s="36">
        <f t="shared" si="215"/>
        <v>17000</v>
      </c>
      <c r="AW29" s="36">
        <f t="shared" si="215"/>
        <v>17000</v>
      </c>
      <c r="AX29" s="36">
        <f t="shared" si="215"/>
        <v>17000</v>
      </c>
      <c r="AY29" s="36">
        <f t="shared" si="215"/>
        <v>17000</v>
      </c>
      <c r="AZ29" s="36">
        <f t="shared" si="215"/>
        <v>17000</v>
      </c>
      <c r="BA29" s="36">
        <f t="shared" si="215"/>
        <v>17000</v>
      </c>
      <c r="BB29" s="36">
        <f t="shared" si="215"/>
        <v>17000</v>
      </c>
      <c r="BC29" s="36">
        <f t="shared" si="215"/>
        <v>17000</v>
      </c>
      <c r="BD29" s="36">
        <f t="shared" si="215"/>
        <v>17000</v>
      </c>
      <c r="BE29" s="36">
        <f t="shared" si="215"/>
        <v>17000</v>
      </c>
      <c r="BF29" s="36">
        <f t="shared" si="215"/>
        <v>17000</v>
      </c>
      <c r="BG29" s="36">
        <f t="shared" si="215"/>
        <v>17000</v>
      </c>
      <c r="BH29" s="36">
        <f t="shared" si="215"/>
        <v>17000</v>
      </c>
      <c r="BI29" s="36">
        <f t="shared" si="215"/>
        <v>17000</v>
      </c>
      <c r="BJ29" s="36">
        <f t="shared" si="215"/>
        <v>17000</v>
      </c>
      <c r="BK29" s="36">
        <f t="shared" si="215"/>
        <v>17000</v>
      </c>
      <c r="BL29" s="36">
        <f t="shared" si="215"/>
        <v>17000</v>
      </c>
      <c r="BM29" s="36">
        <f t="shared" si="215"/>
        <v>17000</v>
      </c>
      <c r="BN29" s="36">
        <f t="shared" si="215"/>
        <v>17000</v>
      </c>
      <c r="BO29" s="36">
        <f t="shared" si="215"/>
        <v>17000</v>
      </c>
      <c r="BP29" s="36">
        <f t="shared" si="215"/>
        <v>17000</v>
      </c>
      <c r="BQ29" s="36">
        <f t="shared" si="215"/>
        <v>17000</v>
      </c>
      <c r="BR29" s="36">
        <f t="shared" si="215"/>
        <v>17000</v>
      </c>
      <c r="BS29" s="36">
        <f t="shared" si="215"/>
        <v>17000</v>
      </c>
      <c r="BT29" s="36">
        <f t="shared" si="215"/>
        <v>17000</v>
      </c>
      <c r="BU29" s="36">
        <f t="shared" si="215"/>
        <v>17000</v>
      </c>
      <c r="BV29" s="36">
        <f t="shared" si="215"/>
        <v>17000</v>
      </c>
      <c r="BW29" s="36">
        <f t="shared" si="215"/>
        <v>17000</v>
      </c>
      <c r="BX29" s="36">
        <f t="shared" si="215"/>
        <v>17000</v>
      </c>
      <c r="BY29" s="36">
        <f t="shared" si="215"/>
        <v>17000</v>
      </c>
    </row>
    <row r="30" spans="2:77" x14ac:dyDescent="0.3">
      <c r="B30" s="25" t="s">
        <v>180</v>
      </c>
      <c r="C30" s="25"/>
      <c r="D30" s="18">
        <v>0</v>
      </c>
      <c r="E30" s="18">
        <v>16303</v>
      </c>
      <c r="F30" s="18">
        <v>16303</v>
      </c>
      <c r="G30" s="18">
        <v>16303</v>
      </c>
      <c r="H30" s="18">
        <v>16303</v>
      </c>
      <c r="I30" s="18">
        <v>16303</v>
      </c>
      <c r="J30" s="18">
        <v>16303</v>
      </c>
      <c r="K30" s="18">
        <v>16303</v>
      </c>
      <c r="L30" s="18">
        <v>16303</v>
      </c>
      <c r="M30" s="18">
        <v>16303</v>
      </c>
      <c r="N30" s="18">
        <v>16303</v>
      </c>
      <c r="O30" s="18">
        <v>16303</v>
      </c>
      <c r="P30" s="18">
        <v>16303</v>
      </c>
      <c r="Q30" s="18">
        <v>27345.66</v>
      </c>
      <c r="R30" s="18">
        <v>27345.66</v>
      </c>
      <c r="S30" s="18">
        <v>27345.66</v>
      </c>
      <c r="T30" s="18">
        <v>27345.66</v>
      </c>
      <c r="U30" s="18">
        <v>27345.66</v>
      </c>
      <c r="V30" s="18">
        <v>27345.66</v>
      </c>
      <c r="W30" s="18">
        <v>27345.66</v>
      </c>
      <c r="X30" s="18">
        <v>27345.66</v>
      </c>
      <c r="Y30" s="18">
        <v>27345.66</v>
      </c>
      <c r="Z30" s="18">
        <v>27345.66</v>
      </c>
      <c r="AA30" s="18">
        <v>27345.66</v>
      </c>
      <c r="AB30" s="18">
        <v>27345.66</v>
      </c>
      <c r="AC30" s="18">
        <v>27345.66</v>
      </c>
      <c r="AD30" s="36">
        <f t="shared" si="215"/>
        <v>27345.66</v>
      </c>
      <c r="AE30" s="36">
        <f t="shared" si="215"/>
        <v>27345.66</v>
      </c>
      <c r="AF30" s="36">
        <f t="shared" si="215"/>
        <v>27345.66</v>
      </c>
      <c r="AG30" s="36">
        <f t="shared" si="215"/>
        <v>27345.66</v>
      </c>
      <c r="AH30" s="36">
        <f t="shared" si="215"/>
        <v>27345.66</v>
      </c>
      <c r="AI30" s="36">
        <f t="shared" si="215"/>
        <v>27345.66</v>
      </c>
      <c r="AJ30" s="36">
        <f t="shared" si="215"/>
        <v>27345.66</v>
      </c>
      <c r="AK30" s="36">
        <f t="shared" si="215"/>
        <v>27345.66</v>
      </c>
      <c r="AL30" s="36">
        <f t="shared" si="215"/>
        <v>27345.66</v>
      </c>
      <c r="AM30" s="36">
        <f t="shared" si="215"/>
        <v>27345.66</v>
      </c>
      <c r="AN30" s="36">
        <f t="shared" si="215"/>
        <v>27345.66</v>
      </c>
      <c r="AO30" s="36">
        <f t="shared" si="215"/>
        <v>27345.66</v>
      </c>
      <c r="AP30" s="36">
        <f t="shared" si="215"/>
        <v>27345.66</v>
      </c>
      <c r="AQ30" s="36">
        <f t="shared" si="215"/>
        <v>27345.66</v>
      </c>
      <c r="AR30" s="36">
        <f t="shared" si="215"/>
        <v>27345.66</v>
      </c>
      <c r="AS30" s="36">
        <f t="shared" si="215"/>
        <v>27345.66</v>
      </c>
      <c r="AT30" s="36">
        <f t="shared" si="215"/>
        <v>27345.66</v>
      </c>
      <c r="AU30" s="36">
        <f t="shared" si="215"/>
        <v>27345.66</v>
      </c>
      <c r="AV30" s="36">
        <f t="shared" si="215"/>
        <v>27345.66</v>
      </c>
      <c r="AW30" s="36">
        <f t="shared" si="215"/>
        <v>27345.66</v>
      </c>
      <c r="AX30" s="36">
        <f t="shared" si="215"/>
        <v>27345.66</v>
      </c>
      <c r="AY30" s="36">
        <f t="shared" si="215"/>
        <v>27345.66</v>
      </c>
      <c r="AZ30" s="36">
        <f t="shared" si="215"/>
        <v>27345.66</v>
      </c>
      <c r="BA30" s="36">
        <f t="shared" si="215"/>
        <v>27345.66</v>
      </c>
      <c r="BB30" s="36">
        <f t="shared" si="215"/>
        <v>27345.66</v>
      </c>
      <c r="BC30" s="36">
        <f t="shared" si="215"/>
        <v>27345.66</v>
      </c>
      <c r="BD30" s="36">
        <f t="shared" si="215"/>
        <v>27345.66</v>
      </c>
      <c r="BE30" s="36">
        <f t="shared" si="215"/>
        <v>27345.66</v>
      </c>
      <c r="BF30" s="36">
        <f t="shared" si="215"/>
        <v>27345.66</v>
      </c>
      <c r="BG30" s="36">
        <f t="shared" si="215"/>
        <v>27345.66</v>
      </c>
      <c r="BH30" s="36">
        <f t="shared" si="215"/>
        <v>27345.66</v>
      </c>
      <c r="BI30" s="36">
        <f t="shared" si="215"/>
        <v>27345.66</v>
      </c>
      <c r="BJ30" s="36">
        <f t="shared" si="215"/>
        <v>27345.66</v>
      </c>
      <c r="BK30" s="36">
        <f t="shared" si="215"/>
        <v>27345.66</v>
      </c>
      <c r="BL30" s="36">
        <f t="shared" si="215"/>
        <v>27345.66</v>
      </c>
      <c r="BM30" s="36">
        <f t="shared" si="215"/>
        <v>27345.66</v>
      </c>
      <c r="BN30" s="36">
        <f t="shared" si="215"/>
        <v>27345.66</v>
      </c>
      <c r="BO30" s="36">
        <f t="shared" si="215"/>
        <v>27345.66</v>
      </c>
      <c r="BP30" s="36">
        <f t="shared" si="215"/>
        <v>27345.66</v>
      </c>
      <c r="BQ30" s="36">
        <f t="shared" si="215"/>
        <v>27345.66</v>
      </c>
      <c r="BR30" s="36">
        <f t="shared" si="215"/>
        <v>27345.66</v>
      </c>
      <c r="BS30" s="36">
        <f t="shared" si="215"/>
        <v>27345.66</v>
      </c>
      <c r="BT30" s="36">
        <f t="shared" si="215"/>
        <v>27345.66</v>
      </c>
      <c r="BU30" s="36">
        <f t="shared" si="215"/>
        <v>27345.66</v>
      </c>
      <c r="BV30" s="36">
        <f t="shared" si="215"/>
        <v>27345.66</v>
      </c>
      <c r="BW30" s="36">
        <f t="shared" si="215"/>
        <v>27345.66</v>
      </c>
      <c r="BX30" s="36">
        <f t="shared" si="215"/>
        <v>27345.66</v>
      </c>
      <c r="BY30" s="36">
        <f t="shared" si="215"/>
        <v>27345.66</v>
      </c>
    </row>
    <row r="31" spans="2:77" x14ac:dyDescent="0.3">
      <c r="B31" s="25" t="s">
        <v>233</v>
      </c>
      <c r="C31" s="25"/>
      <c r="D31" s="18">
        <v>0</v>
      </c>
      <c r="E31" s="18">
        <v>0</v>
      </c>
      <c r="F31" s="18">
        <v>0</v>
      </c>
      <c r="G31" s="18">
        <v>14800</v>
      </c>
      <c r="H31" s="18">
        <v>14800</v>
      </c>
      <c r="I31" s="18">
        <v>14800</v>
      </c>
      <c r="J31" s="18">
        <v>38500</v>
      </c>
      <c r="K31" s="18">
        <v>43500</v>
      </c>
      <c r="L31" s="18">
        <v>43500</v>
      </c>
      <c r="M31" s="18">
        <v>43500</v>
      </c>
      <c r="N31" s="18">
        <v>303771.32</v>
      </c>
      <c r="O31" s="18">
        <v>310781.89</v>
      </c>
      <c r="P31" s="18">
        <v>310781.89</v>
      </c>
      <c r="Q31" s="18">
        <v>269929</v>
      </c>
      <c r="R31" s="18">
        <v>308796.15000000002</v>
      </c>
      <c r="S31" s="18">
        <v>327087.3</v>
      </c>
      <c r="T31" s="18">
        <v>377444.04</v>
      </c>
      <c r="U31" s="18">
        <v>377444.04</v>
      </c>
      <c r="V31" s="18">
        <v>386644.04</v>
      </c>
      <c r="W31" s="18">
        <v>386644.04</v>
      </c>
      <c r="X31" s="18">
        <v>386644.04</v>
      </c>
      <c r="Y31" s="18">
        <v>386644.04</v>
      </c>
      <c r="Z31" s="18">
        <v>386644.04</v>
      </c>
      <c r="AA31" s="18">
        <v>404445.58</v>
      </c>
      <c r="AB31" s="18">
        <v>404445.58</v>
      </c>
      <c r="AC31" s="18">
        <v>404445.58</v>
      </c>
      <c r="AD31" s="36">
        <f t="shared" si="215"/>
        <v>404445.58</v>
      </c>
      <c r="AE31" s="36">
        <f t="shared" si="215"/>
        <v>404445.58</v>
      </c>
      <c r="AF31" s="36">
        <f t="shared" si="215"/>
        <v>404445.58</v>
      </c>
      <c r="AG31" s="36">
        <f t="shared" si="215"/>
        <v>404445.58</v>
      </c>
      <c r="AH31" s="36">
        <f t="shared" si="215"/>
        <v>404445.58</v>
      </c>
      <c r="AI31" s="36">
        <f t="shared" si="215"/>
        <v>404445.58</v>
      </c>
      <c r="AJ31" s="36">
        <f t="shared" si="215"/>
        <v>404445.58</v>
      </c>
      <c r="AK31" s="36">
        <f t="shared" si="215"/>
        <v>404445.58</v>
      </c>
      <c r="AL31" s="36">
        <f t="shared" si="215"/>
        <v>404445.58</v>
      </c>
      <c r="AM31" s="36">
        <f t="shared" si="215"/>
        <v>404445.58</v>
      </c>
      <c r="AN31" s="36">
        <f t="shared" si="215"/>
        <v>404445.58</v>
      </c>
      <c r="AO31" s="36">
        <f t="shared" si="215"/>
        <v>404445.58</v>
      </c>
      <c r="AP31" s="36">
        <f t="shared" si="215"/>
        <v>404445.58</v>
      </c>
      <c r="AQ31" s="36">
        <f t="shared" si="215"/>
        <v>404445.58</v>
      </c>
      <c r="AR31" s="36">
        <f t="shared" si="215"/>
        <v>404445.58</v>
      </c>
      <c r="AS31" s="36">
        <f t="shared" si="215"/>
        <v>404445.58</v>
      </c>
      <c r="AT31" s="36">
        <f t="shared" si="215"/>
        <v>404445.58</v>
      </c>
      <c r="AU31" s="36">
        <f t="shared" si="215"/>
        <v>404445.58</v>
      </c>
      <c r="AV31" s="36">
        <f t="shared" si="215"/>
        <v>404445.58</v>
      </c>
      <c r="AW31" s="36">
        <f t="shared" si="215"/>
        <v>404445.58</v>
      </c>
      <c r="AX31" s="36">
        <f t="shared" si="215"/>
        <v>404445.58</v>
      </c>
      <c r="AY31" s="36">
        <f t="shared" si="215"/>
        <v>404445.58</v>
      </c>
      <c r="AZ31" s="36">
        <f t="shared" si="215"/>
        <v>404445.58</v>
      </c>
      <c r="BA31" s="36">
        <f t="shared" si="215"/>
        <v>404445.58</v>
      </c>
      <c r="BB31" s="36">
        <f t="shared" si="215"/>
        <v>404445.58</v>
      </c>
      <c r="BC31" s="36">
        <f t="shared" si="215"/>
        <v>404445.58</v>
      </c>
      <c r="BD31" s="36">
        <f t="shared" si="215"/>
        <v>404445.58</v>
      </c>
      <c r="BE31" s="36">
        <f t="shared" si="215"/>
        <v>404445.58</v>
      </c>
      <c r="BF31" s="36">
        <f t="shared" si="215"/>
        <v>404445.58</v>
      </c>
      <c r="BG31" s="36">
        <f t="shared" si="215"/>
        <v>404445.58</v>
      </c>
      <c r="BH31" s="36">
        <f t="shared" si="215"/>
        <v>404445.58</v>
      </c>
      <c r="BI31" s="36">
        <f t="shared" si="215"/>
        <v>404445.58</v>
      </c>
      <c r="BJ31" s="36">
        <f t="shared" si="215"/>
        <v>404445.58</v>
      </c>
      <c r="BK31" s="36">
        <f t="shared" si="215"/>
        <v>404445.58</v>
      </c>
      <c r="BL31" s="36">
        <f t="shared" si="215"/>
        <v>404445.58</v>
      </c>
      <c r="BM31" s="36">
        <f t="shared" si="215"/>
        <v>404445.58</v>
      </c>
      <c r="BN31" s="36">
        <f t="shared" si="215"/>
        <v>404445.58</v>
      </c>
      <c r="BO31" s="36">
        <f t="shared" si="215"/>
        <v>404445.58</v>
      </c>
      <c r="BP31" s="36">
        <f t="shared" si="215"/>
        <v>404445.58</v>
      </c>
      <c r="BQ31" s="36">
        <f t="shared" si="215"/>
        <v>404445.58</v>
      </c>
      <c r="BR31" s="36">
        <f t="shared" si="215"/>
        <v>404445.58</v>
      </c>
      <c r="BS31" s="36">
        <f t="shared" si="215"/>
        <v>404445.58</v>
      </c>
      <c r="BT31" s="36">
        <f t="shared" si="215"/>
        <v>404445.58</v>
      </c>
      <c r="BU31" s="36">
        <f t="shared" si="215"/>
        <v>404445.58</v>
      </c>
      <c r="BV31" s="36">
        <f t="shared" si="215"/>
        <v>404445.58</v>
      </c>
      <c r="BW31" s="36">
        <f t="shared" si="215"/>
        <v>404445.58</v>
      </c>
      <c r="BX31" s="36">
        <f t="shared" si="215"/>
        <v>404445.58</v>
      </c>
      <c r="BY31" s="36">
        <f t="shared" si="215"/>
        <v>404445.58</v>
      </c>
    </row>
    <row r="32" spans="2:77" x14ac:dyDescent="0.3">
      <c r="B32" s="25" t="s">
        <v>316</v>
      </c>
      <c r="C32" s="25"/>
      <c r="D32" s="18">
        <v>0</v>
      </c>
      <c r="E32" s="18">
        <v>0</v>
      </c>
      <c r="F32" s="18">
        <v>0</v>
      </c>
      <c r="G32" s="18">
        <v>0</v>
      </c>
      <c r="H32" s="18">
        <v>0</v>
      </c>
      <c r="I32" s="18">
        <v>0</v>
      </c>
      <c r="J32" s="18">
        <v>65208.09</v>
      </c>
      <c r="K32" s="18">
        <v>65208.09</v>
      </c>
      <c r="L32" s="18">
        <v>65208.09</v>
      </c>
      <c r="M32" s="18">
        <v>65208.09</v>
      </c>
      <c r="N32" s="18">
        <v>65208.09</v>
      </c>
      <c r="O32" s="18">
        <v>65208.09</v>
      </c>
      <c r="P32" s="18">
        <v>65208.09</v>
      </c>
      <c r="Q32" s="18">
        <v>65208.09</v>
      </c>
      <c r="R32" s="18">
        <v>65208.09</v>
      </c>
      <c r="S32" s="18">
        <v>65208.09</v>
      </c>
      <c r="T32" s="18">
        <v>65208.09</v>
      </c>
      <c r="U32" s="18">
        <v>65208.09</v>
      </c>
      <c r="V32" s="18">
        <v>65208.09</v>
      </c>
      <c r="W32" s="18">
        <v>65208.09</v>
      </c>
      <c r="X32" s="18">
        <v>65208.09</v>
      </c>
      <c r="Y32" s="18">
        <v>65208.09</v>
      </c>
      <c r="Z32" s="18">
        <v>65208.09</v>
      </c>
      <c r="AA32" s="18">
        <v>65208.09</v>
      </c>
      <c r="AB32" s="18">
        <v>65208.09</v>
      </c>
      <c r="AC32" s="18">
        <v>65208.09</v>
      </c>
      <c r="AD32" s="36">
        <f t="shared" ref="AD32:AD33" si="216">AC32</f>
        <v>65208.09</v>
      </c>
      <c r="AE32" s="36">
        <f t="shared" ref="AE32:AE33" si="217">AD32</f>
        <v>65208.09</v>
      </c>
      <c r="AF32" s="36">
        <f t="shared" ref="AF32:AF33" si="218">AE32</f>
        <v>65208.09</v>
      </c>
      <c r="AG32" s="36">
        <f t="shared" ref="AG32:AG33" si="219">AF32</f>
        <v>65208.09</v>
      </c>
      <c r="AH32" s="36">
        <f t="shared" ref="AH32:AH33" si="220">AG32</f>
        <v>65208.09</v>
      </c>
      <c r="AI32" s="36">
        <f t="shared" ref="AI32:AI33" si="221">AH32</f>
        <v>65208.09</v>
      </c>
      <c r="AJ32" s="36">
        <f t="shared" ref="AJ32:AJ33" si="222">AI32</f>
        <v>65208.09</v>
      </c>
      <c r="AK32" s="36">
        <f t="shared" ref="AK32:AK33" si="223">AJ32</f>
        <v>65208.09</v>
      </c>
      <c r="AL32" s="36">
        <f t="shared" ref="AL32:AL33" si="224">AK32</f>
        <v>65208.09</v>
      </c>
      <c r="AM32" s="36">
        <f t="shared" ref="AM32:AM33" si="225">AL32</f>
        <v>65208.09</v>
      </c>
      <c r="AN32" s="36">
        <f t="shared" ref="AN32:AN33" si="226">AM32</f>
        <v>65208.09</v>
      </c>
      <c r="AO32" s="36">
        <f t="shared" ref="AO32:AO33" si="227">AN32</f>
        <v>65208.09</v>
      </c>
      <c r="AP32" s="36">
        <f t="shared" ref="AP32:AP33" si="228">AO32</f>
        <v>65208.09</v>
      </c>
      <c r="AQ32" s="36">
        <f t="shared" ref="AQ32:AQ33" si="229">AP32</f>
        <v>65208.09</v>
      </c>
      <c r="AR32" s="36">
        <f t="shared" ref="AR32:AR33" si="230">AQ32</f>
        <v>65208.09</v>
      </c>
      <c r="AS32" s="36">
        <f t="shared" ref="AS32:AS33" si="231">AR32</f>
        <v>65208.09</v>
      </c>
      <c r="AT32" s="36">
        <f t="shared" ref="AT32:AT33" si="232">AS32</f>
        <v>65208.09</v>
      </c>
      <c r="AU32" s="36">
        <f t="shared" ref="AU32:AU33" si="233">AT32</f>
        <v>65208.09</v>
      </c>
      <c r="AV32" s="36">
        <f t="shared" ref="AV32:AV33" si="234">AU32</f>
        <v>65208.09</v>
      </c>
      <c r="AW32" s="36">
        <f t="shared" ref="AW32:AW33" si="235">AV32</f>
        <v>65208.09</v>
      </c>
      <c r="AX32" s="36">
        <f t="shared" ref="AX32:AX33" si="236">AW32</f>
        <v>65208.09</v>
      </c>
      <c r="AY32" s="36">
        <f t="shared" ref="AY32:AY33" si="237">AX32</f>
        <v>65208.09</v>
      </c>
      <c r="AZ32" s="36">
        <f t="shared" ref="AZ32:AZ33" si="238">AY32</f>
        <v>65208.09</v>
      </c>
      <c r="BA32" s="36">
        <f t="shared" ref="BA32:BA33" si="239">AZ32</f>
        <v>65208.09</v>
      </c>
      <c r="BB32" s="36">
        <f t="shared" ref="BB32:BB33" si="240">BA32</f>
        <v>65208.09</v>
      </c>
      <c r="BC32" s="36">
        <f t="shared" ref="BC32:BC33" si="241">BB32</f>
        <v>65208.09</v>
      </c>
      <c r="BD32" s="36">
        <f t="shared" ref="BD32:BD33" si="242">BC32</f>
        <v>65208.09</v>
      </c>
      <c r="BE32" s="36">
        <f t="shared" ref="BE32:BE33" si="243">BD32</f>
        <v>65208.09</v>
      </c>
      <c r="BF32" s="36">
        <f t="shared" ref="BF32:BF33" si="244">BE32</f>
        <v>65208.09</v>
      </c>
      <c r="BG32" s="36">
        <f t="shared" ref="BG32:BG33" si="245">BF32</f>
        <v>65208.09</v>
      </c>
      <c r="BH32" s="36">
        <f t="shared" ref="BH32:BH33" si="246">BG32</f>
        <v>65208.09</v>
      </c>
      <c r="BI32" s="36">
        <f t="shared" ref="BI32:BI33" si="247">BH32</f>
        <v>65208.09</v>
      </c>
      <c r="BJ32" s="36">
        <f t="shared" ref="BJ32:BJ33" si="248">BI32</f>
        <v>65208.09</v>
      </c>
      <c r="BK32" s="36">
        <f t="shared" ref="BK32:BK33" si="249">BJ32</f>
        <v>65208.09</v>
      </c>
      <c r="BL32" s="36">
        <f t="shared" ref="BL32:BL33" si="250">BK32</f>
        <v>65208.09</v>
      </c>
      <c r="BM32" s="36">
        <f t="shared" ref="BM32:BM33" si="251">BL32</f>
        <v>65208.09</v>
      </c>
      <c r="BN32" s="36">
        <f t="shared" ref="BN32:BN33" si="252">BM32</f>
        <v>65208.09</v>
      </c>
      <c r="BO32" s="36">
        <f t="shared" ref="BO32:BO33" si="253">BN32</f>
        <v>65208.09</v>
      </c>
      <c r="BP32" s="36">
        <f t="shared" ref="BP32:BP33" si="254">BO32</f>
        <v>65208.09</v>
      </c>
      <c r="BQ32" s="36">
        <f t="shared" ref="BQ32:BQ33" si="255">BP32</f>
        <v>65208.09</v>
      </c>
      <c r="BR32" s="36">
        <f t="shared" ref="BR32:BR33" si="256">BQ32</f>
        <v>65208.09</v>
      </c>
      <c r="BS32" s="36">
        <f t="shared" ref="BS32:BS33" si="257">BR32</f>
        <v>65208.09</v>
      </c>
      <c r="BT32" s="36">
        <f t="shared" ref="BT32:BT33" si="258">BS32</f>
        <v>65208.09</v>
      </c>
      <c r="BU32" s="36">
        <f t="shared" ref="BU32:BU33" si="259">BT32</f>
        <v>65208.09</v>
      </c>
      <c r="BV32" s="36">
        <f t="shared" ref="BV32:BV33" si="260">BU32</f>
        <v>65208.09</v>
      </c>
      <c r="BW32" s="36">
        <f t="shared" ref="BW32:BW33" si="261">BV32</f>
        <v>65208.09</v>
      </c>
      <c r="BX32" s="36">
        <f t="shared" ref="BX32:BX33" si="262">BW32</f>
        <v>65208.09</v>
      </c>
      <c r="BY32" s="36">
        <f t="shared" ref="BY32:BY33" si="263">BX32</f>
        <v>65208.09</v>
      </c>
    </row>
    <row r="33" spans="1:77" x14ac:dyDescent="0.3">
      <c r="B33" s="25" t="s">
        <v>315</v>
      </c>
      <c r="C33" s="25"/>
      <c r="D33" s="18">
        <v>0</v>
      </c>
      <c r="E33" s="18">
        <v>0</v>
      </c>
      <c r="F33" s="18">
        <v>0</v>
      </c>
      <c r="G33" s="18">
        <v>0</v>
      </c>
      <c r="H33" s="18">
        <v>0</v>
      </c>
      <c r="I33" s="18">
        <v>5200</v>
      </c>
      <c r="J33" s="18">
        <v>5200</v>
      </c>
      <c r="K33" s="18">
        <v>5200</v>
      </c>
      <c r="L33" s="18">
        <v>5200</v>
      </c>
      <c r="M33" s="18">
        <v>5200</v>
      </c>
      <c r="N33" s="18">
        <v>5200</v>
      </c>
      <c r="O33" s="18">
        <v>5200</v>
      </c>
      <c r="P33" s="18">
        <v>5200</v>
      </c>
      <c r="Q33" s="18">
        <v>5200</v>
      </c>
      <c r="R33" s="18">
        <v>5200</v>
      </c>
      <c r="S33" s="18">
        <v>5200</v>
      </c>
      <c r="T33" s="18">
        <v>5200</v>
      </c>
      <c r="U33" s="18">
        <v>5200</v>
      </c>
      <c r="V33" s="18">
        <v>5200</v>
      </c>
      <c r="W33" s="18">
        <v>5200</v>
      </c>
      <c r="X33" s="18">
        <v>5200</v>
      </c>
      <c r="Y33" s="18">
        <v>5200</v>
      </c>
      <c r="Z33" s="18">
        <v>5200</v>
      </c>
      <c r="AA33" s="18">
        <v>5200</v>
      </c>
      <c r="AB33" s="18">
        <v>5200</v>
      </c>
      <c r="AC33" s="18">
        <v>5200</v>
      </c>
      <c r="AD33" s="36">
        <f t="shared" si="216"/>
        <v>5200</v>
      </c>
      <c r="AE33" s="36">
        <f t="shared" si="217"/>
        <v>5200</v>
      </c>
      <c r="AF33" s="36">
        <f t="shared" si="218"/>
        <v>5200</v>
      </c>
      <c r="AG33" s="36">
        <f t="shared" si="219"/>
        <v>5200</v>
      </c>
      <c r="AH33" s="36">
        <f t="shared" si="220"/>
        <v>5200</v>
      </c>
      <c r="AI33" s="36">
        <f t="shared" si="221"/>
        <v>5200</v>
      </c>
      <c r="AJ33" s="36">
        <f t="shared" si="222"/>
        <v>5200</v>
      </c>
      <c r="AK33" s="36">
        <f t="shared" si="223"/>
        <v>5200</v>
      </c>
      <c r="AL33" s="36">
        <f t="shared" si="224"/>
        <v>5200</v>
      </c>
      <c r="AM33" s="36">
        <f t="shared" si="225"/>
        <v>5200</v>
      </c>
      <c r="AN33" s="36">
        <f t="shared" si="226"/>
        <v>5200</v>
      </c>
      <c r="AO33" s="36">
        <f t="shared" si="227"/>
        <v>5200</v>
      </c>
      <c r="AP33" s="36">
        <f t="shared" si="228"/>
        <v>5200</v>
      </c>
      <c r="AQ33" s="36">
        <f t="shared" si="229"/>
        <v>5200</v>
      </c>
      <c r="AR33" s="36">
        <f t="shared" si="230"/>
        <v>5200</v>
      </c>
      <c r="AS33" s="36">
        <f t="shared" si="231"/>
        <v>5200</v>
      </c>
      <c r="AT33" s="36">
        <f t="shared" si="232"/>
        <v>5200</v>
      </c>
      <c r="AU33" s="36">
        <f t="shared" si="233"/>
        <v>5200</v>
      </c>
      <c r="AV33" s="36">
        <f t="shared" si="234"/>
        <v>5200</v>
      </c>
      <c r="AW33" s="36">
        <f t="shared" si="235"/>
        <v>5200</v>
      </c>
      <c r="AX33" s="36">
        <f t="shared" si="236"/>
        <v>5200</v>
      </c>
      <c r="AY33" s="36">
        <f t="shared" si="237"/>
        <v>5200</v>
      </c>
      <c r="AZ33" s="36">
        <f t="shared" si="238"/>
        <v>5200</v>
      </c>
      <c r="BA33" s="36">
        <f t="shared" si="239"/>
        <v>5200</v>
      </c>
      <c r="BB33" s="36">
        <f t="shared" si="240"/>
        <v>5200</v>
      </c>
      <c r="BC33" s="36">
        <f t="shared" si="241"/>
        <v>5200</v>
      </c>
      <c r="BD33" s="36">
        <f t="shared" si="242"/>
        <v>5200</v>
      </c>
      <c r="BE33" s="36">
        <f t="shared" si="243"/>
        <v>5200</v>
      </c>
      <c r="BF33" s="36">
        <f t="shared" si="244"/>
        <v>5200</v>
      </c>
      <c r="BG33" s="36">
        <f t="shared" si="245"/>
        <v>5200</v>
      </c>
      <c r="BH33" s="36">
        <f t="shared" si="246"/>
        <v>5200</v>
      </c>
      <c r="BI33" s="36">
        <f t="shared" si="247"/>
        <v>5200</v>
      </c>
      <c r="BJ33" s="36">
        <f t="shared" si="248"/>
        <v>5200</v>
      </c>
      <c r="BK33" s="36">
        <f t="shared" si="249"/>
        <v>5200</v>
      </c>
      <c r="BL33" s="36">
        <f t="shared" si="250"/>
        <v>5200</v>
      </c>
      <c r="BM33" s="36">
        <f t="shared" si="251"/>
        <v>5200</v>
      </c>
      <c r="BN33" s="36">
        <f t="shared" si="252"/>
        <v>5200</v>
      </c>
      <c r="BO33" s="36">
        <f t="shared" si="253"/>
        <v>5200</v>
      </c>
      <c r="BP33" s="36">
        <f t="shared" si="254"/>
        <v>5200</v>
      </c>
      <c r="BQ33" s="36">
        <f t="shared" si="255"/>
        <v>5200</v>
      </c>
      <c r="BR33" s="36">
        <f t="shared" si="256"/>
        <v>5200</v>
      </c>
      <c r="BS33" s="36">
        <f t="shared" si="257"/>
        <v>5200</v>
      </c>
      <c r="BT33" s="36">
        <f t="shared" si="258"/>
        <v>5200</v>
      </c>
      <c r="BU33" s="36">
        <f t="shared" si="259"/>
        <v>5200</v>
      </c>
      <c r="BV33" s="36">
        <f t="shared" si="260"/>
        <v>5200</v>
      </c>
      <c r="BW33" s="36">
        <f t="shared" si="261"/>
        <v>5200</v>
      </c>
      <c r="BX33" s="36">
        <f t="shared" si="262"/>
        <v>5200</v>
      </c>
      <c r="BY33" s="36">
        <f t="shared" si="263"/>
        <v>5200</v>
      </c>
    </row>
    <row r="34" spans="1:77" x14ac:dyDescent="0.3">
      <c r="B34" s="25" t="s">
        <v>339</v>
      </c>
      <c r="C34" s="25"/>
      <c r="D34" s="18">
        <v>0</v>
      </c>
      <c r="E34" s="18">
        <v>0</v>
      </c>
      <c r="F34" s="18">
        <v>0</v>
      </c>
      <c r="G34" s="18">
        <v>0</v>
      </c>
      <c r="H34" s="18">
        <v>0</v>
      </c>
      <c r="I34" s="18">
        <v>0</v>
      </c>
      <c r="J34" s="18">
        <v>0</v>
      </c>
      <c r="K34" s="18">
        <v>0</v>
      </c>
      <c r="L34" s="18">
        <v>0</v>
      </c>
      <c r="M34" s="18">
        <v>0</v>
      </c>
      <c r="N34" s="18">
        <v>0</v>
      </c>
      <c r="O34" s="18">
        <v>0</v>
      </c>
      <c r="P34" s="18">
        <v>0</v>
      </c>
      <c r="Q34" s="18">
        <v>6228500</v>
      </c>
      <c r="R34" s="18">
        <v>6228500</v>
      </c>
      <c r="S34" s="18">
        <v>6228500</v>
      </c>
      <c r="T34" s="18">
        <v>6228500</v>
      </c>
      <c r="U34" s="18">
        <v>6228500</v>
      </c>
      <c r="V34" s="18">
        <v>6228500</v>
      </c>
      <c r="W34" s="18">
        <v>6228500</v>
      </c>
      <c r="X34" s="18">
        <v>6228500</v>
      </c>
      <c r="Y34" s="18">
        <v>6228500</v>
      </c>
      <c r="Z34" s="18">
        <v>6228500</v>
      </c>
      <c r="AA34" s="18">
        <v>6228500</v>
      </c>
      <c r="AB34" s="18">
        <v>6228500</v>
      </c>
      <c r="AC34" s="18">
        <v>6228500</v>
      </c>
      <c r="AD34" s="102">
        <f>IF('Hillpointe Detail'!$B$291="Red Hook",AC34-'Cash Flow Detail'!AB18,0)</f>
        <v>0</v>
      </c>
      <c r="AE34" s="102">
        <f>IF('Hillpointe Detail'!$B$291="Red Hook",AD34-'Cash Flow Detail'!AC18,0)</f>
        <v>0</v>
      </c>
      <c r="AF34" s="102">
        <f>IF('Hillpointe Detail'!$B$291="Red Hook",AE34-'Cash Flow Detail'!AD18,0)</f>
        <v>0</v>
      </c>
      <c r="AG34" s="102">
        <f>IF('Hillpointe Detail'!$B$291="Red Hook",AF34-'Cash Flow Detail'!AE18,0)</f>
        <v>0</v>
      </c>
      <c r="AH34" s="102">
        <f>IF('Hillpointe Detail'!$B$291="Red Hook",AG34-'Cash Flow Detail'!AF18,0)</f>
        <v>0</v>
      </c>
      <c r="AI34" s="102">
        <f>IF('Hillpointe Detail'!$B$291="Red Hook",AH34-'Cash Flow Detail'!AG18,0)</f>
        <v>0</v>
      </c>
      <c r="AJ34" s="102">
        <f>IF('Hillpointe Detail'!$B$291="Red Hook",AI34-'Cash Flow Detail'!AH18,0)</f>
        <v>0</v>
      </c>
      <c r="AK34" s="102">
        <f>IF('Hillpointe Detail'!$B$291="Red Hook",AJ34-'Cash Flow Detail'!AI18,0)</f>
        <v>0</v>
      </c>
      <c r="AL34" s="102">
        <f>IF('Hillpointe Detail'!$B$291="Red Hook",AK34-'Cash Flow Detail'!AJ18,0)</f>
        <v>0</v>
      </c>
      <c r="AM34" s="102">
        <f>IF('Hillpointe Detail'!$B$291="Red Hook",AL34-'Cash Flow Detail'!AK18,0)</f>
        <v>0</v>
      </c>
      <c r="AN34" s="102">
        <f>IF('Hillpointe Detail'!$B$291="Red Hook",AM34-'Cash Flow Detail'!AL18,0)</f>
        <v>0</v>
      </c>
      <c r="AO34" s="102">
        <f>IF('Hillpointe Detail'!$B$291="Red Hook",AN34-'Cash Flow Detail'!AM18,0)</f>
        <v>0</v>
      </c>
      <c r="AP34" s="102">
        <f>IF('Hillpointe Detail'!$B$291="Red Hook",AO34-'Cash Flow Detail'!AN18,0)</f>
        <v>0</v>
      </c>
      <c r="AQ34" s="102">
        <f>IF('Hillpointe Detail'!$B$291="Red Hook",AP34-'Cash Flow Detail'!AO18,0)</f>
        <v>0</v>
      </c>
      <c r="AR34" s="102">
        <f>IF('Hillpointe Detail'!$B$291="Red Hook",AQ34-'Cash Flow Detail'!AP18,0)</f>
        <v>0</v>
      </c>
      <c r="AS34" s="102">
        <f>IF('Hillpointe Detail'!$B$291="Red Hook",AR34-'Cash Flow Detail'!AQ18,0)</f>
        <v>0</v>
      </c>
      <c r="AT34" s="102">
        <f>IF('Hillpointe Detail'!$B$291="Red Hook",AS34-'Cash Flow Detail'!AR18,0)</f>
        <v>0</v>
      </c>
      <c r="AU34" s="102">
        <f>IF('Hillpointe Detail'!$B$291="Red Hook",AT34-'Cash Flow Detail'!AS18,0)</f>
        <v>0</v>
      </c>
      <c r="AV34" s="102">
        <f>IF('Hillpointe Detail'!$B$291="Red Hook",AU34-'Cash Flow Detail'!AT18,0)</f>
        <v>0</v>
      </c>
      <c r="AW34" s="102">
        <f>IF('Hillpointe Detail'!$B$291="Red Hook",AV34-'Cash Flow Detail'!AU18,0)</f>
        <v>0</v>
      </c>
      <c r="AX34" s="102">
        <f>IF('Hillpointe Detail'!$B$291="Red Hook",AW34-'Cash Flow Detail'!AV18,0)</f>
        <v>0</v>
      </c>
      <c r="AY34" s="102">
        <f>IF('Hillpointe Detail'!$B$291="Red Hook",AX34-'Cash Flow Detail'!AW18,0)</f>
        <v>0</v>
      </c>
      <c r="AZ34" s="102">
        <f>IF('Hillpointe Detail'!$B$291="Red Hook",AY34-'Cash Flow Detail'!AX18,0)</f>
        <v>0</v>
      </c>
      <c r="BA34" s="102">
        <f>IF('Hillpointe Detail'!$B$291="Red Hook",AZ34-'Cash Flow Detail'!AY18,0)</f>
        <v>0</v>
      </c>
      <c r="BB34" s="102">
        <f>IF('Hillpointe Detail'!$B$291="Red Hook",BA34-'Cash Flow Detail'!AZ18,0)</f>
        <v>0</v>
      </c>
      <c r="BC34" s="102">
        <f>IF('Hillpointe Detail'!$B$291="Red Hook",BB34-'Cash Flow Detail'!BA18,0)</f>
        <v>0</v>
      </c>
      <c r="BD34" s="102">
        <f>IF('Hillpointe Detail'!$B$291="Red Hook",BC34-'Cash Flow Detail'!BB18,0)</f>
        <v>0</v>
      </c>
      <c r="BE34" s="102">
        <f>IF('Hillpointe Detail'!$B$291="Red Hook",BD34-'Cash Flow Detail'!BC18,0)</f>
        <v>0</v>
      </c>
      <c r="BF34" s="102">
        <f>IF('Hillpointe Detail'!$B$291="Red Hook",BE34-'Cash Flow Detail'!BD18,0)</f>
        <v>0</v>
      </c>
      <c r="BG34" s="102">
        <f>IF('Hillpointe Detail'!$B$291="Red Hook",BF34-'Cash Flow Detail'!BE18,0)</f>
        <v>0</v>
      </c>
      <c r="BH34" s="102">
        <f>IF('Hillpointe Detail'!$B$291="Red Hook",BG34-'Cash Flow Detail'!BF18,0)</f>
        <v>0</v>
      </c>
      <c r="BI34" s="102">
        <f>IF('Hillpointe Detail'!$B$291="Red Hook",BH34-'Cash Flow Detail'!BG18,0)</f>
        <v>0</v>
      </c>
      <c r="BJ34" s="102">
        <f>IF('Hillpointe Detail'!$B$291="Red Hook",BI34-'Cash Flow Detail'!BH18,0)</f>
        <v>0</v>
      </c>
      <c r="BK34" s="102">
        <f>IF('Hillpointe Detail'!$B$291="Red Hook",BJ34-'Cash Flow Detail'!BI18,0)</f>
        <v>0</v>
      </c>
      <c r="BL34" s="102">
        <f>IF('Hillpointe Detail'!$B$291="Red Hook",BK34-'Cash Flow Detail'!BJ18,0)</f>
        <v>0</v>
      </c>
      <c r="BM34" s="102">
        <f>IF('Hillpointe Detail'!$B$291="Red Hook",BL34-'Cash Flow Detail'!BK18,0)</f>
        <v>0</v>
      </c>
      <c r="BN34" s="102">
        <f>IF('Hillpointe Detail'!$B$291="Red Hook",BM34-'Cash Flow Detail'!BL18,0)</f>
        <v>0</v>
      </c>
      <c r="BO34" s="102">
        <f>IF('Hillpointe Detail'!$B$291="Red Hook",BN34-'Cash Flow Detail'!BM18,0)</f>
        <v>0</v>
      </c>
      <c r="BP34" s="102">
        <f>IF('Hillpointe Detail'!$B$291="Red Hook",BO34-'Cash Flow Detail'!BN18,0)</f>
        <v>0</v>
      </c>
      <c r="BQ34" s="102">
        <f>IF('Hillpointe Detail'!$B$291="Red Hook",BP34-'Cash Flow Detail'!BO18,0)</f>
        <v>0</v>
      </c>
      <c r="BR34" s="102">
        <f>IF('Hillpointe Detail'!$B$291="Red Hook",BQ34-'Cash Flow Detail'!BP18,0)</f>
        <v>0</v>
      </c>
      <c r="BS34" s="102">
        <f>IF('Hillpointe Detail'!$B$291="Red Hook",BR34-'Cash Flow Detail'!BQ18,0)</f>
        <v>0</v>
      </c>
      <c r="BT34" s="102">
        <f>IF('Hillpointe Detail'!$B$291="Red Hook",BS34-'Cash Flow Detail'!BR18,0)</f>
        <v>0</v>
      </c>
      <c r="BU34" s="102">
        <f>IF('Hillpointe Detail'!$B$291="Red Hook",BT34-'Cash Flow Detail'!BS18,0)</f>
        <v>0</v>
      </c>
      <c r="BV34" s="102">
        <f>IF('Hillpointe Detail'!$B$291="Red Hook",BU34-'Cash Flow Detail'!BT18,0)</f>
        <v>0</v>
      </c>
      <c r="BW34" s="102">
        <f>IF('Hillpointe Detail'!$B$291="Red Hook",BV34-'Cash Flow Detail'!BU18,0)</f>
        <v>0</v>
      </c>
      <c r="BX34" s="102">
        <f>IF('Hillpointe Detail'!$B$291="Red Hook",BW34-'Cash Flow Detail'!BV18,0)</f>
        <v>0</v>
      </c>
      <c r="BY34" s="102">
        <f>IF('Hillpointe Detail'!$B$291="Red Hook",BX34-'Cash Flow Detail'!BW18,0)</f>
        <v>0</v>
      </c>
    </row>
    <row r="35" spans="1:77" x14ac:dyDescent="0.3">
      <c r="B35" s="25" t="s">
        <v>432</v>
      </c>
      <c r="C35" s="25"/>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02">
        <f>IF('Hillpointe Detail'!$B$291="Red Hook",0,-'Cash Flow Detail'!AB18)+AC35</f>
        <v>10043702.870000003</v>
      </c>
      <c r="AE35" s="102">
        <f>IF('Hillpointe Detail'!$B$291="Red Hook",0,-'Cash Flow Detail'!AC18)+AD35</f>
        <v>10043702.870000003</v>
      </c>
      <c r="AF35" s="102">
        <f>IF('Hillpointe Detail'!$B$291="Red Hook",0,-'Cash Flow Detail'!AD18)+AE35</f>
        <v>10047702.870000003</v>
      </c>
      <c r="AG35" s="102">
        <f>IF('Hillpointe Detail'!$B$291="Red Hook",0,-'Cash Flow Detail'!AE18)+AF35</f>
        <v>10051702.870000003</v>
      </c>
      <c r="AH35" s="102">
        <f>IF('Hillpointe Detail'!$B$291="Red Hook",0,-'Cash Flow Detail'!AF18)+AG35</f>
        <v>10067702.870000003</v>
      </c>
      <c r="AI35" s="102">
        <f>IF('Hillpointe Detail'!$B$291="Red Hook",0,-'Cash Flow Detail'!AG18)+AH35</f>
        <v>10876234.759098353</v>
      </c>
      <c r="AJ35" s="102">
        <f>IF('Hillpointe Detail'!$B$291="Red Hook",0,-'Cash Flow Detail'!AH18)+AI35</f>
        <v>11684766.648196703</v>
      </c>
      <c r="AK35" s="102">
        <f>IF('Hillpointe Detail'!$B$291="Red Hook",0,-'Cash Flow Detail'!AI18)+AJ35</f>
        <v>12493298.537295053</v>
      </c>
      <c r="AL35" s="102">
        <f>IF('Hillpointe Detail'!$B$291="Red Hook",0,-'Cash Flow Detail'!AJ18)+AK35</f>
        <v>13301830.426393403</v>
      </c>
      <c r="AM35" s="102">
        <f>IF('Hillpointe Detail'!$B$291="Red Hook",0,-'Cash Flow Detail'!AK18)+AL35</f>
        <v>14110362.315491753</v>
      </c>
      <c r="AN35" s="102">
        <f>IF('Hillpointe Detail'!$B$291="Red Hook",0,-'Cash Flow Detail'!AL18)+AM35</f>
        <v>14918894.204590103</v>
      </c>
      <c r="AO35" s="102">
        <f>IF('Hillpointe Detail'!$B$291="Red Hook",0,-'Cash Flow Detail'!AM18)+AN35</f>
        <v>15727426.093688453</v>
      </c>
      <c r="AP35" s="102">
        <f>IF('Hillpointe Detail'!$B$291="Red Hook",0,-'Cash Flow Detail'!AN18)+AO35</f>
        <v>16535215.403599672</v>
      </c>
      <c r="AQ35" s="102">
        <f>IF('Hillpointe Detail'!$B$291="Red Hook",0,-'Cash Flow Detail'!AO18)+AP35</f>
        <v>17343004.713510893</v>
      </c>
      <c r="AR35" s="102">
        <f>IF('Hillpointe Detail'!$B$291="Red Hook",0,-'Cash Flow Detail'!AP18)+AQ35</f>
        <v>18150794.023422115</v>
      </c>
      <c r="AS35" s="102">
        <f>IF('Hillpointe Detail'!$B$291="Red Hook",0,-'Cash Flow Detail'!AQ18)+AR35</f>
        <v>18958583.333333336</v>
      </c>
      <c r="AT35" s="102">
        <f>IF('Hillpointe Detail'!$B$291="Red Hook",0,-'Cash Flow Detail'!AR18)+AS35</f>
        <v>18966916.666666668</v>
      </c>
      <c r="AU35" s="102">
        <f>IF('Hillpointe Detail'!$B$291="Red Hook",0,-'Cash Flow Detail'!AS18)+AT35</f>
        <v>18975250</v>
      </c>
      <c r="AV35" s="102">
        <f>IF('Hillpointe Detail'!$B$291="Red Hook",0,-'Cash Flow Detail'!AT18)+AU35</f>
        <v>18983583.333333332</v>
      </c>
      <c r="AW35" s="102">
        <f>IF('Hillpointe Detail'!$B$291="Red Hook",0,-'Cash Flow Detail'!AU18)+AV35</f>
        <v>18991916.666666664</v>
      </c>
      <c r="AX35" s="102">
        <f>IF('Hillpointe Detail'!$B$291="Red Hook",0,-'Cash Flow Detail'!AV18)+AW35</f>
        <v>19000249.999999996</v>
      </c>
      <c r="AY35" s="102">
        <f>IF('Hillpointe Detail'!$B$291="Red Hook",0,-'Cash Flow Detail'!AW18)+AX35</f>
        <v>19008583.333333328</v>
      </c>
      <c r="AZ35" s="102">
        <f>IF('Hillpointe Detail'!$B$291="Red Hook",0,-'Cash Flow Detail'!AX18)+AY35</f>
        <v>19016916.66666666</v>
      </c>
      <c r="BA35" s="102">
        <f>IF('Hillpointe Detail'!$B$291="Red Hook",0,-'Cash Flow Detail'!AY18)+AZ35</f>
        <v>19025249.999999993</v>
      </c>
      <c r="BB35" s="102">
        <f>IF('Hillpointe Detail'!$B$291="Red Hook",0,-'Cash Flow Detail'!AZ18)+BA35</f>
        <v>19033583.333333325</v>
      </c>
      <c r="BC35" s="102">
        <f>IF('Hillpointe Detail'!$B$291="Red Hook",0,-'Cash Flow Detail'!BA18)+BB35</f>
        <v>19041916.666666657</v>
      </c>
      <c r="BD35" s="102">
        <f>IF('Hillpointe Detail'!$B$291="Red Hook",0,-'Cash Flow Detail'!BB18)+BC35</f>
        <v>19050249.999999989</v>
      </c>
      <c r="BE35" s="102">
        <f>IF('Hillpointe Detail'!$B$291="Red Hook",0,-'Cash Flow Detail'!BC18)+BD35</f>
        <v>19058583.333333321</v>
      </c>
      <c r="BF35" s="102">
        <f>IF('Hillpointe Detail'!$B$291="Red Hook",0,-'Cash Flow Detail'!BD18)+BE35</f>
        <v>19066916.666666653</v>
      </c>
      <c r="BG35" s="102">
        <f>IF('Hillpointe Detail'!$B$291="Red Hook",0,-'Cash Flow Detail'!BE18)+BF35</f>
        <v>19075249.999999985</v>
      </c>
      <c r="BH35" s="102">
        <f>IF('Hillpointe Detail'!$B$291="Red Hook",0,-'Cash Flow Detail'!BF18)+BG35</f>
        <v>19083583.333333317</v>
      </c>
      <c r="BI35" s="102">
        <f>IF('Hillpointe Detail'!$B$291="Red Hook",0,-'Cash Flow Detail'!BG18)+BH35</f>
        <v>19091916.666666649</v>
      </c>
      <c r="BJ35" s="102">
        <f>IF('Hillpointe Detail'!$B$291="Red Hook",0,-'Cash Flow Detail'!BH18)+BI35</f>
        <v>19100249.999999981</v>
      </c>
      <c r="BK35" s="102">
        <f>IF('Hillpointe Detail'!$B$291="Red Hook",0,-'Cash Flow Detail'!BI18)+BJ35</f>
        <v>19108583.333333313</v>
      </c>
      <c r="BL35" s="102">
        <f>IF('Hillpointe Detail'!$B$291="Red Hook",0,-'Cash Flow Detail'!BJ18)+BK35</f>
        <v>19116916.666666646</v>
      </c>
      <c r="BM35" s="102">
        <f>IF('Hillpointe Detail'!$B$291="Red Hook",0,-'Cash Flow Detail'!BK18)+BL35</f>
        <v>19125249.999999978</v>
      </c>
      <c r="BN35" s="102">
        <f>IF('Hillpointe Detail'!$B$291="Red Hook",0,-'Cash Flow Detail'!BL18)+BM35</f>
        <v>19133583.33333331</v>
      </c>
      <c r="BO35" s="102">
        <f>IF('Hillpointe Detail'!$B$291="Red Hook",0,-'Cash Flow Detail'!BM18)+BN35</f>
        <v>19141916.666666642</v>
      </c>
      <c r="BP35" s="102">
        <f>IF('Hillpointe Detail'!$B$291="Red Hook",0,-'Cash Flow Detail'!BN18)+BO35</f>
        <v>19150249.999999974</v>
      </c>
      <c r="BQ35" s="102">
        <f>IF('Hillpointe Detail'!$B$291="Red Hook",0,-'Cash Flow Detail'!BO18)+BP35</f>
        <v>19158583.333333306</v>
      </c>
      <c r="BR35" s="102">
        <f>IF('Hillpointe Detail'!$B$291="Red Hook",0,-'Cash Flow Detail'!BP18)+BQ35</f>
        <v>19166916.666666638</v>
      </c>
      <c r="BS35" s="102">
        <f>IF('Hillpointe Detail'!$B$291="Red Hook",0,-'Cash Flow Detail'!BQ18)+BR35</f>
        <v>19175249.99999997</v>
      </c>
      <c r="BT35" s="102">
        <f>IF('Hillpointe Detail'!$B$291="Red Hook",0,-'Cash Flow Detail'!BR18)+BS35</f>
        <v>19183583.333333302</v>
      </c>
      <c r="BU35" s="102">
        <f>IF('Hillpointe Detail'!$B$291="Red Hook",0,-'Cash Flow Detail'!BS18)+BT35</f>
        <v>19191916.666666634</v>
      </c>
      <c r="BV35" s="102">
        <f>IF('Hillpointe Detail'!$B$291="Red Hook",0,-'Cash Flow Detail'!BT18)+BU35</f>
        <v>19200249.999999966</v>
      </c>
      <c r="BW35" s="102">
        <f>IF('Hillpointe Detail'!$B$291="Red Hook",0,-'Cash Flow Detail'!BU18)+BV35</f>
        <v>19208583.333333299</v>
      </c>
      <c r="BX35" s="102">
        <f>IF('Hillpointe Detail'!$B$291="Red Hook",0,-'Cash Flow Detail'!BV18)+BW35</f>
        <v>19216916.666666631</v>
      </c>
      <c r="BY35" s="102">
        <f>IF('Hillpointe Detail'!$B$291="Red Hook",0,-'Cash Flow Detail'!BW18)+BX35</f>
        <v>19225249.999999963</v>
      </c>
    </row>
    <row r="36" spans="1:77" x14ac:dyDescent="0.3">
      <c r="B36" s="25" t="s">
        <v>433</v>
      </c>
      <c r="C36" s="25"/>
      <c r="D36" s="18">
        <v>0</v>
      </c>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49">
        <f>IF('Hillpointe Detail'!$B$291="Red Hook",0,AC36-'Hillpointe Detail'!AC139-'Sandhill Detail'!AC139)</f>
        <v>-25452.287142857149</v>
      </c>
      <c r="AE36" s="149">
        <f>IF('Hillpointe Detail'!$B$291="Red Hook",0,AD36-'Hillpointe Detail'!AD139-'Sandhill Detail'!AD139)</f>
        <v>-50904.574285714298</v>
      </c>
      <c r="AF36" s="149">
        <f>IF('Hillpointe Detail'!$B$291="Red Hook",0,AE36-'Hillpointe Detail'!AE139-'Sandhill Detail'!AE139)</f>
        <v>-76366.385238095259</v>
      </c>
      <c r="AG36" s="149">
        <f>IF('Hillpointe Detail'!$B$291="Red Hook",0,AF36-'Hillpointe Detail'!AF139-'Sandhill Detail'!AF139)</f>
        <v>-101837.72000000003</v>
      </c>
      <c r="AH36" s="149">
        <f>IF('Hillpointe Detail'!$B$291="Red Hook",0,AG36-'Hillpointe Detail'!AG139-'Sandhill Detail'!AG139)</f>
        <v>-127347.15000000004</v>
      </c>
      <c r="AI36" s="149">
        <f>IF('Hillpointe Detail'!$B$291="Red Hook",0,AH36-'Hillpointe Detail'!AH139-'Sandhill Detail'!AH139)</f>
        <v>-154781.65592642469</v>
      </c>
      <c r="AJ36" s="149">
        <f>IF('Hillpointe Detail'!$B$291="Red Hook",0,AI36-'Hillpointe Detail'!AI139-'Sandhill Detail'!AI139)</f>
        <v>-184141.23777927397</v>
      </c>
      <c r="AK36" s="149">
        <f>IF('Hillpointe Detail'!$B$291="Red Hook",0,AJ36-'Hillpointe Detail'!AJ139-'Sandhill Detail'!AJ139)</f>
        <v>-215425.8955585479</v>
      </c>
      <c r="AL36" s="149">
        <f>IF('Hillpointe Detail'!$B$291="Red Hook",0,AK36-'Hillpointe Detail'!AK139-'Sandhill Detail'!AK139)</f>
        <v>-248635.62926424647</v>
      </c>
      <c r="AM36" s="149">
        <f>IF('Hillpointe Detail'!$B$291="Red Hook",0,AL36-'Hillpointe Detail'!AL139-'Sandhill Detail'!AL139)</f>
        <v>-283770.43889636971</v>
      </c>
      <c r="AN36" s="149">
        <f>IF('Hillpointe Detail'!$B$291="Red Hook",0,AM36-'Hillpointe Detail'!AM139-'Sandhill Detail'!AM139)</f>
        <v>-320830.32445491757</v>
      </c>
      <c r="AO36" s="149">
        <f>IF('Hillpointe Detail'!$B$291="Red Hook",0,AN36-'Hillpointe Detail'!AN139-'Sandhill Detail'!AN139)</f>
        <v>-359815.28593989008</v>
      </c>
      <c r="AP36" s="149">
        <f>IF('Hillpointe Detail'!$B$291="Red Hook",0,AO36-'Hillpointe Detail'!AO139-'Sandhill Detail'!AO139)</f>
        <v>-400723.5553056036</v>
      </c>
      <c r="AQ36" s="149">
        <f>IF('Hillpointe Detail'!$B$291="Red Hook",0,AP36-'Hillpointe Detail'!AP139-'Sandhill Detail'!AP139)</f>
        <v>-443555.13255205814</v>
      </c>
      <c r="AR36" s="149">
        <f>IF('Hillpointe Detail'!$B$291="Red Hook",0,AQ36-'Hillpointe Detail'!AQ139-'Sandhill Detail'!AQ139)</f>
        <v>-488310.01767925365</v>
      </c>
      <c r="AS36" s="149">
        <f>IF('Hillpointe Detail'!$B$291="Red Hook",0,AR36-'Hillpointe Detail'!AR139-'Sandhill Detail'!AR139)</f>
        <v>-534988.21068719018</v>
      </c>
      <c r="AT36" s="149">
        <f>IF('Hillpointe Detail'!$B$291="Red Hook",0,AS36-'Hillpointe Detail'!AS139-'Sandhill Detail'!AS139)</f>
        <v>-581686.24496496795</v>
      </c>
      <c r="AU36" s="149">
        <f>IF('Hillpointe Detail'!$B$291="Red Hook",0,AT36-'Hillpointe Detail'!AT139-'Sandhill Detail'!AT139)</f>
        <v>-628404.12051258702</v>
      </c>
      <c r="AV36" s="149">
        <f>IF('Hillpointe Detail'!$B$291="Red Hook",0,AU36-'Hillpointe Detail'!AU139-'Sandhill Detail'!AU139)</f>
        <v>-675141.83733004739</v>
      </c>
      <c r="AW36" s="149">
        <f>IF('Hillpointe Detail'!$B$291="Red Hook",0,AV36-'Hillpointe Detail'!AV139-'Sandhill Detail'!AV139)</f>
        <v>-721899.39541734895</v>
      </c>
      <c r="AX36" s="149">
        <f>IF('Hillpointe Detail'!$B$291="Red Hook",0,AW36-'Hillpointe Detail'!AW139-'Sandhill Detail'!AW139)</f>
        <v>-768676.79477449181</v>
      </c>
      <c r="AY36" s="149">
        <f>IF('Hillpointe Detail'!$B$291="Red Hook",0,AX36-'Hillpointe Detail'!AX139-'Sandhill Detail'!AX139)</f>
        <v>-815474.03540147597</v>
      </c>
      <c r="AZ36" s="149">
        <f>IF('Hillpointe Detail'!$B$291="Red Hook",0,AY36-'Hillpointe Detail'!AY139-'Sandhill Detail'!AY139)</f>
        <v>-862291.11729830131</v>
      </c>
      <c r="BA36" s="149">
        <f>IF('Hillpointe Detail'!$B$291="Red Hook",0,AZ36-'Hillpointe Detail'!AZ139-'Sandhill Detail'!AZ139)</f>
        <v>-909128.04046496795</v>
      </c>
      <c r="BB36" s="149">
        <f>IF('Hillpointe Detail'!$B$291="Red Hook",0,BA36-'Hillpointe Detail'!BA139-'Sandhill Detail'!BA139)</f>
        <v>-955984.8049014759</v>
      </c>
      <c r="BC36" s="149">
        <f>IF('Hillpointe Detail'!$B$291="Red Hook",0,BB36-'Hillpointe Detail'!BB139-'Sandhill Detail'!BB139)</f>
        <v>-1002861.4106078251</v>
      </c>
      <c r="BD36" s="149">
        <f>IF('Hillpointe Detail'!$B$291="Red Hook",0,BC36-'Hillpointe Detail'!BC139-'Sandhill Detail'!BC139)</f>
        <v>-1049757.8575840157</v>
      </c>
      <c r="BE36" s="149">
        <f>IF('Hillpointe Detail'!$B$291="Red Hook",0,BD36-'Hillpointe Detail'!BD139-'Sandhill Detail'!BD139)</f>
        <v>-1096674.1458300473</v>
      </c>
      <c r="BF36" s="149">
        <f>IF('Hillpointe Detail'!$B$291="Red Hook",0,BE36-'Hillpointe Detail'!BE139-'Sandhill Detail'!BE139)</f>
        <v>-1143610.2753459204</v>
      </c>
      <c r="BG36" s="149">
        <f>IF('Hillpointe Detail'!$B$291="Red Hook",0,BF36-'Hillpointe Detail'!BF139-'Sandhill Detail'!BF139)</f>
        <v>-1190566.2461316346</v>
      </c>
      <c r="BH36" s="149">
        <f>IF('Hillpointe Detail'!$B$291="Red Hook",0,BG36-'Hillpointe Detail'!BG139-'Sandhill Detail'!BG139)</f>
        <v>-1237542.0581871902</v>
      </c>
      <c r="BI36" s="149">
        <f>IF('Hillpointe Detail'!$B$291="Red Hook",0,BH36-'Hillpointe Detail'!BH139-'Sandhill Detail'!BH139)</f>
        <v>-1284537.711512587</v>
      </c>
      <c r="BJ36" s="149">
        <f>IF('Hillpointe Detail'!$B$291="Red Hook",0,BI36-'Hillpointe Detail'!BI139-'Sandhill Detail'!BI139)</f>
        <v>-1331553.206107825</v>
      </c>
      <c r="BK36" s="149">
        <f>IF('Hillpointe Detail'!$B$291="Red Hook",0,BJ36-'Hillpointe Detail'!BJ139-'Sandhill Detail'!BJ139)</f>
        <v>-1378588.5419729045</v>
      </c>
      <c r="BL36" s="149">
        <f>IF('Hillpointe Detail'!$B$291="Red Hook",0,BK36-'Hillpointe Detail'!BK139-'Sandhill Detail'!BK139)</f>
        <v>-1425643.7191078251</v>
      </c>
      <c r="BM36" s="149">
        <f>IF('Hillpointe Detail'!$B$291="Red Hook",0,BL36-'Hillpointe Detail'!BL139-'Sandhill Detail'!BL139)</f>
        <v>-1472718.7375125869</v>
      </c>
      <c r="BN36" s="149">
        <f>IF('Hillpointe Detail'!$B$291="Red Hook",0,BM36-'Hillpointe Detail'!BM139-'Sandhill Detail'!BM139)</f>
        <v>-1519813.5971871901</v>
      </c>
      <c r="BO36" s="149">
        <f>IF('Hillpointe Detail'!$B$291="Red Hook",0,BN36-'Hillpointe Detail'!BN139-'Sandhill Detail'!BN139)</f>
        <v>-1566928.2981316345</v>
      </c>
      <c r="BP36" s="149">
        <f>IF('Hillpointe Detail'!$B$291="Red Hook",0,BO36-'Hillpointe Detail'!BO139-'Sandhill Detail'!BO139)</f>
        <v>-1614062.8403459201</v>
      </c>
      <c r="BQ36" s="149">
        <f>IF('Hillpointe Detail'!$B$291="Red Hook",0,BP36-'Hillpointe Detail'!BP139-'Sandhill Detail'!BP139)</f>
        <v>-1661217.2238300471</v>
      </c>
      <c r="BR36" s="149">
        <f>IF('Hillpointe Detail'!$B$291="Red Hook",0,BQ36-'Hillpointe Detail'!BQ139-'Sandhill Detail'!BQ139)</f>
        <v>-1708391.4485840152</v>
      </c>
      <c r="BS36" s="149">
        <f>IF('Hillpointe Detail'!$B$291="Red Hook",0,BR36-'Hillpointe Detail'!BR139-'Sandhill Detail'!BR139)</f>
        <v>-1755585.5146078246</v>
      </c>
      <c r="BT36" s="149">
        <f>IF('Hillpointe Detail'!$B$291="Red Hook",0,BS36-'Hillpointe Detail'!BS139-'Sandhill Detail'!BS139)</f>
        <v>-1802799.4219014754</v>
      </c>
      <c r="BU36" s="149">
        <f>IF('Hillpointe Detail'!$B$291="Red Hook",0,BT36-'Hillpointe Detail'!BT139-'Sandhill Detail'!BT139)</f>
        <v>-1850033.1704649674</v>
      </c>
      <c r="BV36" s="149">
        <f>IF('Hillpointe Detail'!$B$291="Red Hook",0,BU36-'Hillpointe Detail'!BU139-'Sandhill Detail'!BU139)</f>
        <v>-1897286.7602983005</v>
      </c>
      <c r="BW36" s="149">
        <f>IF('Hillpointe Detail'!$B$291="Red Hook",0,BV36-'Hillpointe Detail'!BV139-'Sandhill Detail'!BV139)</f>
        <v>-1944560.1914014751</v>
      </c>
      <c r="BX36" s="149">
        <f>IF('Hillpointe Detail'!$B$291="Red Hook",0,BW36-'Hillpointe Detail'!BW139-'Sandhill Detail'!BW139)</f>
        <v>-1991853.4637744909</v>
      </c>
      <c r="BY36" s="149">
        <f>IF('Hillpointe Detail'!$B$291="Red Hook",0,BX36-'Hillpointe Detail'!BX139-'Sandhill Detail'!BX139)</f>
        <v>-2039166.577417348</v>
      </c>
    </row>
    <row r="37" spans="1:77" x14ac:dyDescent="0.3">
      <c r="B37" s="25" t="s">
        <v>181</v>
      </c>
      <c r="C37" s="25"/>
      <c r="D37" s="18">
        <v>-2267</v>
      </c>
      <c r="E37" s="18">
        <v>-7802</v>
      </c>
      <c r="F37" s="18">
        <v>-8085.34</v>
      </c>
      <c r="G37" s="18">
        <v>-8368.68</v>
      </c>
      <c r="H37" s="18">
        <v>-8652.02</v>
      </c>
      <c r="I37" s="18">
        <v>-8935.36</v>
      </c>
      <c r="J37" s="18">
        <v>-9218.7000000000007</v>
      </c>
      <c r="K37" s="18">
        <v>-9502.0400000000009</v>
      </c>
      <c r="L37" s="18">
        <v>-9785.3799999999992</v>
      </c>
      <c r="M37" s="18">
        <v>-10068.719999999999</v>
      </c>
      <c r="N37" s="121">
        <v>-10352.06</v>
      </c>
      <c r="O37" s="18">
        <v>-22028.83</v>
      </c>
      <c r="P37" s="18">
        <v>-24756.89</v>
      </c>
      <c r="Q37" s="18">
        <v>-154211.43</v>
      </c>
      <c r="R37" s="121">
        <v>-178003.31</v>
      </c>
      <c r="S37" s="18">
        <v>-201850.62</v>
      </c>
      <c r="T37" s="18">
        <v>-225697.93</v>
      </c>
      <c r="U37" s="18">
        <v>-249545.24</v>
      </c>
      <c r="V37" s="18">
        <v>-273392.55</v>
      </c>
      <c r="W37" s="18">
        <v>-297239.86</v>
      </c>
      <c r="X37" s="18">
        <v>-321087.17</v>
      </c>
      <c r="Y37" s="18">
        <v>-344934.48</v>
      </c>
      <c r="Z37" s="18">
        <v>-368781.79</v>
      </c>
      <c r="AA37" s="18">
        <v>-392739.72</v>
      </c>
      <c r="AB37" s="121">
        <v>-414571.04</v>
      </c>
      <c r="AC37" s="110">
        <f>AB37-'Hillpointe Detail'!AB139-'Sandhill Detail'!AB139</f>
        <v>-438418.35</v>
      </c>
      <c r="AD37" s="110">
        <f>IF('Hillpointe Detail'!$B$291="Red Hook",AC37-'Hillpointe Detail'!AC139-'Sandhill Detail'!AC139,0)</f>
        <v>0</v>
      </c>
      <c r="AE37" s="110">
        <f>IF('Hillpointe Detail'!$B$291="Red Hook",AD37-'Hillpointe Detail'!AD139-'Sandhill Detail'!AD139,0)</f>
        <v>0</v>
      </c>
      <c r="AF37" s="110">
        <f>IF('Hillpointe Detail'!$B$291="Red Hook",AE37-'Hillpointe Detail'!AE139-'Sandhill Detail'!AE139,0)</f>
        <v>0</v>
      </c>
      <c r="AG37" s="110">
        <f>IF('Hillpointe Detail'!$B$291="Red Hook",AF37-'Hillpointe Detail'!AF139-'Sandhill Detail'!AF139,0)</f>
        <v>0</v>
      </c>
      <c r="AH37" s="110">
        <f>IF('Hillpointe Detail'!$B$291="Red Hook",AG37-'Hillpointe Detail'!AG139-'Sandhill Detail'!AG139,0)</f>
        <v>0</v>
      </c>
      <c r="AI37" s="110">
        <f>IF('Hillpointe Detail'!$B$291="Red Hook",AH37-'Hillpointe Detail'!AH139-'Sandhill Detail'!AH139,0)</f>
        <v>0</v>
      </c>
      <c r="AJ37" s="110">
        <f>IF('Hillpointe Detail'!$B$291="Red Hook",AI37-'Hillpointe Detail'!AI139-'Sandhill Detail'!AI139,0)</f>
        <v>0</v>
      </c>
      <c r="AK37" s="110">
        <f>IF('Hillpointe Detail'!$B$291="Red Hook",AJ37-'Hillpointe Detail'!AJ139-'Sandhill Detail'!AJ139,0)</f>
        <v>0</v>
      </c>
      <c r="AL37" s="110">
        <f>IF('Hillpointe Detail'!$B$291="Red Hook",AK37-'Hillpointe Detail'!AK139-'Sandhill Detail'!AK139,0)</f>
        <v>0</v>
      </c>
      <c r="AM37" s="110">
        <f>IF('Hillpointe Detail'!$B$291="Red Hook",AL37-'Hillpointe Detail'!AL139-'Sandhill Detail'!AL139,0)</f>
        <v>0</v>
      </c>
      <c r="AN37" s="110">
        <f>IF('Hillpointe Detail'!$B$291="Red Hook",AM37-'Hillpointe Detail'!AM139-'Sandhill Detail'!AM139,0)</f>
        <v>0</v>
      </c>
      <c r="AO37" s="110">
        <f>IF('Hillpointe Detail'!$B$291="Red Hook",AN37-'Hillpointe Detail'!AN139-'Sandhill Detail'!AN139,0)</f>
        <v>0</v>
      </c>
      <c r="AP37" s="110">
        <f>IF('Hillpointe Detail'!$B$291="Red Hook",AO37-'Hillpointe Detail'!AO139-'Sandhill Detail'!AO139,0)</f>
        <v>0</v>
      </c>
      <c r="AQ37" s="110">
        <f>IF('Hillpointe Detail'!$B$291="Red Hook",AP37-'Hillpointe Detail'!AP139-'Sandhill Detail'!AP139,0)</f>
        <v>0</v>
      </c>
      <c r="AR37" s="110">
        <f>IF('Hillpointe Detail'!$B$291="Red Hook",AQ37-'Hillpointe Detail'!AQ139-'Sandhill Detail'!AQ139,0)</f>
        <v>0</v>
      </c>
      <c r="AS37" s="110">
        <f>IF('Hillpointe Detail'!$B$291="Red Hook",AR37-'Hillpointe Detail'!AR139-'Sandhill Detail'!AR139,0)</f>
        <v>0</v>
      </c>
      <c r="AT37" s="110">
        <f>IF('Hillpointe Detail'!$B$291="Red Hook",AS37-'Hillpointe Detail'!AS139-'Sandhill Detail'!AS139,0)</f>
        <v>0</v>
      </c>
      <c r="AU37" s="110">
        <f>IF('Hillpointe Detail'!$B$291="Red Hook",AT37-'Hillpointe Detail'!AT139-'Sandhill Detail'!AT139,0)</f>
        <v>0</v>
      </c>
      <c r="AV37" s="110">
        <f>IF('Hillpointe Detail'!$B$291="Red Hook",AU37-'Hillpointe Detail'!AU139-'Sandhill Detail'!AU139,0)</f>
        <v>0</v>
      </c>
      <c r="AW37" s="110">
        <f>IF('Hillpointe Detail'!$B$291="Red Hook",AV37-'Hillpointe Detail'!AV139-'Sandhill Detail'!AV139,0)</f>
        <v>0</v>
      </c>
      <c r="AX37" s="110">
        <f>IF('Hillpointe Detail'!$B$291="Red Hook",AW37-'Hillpointe Detail'!AW139-'Sandhill Detail'!AW139,0)</f>
        <v>0</v>
      </c>
      <c r="AY37" s="110">
        <f>IF('Hillpointe Detail'!$B$291="Red Hook",AX37-'Hillpointe Detail'!AX139-'Sandhill Detail'!AX139,0)</f>
        <v>0</v>
      </c>
      <c r="AZ37" s="110">
        <f>IF('Hillpointe Detail'!$B$291="Red Hook",AY37-'Hillpointe Detail'!AY139-'Sandhill Detail'!AY139,0)</f>
        <v>0</v>
      </c>
      <c r="BA37" s="110">
        <f>IF('Hillpointe Detail'!$B$291="Red Hook",AZ37-'Hillpointe Detail'!AZ139-'Sandhill Detail'!AZ139,0)</f>
        <v>0</v>
      </c>
      <c r="BB37" s="110">
        <f>IF('Hillpointe Detail'!$B$291="Red Hook",BA37-'Hillpointe Detail'!BA139-'Sandhill Detail'!BA139,0)</f>
        <v>0</v>
      </c>
      <c r="BC37" s="110">
        <f>IF('Hillpointe Detail'!$B$291="Red Hook",BB37-'Hillpointe Detail'!BB139-'Sandhill Detail'!BB139,0)</f>
        <v>0</v>
      </c>
      <c r="BD37" s="110">
        <f>IF('Hillpointe Detail'!$B$291="Red Hook",BC37-'Hillpointe Detail'!BC139-'Sandhill Detail'!BC139,0)</f>
        <v>0</v>
      </c>
      <c r="BE37" s="110">
        <f>IF('Hillpointe Detail'!$B$291="Red Hook",BD37-'Hillpointe Detail'!BD139-'Sandhill Detail'!BD139,0)</f>
        <v>0</v>
      </c>
      <c r="BF37" s="110">
        <f>IF('Hillpointe Detail'!$B$291="Red Hook",BE37-'Hillpointe Detail'!BE139-'Sandhill Detail'!BE139,0)</f>
        <v>0</v>
      </c>
      <c r="BG37" s="110">
        <f>IF('Hillpointe Detail'!$B$291="Red Hook",BF37-'Hillpointe Detail'!BF139-'Sandhill Detail'!BF139,0)</f>
        <v>0</v>
      </c>
      <c r="BH37" s="110">
        <f>IF('Hillpointe Detail'!$B$291="Red Hook",BG37-'Hillpointe Detail'!BG139-'Sandhill Detail'!BG139,0)</f>
        <v>0</v>
      </c>
      <c r="BI37" s="110">
        <f>IF('Hillpointe Detail'!$B$291="Red Hook",BH37-'Hillpointe Detail'!BH139-'Sandhill Detail'!BH139,0)</f>
        <v>0</v>
      </c>
      <c r="BJ37" s="110">
        <f>IF('Hillpointe Detail'!$B$291="Red Hook",BI37-'Hillpointe Detail'!BI139-'Sandhill Detail'!BI139,0)</f>
        <v>0</v>
      </c>
      <c r="BK37" s="110">
        <f>IF('Hillpointe Detail'!$B$291="Red Hook",BJ37-'Hillpointe Detail'!BJ139-'Sandhill Detail'!BJ139,0)</f>
        <v>0</v>
      </c>
      <c r="BL37" s="110">
        <f>IF('Hillpointe Detail'!$B$291="Red Hook",BK37-'Hillpointe Detail'!BK139-'Sandhill Detail'!BK139,0)</f>
        <v>0</v>
      </c>
      <c r="BM37" s="110">
        <f>IF('Hillpointe Detail'!$B$291="Red Hook",BL37-'Hillpointe Detail'!BL139-'Sandhill Detail'!BL139,0)</f>
        <v>0</v>
      </c>
      <c r="BN37" s="110">
        <f>IF('Hillpointe Detail'!$B$291="Red Hook",BM37-'Hillpointe Detail'!BM139-'Sandhill Detail'!BM139,0)</f>
        <v>0</v>
      </c>
      <c r="BO37" s="110">
        <f>IF('Hillpointe Detail'!$B$291="Red Hook",BN37-'Hillpointe Detail'!BN139-'Sandhill Detail'!BN139,0)</f>
        <v>0</v>
      </c>
      <c r="BP37" s="110">
        <f>IF('Hillpointe Detail'!$B$291="Red Hook",BO37-'Hillpointe Detail'!BO139-'Sandhill Detail'!BO139,0)</f>
        <v>0</v>
      </c>
      <c r="BQ37" s="110">
        <f>IF('Hillpointe Detail'!$B$291="Red Hook",BP37-'Hillpointe Detail'!BP139-'Sandhill Detail'!BP139,0)</f>
        <v>0</v>
      </c>
      <c r="BR37" s="110">
        <f>IF('Hillpointe Detail'!$B$291="Red Hook",BQ37-'Hillpointe Detail'!BQ139-'Sandhill Detail'!BQ139,0)</f>
        <v>0</v>
      </c>
      <c r="BS37" s="110">
        <f>IF('Hillpointe Detail'!$B$291="Red Hook",BR37-'Hillpointe Detail'!BR139-'Sandhill Detail'!BR139,0)</f>
        <v>0</v>
      </c>
      <c r="BT37" s="110">
        <f>IF('Hillpointe Detail'!$B$291="Red Hook",BS37-'Hillpointe Detail'!BS139-'Sandhill Detail'!BS139,0)</f>
        <v>0</v>
      </c>
      <c r="BU37" s="110">
        <f>IF('Hillpointe Detail'!$B$291="Red Hook",BT37-'Hillpointe Detail'!BT139-'Sandhill Detail'!BT139,0)</f>
        <v>0</v>
      </c>
      <c r="BV37" s="110">
        <f>IF('Hillpointe Detail'!$B$291="Red Hook",BU37-'Hillpointe Detail'!BU139-'Sandhill Detail'!BU139,0)</f>
        <v>0</v>
      </c>
      <c r="BW37" s="110">
        <f>IF('Hillpointe Detail'!$B$291="Red Hook",BV37-'Hillpointe Detail'!BV139-'Sandhill Detail'!BV139,0)</f>
        <v>0</v>
      </c>
      <c r="BX37" s="110">
        <f>IF('Hillpointe Detail'!$B$291="Red Hook",BW37-'Hillpointe Detail'!BW139-'Sandhill Detail'!BW139,0)</f>
        <v>0</v>
      </c>
      <c r="BY37" s="110">
        <f>IF('Hillpointe Detail'!$B$291="Red Hook",BX37-'Hillpointe Detail'!BX139-'Sandhill Detail'!BX139,0)</f>
        <v>0</v>
      </c>
    </row>
    <row r="38" spans="1:77" collapsed="1" x14ac:dyDescent="0.3">
      <c r="B38" s="25" t="s">
        <v>182</v>
      </c>
      <c r="C38" s="25"/>
      <c r="D38" s="43">
        <f t="shared" ref="D38:M38" si="264">SUM(D28:D37)</f>
        <v>14733</v>
      </c>
      <c r="E38" s="43">
        <f t="shared" si="264"/>
        <v>25501</v>
      </c>
      <c r="F38" s="43">
        <f t="shared" si="264"/>
        <v>25217.66</v>
      </c>
      <c r="G38" s="43">
        <f t="shared" si="264"/>
        <v>39734.32</v>
      </c>
      <c r="H38" s="43">
        <f t="shared" si="264"/>
        <v>39450.979999999996</v>
      </c>
      <c r="I38" s="43">
        <f t="shared" si="264"/>
        <v>44367.64</v>
      </c>
      <c r="J38" s="43">
        <f t="shared" si="264"/>
        <v>132992.38999999998</v>
      </c>
      <c r="K38" s="43">
        <f t="shared" si="264"/>
        <v>137709.04999999999</v>
      </c>
      <c r="L38" s="43">
        <f t="shared" si="264"/>
        <v>137425.71</v>
      </c>
      <c r="M38" s="43">
        <f t="shared" si="264"/>
        <v>137142.37</v>
      </c>
      <c r="N38" s="43">
        <f t="shared" ref="N38:AO38" si="265">SUM(N28:N37)</f>
        <v>397130.35000000003</v>
      </c>
      <c r="O38" s="43">
        <f t="shared" si="265"/>
        <v>392464.14999999997</v>
      </c>
      <c r="P38" s="43">
        <f t="shared" si="265"/>
        <v>389736.08999999997</v>
      </c>
      <c r="Q38" s="43">
        <f t="shared" si="265"/>
        <v>6458971.3200000003</v>
      </c>
      <c r="R38" s="43">
        <f t="shared" si="265"/>
        <v>6474046.5900000008</v>
      </c>
      <c r="S38" s="43">
        <f t="shared" si="265"/>
        <v>6468490.4299999997</v>
      </c>
      <c r="T38" s="43">
        <f t="shared" ref="T38:U38" si="266">SUM(T28:T37)</f>
        <v>6494999.8600000003</v>
      </c>
      <c r="U38" s="43">
        <f t="shared" si="266"/>
        <v>6471152.5499999998</v>
      </c>
      <c r="V38" s="43">
        <f t="shared" ref="V38:W38" si="267">SUM(V28:V37)</f>
        <v>6456505.2400000002</v>
      </c>
      <c r="W38" s="43">
        <f t="shared" si="267"/>
        <v>6432657.9299999997</v>
      </c>
      <c r="X38" s="43">
        <f t="shared" ref="X38" si="268">SUM(X28:X37)</f>
        <v>6408810.6200000001</v>
      </c>
      <c r="Y38" s="43">
        <f t="shared" si="265"/>
        <v>6384963.3100000005</v>
      </c>
      <c r="Z38" s="43">
        <f t="shared" si="265"/>
        <v>6361116</v>
      </c>
      <c r="AA38" s="43">
        <f t="shared" si="265"/>
        <v>6354959.6100000003</v>
      </c>
      <c r="AB38" s="43">
        <f t="shared" si="265"/>
        <v>6333128.29</v>
      </c>
      <c r="AC38" s="43">
        <f t="shared" si="265"/>
        <v>6309280.9800000004</v>
      </c>
      <c r="AD38" s="43">
        <f>SUM(AD28:AD37)</f>
        <v>10537449.912857145</v>
      </c>
      <c r="AE38" s="43">
        <f t="shared" si="265"/>
        <v>10511997.625714289</v>
      </c>
      <c r="AF38" s="43">
        <f t="shared" si="265"/>
        <v>10490535.814761907</v>
      </c>
      <c r="AG38" s="43">
        <f t="shared" si="265"/>
        <v>10469064.480000002</v>
      </c>
      <c r="AH38" s="43">
        <f t="shared" si="265"/>
        <v>10459555.050000003</v>
      </c>
      <c r="AI38" s="43">
        <f t="shared" si="265"/>
        <v>11240652.433171928</v>
      </c>
      <c r="AJ38" s="43">
        <f t="shared" si="265"/>
        <v>12019824.740417428</v>
      </c>
      <c r="AK38" s="43">
        <f t="shared" si="265"/>
        <v>12797071.971736506</v>
      </c>
      <c r="AL38" s="43">
        <f t="shared" si="265"/>
        <v>13572394.127129156</v>
      </c>
      <c r="AM38" s="43">
        <f t="shared" si="265"/>
        <v>14345791.206595384</v>
      </c>
      <c r="AN38" s="43">
        <f t="shared" si="265"/>
        <v>15117263.210135184</v>
      </c>
      <c r="AO38" s="43">
        <f t="shared" si="265"/>
        <v>15886810.137748562</v>
      </c>
      <c r="AP38" s="43">
        <f t="shared" ref="AP38:BM38" si="269">SUM(AP28:AP37)</f>
        <v>16653691.178294066</v>
      </c>
      <c r="AQ38" s="43">
        <f t="shared" si="269"/>
        <v>17418648.910958834</v>
      </c>
      <c r="AR38" s="43">
        <f t="shared" si="269"/>
        <v>18181683.335742857</v>
      </c>
      <c r="AS38" s="43">
        <f t="shared" si="269"/>
        <v>18942794.452646144</v>
      </c>
      <c r="AT38" s="43">
        <f t="shared" si="269"/>
        <v>18904429.751701698</v>
      </c>
      <c r="AU38" s="43">
        <f t="shared" si="269"/>
        <v>18866045.209487412</v>
      </c>
      <c r="AV38" s="43">
        <f t="shared" si="269"/>
        <v>18827640.826003283</v>
      </c>
      <c r="AW38" s="43">
        <f t="shared" si="269"/>
        <v>18789216.601249315</v>
      </c>
      <c r="AX38" s="43">
        <f t="shared" si="269"/>
        <v>18750772.535225503</v>
      </c>
      <c r="AY38" s="43">
        <f t="shared" si="269"/>
        <v>18712308.627931852</v>
      </c>
      <c r="AZ38" s="43">
        <f t="shared" si="269"/>
        <v>18673824.879368357</v>
      </c>
      <c r="BA38" s="43">
        <f t="shared" si="269"/>
        <v>18635321.289535023</v>
      </c>
      <c r="BB38" s="43">
        <f t="shared" si="269"/>
        <v>18596797.858431846</v>
      </c>
      <c r="BC38" s="43">
        <f t="shared" si="269"/>
        <v>18558254.586058829</v>
      </c>
      <c r="BD38" s="43">
        <f t="shared" si="269"/>
        <v>18519691.472415973</v>
      </c>
      <c r="BE38" s="43">
        <f t="shared" si="269"/>
        <v>18481108.517503273</v>
      </c>
      <c r="BF38" s="43">
        <f t="shared" si="269"/>
        <v>18442505.72132073</v>
      </c>
      <c r="BG38" s="43">
        <f t="shared" si="269"/>
        <v>18403883.083868347</v>
      </c>
      <c r="BH38" s="43">
        <f t="shared" si="269"/>
        <v>18365240.605146125</v>
      </c>
      <c r="BI38" s="43">
        <f t="shared" si="269"/>
        <v>18326578.28515406</v>
      </c>
      <c r="BJ38" s="43">
        <f t="shared" si="269"/>
        <v>18287896.123892155</v>
      </c>
      <c r="BK38" s="43">
        <f t="shared" si="269"/>
        <v>18249194.121360406</v>
      </c>
      <c r="BL38" s="43">
        <f t="shared" si="269"/>
        <v>18210472.277558818</v>
      </c>
      <c r="BM38" s="43">
        <f t="shared" si="269"/>
        <v>18171730.592487387</v>
      </c>
      <c r="BN38" s="43">
        <f t="shared" ref="BN38:BY38" si="270">SUM(BN28:BN37)</f>
        <v>18132969.066146117</v>
      </c>
      <c r="BO38" s="43">
        <f t="shared" si="270"/>
        <v>18094187.698535006</v>
      </c>
      <c r="BP38" s="43">
        <f t="shared" si="270"/>
        <v>18055386.489654053</v>
      </c>
      <c r="BQ38" s="43">
        <f t="shared" si="270"/>
        <v>18016565.439503256</v>
      </c>
      <c r="BR38" s="43">
        <f t="shared" si="270"/>
        <v>17977724.54808262</v>
      </c>
      <c r="BS38" s="43">
        <f t="shared" si="270"/>
        <v>17938863.815392144</v>
      </c>
      <c r="BT38" s="43">
        <f t="shared" si="270"/>
        <v>17899983.241431825</v>
      </c>
      <c r="BU38" s="43">
        <f t="shared" si="270"/>
        <v>17861082.826201666</v>
      </c>
      <c r="BV38" s="43">
        <f t="shared" si="270"/>
        <v>17822162.569701664</v>
      </c>
      <c r="BW38" s="43">
        <f t="shared" si="270"/>
        <v>17783222.471931823</v>
      </c>
      <c r="BX38" s="43">
        <f t="shared" si="270"/>
        <v>17744262.532892138</v>
      </c>
      <c r="BY38" s="43">
        <f t="shared" si="270"/>
        <v>17705282.752582613</v>
      </c>
    </row>
    <row r="39" spans="1:77" x14ac:dyDescent="0.3">
      <c r="B39" s="25" t="s">
        <v>183</v>
      </c>
      <c r="C39" s="25"/>
      <c r="D39" s="18">
        <v>0</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36">
        <v>0</v>
      </c>
      <c r="AD39" s="36">
        <v>0</v>
      </c>
      <c r="AE39" s="36">
        <v>0</v>
      </c>
      <c r="AF39" s="36">
        <v>0</v>
      </c>
      <c r="AG39" s="36">
        <v>0</v>
      </c>
      <c r="AH39" s="36">
        <v>0</v>
      </c>
      <c r="AI39" s="36">
        <v>0</v>
      </c>
      <c r="AJ39" s="36">
        <v>0</v>
      </c>
      <c r="AK39" s="36">
        <v>0</v>
      </c>
      <c r="AL39" s="36">
        <v>0</v>
      </c>
      <c r="AM39" s="36">
        <v>0</v>
      </c>
      <c r="AN39" s="36">
        <v>0</v>
      </c>
      <c r="AO39" s="36">
        <v>0</v>
      </c>
      <c r="AP39" s="36">
        <v>0</v>
      </c>
      <c r="AQ39" s="36">
        <v>0</v>
      </c>
      <c r="AR39" s="36">
        <v>0</v>
      </c>
      <c r="AS39" s="36">
        <v>0</v>
      </c>
      <c r="AT39" s="36">
        <v>0</v>
      </c>
      <c r="AU39" s="36">
        <v>0</v>
      </c>
      <c r="AV39" s="36">
        <v>0</v>
      </c>
      <c r="AW39" s="36">
        <v>0</v>
      </c>
      <c r="AX39" s="36">
        <v>0</v>
      </c>
      <c r="AY39" s="36">
        <v>0</v>
      </c>
      <c r="AZ39" s="36">
        <v>0</v>
      </c>
      <c r="BA39" s="36">
        <v>0</v>
      </c>
      <c r="BB39" s="36">
        <v>0</v>
      </c>
      <c r="BC39" s="36">
        <v>0</v>
      </c>
      <c r="BD39" s="36">
        <v>0</v>
      </c>
      <c r="BE39" s="36">
        <v>0</v>
      </c>
      <c r="BF39" s="36">
        <v>0</v>
      </c>
      <c r="BG39" s="36">
        <v>0</v>
      </c>
      <c r="BH39" s="36">
        <v>0</v>
      </c>
      <c r="BI39" s="36">
        <v>0</v>
      </c>
      <c r="BJ39" s="36">
        <v>0</v>
      </c>
      <c r="BK39" s="36">
        <v>0</v>
      </c>
      <c r="BL39" s="36">
        <v>0</v>
      </c>
      <c r="BM39" s="36">
        <v>0</v>
      </c>
      <c r="BN39" s="36">
        <v>0</v>
      </c>
      <c r="BO39" s="36">
        <v>0</v>
      </c>
      <c r="BP39" s="36">
        <v>0</v>
      </c>
      <c r="BQ39" s="36">
        <v>0</v>
      </c>
      <c r="BR39" s="36">
        <v>0</v>
      </c>
      <c r="BS39" s="36">
        <v>0</v>
      </c>
      <c r="BT39" s="36">
        <v>0</v>
      </c>
      <c r="BU39" s="36">
        <v>0</v>
      </c>
      <c r="BV39" s="36">
        <v>0</v>
      </c>
      <c r="BW39" s="36">
        <v>0</v>
      </c>
      <c r="BX39" s="36">
        <v>0</v>
      </c>
      <c r="BY39" s="36">
        <v>0</v>
      </c>
    </row>
    <row r="40" spans="1:77" x14ac:dyDescent="0.3">
      <c r="B40" s="25" t="s">
        <v>184</v>
      </c>
      <c r="C40" s="25"/>
      <c r="D40" s="18">
        <v>10521.57</v>
      </c>
      <c r="E40" s="18">
        <v>6000</v>
      </c>
      <c r="F40" s="18">
        <v>6000</v>
      </c>
      <c r="G40" s="18">
        <v>6000</v>
      </c>
      <c r="H40" s="18">
        <v>6000</v>
      </c>
      <c r="I40" s="18">
        <v>6000</v>
      </c>
      <c r="J40" s="18">
        <v>6000</v>
      </c>
      <c r="K40" s="18">
        <v>6000</v>
      </c>
      <c r="L40" s="18">
        <v>54747.32</v>
      </c>
      <c r="M40" s="18">
        <v>103494.64</v>
      </c>
      <c r="N40" s="18">
        <v>103494.64</v>
      </c>
      <c r="O40" s="18">
        <v>103494.64</v>
      </c>
      <c r="P40" s="18">
        <v>103494.64</v>
      </c>
      <c r="Q40" s="18">
        <v>103494.64</v>
      </c>
      <c r="R40" s="18">
        <v>103494.64</v>
      </c>
      <c r="S40" s="18">
        <v>103494.64</v>
      </c>
      <c r="T40" s="18">
        <v>103494.64</v>
      </c>
      <c r="U40" s="18">
        <v>103494.64</v>
      </c>
      <c r="V40" s="18">
        <v>103494.64</v>
      </c>
      <c r="W40" s="18">
        <v>103494.64</v>
      </c>
      <c r="X40" s="18">
        <v>103494.64</v>
      </c>
      <c r="Y40" s="18">
        <v>103494.64</v>
      </c>
      <c r="Z40" s="18">
        <v>103494.64</v>
      </c>
      <c r="AA40" s="18">
        <v>103494.64</v>
      </c>
      <c r="AB40" s="18">
        <v>103494.64</v>
      </c>
      <c r="AC40" s="36">
        <f t="shared" ref="AC40:AO40" si="271">AB40</f>
        <v>103494.64</v>
      </c>
      <c r="AD40" s="36">
        <f t="shared" si="271"/>
        <v>103494.64</v>
      </c>
      <c r="AE40" s="36">
        <f t="shared" si="271"/>
        <v>103494.64</v>
      </c>
      <c r="AF40" s="36">
        <f t="shared" si="271"/>
        <v>103494.64</v>
      </c>
      <c r="AG40" s="36">
        <f t="shared" si="271"/>
        <v>103494.64</v>
      </c>
      <c r="AH40" s="36">
        <f t="shared" si="271"/>
        <v>103494.64</v>
      </c>
      <c r="AI40" s="36">
        <f t="shared" si="271"/>
        <v>103494.64</v>
      </c>
      <c r="AJ40" s="36">
        <f t="shared" si="271"/>
        <v>103494.64</v>
      </c>
      <c r="AK40" s="36">
        <f t="shared" si="271"/>
        <v>103494.64</v>
      </c>
      <c r="AL40" s="36">
        <f t="shared" si="271"/>
        <v>103494.64</v>
      </c>
      <c r="AM40" s="36">
        <f t="shared" si="271"/>
        <v>103494.64</v>
      </c>
      <c r="AN40" s="36">
        <f t="shared" si="271"/>
        <v>103494.64</v>
      </c>
      <c r="AO40" s="36">
        <f t="shared" si="271"/>
        <v>103494.64</v>
      </c>
      <c r="AP40" s="36">
        <f t="shared" ref="AP40:AP41" si="272">AO40</f>
        <v>103494.64</v>
      </c>
      <c r="AQ40" s="36">
        <f t="shared" ref="AQ40:AQ41" si="273">AP40</f>
        <v>103494.64</v>
      </c>
      <c r="AR40" s="36">
        <f t="shared" ref="AR40:AR41" si="274">AQ40</f>
        <v>103494.64</v>
      </c>
      <c r="AS40" s="36">
        <f t="shared" ref="AS40:AS41" si="275">AR40</f>
        <v>103494.64</v>
      </c>
      <c r="AT40" s="36">
        <f t="shared" ref="AT40:AT41" si="276">AS40</f>
        <v>103494.64</v>
      </c>
      <c r="AU40" s="36">
        <f t="shared" ref="AU40:AU41" si="277">AT40</f>
        <v>103494.64</v>
      </c>
      <c r="AV40" s="36">
        <f t="shared" ref="AV40:AV41" si="278">AU40</f>
        <v>103494.64</v>
      </c>
      <c r="AW40" s="36">
        <f t="shared" ref="AW40:AW41" si="279">AV40</f>
        <v>103494.64</v>
      </c>
      <c r="AX40" s="36">
        <f t="shared" ref="AX40:AX41" si="280">AW40</f>
        <v>103494.64</v>
      </c>
      <c r="AY40" s="36">
        <f t="shared" ref="AY40:AY41" si="281">AX40</f>
        <v>103494.64</v>
      </c>
      <c r="AZ40" s="36">
        <f t="shared" ref="AZ40:AZ41" si="282">AY40</f>
        <v>103494.64</v>
      </c>
      <c r="BA40" s="36">
        <f t="shared" ref="BA40:BA41" si="283">AZ40</f>
        <v>103494.64</v>
      </c>
      <c r="BB40" s="36">
        <f t="shared" ref="BB40:BB41" si="284">BA40</f>
        <v>103494.64</v>
      </c>
      <c r="BC40" s="36">
        <f t="shared" ref="BC40:BC41" si="285">BB40</f>
        <v>103494.64</v>
      </c>
      <c r="BD40" s="36">
        <f t="shared" ref="BD40:BD41" si="286">BC40</f>
        <v>103494.64</v>
      </c>
      <c r="BE40" s="36">
        <f t="shared" ref="BE40:BE41" si="287">BD40</f>
        <v>103494.64</v>
      </c>
      <c r="BF40" s="36">
        <f t="shared" ref="BF40:BF41" si="288">BE40</f>
        <v>103494.64</v>
      </c>
      <c r="BG40" s="36">
        <f t="shared" ref="BG40:BG41" si="289">BF40</f>
        <v>103494.64</v>
      </c>
      <c r="BH40" s="36">
        <f t="shared" ref="BH40:BH41" si="290">BG40</f>
        <v>103494.64</v>
      </c>
      <c r="BI40" s="36">
        <f t="shared" ref="BI40:BI41" si="291">BH40</f>
        <v>103494.64</v>
      </c>
      <c r="BJ40" s="36">
        <f t="shared" ref="BJ40:BJ41" si="292">BI40</f>
        <v>103494.64</v>
      </c>
      <c r="BK40" s="36">
        <f t="shared" ref="BK40:BK41" si="293">BJ40</f>
        <v>103494.64</v>
      </c>
      <c r="BL40" s="36">
        <f t="shared" ref="BL40:BL41" si="294">BK40</f>
        <v>103494.64</v>
      </c>
      <c r="BM40" s="36">
        <f t="shared" ref="BM40:BM41" si="295">BL40</f>
        <v>103494.64</v>
      </c>
      <c r="BN40" s="36">
        <f t="shared" ref="BN40:BN41" si="296">BM40</f>
        <v>103494.64</v>
      </c>
      <c r="BO40" s="36">
        <f t="shared" ref="BO40:BO41" si="297">BN40</f>
        <v>103494.64</v>
      </c>
      <c r="BP40" s="36">
        <f t="shared" ref="BP40:BP41" si="298">BO40</f>
        <v>103494.64</v>
      </c>
      <c r="BQ40" s="36">
        <f t="shared" ref="BQ40:BQ41" si="299">BP40</f>
        <v>103494.64</v>
      </c>
      <c r="BR40" s="36">
        <f t="shared" ref="BR40:BR41" si="300">BQ40</f>
        <v>103494.64</v>
      </c>
      <c r="BS40" s="36">
        <f t="shared" ref="BS40:BS41" si="301">BR40</f>
        <v>103494.64</v>
      </c>
      <c r="BT40" s="36">
        <f t="shared" ref="BT40:BT41" si="302">BS40</f>
        <v>103494.64</v>
      </c>
      <c r="BU40" s="36">
        <f t="shared" ref="BU40:BU41" si="303">BT40</f>
        <v>103494.64</v>
      </c>
      <c r="BV40" s="36">
        <f t="shared" ref="BV40:BV41" si="304">BU40</f>
        <v>103494.64</v>
      </c>
      <c r="BW40" s="36">
        <f t="shared" ref="BW40:BW41" si="305">BV40</f>
        <v>103494.64</v>
      </c>
      <c r="BX40" s="36">
        <f t="shared" ref="BX40:BX41" si="306">BW40</f>
        <v>103494.64</v>
      </c>
      <c r="BY40" s="36">
        <f t="shared" ref="BY40:BY41" si="307">BX40</f>
        <v>103494.64</v>
      </c>
    </row>
    <row r="41" spans="1:77" x14ac:dyDescent="0.3">
      <c r="B41" s="25" t="s">
        <v>185</v>
      </c>
      <c r="C41" s="25"/>
      <c r="D41" s="18">
        <v>962788</v>
      </c>
      <c r="E41" s="18">
        <v>1069595</v>
      </c>
      <c r="F41" s="18">
        <v>1069595</v>
      </c>
      <c r="G41" s="18">
        <v>1069595</v>
      </c>
      <c r="H41" s="18">
        <v>1069595</v>
      </c>
      <c r="I41" s="18">
        <v>1069595</v>
      </c>
      <c r="J41" s="18">
        <v>1069595</v>
      </c>
      <c r="K41" s="18">
        <v>1069595</v>
      </c>
      <c r="L41" s="18">
        <v>1069595</v>
      </c>
      <c r="M41" s="18">
        <v>1069595</v>
      </c>
      <c r="N41" s="18">
        <v>1069595</v>
      </c>
      <c r="O41" s="18">
        <v>1069595</v>
      </c>
      <c r="P41" s="18">
        <v>1069595</v>
      </c>
      <c r="Q41" s="18">
        <v>824131</v>
      </c>
      <c r="R41" s="18">
        <v>824131</v>
      </c>
      <c r="S41" s="18">
        <v>824131</v>
      </c>
      <c r="T41" s="18">
        <v>824131</v>
      </c>
      <c r="U41" s="18">
        <v>824131</v>
      </c>
      <c r="V41" s="18">
        <v>824131</v>
      </c>
      <c r="W41" s="18">
        <v>824131</v>
      </c>
      <c r="X41" s="18">
        <v>824131</v>
      </c>
      <c r="Y41" s="18">
        <v>824131</v>
      </c>
      <c r="Z41" s="18">
        <v>824131</v>
      </c>
      <c r="AA41" s="18">
        <v>824131</v>
      </c>
      <c r="AB41" s="18">
        <v>824131</v>
      </c>
      <c r="AC41" s="36">
        <f t="shared" ref="AC41:AO41" si="308">AB41</f>
        <v>824131</v>
      </c>
      <c r="AD41" s="36">
        <f t="shared" si="308"/>
        <v>824131</v>
      </c>
      <c r="AE41" s="36">
        <f t="shared" si="308"/>
        <v>824131</v>
      </c>
      <c r="AF41" s="36">
        <f t="shared" si="308"/>
        <v>824131</v>
      </c>
      <c r="AG41" s="36">
        <f t="shared" si="308"/>
        <v>824131</v>
      </c>
      <c r="AH41" s="36">
        <f t="shared" si="308"/>
        <v>824131</v>
      </c>
      <c r="AI41" s="36">
        <f t="shared" si="308"/>
        <v>824131</v>
      </c>
      <c r="AJ41" s="36">
        <f t="shared" si="308"/>
        <v>824131</v>
      </c>
      <c r="AK41" s="36">
        <f t="shared" si="308"/>
        <v>824131</v>
      </c>
      <c r="AL41" s="36">
        <f t="shared" si="308"/>
        <v>824131</v>
      </c>
      <c r="AM41" s="36">
        <f t="shared" si="308"/>
        <v>824131</v>
      </c>
      <c r="AN41" s="36">
        <f t="shared" si="308"/>
        <v>824131</v>
      </c>
      <c r="AO41" s="36">
        <f t="shared" si="308"/>
        <v>824131</v>
      </c>
      <c r="AP41" s="36">
        <f t="shared" si="272"/>
        <v>824131</v>
      </c>
      <c r="AQ41" s="36">
        <f t="shared" si="273"/>
        <v>824131</v>
      </c>
      <c r="AR41" s="36">
        <f t="shared" si="274"/>
        <v>824131</v>
      </c>
      <c r="AS41" s="36">
        <f t="shared" si="275"/>
        <v>824131</v>
      </c>
      <c r="AT41" s="36">
        <f t="shared" si="276"/>
        <v>824131</v>
      </c>
      <c r="AU41" s="36">
        <f t="shared" si="277"/>
        <v>824131</v>
      </c>
      <c r="AV41" s="36">
        <f t="shared" si="278"/>
        <v>824131</v>
      </c>
      <c r="AW41" s="36">
        <f t="shared" si="279"/>
        <v>824131</v>
      </c>
      <c r="AX41" s="36">
        <f t="shared" si="280"/>
        <v>824131</v>
      </c>
      <c r="AY41" s="36">
        <f t="shared" si="281"/>
        <v>824131</v>
      </c>
      <c r="AZ41" s="36">
        <f t="shared" si="282"/>
        <v>824131</v>
      </c>
      <c r="BA41" s="36">
        <f t="shared" si="283"/>
        <v>824131</v>
      </c>
      <c r="BB41" s="36">
        <f t="shared" si="284"/>
        <v>824131</v>
      </c>
      <c r="BC41" s="36">
        <f t="shared" si="285"/>
        <v>824131</v>
      </c>
      <c r="BD41" s="36">
        <f t="shared" si="286"/>
        <v>824131</v>
      </c>
      <c r="BE41" s="36">
        <f t="shared" si="287"/>
        <v>824131</v>
      </c>
      <c r="BF41" s="36">
        <f t="shared" si="288"/>
        <v>824131</v>
      </c>
      <c r="BG41" s="36">
        <f t="shared" si="289"/>
        <v>824131</v>
      </c>
      <c r="BH41" s="36">
        <f t="shared" si="290"/>
        <v>824131</v>
      </c>
      <c r="BI41" s="36">
        <f t="shared" si="291"/>
        <v>824131</v>
      </c>
      <c r="BJ41" s="36">
        <f t="shared" si="292"/>
        <v>824131</v>
      </c>
      <c r="BK41" s="36">
        <f t="shared" si="293"/>
        <v>824131</v>
      </c>
      <c r="BL41" s="36">
        <f t="shared" si="294"/>
        <v>824131</v>
      </c>
      <c r="BM41" s="36">
        <f t="shared" si="295"/>
        <v>824131</v>
      </c>
      <c r="BN41" s="36">
        <f t="shared" si="296"/>
        <v>824131</v>
      </c>
      <c r="BO41" s="36">
        <f t="shared" si="297"/>
        <v>824131</v>
      </c>
      <c r="BP41" s="36">
        <f t="shared" si="298"/>
        <v>824131</v>
      </c>
      <c r="BQ41" s="36">
        <f t="shared" si="299"/>
        <v>824131</v>
      </c>
      <c r="BR41" s="36">
        <f t="shared" si="300"/>
        <v>824131</v>
      </c>
      <c r="BS41" s="36">
        <f t="shared" si="301"/>
        <v>824131</v>
      </c>
      <c r="BT41" s="36">
        <f t="shared" si="302"/>
        <v>824131</v>
      </c>
      <c r="BU41" s="36">
        <f t="shared" si="303"/>
        <v>824131</v>
      </c>
      <c r="BV41" s="36">
        <f t="shared" si="304"/>
        <v>824131</v>
      </c>
      <c r="BW41" s="36">
        <f t="shared" si="305"/>
        <v>824131</v>
      </c>
      <c r="BX41" s="36">
        <f t="shared" si="306"/>
        <v>824131</v>
      </c>
      <c r="BY41" s="36">
        <f t="shared" si="307"/>
        <v>824131</v>
      </c>
    </row>
    <row r="42" spans="1:77" collapsed="1" x14ac:dyDescent="0.3">
      <c r="B42" s="25" t="s">
        <v>186</v>
      </c>
      <c r="C42" s="25"/>
      <c r="D42" s="112">
        <f>SUM(D39:D41)</f>
        <v>973309.57</v>
      </c>
      <c r="E42" s="112">
        <f t="shared" ref="E42:M42" si="309">SUM(E39:E41)</f>
        <v>1075595</v>
      </c>
      <c r="F42" s="112">
        <f t="shared" si="309"/>
        <v>1075595</v>
      </c>
      <c r="G42" s="112">
        <f t="shared" si="309"/>
        <v>1075595</v>
      </c>
      <c r="H42" s="112">
        <f t="shared" si="309"/>
        <v>1075595</v>
      </c>
      <c r="I42" s="112">
        <f t="shared" si="309"/>
        <v>1075595</v>
      </c>
      <c r="J42" s="112">
        <f t="shared" si="309"/>
        <v>1075595</v>
      </c>
      <c r="K42" s="112">
        <f t="shared" si="309"/>
        <v>1075595</v>
      </c>
      <c r="L42" s="112">
        <f t="shared" si="309"/>
        <v>1124342.32</v>
      </c>
      <c r="M42" s="112">
        <f t="shared" si="309"/>
        <v>1173089.6399999999</v>
      </c>
      <c r="N42" s="112">
        <f t="shared" ref="N42" si="310">SUM(N39:N41)</f>
        <v>1173089.6399999999</v>
      </c>
      <c r="O42" s="112">
        <f t="shared" ref="O42" si="311">SUM(O39:O41)</f>
        <v>1173089.6399999999</v>
      </c>
      <c r="P42" s="112">
        <f t="shared" ref="P42" si="312">SUM(P39:P41)</f>
        <v>1173089.6399999999</v>
      </c>
      <c r="Q42" s="112">
        <f>SUM(Q39:Q41)</f>
        <v>927625.64</v>
      </c>
      <c r="R42" s="112">
        <f t="shared" ref="R42" si="313">SUM(R39:R41)</f>
        <v>927625.64</v>
      </c>
      <c r="S42" s="112">
        <f t="shared" ref="S42:T42" si="314">SUM(S39:S41)</f>
        <v>927625.64</v>
      </c>
      <c r="T42" s="112">
        <f t="shared" si="314"/>
        <v>927625.64</v>
      </c>
      <c r="U42" s="112">
        <f t="shared" ref="U42:V42" si="315">SUM(U39:U41)</f>
        <v>927625.64</v>
      </c>
      <c r="V42" s="112">
        <f t="shared" si="315"/>
        <v>927625.64</v>
      </c>
      <c r="W42" s="112">
        <f t="shared" ref="W42:X42" si="316">SUM(W39:W41)</f>
        <v>927625.64</v>
      </c>
      <c r="X42" s="112">
        <f t="shared" si="316"/>
        <v>927625.64</v>
      </c>
      <c r="Y42" s="112">
        <f t="shared" ref="Y42" si="317">SUM(Y39:Y41)</f>
        <v>927625.64</v>
      </c>
      <c r="Z42" s="112">
        <f t="shared" ref="Z42" si="318">SUM(Z39:Z41)</f>
        <v>927625.64</v>
      </c>
      <c r="AA42" s="112">
        <f t="shared" ref="AA42" si="319">SUM(AA39:AA41)</f>
        <v>927625.64</v>
      </c>
      <c r="AB42" s="112">
        <f t="shared" ref="AB42" si="320">SUM(AB39:AB41)</f>
        <v>927625.64</v>
      </c>
      <c r="AC42" s="112">
        <f t="shared" ref="AC42" si="321">SUM(AC39:AC41)</f>
        <v>927625.64</v>
      </c>
      <c r="AD42" s="112">
        <f t="shared" ref="AD42" si="322">SUM(AD39:AD41)</f>
        <v>927625.64</v>
      </c>
      <c r="AE42" s="112">
        <f t="shared" ref="AE42" si="323">SUM(AE39:AE41)</f>
        <v>927625.64</v>
      </c>
      <c r="AF42" s="112">
        <f t="shared" ref="AF42" si="324">SUM(AF39:AF41)</f>
        <v>927625.64</v>
      </c>
      <c r="AG42" s="112">
        <f t="shared" ref="AG42" si="325">SUM(AG39:AG41)</f>
        <v>927625.64</v>
      </c>
      <c r="AH42" s="112">
        <f t="shared" ref="AH42" si="326">SUM(AH39:AH41)</f>
        <v>927625.64</v>
      </c>
      <c r="AI42" s="112">
        <f t="shared" ref="AI42" si="327">SUM(AI39:AI41)</f>
        <v>927625.64</v>
      </c>
      <c r="AJ42" s="112">
        <f t="shared" ref="AJ42" si="328">SUM(AJ39:AJ41)</f>
        <v>927625.64</v>
      </c>
      <c r="AK42" s="112">
        <f t="shared" ref="AK42" si="329">SUM(AK39:AK41)</f>
        <v>927625.64</v>
      </c>
      <c r="AL42" s="112">
        <f t="shared" ref="AL42" si="330">SUM(AL39:AL41)</f>
        <v>927625.64</v>
      </c>
      <c r="AM42" s="112">
        <f t="shared" ref="AM42" si="331">SUM(AM39:AM41)</f>
        <v>927625.64</v>
      </c>
      <c r="AN42" s="112">
        <f t="shared" ref="AN42" si="332">SUM(AN39:AN41)</f>
        <v>927625.64</v>
      </c>
      <c r="AO42" s="112">
        <f t="shared" ref="AO42" si="333">SUM(AO39:AO41)</f>
        <v>927625.64</v>
      </c>
      <c r="AP42" s="112">
        <f t="shared" ref="AP42:BM42" si="334">SUM(AP39:AP41)</f>
        <v>927625.64</v>
      </c>
      <c r="AQ42" s="112">
        <f t="shared" si="334"/>
        <v>927625.64</v>
      </c>
      <c r="AR42" s="112">
        <f t="shared" si="334"/>
        <v>927625.64</v>
      </c>
      <c r="AS42" s="112">
        <f t="shared" si="334"/>
        <v>927625.64</v>
      </c>
      <c r="AT42" s="112">
        <f t="shared" si="334"/>
        <v>927625.64</v>
      </c>
      <c r="AU42" s="112">
        <f t="shared" si="334"/>
        <v>927625.64</v>
      </c>
      <c r="AV42" s="112">
        <f t="shared" si="334"/>
        <v>927625.64</v>
      </c>
      <c r="AW42" s="112">
        <f t="shared" si="334"/>
        <v>927625.64</v>
      </c>
      <c r="AX42" s="112">
        <f t="shared" si="334"/>
        <v>927625.64</v>
      </c>
      <c r="AY42" s="112">
        <f t="shared" si="334"/>
        <v>927625.64</v>
      </c>
      <c r="AZ42" s="112">
        <f t="shared" si="334"/>
        <v>927625.64</v>
      </c>
      <c r="BA42" s="112">
        <f t="shared" si="334"/>
        <v>927625.64</v>
      </c>
      <c r="BB42" s="112">
        <f t="shared" si="334"/>
        <v>927625.64</v>
      </c>
      <c r="BC42" s="112">
        <f t="shared" si="334"/>
        <v>927625.64</v>
      </c>
      <c r="BD42" s="112">
        <f t="shared" si="334"/>
        <v>927625.64</v>
      </c>
      <c r="BE42" s="112">
        <f t="shared" si="334"/>
        <v>927625.64</v>
      </c>
      <c r="BF42" s="112">
        <f t="shared" si="334"/>
        <v>927625.64</v>
      </c>
      <c r="BG42" s="112">
        <f t="shared" si="334"/>
        <v>927625.64</v>
      </c>
      <c r="BH42" s="112">
        <f t="shared" si="334"/>
        <v>927625.64</v>
      </c>
      <c r="BI42" s="112">
        <f t="shared" si="334"/>
        <v>927625.64</v>
      </c>
      <c r="BJ42" s="112">
        <f t="shared" si="334"/>
        <v>927625.64</v>
      </c>
      <c r="BK42" s="112">
        <f t="shared" si="334"/>
        <v>927625.64</v>
      </c>
      <c r="BL42" s="112">
        <f t="shared" si="334"/>
        <v>927625.64</v>
      </c>
      <c r="BM42" s="112">
        <f t="shared" si="334"/>
        <v>927625.64</v>
      </c>
      <c r="BN42" s="112">
        <f t="shared" ref="BN42:BY42" si="335">SUM(BN39:BN41)</f>
        <v>927625.64</v>
      </c>
      <c r="BO42" s="112">
        <f t="shared" si="335"/>
        <v>927625.64</v>
      </c>
      <c r="BP42" s="112">
        <f t="shared" si="335"/>
        <v>927625.64</v>
      </c>
      <c r="BQ42" s="112">
        <f t="shared" si="335"/>
        <v>927625.64</v>
      </c>
      <c r="BR42" s="112">
        <f t="shared" si="335"/>
        <v>927625.64</v>
      </c>
      <c r="BS42" s="112">
        <f t="shared" si="335"/>
        <v>927625.64</v>
      </c>
      <c r="BT42" s="112">
        <f t="shared" si="335"/>
        <v>927625.64</v>
      </c>
      <c r="BU42" s="112">
        <f t="shared" si="335"/>
        <v>927625.64</v>
      </c>
      <c r="BV42" s="112">
        <f t="shared" si="335"/>
        <v>927625.64</v>
      </c>
      <c r="BW42" s="112">
        <f t="shared" si="335"/>
        <v>927625.64</v>
      </c>
      <c r="BX42" s="112">
        <f t="shared" si="335"/>
        <v>927625.64</v>
      </c>
      <c r="BY42" s="112">
        <f t="shared" si="335"/>
        <v>927625.64</v>
      </c>
    </row>
    <row r="43" spans="1:77" ht="18" customHeight="1" thickBot="1" x14ac:dyDescent="0.35">
      <c r="A43" s="1"/>
      <c r="B43" s="64" t="s">
        <v>187</v>
      </c>
      <c r="D43" s="111">
        <f>D27+D38+D42</f>
        <v>1154347.52</v>
      </c>
      <c r="E43" s="111">
        <f t="shared" ref="E43:M43" si="336">E27+E38+E42</f>
        <v>1255383.05</v>
      </c>
      <c r="F43" s="111">
        <f t="shared" si="336"/>
        <v>1459189.6199999999</v>
      </c>
      <c r="G43" s="111">
        <f t="shared" si="336"/>
        <v>1718550.08</v>
      </c>
      <c r="H43" s="111">
        <f t="shared" si="336"/>
        <v>1615318.27</v>
      </c>
      <c r="I43" s="111">
        <f t="shared" si="336"/>
        <v>1920280.46</v>
      </c>
      <c r="J43" s="111">
        <f t="shared" si="336"/>
        <v>1774964.56</v>
      </c>
      <c r="K43" s="111">
        <f t="shared" si="336"/>
        <v>2012467.26</v>
      </c>
      <c r="L43" s="111">
        <f t="shared" si="336"/>
        <v>1792241.12</v>
      </c>
      <c r="M43" s="111">
        <f t="shared" si="336"/>
        <v>1884716.06</v>
      </c>
      <c r="N43" s="111">
        <f>N27+N38+N42</f>
        <v>2022188.3299999998</v>
      </c>
      <c r="O43" s="111">
        <f t="shared" ref="O43" si="337">O27+O38+O42</f>
        <v>2295387.1399999997</v>
      </c>
      <c r="P43" s="111">
        <f t="shared" ref="P43" si="338">P27+P38+P42</f>
        <v>2304286.4399999995</v>
      </c>
      <c r="Q43" s="111">
        <f t="shared" ref="Q43" si="339">Q27+Q38+Q42</f>
        <v>8184163.0999999996</v>
      </c>
      <c r="R43" s="111">
        <f t="shared" ref="R43" si="340">R27+R38+R42</f>
        <v>8323348.2000000002</v>
      </c>
      <c r="S43" s="111">
        <f t="shared" ref="S43:T43" si="341">S27+S38+S42</f>
        <v>7980881.1399999997</v>
      </c>
      <c r="T43" s="111">
        <f t="shared" si="341"/>
        <v>8303647.5999999996</v>
      </c>
      <c r="U43" s="111">
        <f t="shared" ref="U43:V43" si="342">U27+U38+U42</f>
        <v>8268270.4099999992</v>
      </c>
      <c r="V43" s="111">
        <f t="shared" si="342"/>
        <v>8223910.0999999996</v>
      </c>
      <c r="W43" s="111">
        <f t="shared" ref="W43:X43" si="343">W27+W38+W42</f>
        <v>8169019.9899999993</v>
      </c>
      <c r="X43" s="111">
        <f t="shared" si="343"/>
        <v>8089036.6100000003</v>
      </c>
      <c r="Y43" s="111">
        <f t="shared" ref="Y43" si="344">Y27+Y38+Y42</f>
        <v>7963437.6299999999</v>
      </c>
      <c r="Z43" s="111">
        <f t="shared" ref="Z43" si="345">Z27+Z38+Z42</f>
        <v>7952006.5699999994</v>
      </c>
      <c r="AA43" s="111">
        <f t="shared" ref="AA43" si="346">AA27+AA38+AA42</f>
        <v>7917130.8300000001</v>
      </c>
      <c r="AB43" s="111">
        <f t="shared" ref="AB43" si="347">AB27+AB38+AB42</f>
        <v>7845158.1699999999</v>
      </c>
      <c r="AC43" s="111">
        <f t="shared" ref="AC43" si="348">AC27+AC38+AC42</f>
        <v>7936430.7602612749</v>
      </c>
      <c r="AD43" s="111">
        <f t="shared" ref="AD43" si="349">AD27+AD38+AD42</f>
        <v>13310923.41281832</v>
      </c>
      <c r="AE43" s="111">
        <f t="shared" ref="AE43" si="350">AE27+AE38+AE42</f>
        <v>13393523.137924245</v>
      </c>
      <c r="AF43" s="111">
        <f t="shared" ref="AF43" si="351">AF27+AF38+AF42</f>
        <v>13810024.812528085</v>
      </c>
      <c r="AG43" s="111">
        <f t="shared" ref="AG43" si="352">AG27+AG38+AG42</f>
        <v>13754133.838518515</v>
      </c>
      <c r="AH43" s="111">
        <f t="shared" ref="AH43" si="353">AH27+AH38+AH42</f>
        <v>13738094.531653177</v>
      </c>
      <c r="AI43" s="111">
        <f t="shared" ref="AI43" si="354">AI27+AI38+AI42</f>
        <v>14525654.644388292</v>
      </c>
      <c r="AJ43" s="111">
        <f t="shared" ref="AJ43" si="355">AJ27+AJ38+AJ42</f>
        <v>15323897.647672659</v>
      </c>
      <c r="AK43" s="111">
        <f t="shared" ref="AK43" si="356">AK27+AK38+AK42</f>
        <v>16219673.268971598</v>
      </c>
      <c r="AL43" s="111">
        <f t="shared" ref="AL43" si="357">AL27+AL38+AL42</f>
        <v>17065151.782297347</v>
      </c>
      <c r="AM43" s="111">
        <f t="shared" ref="AM43" si="358">AM27+AM38+AM42</f>
        <v>17924989.742484979</v>
      </c>
      <c r="AN43" s="111">
        <f t="shared" ref="AN43" si="359">AN27+AN38+AN42</f>
        <v>18797124.399579816</v>
      </c>
      <c r="AO43" s="111">
        <f t="shared" ref="AO43" si="360">AO27+AO38+AO42</f>
        <v>19664395.206604514</v>
      </c>
      <c r="AP43" s="111">
        <f t="shared" ref="AP43:BM43" si="361">AP27+AP38+AP42</f>
        <v>20294524.539747842</v>
      </c>
      <c r="AQ43" s="111">
        <f t="shared" si="361"/>
        <v>21192757.496365353</v>
      </c>
      <c r="AR43" s="111">
        <f t="shared" si="361"/>
        <v>22425423.726508908</v>
      </c>
      <c r="AS43" s="111">
        <f t="shared" si="361"/>
        <v>23171611.621355541</v>
      </c>
      <c r="AT43" s="111">
        <f t="shared" si="361"/>
        <v>23153621.59484081</v>
      </c>
      <c r="AU43" s="111">
        <f t="shared" si="361"/>
        <v>23137081.756744802</v>
      </c>
      <c r="AV43" s="111">
        <f t="shared" si="361"/>
        <v>23132023.257473327</v>
      </c>
      <c r="AW43" s="111">
        <f t="shared" si="361"/>
        <v>23163107.546953183</v>
      </c>
      <c r="AX43" s="111">
        <f t="shared" si="361"/>
        <v>23180687.243512694</v>
      </c>
      <c r="AY43" s="111">
        <f t="shared" si="361"/>
        <v>23182000.43224087</v>
      </c>
      <c r="AZ43" s="111">
        <f t="shared" si="361"/>
        <v>23197820.77964855</v>
      </c>
      <c r="BA43" s="111">
        <f t="shared" si="361"/>
        <v>23278985.323879726</v>
      </c>
      <c r="BB43" s="111">
        <f t="shared" si="361"/>
        <v>23109934.475336514</v>
      </c>
      <c r="BC43" s="111">
        <f t="shared" si="361"/>
        <v>23185054.621628746</v>
      </c>
      <c r="BD43" s="111">
        <f t="shared" si="361"/>
        <v>23590612.00845084</v>
      </c>
      <c r="BE43" s="111">
        <f t="shared" si="361"/>
        <v>23512972.425943814</v>
      </c>
      <c r="BF43" s="111">
        <f t="shared" si="361"/>
        <v>23471873.731681846</v>
      </c>
      <c r="BG43" s="111">
        <f t="shared" si="361"/>
        <v>23433241.135332055</v>
      </c>
      <c r="BH43" s="111">
        <f t="shared" si="361"/>
        <v>23406801.835836854</v>
      </c>
      <c r="BI43" s="111">
        <f t="shared" si="361"/>
        <v>23421403.122974005</v>
      </c>
      <c r="BJ43" s="111">
        <f t="shared" si="361"/>
        <v>23412544.712790053</v>
      </c>
      <c r="BK43" s="111">
        <f t="shared" si="361"/>
        <v>23392240.845496163</v>
      </c>
      <c r="BL43" s="111">
        <f t="shared" si="361"/>
        <v>23386621.885179251</v>
      </c>
      <c r="BM43" s="111">
        <f t="shared" si="361"/>
        <v>23449689.357680373</v>
      </c>
      <c r="BN43" s="111">
        <f t="shared" ref="BN43:BY43" si="362">BN27+BN38+BN42</f>
        <v>23289940.06913634</v>
      </c>
      <c r="BO43" s="111">
        <f t="shared" si="362"/>
        <v>23370113.344181418</v>
      </c>
      <c r="BP43" s="111">
        <f t="shared" si="362"/>
        <v>23777222.605744001</v>
      </c>
      <c r="BQ43" s="111">
        <f t="shared" si="362"/>
        <v>23701383.246123776</v>
      </c>
      <c r="BR43" s="111">
        <f t="shared" si="362"/>
        <v>23661896.29457422</v>
      </c>
      <c r="BS43" s="111">
        <f t="shared" si="362"/>
        <v>23624827.177582614</v>
      </c>
      <c r="BT43" s="111">
        <f t="shared" si="362"/>
        <v>23599326.303838369</v>
      </c>
      <c r="BU43" s="111">
        <f t="shared" si="362"/>
        <v>23618005.078631178</v>
      </c>
      <c r="BV43" s="111">
        <f t="shared" si="362"/>
        <v>23612387.596294604</v>
      </c>
      <c r="BW43" s="111">
        <f t="shared" si="362"/>
        <v>23595351.738243986</v>
      </c>
      <c r="BX43" s="111">
        <f t="shared" si="362"/>
        <v>23593151.564278476</v>
      </c>
      <c r="BY43" s="111">
        <f t="shared" si="362"/>
        <v>23661820.975486774</v>
      </c>
    </row>
    <row r="44" spans="1:77" ht="24" customHeight="1" thickTop="1" x14ac:dyDescent="0.3">
      <c r="A44" s="1" t="s">
        <v>188</v>
      </c>
      <c r="D44" s="18"/>
      <c r="E44" s="18"/>
      <c r="F44" s="18"/>
      <c r="G44" s="18"/>
      <c r="H44" s="18"/>
      <c r="I44" s="18"/>
      <c r="J44" s="18"/>
      <c r="K44" s="18"/>
      <c r="L44" s="18"/>
      <c r="M44" s="18"/>
      <c r="N44" s="8"/>
      <c r="O44" s="8"/>
      <c r="P44" s="8"/>
      <c r="Q44" s="8"/>
      <c r="R44" s="8"/>
      <c r="S44" s="8"/>
      <c r="T44" s="8"/>
      <c r="U44" s="8"/>
      <c r="V44" s="8"/>
      <c r="W44" s="8"/>
      <c r="X44" s="8"/>
      <c r="Y44" s="8"/>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row>
    <row r="45" spans="1:77" x14ac:dyDescent="0.3">
      <c r="B45" s="25" t="s">
        <v>189</v>
      </c>
      <c r="D45" s="18">
        <v>0</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36">
        <v>0</v>
      </c>
      <c r="AD45" s="36">
        <v>0</v>
      </c>
      <c r="AE45" s="36">
        <v>0</v>
      </c>
      <c r="AF45" s="36">
        <v>0</v>
      </c>
      <c r="AG45" s="36">
        <v>0</v>
      </c>
      <c r="AH45" s="36">
        <v>0</v>
      </c>
      <c r="AI45" s="36">
        <v>0</v>
      </c>
      <c r="AJ45" s="36">
        <v>0</v>
      </c>
      <c r="AK45" s="36">
        <v>0</v>
      </c>
      <c r="AL45" s="36">
        <v>0</v>
      </c>
      <c r="AM45" s="36">
        <v>0</v>
      </c>
      <c r="AN45" s="36">
        <v>0</v>
      </c>
      <c r="AO45" s="36">
        <v>0</v>
      </c>
      <c r="AP45" s="36">
        <v>0</v>
      </c>
      <c r="AQ45" s="36">
        <v>0</v>
      </c>
      <c r="AR45" s="36">
        <v>0</v>
      </c>
      <c r="AS45" s="36">
        <v>0</v>
      </c>
      <c r="AT45" s="36">
        <v>0</v>
      </c>
      <c r="AU45" s="36">
        <v>0</v>
      </c>
      <c r="AV45" s="36">
        <v>0</v>
      </c>
      <c r="AW45" s="36">
        <v>0</v>
      </c>
      <c r="AX45" s="36">
        <v>0</v>
      </c>
      <c r="AY45" s="36">
        <v>0</v>
      </c>
      <c r="AZ45" s="36">
        <v>0</v>
      </c>
      <c r="BA45" s="36">
        <v>0</v>
      </c>
      <c r="BB45" s="36">
        <v>0</v>
      </c>
      <c r="BC45" s="36">
        <v>0</v>
      </c>
      <c r="BD45" s="36">
        <v>0</v>
      </c>
      <c r="BE45" s="36">
        <v>0</v>
      </c>
      <c r="BF45" s="36">
        <v>0</v>
      </c>
      <c r="BG45" s="36">
        <v>0</v>
      </c>
      <c r="BH45" s="36">
        <v>0</v>
      </c>
      <c r="BI45" s="36">
        <v>0</v>
      </c>
      <c r="BJ45" s="36">
        <v>0</v>
      </c>
      <c r="BK45" s="36">
        <v>0</v>
      </c>
      <c r="BL45" s="36">
        <v>0</v>
      </c>
      <c r="BM45" s="36">
        <v>0</v>
      </c>
      <c r="BN45" s="36">
        <v>0</v>
      </c>
      <c r="BO45" s="36">
        <v>0</v>
      </c>
      <c r="BP45" s="36">
        <v>0</v>
      </c>
      <c r="BQ45" s="36">
        <v>0</v>
      </c>
      <c r="BR45" s="36">
        <v>0</v>
      </c>
      <c r="BS45" s="36">
        <v>0</v>
      </c>
      <c r="BT45" s="36">
        <v>0</v>
      </c>
      <c r="BU45" s="36">
        <v>0</v>
      </c>
      <c r="BV45" s="36">
        <v>0</v>
      </c>
      <c r="BW45" s="36">
        <v>0</v>
      </c>
      <c r="BX45" s="36">
        <v>0</v>
      </c>
      <c r="BY45" s="36">
        <v>0</v>
      </c>
    </row>
    <row r="46" spans="1:77" x14ac:dyDescent="0.3">
      <c r="B46" s="25" t="s">
        <v>190</v>
      </c>
      <c r="D46" s="18">
        <v>0</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36">
        <v>0</v>
      </c>
      <c r="AD46" s="36">
        <v>0</v>
      </c>
      <c r="AE46" s="36">
        <v>0</v>
      </c>
      <c r="AF46" s="36">
        <v>0</v>
      </c>
      <c r="AG46" s="36">
        <v>0</v>
      </c>
      <c r="AH46" s="36">
        <v>0</v>
      </c>
      <c r="AI46" s="36">
        <v>0</v>
      </c>
      <c r="AJ46" s="36">
        <v>0</v>
      </c>
      <c r="AK46" s="36">
        <v>0</v>
      </c>
      <c r="AL46" s="36">
        <v>0</v>
      </c>
      <c r="AM46" s="36">
        <v>0</v>
      </c>
      <c r="AN46" s="36">
        <v>0</v>
      </c>
      <c r="AO46" s="36">
        <v>0</v>
      </c>
      <c r="AP46" s="36">
        <v>0</v>
      </c>
      <c r="AQ46" s="36">
        <v>0</v>
      </c>
      <c r="AR46" s="36">
        <v>0</v>
      </c>
      <c r="AS46" s="36">
        <v>0</v>
      </c>
      <c r="AT46" s="36">
        <v>0</v>
      </c>
      <c r="AU46" s="36">
        <v>0</v>
      </c>
      <c r="AV46" s="36">
        <v>0</v>
      </c>
      <c r="AW46" s="36">
        <v>0</v>
      </c>
      <c r="AX46" s="36">
        <v>0</v>
      </c>
      <c r="AY46" s="36">
        <v>0</v>
      </c>
      <c r="AZ46" s="36">
        <v>0</v>
      </c>
      <c r="BA46" s="36">
        <v>0</v>
      </c>
      <c r="BB46" s="36">
        <v>0</v>
      </c>
      <c r="BC46" s="36">
        <v>0</v>
      </c>
      <c r="BD46" s="36">
        <v>0</v>
      </c>
      <c r="BE46" s="36">
        <v>0</v>
      </c>
      <c r="BF46" s="36">
        <v>0</v>
      </c>
      <c r="BG46" s="36">
        <v>0</v>
      </c>
      <c r="BH46" s="36">
        <v>0</v>
      </c>
      <c r="BI46" s="36">
        <v>0</v>
      </c>
      <c r="BJ46" s="36">
        <v>0</v>
      </c>
      <c r="BK46" s="36">
        <v>0</v>
      </c>
      <c r="BL46" s="36">
        <v>0</v>
      </c>
      <c r="BM46" s="36">
        <v>0</v>
      </c>
      <c r="BN46" s="36">
        <v>0</v>
      </c>
      <c r="BO46" s="36">
        <v>0</v>
      </c>
      <c r="BP46" s="36">
        <v>0</v>
      </c>
      <c r="BQ46" s="36">
        <v>0</v>
      </c>
      <c r="BR46" s="36">
        <v>0</v>
      </c>
      <c r="BS46" s="36">
        <v>0</v>
      </c>
      <c r="BT46" s="36">
        <v>0</v>
      </c>
      <c r="BU46" s="36">
        <v>0</v>
      </c>
      <c r="BV46" s="36">
        <v>0</v>
      </c>
      <c r="BW46" s="36">
        <v>0</v>
      </c>
      <c r="BX46" s="36">
        <v>0</v>
      </c>
      <c r="BY46" s="36">
        <v>0</v>
      </c>
    </row>
    <row r="47" spans="1:77" x14ac:dyDescent="0.3">
      <c r="B47" s="25" t="s">
        <v>191</v>
      </c>
      <c r="D47" s="18">
        <v>0</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36">
        <v>0</v>
      </c>
      <c r="AD47" s="36">
        <v>0</v>
      </c>
      <c r="AE47" s="36">
        <v>0</v>
      </c>
      <c r="AF47" s="36">
        <v>0</v>
      </c>
      <c r="AG47" s="36">
        <v>0</v>
      </c>
      <c r="AH47" s="36">
        <v>0</v>
      </c>
      <c r="AI47" s="36">
        <v>0</v>
      </c>
      <c r="AJ47" s="36">
        <v>0</v>
      </c>
      <c r="AK47" s="36">
        <v>0</v>
      </c>
      <c r="AL47" s="36">
        <v>0</v>
      </c>
      <c r="AM47" s="36">
        <v>0</v>
      </c>
      <c r="AN47" s="36">
        <v>0</v>
      </c>
      <c r="AO47" s="36">
        <v>0</v>
      </c>
      <c r="AP47" s="36">
        <v>0</v>
      </c>
      <c r="AQ47" s="36">
        <v>0</v>
      </c>
      <c r="AR47" s="36">
        <v>0</v>
      </c>
      <c r="AS47" s="36">
        <v>0</v>
      </c>
      <c r="AT47" s="36">
        <v>0</v>
      </c>
      <c r="AU47" s="36">
        <v>0</v>
      </c>
      <c r="AV47" s="36">
        <v>0</v>
      </c>
      <c r="AW47" s="36">
        <v>0</v>
      </c>
      <c r="AX47" s="36">
        <v>0</v>
      </c>
      <c r="AY47" s="36">
        <v>0</v>
      </c>
      <c r="AZ47" s="36">
        <v>0</v>
      </c>
      <c r="BA47" s="36">
        <v>0</v>
      </c>
      <c r="BB47" s="36">
        <v>0</v>
      </c>
      <c r="BC47" s="36">
        <v>0</v>
      </c>
      <c r="BD47" s="36">
        <v>0</v>
      </c>
      <c r="BE47" s="36">
        <v>0</v>
      </c>
      <c r="BF47" s="36">
        <v>0</v>
      </c>
      <c r="BG47" s="36">
        <v>0</v>
      </c>
      <c r="BH47" s="36">
        <v>0</v>
      </c>
      <c r="BI47" s="36">
        <v>0</v>
      </c>
      <c r="BJ47" s="36">
        <v>0</v>
      </c>
      <c r="BK47" s="36">
        <v>0</v>
      </c>
      <c r="BL47" s="36">
        <v>0</v>
      </c>
      <c r="BM47" s="36">
        <v>0</v>
      </c>
      <c r="BN47" s="36">
        <v>0</v>
      </c>
      <c r="BO47" s="36">
        <v>0</v>
      </c>
      <c r="BP47" s="36">
        <v>0</v>
      </c>
      <c r="BQ47" s="36">
        <v>0</v>
      </c>
      <c r="BR47" s="36">
        <v>0</v>
      </c>
      <c r="BS47" s="36">
        <v>0</v>
      </c>
      <c r="BT47" s="36">
        <v>0</v>
      </c>
      <c r="BU47" s="36">
        <v>0</v>
      </c>
      <c r="BV47" s="36">
        <v>0</v>
      </c>
      <c r="BW47" s="36">
        <v>0</v>
      </c>
      <c r="BX47" s="36">
        <v>0</v>
      </c>
      <c r="BY47" s="36">
        <v>0</v>
      </c>
    </row>
    <row r="48" spans="1:77" x14ac:dyDescent="0.3">
      <c r="B48" s="25" t="s">
        <v>192</v>
      </c>
      <c r="D48" s="18">
        <v>177</v>
      </c>
      <c r="E48" s="18">
        <v>34772.54</v>
      </c>
      <c r="F48" s="18">
        <v>19289.8</v>
      </c>
      <c r="G48" s="18">
        <v>6433.3</v>
      </c>
      <c r="H48" s="18">
        <v>3249</v>
      </c>
      <c r="I48" s="18">
        <v>8879.2000000000007</v>
      </c>
      <c r="J48" s="18">
        <v>128416.73</v>
      </c>
      <c r="K48" s="18">
        <v>12116.33</v>
      </c>
      <c r="L48" s="18">
        <v>43494.59</v>
      </c>
      <c r="M48" s="18">
        <v>6991.13</v>
      </c>
      <c r="N48" s="18">
        <v>100248.09</v>
      </c>
      <c r="O48" s="18">
        <v>92216.05</v>
      </c>
      <c r="P48" s="18">
        <v>39664.5</v>
      </c>
      <c r="Q48" s="18">
        <v>104273.56</v>
      </c>
      <c r="R48" s="18">
        <v>77691.77</v>
      </c>
      <c r="S48" s="18">
        <v>74691.77</v>
      </c>
      <c r="T48" s="18">
        <v>74691.77</v>
      </c>
      <c r="U48" s="18">
        <v>80902.37</v>
      </c>
      <c r="V48" s="18">
        <v>147056.09</v>
      </c>
      <c r="W48" s="18">
        <v>122245.2</v>
      </c>
      <c r="X48" s="18">
        <v>141075.38</v>
      </c>
      <c r="Y48" s="18">
        <v>84905.37</v>
      </c>
      <c r="Z48" s="18">
        <v>75660.73</v>
      </c>
      <c r="AA48" s="18">
        <v>83518.38</v>
      </c>
      <c r="AB48" s="18">
        <v>104923.77</v>
      </c>
      <c r="AC48" s="36">
        <f>'DCS Detail'!AB166/DAY(AC5)*AC84</f>
        <v>159109.23786127704</v>
      </c>
      <c r="AD48" s="36">
        <f>'DCS Detail'!AC166/DAY(AD5)*AD84</f>
        <v>24597.897745007682</v>
      </c>
      <c r="AE48" s="36">
        <f>'DCS Detail'!AD166/DAY(AE5)*AE84</f>
        <v>97933.90017094549</v>
      </c>
      <c r="AF48" s="36">
        <f>'DCS Detail'!AE166/DAY(AF5)*AF84</f>
        <v>139016.07894735696</v>
      </c>
      <c r="AG48" s="36">
        <f>'DCS Detail'!AF166/DAY(AG5)*AG84</f>
        <v>101662.23662902965</v>
      </c>
      <c r="AH48" s="36">
        <f>'DCS Detail'!AG166/DAY(AH5)*AH84</f>
        <v>112766.47140807146</v>
      </c>
      <c r="AI48" s="36">
        <f>'DCS Detail'!AH166/DAY(AI5)*AI84</f>
        <v>91388.722764442806</v>
      </c>
      <c r="AJ48" s="36">
        <f>'DCS Detail'!AI166/DAY(AJ5)*AJ84</f>
        <v>102955.39521593205</v>
      </c>
      <c r="AK48" s="36">
        <f>'DCS Detail'!AJ166/DAY(AK5)*AK84</f>
        <v>105196.16443003554</v>
      </c>
      <c r="AL48" s="36">
        <f>'DCS Detail'!AK166/DAY(AL5)*AL84</f>
        <v>102884.23846145939</v>
      </c>
      <c r="AM48" s="36">
        <f>'DCS Detail'!AL166/DAY(AM5)*AM84</f>
        <v>97387.462460463168</v>
      </c>
      <c r="AN48" s="36">
        <f>'DCS Detail'!AM166/DAY(AN5)*AN84</f>
        <v>99812.228810181667</v>
      </c>
      <c r="AO48" s="36">
        <f>'DCS Detail'!AN166/DAY(AO5)*AO84</f>
        <v>163623.43684585128</v>
      </c>
      <c r="AP48" s="36">
        <f>'DCS Detail'!AO166/DAY(AP5)*AP84</f>
        <v>31493.163756574253</v>
      </c>
      <c r="AQ48" s="36">
        <f>'DCS Detail'!AP166/DAY(AQ5)*AQ84</f>
        <v>113163.20922699386</v>
      </c>
      <c r="AR48" s="36">
        <f>'DCS Detail'!AQ166/DAY(AR5)*AR84</f>
        <v>150066.36392759433</v>
      </c>
      <c r="AS48" s="36">
        <f>'DCS Detail'!AR166/DAY(AS5)*AS84</f>
        <v>118391.31030693103</v>
      </c>
      <c r="AT48" s="36">
        <f>'DCS Detail'!AS166/DAY(AT5)*AT84</f>
        <v>129801.34487903763</v>
      </c>
      <c r="AU48" s="36">
        <f>'DCS Detail'!AT166/DAY(AU5)*AU84</f>
        <v>106141.58697413866</v>
      </c>
      <c r="AV48" s="36">
        <f>'DCS Detail'!AU166/DAY(AV5)*AV84</f>
        <v>118233.3326347665</v>
      </c>
      <c r="AW48" s="36">
        <f>'DCS Detail'!AV166/DAY(AW5)*AW84</f>
        <v>116297.03275469216</v>
      </c>
      <c r="AX48" s="36">
        <f>'DCS Detail'!AW166/DAY(AX5)*AX84</f>
        <v>116884.77948641397</v>
      </c>
      <c r="AY48" s="36">
        <f>'DCS Detail'!AX166/DAY(AY5)*AY84</f>
        <v>109939.61520793404</v>
      </c>
      <c r="AZ48" s="36">
        <f>'DCS Detail'!AY166/DAY(AZ5)*AZ84</f>
        <v>111856.80158544825</v>
      </c>
      <c r="BA48" s="36">
        <f>'DCS Detail'!AZ166/DAY(BA5)*BA84</f>
        <v>181665.11449412268</v>
      </c>
      <c r="BB48" s="36">
        <f>'DCS Detail'!BA166/DAY(BB5)*BB84</f>
        <v>33960.941569214374</v>
      </c>
      <c r="BC48" s="36">
        <f>'DCS Detail'!BB166/DAY(BC5)*BC84</f>
        <v>118642.5141954596</v>
      </c>
      <c r="BD48" s="36">
        <f>'DCS Detail'!BC166/DAY(BD5)*BD84</f>
        <v>155819.16269868609</v>
      </c>
      <c r="BE48" s="36">
        <f>'DCS Detail'!BD166/DAY(BE5)*BE84</f>
        <v>122763.50557034313</v>
      </c>
      <c r="BF48" s="36">
        <f>'DCS Detail'!BE166/DAY(BF5)*BF84</f>
        <v>134543.80910515023</v>
      </c>
      <c r="BG48" s="36">
        <f>'DCS Detail'!BF166/DAY(BG5)*BG84</f>
        <v>110146.37274162119</v>
      </c>
      <c r="BH48" s="36">
        <f>'DCS Detail'!BG166/DAY(BH5)*BH84</f>
        <v>122600.02146676001</v>
      </c>
      <c r="BI48" s="36">
        <f>'DCS Detail'!BH166/DAY(BI5)*BI84</f>
        <v>124971.35050820492</v>
      </c>
      <c r="BJ48" s="36">
        <f>'DCS Detail'!BI166/DAY(BJ5)*BJ84</f>
        <v>121210.66136991384</v>
      </c>
      <c r="BK48" s="36">
        <f>'DCS Detail'!BJ166/DAY(BK5)*BK84</f>
        <v>114084.4259997542</v>
      </c>
      <c r="BL48" s="36">
        <f>'DCS Detail'!BK166/DAY(BL5)*BL84</f>
        <v>116031.7260525235</v>
      </c>
      <c r="BM48" s="36">
        <f>'DCS Detail'!BL166/DAY(BM5)*BM84</f>
        <v>189196.76283799647</v>
      </c>
      <c r="BN48" s="36">
        <f>'DCS Detail'!BM166/DAY(BN5)*BN84</f>
        <v>34603.122172742413</v>
      </c>
      <c r="BO48" s="36">
        <f>'DCS Detail'!BN166/DAY(BO5)*BO84</f>
        <v>121824.88753130191</v>
      </c>
      <c r="BP48" s="36">
        <f>'DCS Detail'!BO166/DAY(BP5)*BP84</f>
        <v>159854.10000588305</v>
      </c>
      <c r="BQ48" s="36">
        <f>'DCS Detail'!BP166/DAY(BQ5)*BQ84</f>
        <v>126069.17419660956</v>
      </c>
      <c r="BR48" s="36">
        <f>'DCS Detail'!BQ166/DAY(BR5)*BR84</f>
        <v>138190.14200317388</v>
      </c>
      <c r="BS48" s="36">
        <f>'DCS Detail'!BR166/DAY(BS5)*BS84</f>
        <v>113073.17703739957</v>
      </c>
      <c r="BT48" s="36">
        <f>'DCS Detail'!BS166/DAY(BT5)*BT84</f>
        <v>125900.23594103445</v>
      </c>
      <c r="BU48" s="36">
        <f>'DCS Detail'!BT166/DAY(BU5)*BU84</f>
        <v>128301.98845936885</v>
      </c>
      <c r="BV48" s="36">
        <f>'DCS Detail'!BU166/DAY(BV5)*BV84</f>
        <v>124468.78688277719</v>
      </c>
      <c r="BW48" s="36">
        <f>'DCS Detail'!BV166/DAY(BW5)*BW84</f>
        <v>117115.96721493073</v>
      </c>
      <c r="BX48" s="36">
        <f>'DCS Detail'!BW166/DAY(BX5)*BX84</f>
        <v>119134.11171270313</v>
      </c>
      <c r="BY48" s="36">
        <f>'DCS Detail'!BX166/DAY(BY5)*BY84</f>
        <v>194481.28830077066</v>
      </c>
    </row>
    <row r="49" spans="2:77" collapsed="1" x14ac:dyDescent="0.3">
      <c r="B49" s="25" t="s">
        <v>193</v>
      </c>
      <c r="D49" s="43">
        <f t="shared" ref="D49:N49" si="363">SUM(D46:D48)</f>
        <v>177</v>
      </c>
      <c r="E49" s="43">
        <f t="shared" si="363"/>
        <v>34772.54</v>
      </c>
      <c r="F49" s="43">
        <f t="shared" si="363"/>
        <v>19289.8</v>
      </c>
      <c r="G49" s="43">
        <f t="shared" si="363"/>
        <v>6433.3</v>
      </c>
      <c r="H49" s="43">
        <f t="shared" si="363"/>
        <v>3249</v>
      </c>
      <c r="I49" s="43">
        <f t="shared" si="363"/>
        <v>8879.2000000000007</v>
      </c>
      <c r="J49" s="43">
        <f t="shared" si="363"/>
        <v>128416.73</v>
      </c>
      <c r="K49" s="43">
        <f t="shared" si="363"/>
        <v>12116.33</v>
      </c>
      <c r="L49" s="43">
        <f t="shared" si="363"/>
        <v>43494.59</v>
      </c>
      <c r="M49" s="43">
        <f t="shared" si="363"/>
        <v>6991.13</v>
      </c>
      <c r="N49" s="43">
        <f t="shared" si="363"/>
        <v>100248.09</v>
      </c>
      <c r="O49" s="43">
        <f t="shared" ref="O49:AO49" si="364">SUM(O46:O48)</f>
        <v>92216.05</v>
      </c>
      <c r="P49" s="43">
        <f t="shared" si="364"/>
        <v>39664.5</v>
      </c>
      <c r="Q49" s="43">
        <f t="shared" si="364"/>
        <v>104273.56</v>
      </c>
      <c r="R49" s="43">
        <f t="shared" si="364"/>
        <v>77691.77</v>
      </c>
      <c r="S49" s="43">
        <f t="shared" si="364"/>
        <v>74691.77</v>
      </c>
      <c r="T49" s="43">
        <f t="shared" ref="T49:U49" si="365">SUM(T46:T48)</f>
        <v>74691.77</v>
      </c>
      <c r="U49" s="43">
        <f t="shared" si="365"/>
        <v>80902.37</v>
      </c>
      <c r="V49" s="43">
        <f t="shared" ref="V49:W49" si="366">SUM(V46:V48)</f>
        <v>147056.09</v>
      </c>
      <c r="W49" s="43">
        <f t="shared" si="366"/>
        <v>122245.2</v>
      </c>
      <c r="X49" s="43">
        <f t="shared" ref="X49" si="367">SUM(X46:X48)</f>
        <v>141075.38</v>
      </c>
      <c r="Y49" s="43">
        <f t="shared" si="364"/>
        <v>84905.37</v>
      </c>
      <c r="Z49" s="43">
        <f t="shared" si="364"/>
        <v>75660.73</v>
      </c>
      <c r="AA49" s="43">
        <f t="shared" si="364"/>
        <v>83518.38</v>
      </c>
      <c r="AB49" s="43">
        <f t="shared" si="364"/>
        <v>104923.77</v>
      </c>
      <c r="AC49" s="43">
        <f t="shared" si="364"/>
        <v>159109.23786127704</v>
      </c>
      <c r="AD49" s="43">
        <f t="shared" si="364"/>
        <v>24597.897745007682</v>
      </c>
      <c r="AE49" s="43">
        <f t="shared" si="364"/>
        <v>97933.90017094549</v>
      </c>
      <c r="AF49" s="43">
        <f t="shared" si="364"/>
        <v>139016.07894735696</v>
      </c>
      <c r="AG49" s="43">
        <f t="shared" si="364"/>
        <v>101662.23662902965</v>
      </c>
      <c r="AH49" s="43">
        <f t="shared" si="364"/>
        <v>112766.47140807146</v>
      </c>
      <c r="AI49" s="43">
        <f t="shared" si="364"/>
        <v>91388.722764442806</v>
      </c>
      <c r="AJ49" s="43">
        <f t="shared" si="364"/>
        <v>102955.39521593205</v>
      </c>
      <c r="AK49" s="43">
        <f t="shared" si="364"/>
        <v>105196.16443003554</v>
      </c>
      <c r="AL49" s="43">
        <f t="shared" si="364"/>
        <v>102884.23846145939</v>
      </c>
      <c r="AM49" s="43">
        <f t="shared" si="364"/>
        <v>97387.462460463168</v>
      </c>
      <c r="AN49" s="43">
        <f t="shared" si="364"/>
        <v>99812.228810181667</v>
      </c>
      <c r="AO49" s="43">
        <f t="shared" si="364"/>
        <v>163623.43684585128</v>
      </c>
      <c r="AP49" s="43">
        <f t="shared" ref="AP49:BM49" si="368">SUM(AP46:AP48)</f>
        <v>31493.163756574253</v>
      </c>
      <c r="AQ49" s="43">
        <f t="shared" si="368"/>
        <v>113163.20922699386</v>
      </c>
      <c r="AR49" s="43">
        <f t="shared" si="368"/>
        <v>150066.36392759433</v>
      </c>
      <c r="AS49" s="43">
        <f t="shared" si="368"/>
        <v>118391.31030693103</v>
      </c>
      <c r="AT49" s="43">
        <f t="shared" si="368"/>
        <v>129801.34487903763</v>
      </c>
      <c r="AU49" s="43">
        <f t="shared" si="368"/>
        <v>106141.58697413866</v>
      </c>
      <c r="AV49" s="43">
        <f t="shared" si="368"/>
        <v>118233.3326347665</v>
      </c>
      <c r="AW49" s="43">
        <f t="shared" si="368"/>
        <v>116297.03275469216</v>
      </c>
      <c r="AX49" s="43">
        <f t="shared" si="368"/>
        <v>116884.77948641397</v>
      </c>
      <c r="AY49" s="43">
        <f t="shared" si="368"/>
        <v>109939.61520793404</v>
      </c>
      <c r="AZ49" s="43">
        <f t="shared" si="368"/>
        <v>111856.80158544825</v>
      </c>
      <c r="BA49" s="43">
        <f t="shared" si="368"/>
        <v>181665.11449412268</v>
      </c>
      <c r="BB49" s="43">
        <f t="shared" si="368"/>
        <v>33960.941569214374</v>
      </c>
      <c r="BC49" s="43">
        <f t="shared" si="368"/>
        <v>118642.5141954596</v>
      </c>
      <c r="BD49" s="43">
        <f t="shared" si="368"/>
        <v>155819.16269868609</v>
      </c>
      <c r="BE49" s="43">
        <f t="shared" si="368"/>
        <v>122763.50557034313</v>
      </c>
      <c r="BF49" s="43">
        <f t="shared" si="368"/>
        <v>134543.80910515023</v>
      </c>
      <c r="BG49" s="43">
        <f t="shared" si="368"/>
        <v>110146.37274162119</v>
      </c>
      <c r="BH49" s="43">
        <f t="shared" si="368"/>
        <v>122600.02146676001</v>
      </c>
      <c r="BI49" s="43">
        <f t="shared" si="368"/>
        <v>124971.35050820492</v>
      </c>
      <c r="BJ49" s="43">
        <f t="shared" si="368"/>
        <v>121210.66136991384</v>
      </c>
      <c r="BK49" s="43">
        <f t="shared" si="368"/>
        <v>114084.4259997542</v>
      </c>
      <c r="BL49" s="43">
        <f t="shared" si="368"/>
        <v>116031.7260525235</v>
      </c>
      <c r="BM49" s="43">
        <f t="shared" si="368"/>
        <v>189196.76283799647</v>
      </c>
      <c r="BN49" s="43">
        <f t="shared" ref="BN49:BY49" si="369">SUM(BN46:BN48)</f>
        <v>34603.122172742413</v>
      </c>
      <c r="BO49" s="43">
        <f t="shared" si="369"/>
        <v>121824.88753130191</v>
      </c>
      <c r="BP49" s="43">
        <f t="shared" si="369"/>
        <v>159854.10000588305</v>
      </c>
      <c r="BQ49" s="43">
        <f t="shared" si="369"/>
        <v>126069.17419660956</v>
      </c>
      <c r="BR49" s="43">
        <f t="shared" si="369"/>
        <v>138190.14200317388</v>
      </c>
      <c r="BS49" s="43">
        <f t="shared" si="369"/>
        <v>113073.17703739957</v>
      </c>
      <c r="BT49" s="43">
        <f t="shared" si="369"/>
        <v>125900.23594103445</v>
      </c>
      <c r="BU49" s="43">
        <f t="shared" si="369"/>
        <v>128301.98845936885</v>
      </c>
      <c r="BV49" s="43">
        <f t="shared" si="369"/>
        <v>124468.78688277719</v>
      </c>
      <c r="BW49" s="43">
        <f t="shared" si="369"/>
        <v>117115.96721493073</v>
      </c>
      <c r="BX49" s="43">
        <f t="shared" si="369"/>
        <v>119134.11171270313</v>
      </c>
      <c r="BY49" s="43">
        <f t="shared" si="369"/>
        <v>194481.28830077066</v>
      </c>
    </row>
    <row r="50" spans="2:77" x14ac:dyDescent="0.3">
      <c r="B50" s="25" t="s">
        <v>194</v>
      </c>
      <c r="D50" s="18">
        <v>0</v>
      </c>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36">
        <v>0</v>
      </c>
      <c r="AD50" s="36">
        <v>0</v>
      </c>
      <c r="AE50" s="36">
        <v>0</v>
      </c>
      <c r="AF50" s="36">
        <v>0</v>
      </c>
      <c r="AG50" s="36">
        <v>0</v>
      </c>
      <c r="AH50" s="36">
        <v>0</v>
      </c>
      <c r="AI50" s="36">
        <v>0</v>
      </c>
      <c r="AJ50" s="36">
        <v>0</v>
      </c>
      <c r="AK50" s="36">
        <v>0</v>
      </c>
      <c r="AL50" s="36">
        <v>0</v>
      </c>
      <c r="AM50" s="36">
        <v>0</v>
      </c>
      <c r="AN50" s="36">
        <v>0</v>
      </c>
      <c r="AO50" s="36">
        <v>0</v>
      </c>
      <c r="AP50" s="36">
        <v>0</v>
      </c>
      <c r="AQ50" s="36">
        <v>0</v>
      </c>
      <c r="AR50" s="36">
        <v>0</v>
      </c>
      <c r="AS50" s="36">
        <v>0</v>
      </c>
      <c r="AT50" s="36">
        <v>0</v>
      </c>
      <c r="AU50" s="36">
        <v>0</v>
      </c>
      <c r="AV50" s="36">
        <v>0</v>
      </c>
      <c r="AW50" s="36">
        <v>0</v>
      </c>
      <c r="AX50" s="36">
        <v>0</v>
      </c>
      <c r="AY50" s="36">
        <v>0</v>
      </c>
      <c r="AZ50" s="36">
        <v>0</v>
      </c>
      <c r="BA50" s="36">
        <v>0</v>
      </c>
      <c r="BB50" s="36">
        <v>0</v>
      </c>
      <c r="BC50" s="36">
        <v>0</v>
      </c>
      <c r="BD50" s="36">
        <v>0</v>
      </c>
      <c r="BE50" s="36">
        <v>0</v>
      </c>
      <c r="BF50" s="36">
        <v>0</v>
      </c>
      <c r="BG50" s="36">
        <v>0</v>
      </c>
      <c r="BH50" s="36">
        <v>0</v>
      </c>
      <c r="BI50" s="36">
        <v>0</v>
      </c>
      <c r="BJ50" s="36">
        <v>0</v>
      </c>
      <c r="BK50" s="36">
        <v>0</v>
      </c>
      <c r="BL50" s="36">
        <v>0</v>
      </c>
      <c r="BM50" s="36">
        <v>0</v>
      </c>
      <c r="BN50" s="36">
        <v>0</v>
      </c>
      <c r="BO50" s="36">
        <v>0</v>
      </c>
      <c r="BP50" s="36">
        <v>0</v>
      </c>
      <c r="BQ50" s="36">
        <v>0</v>
      </c>
      <c r="BR50" s="36">
        <v>0</v>
      </c>
      <c r="BS50" s="36">
        <v>0</v>
      </c>
      <c r="BT50" s="36">
        <v>0</v>
      </c>
      <c r="BU50" s="36">
        <v>0</v>
      </c>
      <c r="BV50" s="36">
        <v>0</v>
      </c>
      <c r="BW50" s="36">
        <v>0</v>
      </c>
      <c r="BX50" s="36">
        <v>0</v>
      </c>
      <c r="BY50" s="36">
        <v>0</v>
      </c>
    </row>
    <row r="51" spans="2:77" x14ac:dyDescent="0.3">
      <c r="B51" s="25" t="s">
        <v>314</v>
      </c>
      <c r="D51" s="18">
        <v>43448.69</v>
      </c>
      <c r="E51" s="18">
        <v>0</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36">
        <v>0</v>
      </c>
      <c r="AD51" s="36">
        <v>0</v>
      </c>
      <c r="AE51" s="36">
        <v>0</v>
      </c>
      <c r="AF51" s="36">
        <v>0</v>
      </c>
      <c r="AG51" s="36">
        <v>0</v>
      </c>
      <c r="AH51" s="36">
        <v>0</v>
      </c>
      <c r="AI51" s="36">
        <v>0</v>
      </c>
      <c r="AJ51" s="36">
        <v>0</v>
      </c>
      <c r="AK51" s="36">
        <v>0</v>
      </c>
      <c r="AL51" s="36">
        <v>0</v>
      </c>
      <c r="AM51" s="36">
        <v>0</v>
      </c>
      <c r="AN51" s="36">
        <v>0</v>
      </c>
      <c r="AO51" s="36">
        <v>0</v>
      </c>
      <c r="AP51" s="36">
        <v>0</v>
      </c>
      <c r="AQ51" s="36">
        <v>0</v>
      </c>
      <c r="AR51" s="36">
        <v>0</v>
      </c>
      <c r="AS51" s="36">
        <v>0</v>
      </c>
      <c r="AT51" s="36">
        <v>0</v>
      </c>
      <c r="AU51" s="36">
        <v>0</v>
      </c>
      <c r="AV51" s="36">
        <v>0</v>
      </c>
      <c r="AW51" s="36">
        <v>0</v>
      </c>
      <c r="AX51" s="36">
        <v>0</v>
      </c>
      <c r="AY51" s="36">
        <v>0</v>
      </c>
      <c r="AZ51" s="36">
        <v>0</v>
      </c>
      <c r="BA51" s="36">
        <v>0</v>
      </c>
      <c r="BB51" s="36">
        <v>0</v>
      </c>
      <c r="BC51" s="36">
        <v>0</v>
      </c>
      <c r="BD51" s="36">
        <v>0</v>
      </c>
      <c r="BE51" s="36">
        <v>0</v>
      </c>
      <c r="BF51" s="36">
        <v>0</v>
      </c>
      <c r="BG51" s="36">
        <v>0</v>
      </c>
      <c r="BH51" s="36">
        <v>0</v>
      </c>
      <c r="BI51" s="36">
        <v>0</v>
      </c>
      <c r="BJ51" s="36">
        <v>0</v>
      </c>
      <c r="BK51" s="36">
        <v>0</v>
      </c>
      <c r="BL51" s="36">
        <v>0</v>
      </c>
      <c r="BM51" s="36">
        <v>0</v>
      </c>
      <c r="BN51" s="36">
        <v>0</v>
      </c>
      <c r="BO51" s="36">
        <v>0</v>
      </c>
      <c r="BP51" s="36">
        <v>0</v>
      </c>
      <c r="BQ51" s="36">
        <v>0</v>
      </c>
      <c r="BR51" s="36">
        <v>0</v>
      </c>
      <c r="BS51" s="36">
        <v>0</v>
      </c>
      <c r="BT51" s="36">
        <v>0</v>
      </c>
      <c r="BU51" s="36">
        <v>0</v>
      </c>
      <c r="BV51" s="36">
        <v>0</v>
      </c>
      <c r="BW51" s="36">
        <v>0</v>
      </c>
      <c r="BX51" s="36">
        <v>0</v>
      </c>
      <c r="BY51" s="36">
        <v>0</v>
      </c>
    </row>
    <row r="52" spans="2:77" x14ac:dyDescent="0.3">
      <c r="B52" s="25" t="s">
        <v>334</v>
      </c>
      <c r="D52" s="18">
        <v>0</v>
      </c>
      <c r="E52" s="18">
        <v>0</v>
      </c>
      <c r="F52" s="18">
        <v>0</v>
      </c>
      <c r="G52" s="18">
        <v>0</v>
      </c>
      <c r="H52" s="18">
        <v>0</v>
      </c>
      <c r="I52" s="18">
        <v>0</v>
      </c>
      <c r="J52" s="18">
        <v>0</v>
      </c>
      <c r="K52" s="18">
        <v>0</v>
      </c>
      <c r="L52" s="18">
        <v>0</v>
      </c>
      <c r="M52" s="18">
        <v>0</v>
      </c>
      <c r="N52" s="18">
        <v>0</v>
      </c>
      <c r="O52" s="18">
        <v>0</v>
      </c>
      <c r="P52" s="18">
        <v>331000</v>
      </c>
      <c r="Q52" s="18">
        <v>331000</v>
      </c>
      <c r="R52" s="18">
        <v>331000</v>
      </c>
      <c r="S52" s="18">
        <v>331000</v>
      </c>
      <c r="T52" s="18">
        <v>331000</v>
      </c>
      <c r="U52" s="18">
        <v>331000</v>
      </c>
      <c r="V52" s="18">
        <v>331000</v>
      </c>
      <c r="W52" s="18">
        <v>331000</v>
      </c>
      <c r="X52" s="18">
        <v>331000</v>
      </c>
      <c r="Y52" s="18">
        <v>331000</v>
      </c>
      <c r="Z52" s="18">
        <v>331000</v>
      </c>
      <c r="AA52" s="18">
        <v>0</v>
      </c>
      <c r="AB52" s="18">
        <v>0</v>
      </c>
      <c r="AC52" s="36">
        <f t="shared" ref="AC52:AO53" si="370">AB52</f>
        <v>0</v>
      </c>
      <c r="AD52" s="36">
        <f t="shared" si="370"/>
        <v>0</v>
      </c>
      <c r="AE52" s="36">
        <f t="shared" si="370"/>
        <v>0</v>
      </c>
      <c r="AF52" s="36">
        <f t="shared" si="370"/>
        <v>0</v>
      </c>
      <c r="AG52" s="36">
        <f t="shared" si="370"/>
        <v>0</v>
      </c>
      <c r="AH52" s="36">
        <f t="shared" si="370"/>
        <v>0</v>
      </c>
      <c r="AI52" s="36">
        <f t="shared" si="370"/>
        <v>0</v>
      </c>
      <c r="AJ52" s="36">
        <f t="shared" si="370"/>
        <v>0</v>
      </c>
      <c r="AK52" s="36">
        <f t="shared" si="370"/>
        <v>0</v>
      </c>
      <c r="AL52" s="36">
        <f t="shared" si="370"/>
        <v>0</v>
      </c>
      <c r="AM52" s="36">
        <f t="shared" si="370"/>
        <v>0</v>
      </c>
      <c r="AN52" s="36">
        <f t="shared" si="370"/>
        <v>0</v>
      </c>
      <c r="AO52" s="36">
        <f t="shared" si="370"/>
        <v>0</v>
      </c>
      <c r="AP52" s="36">
        <f t="shared" ref="AP52:AP53" si="371">AO52</f>
        <v>0</v>
      </c>
      <c r="AQ52" s="36">
        <f t="shared" ref="AQ52:AQ53" si="372">AP52</f>
        <v>0</v>
      </c>
      <c r="AR52" s="36">
        <f t="shared" ref="AR52:AR53" si="373">AQ52</f>
        <v>0</v>
      </c>
      <c r="AS52" s="36">
        <f t="shared" ref="AS52:AS53" si="374">AR52</f>
        <v>0</v>
      </c>
      <c r="AT52" s="36">
        <f t="shared" ref="AT52:AT53" si="375">AS52</f>
        <v>0</v>
      </c>
      <c r="AU52" s="36">
        <f t="shared" ref="AU52:AU53" si="376">AT52</f>
        <v>0</v>
      </c>
      <c r="AV52" s="36">
        <f t="shared" ref="AV52:AV53" si="377">AU52</f>
        <v>0</v>
      </c>
      <c r="AW52" s="36">
        <f t="shared" ref="AW52:AW53" si="378">AV52</f>
        <v>0</v>
      </c>
      <c r="AX52" s="36">
        <f t="shared" ref="AX52:AX53" si="379">AW52</f>
        <v>0</v>
      </c>
      <c r="AY52" s="36">
        <f t="shared" ref="AY52:AY53" si="380">AX52</f>
        <v>0</v>
      </c>
      <c r="AZ52" s="36">
        <f t="shared" ref="AZ52:AZ53" si="381">AY52</f>
        <v>0</v>
      </c>
      <c r="BA52" s="36">
        <f t="shared" ref="BA52:BA53" si="382">AZ52</f>
        <v>0</v>
      </c>
      <c r="BB52" s="36">
        <f t="shared" ref="BB52:BB53" si="383">BA52</f>
        <v>0</v>
      </c>
      <c r="BC52" s="36">
        <f t="shared" ref="BC52:BC53" si="384">BB52</f>
        <v>0</v>
      </c>
      <c r="BD52" s="36">
        <f t="shared" ref="BD52:BD53" si="385">BC52</f>
        <v>0</v>
      </c>
      <c r="BE52" s="36">
        <f t="shared" ref="BE52:BE53" si="386">BD52</f>
        <v>0</v>
      </c>
      <c r="BF52" s="36">
        <f t="shared" ref="BF52:BF53" si="387">BE52</f>
        <v>0</v>
      </c>
      <c r="BG52" s="36">
        <f t="shared" ref="BG52:BG53" si="388">BF52</f>
        <v>0</v>
      </c>
      <c r="BH52" s="36">
        <f t="shared" ref="BH52:BH53" si="389">BG52</f>
        <v>0</v>
      </c>
      <c r="BI52" s="36">
        <f t="shared" ref="BI52:BI53" si="390">BH52</f>
        <v>0</v>
      </c>
      <c r="BJ52" s="36">
        <f t="shared" ref="BJ52:BJ53" si="391">BI52</f>
        <v>0</v>
      </c>
      <c r="BK52" s="36">
        <f t="shared" ref="BK52:BK53" si="392">BJ52</f>
        <v>0</v>
      </c>
      <c r="BL52" s="36">
        <f t="shared" ref="BL52:BL53" si="393">BK52</f>
        <v>0</v>
      </c>
      <c r="BM52" s="36">
        <f t="shared" ref="BM52:BM53" si="394">BL52</f>
        <v>0</v>
      </c>
      <c r="BN52" s="36">
        <f t="shared" ref="BN52:BN53" si="395">BM52</f>
        <v>0</v>
      </c>
      <c r="BO52" s="36">
        <f t="shared" ref="BO52:BO53" si="396">BN52</f>
        <v>0</v>
      </c>
      <c r="BP52" s="36">
        <f t="shared" ref="BP52:BP53" si="397">BO52</f>
        <v>0</v>
      </c>
      <c r="BQ52" s="36">
        <f t="shared" ref="BQ52:BQ53" si="398">BP52</f>
        <v>0</v>
      </c>
      <c r="BR52" s="36">
        <f t="shared" ref="BR52:BR53" si="399">BQ52</f>
        <v>0</v>
      </c>
      <c r="BS52" s="36">
        <f t="shared" ref="BS52:BS53" si="400">BR52</f>
        <v>0</v>
      </c>
      <c r="BT52" s="36">
        <f t="shared" ref="BT52:BT53" si="401">BS52</f>
        <v>0</v>
      </c>
      <c r="BU52" s="36">
        <f t="shared" ref="BU52:BU53" si="402">BT52</f>
        <v>0</v>
      </c>
      <c r="BV52" s="36">
        <f t="shared" ref="BV52:BV53" si="403">BU52</f>
        <v>0</v>
      </c>
      <c r="BW52" s="36">
        <f t="shared" ref="BW52:BW53" si="404">BV52</f>
        <v>0</v>
      </c>
      <c r="BX52" s="36">
        <f t="shared" ref="BX52:BX53" si="405">BW52</f>
        <v>0</v>
      </c>
      <c r="BY52" s="36">
        <f t="shared" ref="BY52:BY53" si="406">BX52</f>
        <v>0</v>
      </c>
    </row>
    <row r="53" spans="2:77" x14ac:dyDescent="0.3">
      <c r="B53" s="25" t="s">
        <v>338</v>
      </c>
      <c r="D53" s="18">
        <v>0</v>
      </c>
      <c r="E53" s="18">
        <v>0</v>
      </c>
      <c r="F53" s="18">
        <v>0</v>
      </c>
      <c r="G53" s="18">
        <v>0</v>
      </c>
      <c r="H53" s="18">
        <v>0</v>
      </c>
      <c r="I53" s="18">
        <v>0</v>
      </c>
      <c r="J53" s="18">
        <v>0</v>
      </c>
      <c r="K53" s="18">
        <v>0</v>
      </c>
      <c r="L53" s="18">
        <v>0</v>
      </c>
      <c r="M53" s="18">
        <v>0</v>
      </c>
      <c r="N53" s="18">
        <v>0</v>
      </c>
      <c r="O53" s="18">
        <v>0</v>
      </c>
      <c r="P53" s="18">
        <v>0</v>
      </c>
      <c r="Q53" s="18">
        <v>0</v>
      </c>
      <c r="R53" s="18">
        <v>286873.34000000003</v>
      </c>
      <c r="S53" s="18">
        <v>0</v>
      </c>
      <c r="T53" s="18">
        <v>0.03</v>
      </c>
      <c r="U53" s="18">
        <v>0.03</v>
      </c>
      <c r="V53" s="18">
        <v>0.03</v>
      </c>
      <c r="W53" s="18">
        <v>0.03</v>
      </c>
      <c r="X53" s="18">
        <v>0.03</v>
      </c>
      <c r="Y53" s="18">
        <v>0.03</v>
      </c>
      <c r="Z53" s="18">
        <v>0.03</v>
      </c>
      <c r="AA53" s="18">
        <v>0</v>
      </c>
      <c r="AB53" s="18">
        <v>0</v>
      </c>
      <c r="AC53" s="36">
        <f t="shared" si="370"/>
        <v>0</v>
      </c>
      <c r="AD53" s="36">
        <f t="shared" si="370"/>
        <v>0</v>
      </c>
      <c r="AE53" s="36">
        <f t="shared" si="370"/>
        <v>0</v>
      </c>
      <c r="AF53" s="36">
        <f t="shared" si="370"/>
        <v>0</v>
      </c>
      <c r="AG53" s="36">
        <f t="shared" si="370"/>
        <v>0</v>
      </c>
      <c r="AH53" s="36">
        <f t="shared" si="370"/>
        <v>0</v>
      </c>
      <c r="AI53" s="36">
        <f t="shared" si="370"/>
        <v>0</v>
      </c>
      <c r="AJ53" s="36">
        <f t="shared" si="370"/>
        <v>0</v>
      </c>
      <c r="AK53" s="36">
        <f t="shared" si="370"/>
        <v>0</v>
      </c>
      <c r="AL53" s="36">
        <f t="shared" si="370"/>
        <v>0</v>
      </c>
      <c r="AM53" s="36">
        <f t="shared" si="370"/>
        <v>0</v>
      </c>
      <c r="AN53" s="36">
        <f t="shared" si="370"/>
        <v>0</v>
      </c>
      <c r="AO53" s="36">
        <f t="shared" si="370"/>
        <v>0</v>
      </c>
      <c r="AP53" s="36">
        <f t="shared" si="371"/>
        <v>0</v>
      </c>
      <c r="AQ53" s="36">
        <f t="shared" si="372"/>
        <v>0</v>
      </c>
      <c r="AR53" s="36">
        <f t="shared" si="373"/>
        <v>0</v>
      </c>
      <c r="AS53" s="36">
        <f t="shared" si="374"/>
        <v>0</v>
      </c>
      <c r="AT53" s="36">
        <f t="shared" si="375"/>
        <v>0</v>
      </c>
      <c r="AU53" s="36">
        <f t="shared" si="376"/>
        <v>0</v>
      </c>
      <c r="AV53" s="36">
        <f t="shared" si="377"/>
        <v>0</v>
      </c>
      <c r="AW53" s="36">
        <f t="shared" si="378"/>
        <v>0</v>
      </c>
      <c r="AX53" s="36">
        <f t="shared" si="379"/>
        <v>0</v>
      </c>
      <c r="AY53" s="36">
        <f t="shared" si="380"/>
        <v>0</v>
      </c>
      <c r="AZ53" s="36">
        <f t="shared" si="381"/>
        <v>0</v>
      </c>
      <c r="BA53" s="36">
        <f t="shared" si="382"/>
        <v>0</v>
      </c>
      <c r="BB53" s="36">
        <f t="shared" si="383"/>
        <v>0</v>
      </c>
      <c r="BC53" s="36">
        <f t="shared" si="384"/>
        <v>0</v>
      </c>
      <c r="BD53" s="36">
        <f t="shared" si="385"/>
        <v>0</v>
      </c>
      <c r="BE53" s="36">
        <f t="shared" si="386"/>
        <v>0</v>
      </c>
      <c r="BF53" s="36">
        <f t="shared" si="387"/>
        <v>0</v>
      </c>
      <c r="BG53" s="36">
        <f t="shared" si="388"/>
        <v>0</v>
      </c>
      <c r="BH53" s="36">
        <f t="shared" si="389"/>
        <v>0</v>
      </c>
      <c r="BI53" s="36">
        <f t="shared" si="390"/>
        <v>0</v>
      </c>
      <c r="BJ53" s="36">
        <f t="shared" si="391"/>
        <v>0</v>
      </c>
      <c r="BK53" s="36">
        <f t="shared" si="392"/>
        <v>0</v>
      </c>
      <c r="BL53" s="36">
        <f t="shared" si="393"/>
        <v>0</v>
      </c>
      <c r="BM53" s="36">
        <f t="shared" si="394"/>
        <v>0</v>
      </c>
      <c r="BN53" s="36">
        <f t="shared" si="395"/>
        <v>0</v>
      </c>
      <c r="BO53" s="36">
        <f t="shared" si="396"/>
        <v>0</v>
      </c>
      <c r="BP53" s="36">
        <f t="shared" si="397"/>
        <v>0</v>
      </c>
      <c r="BQ53" s="36">
        <f t="shared" si="398"/>
        <v>0</v>
      </c>
      <c r="BR53" s="36">
        <f t="shared" si="399"/>
        <v>0</v>
      </c>
      <c r="BS53" s="36">
        <f t="shared" si="400"/>
        <v>0</v>
      </c>
      <c r="BT53" s="36">
        <f t="shared" si="401"/>
        <v>0</v>
      </c>
      <c r="BU53" s="36">
        <f t="shared" si="402"/>
        <v>0</v>
      </c>
      <c r="BV53" s="36">
        <f t="shared" si="403"/>
        <v>0</v>
      </c>
      <c r="BW53" s="36">
        <f t="shared" si="404"/>
        <v>0</v>
      </c>
      <c r="BX53" s="36">
        <f t="shared" si="405"/>
        <v>0</v>
      </c>
      <c r="BY53" s="36">
        <f t="shared" si="406"/>
        <v>0</v>
      </c>
    </row>
    <row r="54" spans="2:77" x14ac:dyDescent="0.3">
      <c r="B54" s="25" t="s">
        <v>195</v>
      </c>
      <c r="D54" s="18">
        <v>297839.03000000003</v>
      </c>
      <c r="E54" s="18">
        <v>239185.51</v>
      </c>
      <c r="F54" s="18">
        <v>0</v>
      </c>
      <c r="G54" s="18">
        <v>0</v>
      </c>
      <c r="H54" s="18">
        <v>0</v>
      </c>
      <c r="I54" s="18">
        <v>0</v>
      </c>
      <c r="J54" s="18">
        <v>0</v>
      </c>
      <c r="K54" s="18">
        <v>0</v>
      </c>
      <c r="L54" s="18">
        <v>0</v>
      </c>
      <c r="M54" s="18">
        <v>0</v>
      </c>
      <c r="N54" s="18">
        <v>0</v>
      </c>
      <c r="O54" s="18">
        <v>0</v>
      </c>
      <c r="P54" s="18">
        <v>0</v>
      </c>
      <c r="Q54" s="18">
        <v>136415.89000000001</v>
      </c>
      <c r="R54" s="18">
        <v>0</v>
      </c>
      <c r="S54" s="18">
        <v>0</v>
      </c>
      <c r="T54" s="18">
        <v>0</v>
      </c>
      <c r="U54" s="18">
        <v>0</v>
      </c>
      <c r="V54" s="18">
        <v>0</v>
      </c>
      <c r="W54" s="18">
        <v>0</v>
      </c>
      <c r="X54" s="18">
        <v>0</v>
      </c>
      <c r="Y54" s="18">
        <v>0</v>
      </c>
      <c r="Z54" s="18">
        <v>0</v>
      </c>
      <c r="AA54" s="18">
        <v>0</v>
      </c>
      <c r="AB54" s="18">
        <v>0</v>
      </c>
      <c r="AC54" s="102">
        <f>'Sandhill Detail'!AB256+'Hillpointe Detail'!AB256</f>
        <v>165436.52681716435</v>
      </c>
      <c r="AD54" s="102">
        <f>'Sandhill Detail'!AC256+'Hillpointe Detail'!AC256</f>
        <v>0</v>
      </c>
      <c r="AE54" s="102">
        <f>'Sandhill Detail'!AD256+'Hillpointe Detail'!AD256</f>
        <v>0</v>
      </c>
      <c r="AF54" s="102">
        <f>'Sandhill Detail'!AE256+'Hillpointe Detail'!AE256</f>
        <v>0</v>
      </c>
      <c r="AG54" s="102">
        <f>'Sandhill Detail'!AF256+'Hillpointe Detail'!AF256</f>
        <v>0</v>
      </c>
      <c r="AH54" s="102">
        <f>'Sandhill Detail'!AG256+'Hillpointe Detail'!AG256</f>
        <v>0</v>
      </c>
      <c r="AI54" s="102">
        <f>'Sandhill Detail'!AH256+'Hillpointe Detail'!AH256</f>
        <v>0</v>
      </c>
      <c r="AJ54" s="102">
        <f>'Sandhill Detail'!AI256+'Hillpointe Detail'!AI256</f>
        <v>0</v>
      </c>
      <c r="AK54" s="102">
        <f>'Sandhill Detail'!AJ256+'Hillpointe Detail'!AJ256</f>
        <v>0</v>
      </c>
      <c r="AL54" s="102">
        <f>'Sandhill Detail'!AK256+'Hillpointe Detail'!AK256</f>
        <v>0</v>
      </c>
      <c r="AM54" s="102">
        <f>'Sandhill Detail'!AL256+'Hillpointe Detail'!AL256</f>
        <v>0</v>
      </c>
      <c r="AN54" s="102">
        <f>'Sandhill Detail'!AM256+'Hillpointe Detail'!AM256</f>
        <v>0</v>
      </c>
      <c r="AO54" s="102">
        <f>'Sandhill Detail'!AN256+'Hillpointe Detail'!AN256</f>
        <v>194172.4480048994</v>
      </c>
      <c r="AP54" s="102">
        <f>'Sandhill Detail'!AO256+'Hillpointe Detail'!AO256</f>
        <v>0</v>
      </c>
      <c r="AQ54" s="102">
        <f>'Sandhill Detail'!AP256+'Hillpointe Detail'!AP256</f>
        <v>0</v>
      </c>
      <c r="AR54" s="102">
        <f>'Sandhill Detail'!AQ256+'Hillpointe Detail'!AQ256</f>
        <v>0</v>
      </c>
      <c r="AS54" s="102">
        <f>'Sandhill Detail'!AR256+'Hillpointe Detail'!AR256</f>
        <v>0</v>
      </c>
      <c r="AT54" s="102">
        <f>'Sandhill Detail'!AS256+'Hillpointe Detail'!AS256</f>
        <v>0</v>
      </c>
      <c r="AU54" s="102">
        <f>'Sandhill Detail'!AT256+'Hillpointe Detail'!AT256</f>
        <v>0</v>
      </c>
      <c r="AV54" s="102">
        <f>'Sandhill Detail'!AU256+'Hillpointe Detail'!AU256</f>
        <v>0</v>
      </c>
      <c r="AW54" s="102">
        <f>'Sandhill Detail'!AV256+'Hillpointe Detail'!AV256</f>
        <v>0</v>
      </c>
      <c r="AX54" s="102">
        <f>'Sandhill Detail'!AW256+'Hillpointe Detail'!AW256</f>
        <v>0</v>
      </c>
      <c r="AY54" s="102">
        <f>'Sandhill Detail'!AX256+'Hillpointe Detail'!AX256</f>
        <v>0</v>
      </c>
      <c r="AZ54" s="102">
        <f>'Sandhill Detail'!AY256+'Hillpointe Detail'!AY256</f>
        <v>0</v>
      </c>
      <c r="BA54" s="102">
        <f>'Sandhill Detail'!AZ256+'Hillpointe Detail'!AZ256</f>
        <v>213284.04455086138</v>
      </c>
      <c r="BB54" s="102">
        <f>'Sandhill Detail'!BA256+'Hillpointe Detail'!BA256</f>
        <v>0</v>
      </c>
      <c r="BC54" s="102">
        <f>'Sandhill Detail'!BB256+'Hillpointe Detail'!BB256</f>
        <v>0</v>
      </c>
      <c r="BD54" s="102">
        <f>'Sandhill Detail'!BC256+'Hillpointe Detail'!BC256</f>
        <v>0</v>
      </c>
      <c r="BE54" s="102">
        <f>'Sandhill Detail'!BD256+'Hillpointe Detail'!BD256</f>
        <v>0</v>
      </c>
      <c r="BF54" s="102">
        <f>'Sandhill Detail'!BE256+'Hillpointe Detail'!BE256</f>
        <v>0</v>
      </c>
      <c r="BG54" s="102">
        <f>'Sandhill Detail'!BF256+'Hillpointe Detail'!BF256</f>
        <v>0</v>
      </c>
      <c r="BH54" s="102">
        <f>'Sandhill Detail'!BG256+'Hillpointe Detail'!BG256</f>
        <v>0</v>
      </c>
      <c r="BI54" s="102">
        <f>'Sandhill Detail'!BH256+'Hillpointe Detail'!BH256</f>
        <v>0</v>
      </c>
      <c r="BJ54" s="102">
        <f>'Sandhill Detail'!BI256+'Hillpointe Detail'!BI256</f>
        <v>0</v>
      </c>
      <c r="BK54" s="102">
        <f>'Sandhill Detail'!BJ256+'Hillpointe Detail'!BJ256</f>
        <v>0</v>
      </c>
      <c r="BL54" s="102">
        <f>'Sandhill Detail'!BK256+'Hillpointe Detail'!BK256</f>
        <v>0</v>
      </c>
      <c r="BM54" s="102">
        <f>'Sandhill Detail'!BL256+'Hillpointe Detail'!BL256</f>
        <v>223388.66255214618</v>
      </c>
      <c r="BN54" s="102">
        <f>'Sandhill Detail'!BM256+'Hillpointe Detail'!BM256</f>
        <v>0</v>
      </c>
      <c r="BO54" s="102">
        <f>'Sandhill Detail'!BN256+'Hillpointe Detail'!BN256</f>
        <v>0</v>
      </c>
      <c r="BP54" s="102">
        <f>'Sandhill Detail'!BO256+'Hillpointe Detail'!BO256</f>
        <v>0</v>
      </c>
      <c r="BQ54" s="102">
        <f>'Sandhill Detail'!BP256+'Hillpointe Detail'!BP256</f>
        <v>0</v>
      </c>
      <c r="BR54" s="102">
        <f>'Sandhill Detail'!BQ256+'Hillpointe Detail'!BQ256</f>
        <v>0</v>
      </c>
      <c r="BS54" s="102">
        <f>'Sandhill Detail'!BR256+'Hillpointe Detail'!BR256</f>
        <v>0</v>
      </c>
      <c r="BT54" s="102">
        <f>'Sandhill Detail'!BS256+'Hillpointe Detail'!BS256</f>
        <v>0</v>
      </c>
      <c r="BU54" s="102">
        <f>'Sandhill Detail'!BT256+'Hillpointe Detail'!BT256</f>
        <v>0</v>
      </c>
      <c r="BV54" s="102">
        <f>'Sandhill Detail'!BU256+'Hillpointe Detail'!BU256</f>
        <v>0</v>
      </c>
      <c r="BW54" s="102">
        <f>'Sandhill Detail'!BV256+'Hillpointe Detail'!BV256</f>
        <v>0</v>
      </c>
      <c r="BX54" s="102">
        <f>'Sandhill Detail'!BW256+'Hillpointe Detail'!BW256</f>
        <v>0</v>
      </c>
      <c r="BY54" s="102">
        <f>'Sandhill Detail'!BX256+'Hillpointe Detail'!BX256</f>
        <v>230090.34037603656</v>
      </c>
    </row>
    <row r="55" spans="2:77" x14ac:dyDescent="0.3">
      <c r="B55" s="25" t="s">
        <v>196</v>
      </c>
      <c r="D55" s="18">
        <v>43000</v>
      </c>
      <c r="E55" s="18">
        <v>21000</v>
      </c>
      <c r="F55" s="18">
        <v>19000</v>
      </c>
      <c r="G55" s="18">
        <v>17000</v>
      </c>
      <c r="H55" s="18">
        <v>15000</v>
      </c>
      <c r="I55" s="18">
        <v>15000</v>
      </c>
      <c r="J55" s="18">
        <v>15000</v>
      </c>
      <c r="K55" s="18">
        <v>0</v>
      </c>
      <c r="L55" s="18">
        <v>0</v>
      </c>
      <c r="M55" s="18">
        <v>0</v>
      </c>
      <c r="N55" s="18">
        <v>0</v>
      </c>
      <c r="O55" s="18">
        <v>0</v>
      </c>
      <c r="P55" s="18">
        <v>0</v>
      </c>
      <c r="Q55" s="18">
        <v>0</v>
      </c>
      <c r="R55" s="8">
        <v>0</v>
      </c>
      <c r="S55" s="18">
        <v>0</v>
      </c>
      <c r="T55" s="18">
        <v>0</v>
      </c>
      <c r="U55" s="18">
        <v>0</v>
      </c>
      <c r="V55" s="18">
        <v>0</v>
      </c>
      <c r="W55" s="18">
        <v>0</v>
      </c>
      <c r="X55" s="18">
        <v>0</v>
      </c>
      <c r="Y55" s="18">
        <v>0</v>
      </c>
      <c r="Z55" s="18">
        <v>0</v>
      </c>
      <c r="AA55" s="18">
        <v>0</v>
      </c>
      <c r="AB55" s="18">
        <v>0</v>
      </c>
      <c r="AC55" s="36">
        <v>0</v>
      </c>
      <c r="AD55" s="36">
        <v>0</v>
      </c>
      <c r="AE55" s="36">
        <v>0</v>
      </c>
      <c r="AF55" s="36">
        <v>0</v>
      </c>
      <c r="AG55" s="36">
        <v>0</v>
      </c>
      <c r="AH55" s="36">
        <v>0</v>
      </c>
      <c r="AI55" s="36">
        <v>0</v>
      </c>
      <c r="AJ55" s="36">
        <v>0</v>
      </c>
      <c r="AK55" s="36">
        <v>0</v>
      </c>
      <c r="AL55" s="36">
        <v>0</v>
      </c>
      <c r="AM55" s="36">
        <v>0</v>
      </c>
      <c r="AN55" s="36">
        <v>0</v>
      </c>
      <c r="AO55" s="36">
        <v>0</v>
      </c>
      <c r="AP55" s="36">
        <v>0</v>
      </c>
      <c r="AQ55" s="36">
        <v>0</v>
      </c>
      <c r="AR55" s="36">
        <v>0</v>
      </c>
      <c r="AS55" s="36">
        <v>0</v>
      </c>
      <c r="AT55" s="36">
        <v>0</v>
      </c>
      <c r="AU55" s="36">
        <v>0</v>
      </c>
      <c r="AV55" s="36">
        <v>0</v>
      </c>
      <c r="AW55" s="36">
        <v>0</v>
      </c>
      <c r="AX55" s="36">
        <v>0</v>
      </c>
      <c r="AY55" s="36">
        <v>0</v>
      </c>
      <c r="AZ55" s="36">
        <v>0</v>
      </c>
      <c r="BA55" s="36">
        <v>0</v>
      </c>
      <c r="BB55" s="36">
        <v>0</v>
      </c>
      <c r="BC55" s="36">
        <v>0</v>
      </c>
      <c r="BD55" s="36">
        <v>0</v>
      </c>
      <c r="BE55" s="36">
        <v>0</v>
      </c>
      <c r="BF55" s="36">
        <v>0</v>
      </c>
      <c r="BG55" s="36">
        <v>0</v>
      </c>
      <c r="BH55" s="36">
        <v>0</v>
      </c>
      <c r="BI55" s="36">
        <v>0</v>
      </c>
      <c r="BJ55" s="36">
        <v>0</v>
      </c>
      <c r="BK55" s="36">
        <v>0</v>
      </c>
      <c r="BL55" s="36">
        <v>0</v>
      </c>
      <c r="BM55" s="36">
        <v>0</v>
      </c>
      <c r="BN55" s="36">
        <v>0</v>
      </c>
      <c r="BO55" s="36">
        <v>0</v>
      </c>
      <c r="BP55" s="36">
        <v>0</v>
      </c>
      <c r="BQ55" s="36">
        <v>0</v>
      </c>
      <c r="BR55" s="36">
        <v>0</v>
      </c>
      <c r="BS55" s="36">
        <v>0</v>
      </c>
      <c r="BT55" s="36">
        <v>0</v>
      </c>
      <c r="BU55" s="36">
        <v>0</v>
      </c>
      <c r="BV55" s="36">
        <v>0</v>
      </c>
      <c r="BW55" s="36">
        <v>0</v>
      </c>
      <c r="BX55" s="36">
        <v>0</v>
      </c>
      <c r="BY55" s="36">
        <v>0</v>
      </c>
    </row>
    <row r="56" spans="2:77" x14ac:dyDescent="0.3">
      <c r="B56" s="25" t="s">
        <v>197</v>
      </c>
      <c r="D56" s="18">
        <v>0.09</v>
      </c>
      <c r="E56" s="18">
        <v>0</v>
      </c>
      <c r="F56" s="18">
        <v>0</v>
      </c>
      <c r="G56" s="18">
        <v>0</v>
      </c>
      <c r="H56" s="18">
        <v>0</v>
      </c>
      <c r="I56" s="18">
        <v>0</v>
      </c>
      <c r="J56" s="18">
        <v>0</v>
      </c>
      <c r="K56" s="18">
        <v>0</v>
      </c>
      <c r="L56" s="18">
        <v>0</v>
      </c>
      <c r="M56" s="18">
        <v>0</v>
      </c>
      <c r="N56" s="18">
        <v>0</v>
      </c>
      <c r="O56" s="18">
        <v>0</v>
      </c>
      <c r="P56" s="18">
        <v>0</v>
      </c>
      <c r="Q56" s="18">
        <v>0</v>
      </c>
      <c r="R56" s="8">
        <v>0</v>
      </c>
      <c r="S56" s="18">
        <v>0.03</v>
      </c>
      <c r="T56" s="18">
        <v>0</v>
      </c>
      <c r="U56" s="18">
        <v>0</v>
      </c>
      <c r="V56" s="18">
        <v>0</v>
      </c>
      <c r="W56" s="18">
        <v>0</v>
      </c>
      <c r="X56" s="18">
        <v>0</v>
      </c>
      <c r="Y56" s="18">
        <v>0</v>
      </c>
      <c r="Z56" s="18">
        <v>0</v>
      </c>
      <c r="AA56" s="18">
        <v>0</v>
      </c>
      <c r="AB56" s="18">
        <v>0</v>
      </c>
      <c r="AC56" s="36">
        <v>0</v>
      </c>
      <c r="AD56" s="36">
        <v>0</v>
      </c>
      <c r="AE56" s="36">
        <v>0</v>
      </c>
      <c r="AF56" s="36">
        <v>0</v>
      </c>
      <c r="AG56" s="36">
        <v>0</v>
      </c>
      <c r="AH56" s="36">
        <v>0</v>
      </c>
      <c r="AI56" s="36">
        <v>0</v>
      </c>
      <c r="AJ56" s="36">
        <v>0</v>
      </c>
      <c r="AK56" s="36">
        <v>0</v>
      </c>
      <c r="AL56" s="36">
        <v>0</v>
      </c>
      <c r="AM56" s="36">
        <v>0</v>
      </c>
      <c r="AN56" s="36">
        <v>0</v>
      </c>
      <c r="AO56" s="36">
        <v>0</v>
      </c>
      <c r="AP56" s="36">
        <v>0</v>
      </c>
      <c r="AQ56" s="36">
        <v>0</v>
      </c>
      <c r="AR56" s="36">
        <v>0</v>
      </c>
      <c r="AS56" s="36">
        <v>0</v>
      </c>
      <c r="AT56" s="36">
        <v>0</v>
      </c>
      <c r="AU56" s="36">
        <v>0</v>
      </c>
      <c r="AV56" s="36">
        <v>0</v>
      </c>
      <c r="AW56" s="36">
        <v>0</v>
      </c>
      <c r="AX56" s="36">
        <v>0</v>
      </c>
      <c r="AY56" s="36">
        <v>0</v>
      </c>
      <c r="AZ56" s="36">
        <v>0</v>
      </c>
      <c r="BA56" s="36">
        <v>0</v>
      </c>
      <c r="BB56" s="36">
        <v>0</v>
      </c>
      <c r="BC56" s="36">
        <v>0</v>
      </c>
      <c r="BD56" s="36">
        <v>0</v>
      </c>
      <c r="BE56" s="36">
        <v>0</v>
      </c>
      <c r="BF56" s="36">
        <v>0</v>
      </c>
      <c r="BG56" s="36">
        <v>0</v>
      </c>
      <c r="BH56" s="36">
        <v>0</v>
      </c>
      <c r="BI56" s="36">
        <v>0</v>
      </c>
      <c r="BJ56" s="36">
        <v>0</v>
      </c>
      <c r="BK56" s="36">
        <v>0</v>
      </c>
      <c r="BL56" s="36">
        <v>0</v>
      </c>
      <c r="BM56" s="36">
        <v>0</v>
      </c>
      <c r="BN56" s="36">
        <v>0</v>
      </c>
      <c r="BO56" s="36">
        <v>0</v>
      </c>
      <c r="BP56" s="36">
        <v>0</v>
      </c>
      <c r="BQ56" s="36">
        <v>0</v>
      </c>
      <c r="BR56" s="36">
        <v>0</v>
      </c>
      <c r="BS56" s="36">
        <v>0</v>
      </c>
      <c r="BT56" s="36">
        <v>0</v>
      </c>
      <c r="BU56" s="36">
        <v>0</v>
      </c>
      <c r="BV56" s="36">
        <v>0</v>
      </c>
      <c r="BW56" s="36">
        <v>0</v>
      </c>
      <c r="BX56" s="36">
        <v>0</v>
      </c>
      <c r="BY56" s="36">
        <v>0</v>
      </c>
    </row>
    <row r="57" spans="2:77" x14ac:dyDescent="0.3">
      <c r="B57" s="25" t="s">
        <v>198</v>
      </c>
      <c r="D57" s="18">
        <v>0</v>
      </c>
      <c r="E57" s="18">
        <v>0</v>
      </c>
      <c r="F57" s="18">
        <v>0</v>
      </c>
      <c r="G57" s="18">
        <v>0</v>
      </c>
      <c r="H57" s="18">
        <v>0</v>
      </c>
      <c r="I57" s="18">
        <v>0</v>
      </c>
      <c r="J57" s="18">
        <v>0</v>
      </c>
      <c r="K57" s="18">
        <v>0</v>
      </c>
      <c r="L57" s="18">
        <v>0</v>
      </c>
      <c r="M57" s="18">
        <v>0</v>
      </c>
      <c r="N57" s="18">
        <v>0</v>
      </c>
      <c r="O57" s="18">
        <v>0</v>
      </c>
      <c r="P57" s="18">
        <v>0</v>
      </c>
      <c r="Q57" s="18">
        <v>0</v>
      </c>
      <c r="R57" s="8">
        <v>0</v>
      </c>
      <c r="S57" s="18">
        <v>0</v>
      </c>
      <c r="T57" s="18">
        <v>0</v>
      </c>
      <c r="U57" s="18">
        <v>0</v>
      </c>
      <c r="V57" s="18">
        <v>0</v>
      </c>
      <c r="W57" s="18">
        <v>0</v>
      </c>
      <c r="X57" s="18">
        <v>0</v>
      </c>
      <c r="Y57" s="18">
        <v>0</v>
      </c>
      <c r="Z57" s="18">
        <v>0</v>
      </c>
      <c r="AA57" s="18">
        <v>0</v>
      </c>
      <c r="AB57" s="18">
        <v>0</v>
      </c>
      <c r="AC57" s="36">
        <v>0</v>
      </c>
      <c r="AD57" s="36">
        <v>0</v>
      </c>
      <c r="AE57" s="36">
        <v>0</v>
      </c>
      <c r="AF57" s="36">
        <v>0</v>
      </c>
      <c r="AG57" s="36">
        <v>0</v>
      </c>
      <c r="AH57" s="36">
        <v>0</v>
      </c>
      <c r="AI57" s="36">
        <v>0</v>
      </c>
      <c r="AJ57" s="36">
        <v>0</v>
      </c>
      <c r="AK57" s="36">
        <v>0</v>
      </c>
      <c r="AL57" s="36">
        <v>0</v>
      </c>
      <c r="AM57" s="36">
        <v>0</v>
      </c>
      <c r="AN57" s="36">
        <v>0</v>
      </c>
      <c r="AO57" s="36">
        <v>0</v>
      </c>
      <c r="AP57" s="36">
        <v>0</v>
      </c>
      <c r="AQ57" s="36">
        <v>0</v>
      </c>
      <c r="AR57" s="36">
        <v>0</v>
      </c>
      <c r="AS57" s="36">
        <v>0</v>
      </c>
      <c r="AT57" s="36">
        <v>0</v>
      </c>
      <c r="AU57" s="36">
        <v>0</v>
      </c>
      <c r="AV57" s="36">
        <v>0</v>
      </c>
      <c r="AW57" s="36">
        <v>0</v>
      </c>
      <c r="AX57" s="36">
        <v>0</v>
      </c>
      <c r="AY57" s="36">
        <v>0</v>
      </c>
      <c r="AZ57" s="36">
        <v>0</v>
      </c>
      <c r="BA57" s="36">
        <v>0</v>
      </c>
      <c r="BB57" s="36">
        <v>0</v>
      </c>
      <c r="BC57" s="36">
        <v>0</v>
      </c>
      <c r="BD57" s="36">
        <v>0</v>
      </c>
      <c r="BE57" s="36">
        <v>0</v>
      </c>
      <c r="BF57" s="36">
        <v>0</v>
      </c>
      <c r="BG57" s="36">
        <v>0</v>
      </c>
      <c r="BH57" s="36">
        <v>0</v>
      </c>
      <c r="BI57" s="36">
        <v>0</v>
      </c>
      <c r="BJ57" s="36">
        <v>0</v>
      </c>
      <c r="BK57" s="36">
        <v>0</v>
      </c>
      <c r="BL57" s="36">
        <v>0</v>
      </c>
      <c r="BM57" s="36">
        <v>0</v>
      </c>
      <c r="BN57" s="36">
        <v>0</v>
      </c>
      <c r="BO57" s="36">
        <v>0</v>
      </c>
      <c r="BP57" s="36">
        <v>0</v>
      </c>
      <c r="BQ57" s="36">
        <v>0</v>
      </c>
      <c r="BR57" s="36">
        <v>0</v>
      </c>
      <c r="BS57" s="36">
        <v>0</v>
      </c>
      <c r="BT57" s="36">
        <v>0</v>
      </c>
      <c r="BU57" s="36">
        <v>0</v>
      </c>
      <c r="BV57" s="36">
        <v>0</v>
      </c>
      <c r="BW57" s="36">
        <v>0</v>
      </c>
      <c r="BX57" s="36">
        <v>0</v>
      </c>
      <c r="BY57" s="36">
        <v>0</v>
      </c>
    </row>
    <row r="58" spans="2:77" x14ac:dyDescent="0.3">
      <c r="B58" s="25" t="s">
        <v>199</v>
      </c>
      <c r="D58" s="18">
        <v>0</v>
      </c>
      <c r="E58" s="18">
        <v>0</v>
      </c>
      <c r="F58" s="18">
        <v>0</v>
      </c>
      <c r="G58" s="18">
        <v>0</v>
      </c>
      <c r="H58" s="18">
        <v>0</v>
      </c>
      <c r="I58" s="18">
        <v>0</v>
      </c>
      <c r="J58" s="18">
        <v>0</v>
      </c>
      <c r="K58" s="18">
        <v>0</v>
      </c>
      <c r="L58" s="18">
        <v>0</v>
      </c>
      <c r="M58" s="18">
        <v>0</v>
      </c>
      <c r="N58" s="18">
        <v>0</v>
      </c>
      <c r="O58" s="18">
        <v>0</v>
      </c>
      <c r="P58" s="18">
        <v>0</v>
      </c>
      <c r="Q58" s="18">
        <v>0</v>
      </c>
      <c r="R58" s="8">
        <v>0</v>
      </c>
      <c r="S58" s="18">
        <v>0</v>
      </c>
      <c r="T58" s="18">
        <v>0</v>
      </c>
      <c r="U58" s="18">
        <v>0</v>
      </c>
      <c r="V58" s="18">
        <v>0</v>
      </c>
      <c r="W58" s="18">
        <v>0</v>
      </c>
      <c r="X58" s="18">
        <v>0</v>
      </c>
      <c r="Y58" s="18">
        <v>0</v>
      </c>
      <c r="Z58" s="18">
        <v>0</v>
      </c>
      <c r="AA58" s="18">
        <v>0</v>
      </c>
      <c r="AB58" s="18">
        <v>0</v>
      </c>
      <c r="AC58" s="36">
        <v>0</v>
      </c>
      <c r="AD58" s="36">
        <v>0</v>
      </c>
      <c r="AE58" s="36">
        <v>0</v>
      </c>
      <c r="AF58" s="36">
        <v>0</v>
      </c>
      <c r="AG58" s="36">
        <v>0</v>
      </c>
      <c r="AH58" s="36">
        <v>0</v>
      </c>
      <c r="AI58" s="36">
        <v>0</v>
      </c>
      <c r="AJ58" s="36">
        <v>0</v>
      </c>
      <c r="AK58" s="36">
        <v>0</v>
      </c>
      <c r="AL58" s="36">
        <v>0</v>
      </c>
      <c r="AM58" s="36">
        <v>0</v>
      </c>
      <c r="AN58" s="36">
        <v>0</v>
      </c>
      <c r="AO58" s="36">
        <v>0</v>
      </c>
      <c r="AP58" s="36">
        <v>0</v>
      </c>
      <c r="AQ58" s="36">
        <v>0</v>
      </c>
      <c r="AR58" s="36">
        <v>0</v>
      </c>
      <c r="AS58" s="36">
        <v>0</v>
      </c>
      <c r="AT58" s="36">
        <v>0</v>
      </c>
      <c r="AU58" s="36">
        <v>0</v>
      </c>
      <c r="AV58" s="36">
        <v>0</v>
      </c>
      <c r="AW58" s="36">
        <v>0</v>
      </c>
      <c r="AX58" s="36">
        <v>0</v>
      </c>
      <c r="AY58" s="36">
        <v>0</v>
      </c>
      <c r="AZ58" s="36">
        <v>0</v>
      </c>
      <c r="BA58" s="36">
        <v>0</v>
      </c>
      <c r="BB58" s="36">
        <v>0</v>
      </c>
      <c r="BC58" s="36">
        <v>0</v>
      </c>
      <c r="BD58" s="36">
        <v>0</v>
      </c>
      <c r="BE58" s="36">
        <v>0</v>
      </c>
      <c r="BF58" s="36">
        <v>0</v>
      </c>
      <c r="BG58" s="36">
        <v>0</v>
      </c>
      <c r="BH58" s="36">
        <v>0</v>
      </c>
      <c r="BI58" s="36">
        <v>0</v>
      </c>
      <c r="BJ58" s="36">
        <v>0</v>
      </c>
      <c r="BK58" s="36">
        <v>0</v>
      </c>
      <c r="BL58" s="36">
        <v>0</v>
      </c>
      <c r="BM58" s="36">
        <v>0</v>
      </c>
      <c r="BN58" s="36">
        <v>0</v>
      </c>
      <c r="BO58" s="36">
        <v>0</v>
      </c>
      <c r="BP58" s="36">
        <v>0</v>
      </c>
      <c r="BQ58" s="36">
        <v>0</v>
      </c>
      <c r="BR58" s="36">
        <v>0</v>
      </c>
      <c r="BS58" s="36">
        <v>0</v>
      </c>
      <c r="BT58" s="36">
        <v>0</v>
      </c>
      <c r="BU58" s="36">
        <v>0</v>
      </c>
      <c r="BV58" s="36">
        <v>0</v>
      </c>
      <c r="BW58" s="36">
        <v>0</v>
      </c>
      <c r="BX58" s="36">
        <v>0</v>
      </c>
      <c r="BY58" s="36">
        <v>0</v>
      </c>
    </row>
    <row r="59" spans="2:77" x14ac:dyDescent="0.3">
      <c r="B59" s="25" t="s">
        <v>200</v>
      </c>
      <c r="D59" s="18">
        <v>250500.41</v>
      </c>
      <c r="E59" s="18">
        <v>80802.03</v>
      </c>
      <c r="F59" s="18">
        <v>28708.38</v>
      </c>
      <c r="G59" s="18">
        <v>28286.7</v>
      </c>
      <c r="H59" s="18">
        <v>27175.07</v>
      </c>
      <c r="I59" s="18">
        <v>-11294.74</v>
      </c>
      <c r="J59" s="18">
        <v>-16950.009999999998</v>
      </c>
      <c r="K59" s="18">
        <v>34352.379999999997</v>
      </c>
      <c r="L59" s="18">
        <v>0</v>
      </c>
      <c r="M59" s="18">
        <v>35644.25</v>
      </c>
      <c r="N59" s="18">
        <v>29689.26</v>
      </c>
      <c r="O59" s="18">
        <v>29689.26</v>
      </c>
      <c r="P59" s="18">
        <v>34934.980000000003</v>
      </c>
      <c r="Q59" s="18">
        <v>81117.89</v>
      </c>
      <c r="R59" s="18">
        <v>35438.879999999997</v>
      </c>
      <c r="S59" s="18">
        <v>37146.660000000003</v>
      </c>
      <c r="T59" s="18">
        <v>37255.86</v>
      </c>
      <c r="U59" s="18">
        <v>27978.43</v>
      </c>
      <c r="V59" s="18">
        <v>20254.79</v>
      </c>
      <c r="W59" s="18">
        <v>48242.29</v>
      </c>
      <c r="X59" s="18">
        <v>-480.8</v>
      </c>
      <c r="Y59" s="18">
        <v>34594.58</v>
      </c>
      <c r="Z59" s="18">
        <v>21069.65</v>
      </c>
      <c r="AA59" s="18">
        <v>50960.44</v>
      </c>
      <c r="AB59" s="18">
        <v>50153.760000000002</v>
      </c>
      <c r="AC59" s="36">
        <f t="shared" ref="AC59:AO59" si="407">AB59</f>
        <v>50153.760000000002</v>
      </c>
      <c r="AD59" s="36">
        <f t="shared" si="407"/>
        <v>50153.760000000002</v>
      </c>
      <c r="AE59" s="36">
        <f t="shared" si="407"/>
        <v>50153.760000000002</v>
      </c>
      <c r="AF59" s="36">
        <f t="shared" si="407"/>
        <v>50153.760000000002</v>
      </c>
      <c r="AG59" s="36">
        <f t="shared" si="407"/>
        <v>50153.760000000002</v>
      </c>
      <c r="AH59" s="36">
        <f t="shared" si="407"/>
        <v>50153.760000000002</v>
      </c>
      <c r="AI59" s="36">
        <f t="shared" si="407"/>
        <v>50153.760000000002</v>
      </c>
      <c r="AJ59" s="36">
        <f t="shared" si="407"/>
        <v>50153.760000000002</v>
      </c>
      <c r="AK59" s="36">
        <f t="shared" si="407"/>
        <v>50153.760000000002</v>
      </c>
      <c r="AL59" s="36">
        <f t="shared" si="407"/>
        <v>50153.760000000002</v>
      </c>
      <c r="AM59" s="36">
        <f t="shared" si="407"/>
        <v>50153.760000000002</v>
      </c>
      <c r="AN59" s="36">
        <f t="shared" si="407"/>
        <v>50153.760000000002</v>
      </c>
      <c r="AO59" s="36">
        <f t="shared" si="407"/>
        <v>50153.760000000002</v>
      </c>
      <c r="AP59" s="36">
        <f t="shared" ref="AP59" si="408">AO59</f>
        <v>50153.760000000002</v>
      </c>
      <c r="AQ59" s="36">
        <f t="shared" ref="AQ59" si="409">AP59</f>
        <v>50153.760000000002</v>
      </c>
      <c r="AR59" s="36">
        <f t="shared" ref="AR59" si="410">AQ59</f>
        <v>50153.760000000002</v>
      </c>
      <c r="AS59" s="36">
        <f t="shared" ref="AS59" si="411">AR59</f>
        <v>50153.760000000002</v>
      </c>
      <c r="AT59" s="36">
        <f t="shared" ref="AT59" si="412">AS59</f>
        <v>50153.760000000002</v>
      </c>
      <c r="AU59" s="36">
        <f t="shared" ref="AU59" si="413">AT59</f>
        <v>50153.760000000002</v>
      </c>
      <c r="AV59" s="36">
        <f t="shared" ref="AV59" si="414">AU59</f>
        <v>50153.760000000002</v>
      </c>
      <c r="AW59" s="36">
        <f t="shared" ref="AW59" si="415">AV59</f>
        <v>50153.760000000002</v>
      </c>
      <c r="AX59" s="36">
        <f t="shared" ref="AX59" si="416">AW59</f>
        <v>50153.760000000002</v>
      </c>
      <c r="AY59" s="36">
        <f t="shared" ref="AY59" si="417">AX59</f>
        <v>50153.760000000002</v>
      </c>
      <c r="AZ59" s="36">
        <f t="shared" ref="AZ59" si="418">AY59</f>
        <v>50153.760000000002</v>
      </c>
      <c r="BA59" s="36">
        <f t="shared" ref="BA59" si="419">AZ59</f>
        <v>50153.760000000002</v>
      </c>
      <c r="BB59" s="36">
        <f t="shared" ref="BB59" si="420">BA59</f>
        <v>50153.760000000002</v>
      </c>
      <c r="BC59" s="36">
        <f t="shared" ref="BC59" si="421">BB59</f>
        <v>50153.760000000002</v>
      </c>
      <c r="BD59" s="36">
        <f t="shared" ref="BD59" si="422">BC59</f>
        <v>50153.760000000002</v>
      </c>
      <c r="BE59" s="36">
        <f t="shared" ref="BE59" si="423">BD59</f>
        <v>50153.760000000002</v>
      </c>
      <c r="BF59" s="36">
        <f t="shared" ref="BF59" si="424">BE59</f>
        <v>50153.760000000002</v>
      </c>
      <c r="BG59" s="36">
        <f t="shared" ref="BG59" si="425">BF59</f>
        <v>50153.760000000002</v>
      </c>
      <c r="BH59" s="36">
        <f t="shared" ref="BH59" si="426">BG59</f>
        <v>50153.760000000002</v>
      </c>
      <c r="BI59" s="36">
        <f t="shared" ref="BI59" si="427">BH59</f>
        <v>50153.760000000002</v>
      </c>
      <c r="BJ59" s="36">
        <f t="shared" ref="BJ59" si="428">BI59</f>
        <v>50153.760000000002</v>
      </c>
      <c r="BK59" s="36">
        <f t="shared" ref="BK59" si="429">BJ59</f>
        <v>50153.760000000002</v>
      </c>
      <c r="BL59" s="36">
        <f t="shared" ref="BL59" si="430">BK59</f>
        <v>50153.760000000002</v>
      </c>
      <c r="BM59" s="36">
        <f t="shared" ref="BM59" si="431">BL59</f>
        <v>50153.760000000002</v>
      </c>
      <c r="BN59" s="36">
        <f t="shared" ref="BN59" si="432">BM59</f>
        <v>50153.760000000002</v>
      </c>
      <c r="BO59" s="36">
        <f t="shared" ref="BO59" si="433">BN59</f>
        <v>50153.760000000002</v>
      </c>
      <c r="BP59" s="36">
        <f t="shared" ref="BP59" si="434">BO59</f>
        <v>50153.760000000002</v>
      </c>
      <c r="BQ59" s="36">
        <f t="shared" ref="BQ59" si="435">BP59</f>
        <v>50153.760000000002</v>
      </c>
      <c r="BR59" s="36">
        <f t="shared" ref="BR59" si="436">BQ59</f>
        <v>50153.760000000002</v>
      </c>
      <c r="BS59" s="36">
        <f t="shared" ref="BS59" si="437">BR59</f>
        <v>50153.760000000002</v>
      </c>
      <c r="BT59" s="36">
        <f t="shared" ref="BT59" si="438">BS59</f>
        <v>50153.760000000002</v>
      </c>
      <c r="BU59" s="36">
        <f t="shared" ref="BU59" si="439">BT59</f>
        <v>50153.760000000002</v>
      </c>
      <c r="BV59" s="36">
        <f t="shared" ref="BV59" si="440">BU59</f>
        <v>50153.760000000002</v>
      </c>
      <c r="BW59" s="36">
        <f t="shared" ref="BW59" si="441">BV59</f>
        <v>50153.760000000002</v>
      </c>
      <c r="BX59" s="36">
        <f t="shared" ref="BX59" si="442">BW59</f>
        <v>50153.760000000002</v>
      </c>
      <c r="BY59" s="36">
        <f t="shared" ref="BY59" si="443">BX59</f>
        <v>50153.760000000002</v>
      </c>
    </row>
    <row r="60" spans="2:77" collapsed="1" x14ac:dyDescent="0.3">
      <c r="B60" s="25" t="s">
        <v>202</v>
      </c>
      <c r="D60" s="43">
        <f t="shared" ref="D60:R60" si="444">SUM(D50:D59)</f>
        <v>634788.22000000009</v>
      </c>
      <c r="E60" s="43">
        <f t="shared" si="444"/>
        <v>340987.54000000004</v>
      </c>
      <c r="F60" s="43">
        <f t="shared" si="444"/>
        <v>47708.380000000005</v>
      </c>
      <c r="G60" s="43">
        <f t="shared" si="444"/>
        <v>45286.7</v>
      </c>
      <c r="H60" s="43">
        <f t="shared" si="444"/>
        <v>42175.07</v>
      </c>
      <c r="I60" s="43">
        <f t="shared" si="444"/>
        <v>3705.26</v>
      </c>
      <c r="J60" s="43">
        <f t="shared" si="444"/>
        <v>-1950.0099999999984</v>
      </c>
      <c r="K60" s="43">
        <f t="shared" si="444"/>
        <v>34352.379999999997</v>
      </c>
      <c r="L60" s="43">
        <f t="shared" si="444"/>
        <v>0</v>
      </c>
      <c r="M60" s="43">
        <f t="shared" si="444"/>
        <v>35644.25</v>
      </c>
      <c r="N60" s="43">
        <f t="shared" si="444"/>
        <v>29689.26</v>
      </c>
      <c r="O60" s="43">
        <f t="shared" si="444"/>
        <v>29689.26</v>
      </c>
      <c r="P60" s="43">
        <f t="shared" si="444"/>
        <v>365934.98</v>
      </c>
      <c r="Q60" s="43">
        <f t="shared" si="444"/>
        <v>548533.78</v>
      </c>
      <c r="R60" s="43">
        <f t="shared" si="444"/>
        <v>653312.22000000009</v>
      </c>
      <c r="S60" s="43">
        <f t="shared" ref="S60:AO60" si="445">SUM(S50:S59)</f>
        <v>368146.69000000006</v>
      </c>
      <c r="T60" s="43">
        <f t="shared" ref="T60:U60" si="446">SUM(T50:T59)</f>
        <v>368255.89</v>
      </c>
      <c r="U60" s="43">
        <f t="shared" si="446"/>
        <v>358978.46</v>
      </c>
      <c r="V60" s="43">
        <f t="shared" ref="V60:W60" si="447">SUM(V50:V59)</f>
        <v>351254.82</v>
      </c>
      <c r="W60" s="43">
        <f t="shared" si="447"/>
        <v>379242.32</v>
      </c>
      <c r="X60" s="43">
        <f t="shared" ref="X60" si="448">SUM(X50:X59)</f>
        <v>330519.23000000004</v>
      </c>
      <c r="Y60" s="43">
        <f t="shared" si="445"/>
        <v>365594.61000000004</v>
      </c>
      <c r="Z60" s="43">
        <f t="shared" si="445"/>
        <v>352069.68000000005</v>
      </c>
      <c r="AA60" s="43">
        <f t="shared" si="445"/>
        <v>50960.44</v>
      </c>
      <c r="AB60" s="43">
        <f t="shared" si="445"/>
        <v>50153.760000000002</v>
      </c>
      <c r="AC60" s="43">
        <f t="shared" si="445"/>
        <v>215590.28681716436</v>
      </c>
      <c r="AD60" s="43">
        <f t="shared" si="445"/>
        <v>50153.760000000002</v>
      </c>
      <c r="AE60" s="43">
        <f t="shared" si="445"/>
        <v>50153.760000000002</v>
      </c>
      <c r="AF60" s="43">
        <f t="shared" si="445"/>
        <v>50153.760000000002</v>
      </c>
      <c r="AG60" s="43">
        <f t="shared" si="445"/>
        <v>50153.760000000002</v>
      </c>
      <c r="AH60" s="43">
        <f t="shared" si="445"/>
        <v>50153.760000000002</v>
      </c>
      <c r="AI60" s="43">
        <f t="shared" si="445"/>
        <v>50153.760000000002</v>
      </c>
      <c r="AJ60" s="43">
        <f t="shared" si="445"/>
        <v>50153.760000000002</v>
      </c>
      <c r="AK60" s="43">
        <f t="shared" si="445"/>
        <v>50153.760000000002</v>
      </c>
      <c r="AL60" s="43">
        <f t="shared" si="445"/>
        <v>50153.760000000002</v>
      </c>
      <c r="AM60" s="43">
        <f t="shared" si="445"/>
        <v>50153.760000000002</v>
      </c>
      <c r="AN60" s="43">
        <f t="shared" si="445"/>
        <v>50153.760000000002</v>
      </c>
      <c r="AO60" s="43">
        <f t="shared" si="445"/>
        <v>244326.20800489941</v>
      </c>
      <c r="AP60" s="43">
        <f t="shared" ref="AP60:BM60" si="449">SUM(AP50:AP59)</f>
        <v>50153.760000000002</v>
      </c>
      <c r="AQ60" s="43">
        <f t="shared" si="449"/>
        <v>50153.760000000002</v>
      </c>
      <c r="AR60" s="43">
        <f t="shared" si="449"/>
        <v>50153.760000000002</v>
      </c>
      <c r="AS60" s="43">
        <f t="shared" si="449"/>
        <v>50153.760000000002</v>
      </c>
      <c r="AT60" s="43">
        <f t="shared" si="449"/>
        <v>50153.760000000002</v>
      </c>
      <c r="AU60" s="43">
        <f t="shared" si="449"/>
        <v>50153.760000000002</v>
      </c>
      <c r="AV60" s="43">
        <f t="shared" si="449"/>
        <v>50153.760000000002</v>
      </c>
      <c r="AW60" s="43">
        <f t="shared" si="449"/>
        <v>50153.760000000002</v>
      </c>
      <c r="AX60" s="43">
        <f t="shared" si="449"/>
        <v>50153.760000000002</v>
      </c>
      <c r="AY60" s="43">
        <f t="shared" si="449"/>
        <v>50153.760000000002</v>
      </c>
      <c r="AZ60" s="43">
        <f t="shared" si="449"/>
        <v>50153.760000000002</v>
      </c>
      <c r="BA60" s="43">
        <f t="shared" si="449"/>
        <v>263437.80455086136</v>
      </c>
      <c r="BB60" s="43">
        <f t="shared" si="449"/>
        <v>50153.760000000002</v>
      </c>
      <c r="BC60" s="43">
        <f t="shared" si="449"/>
        <v>50153.760000000002</v>
      </c>
      <c r="BD60" s="43">
        <f t="shared" si="449"/>
        <v>50153.760000000002</v>
      </c>
      <c r="BE60" s="43">
        <f t="shared" si="449"/>
        <v>50153.760000000002</v>
      </c>
      <c r="BF60" s="43">
        <f t="shared" si="449"/>
        <v>50153.760000000002</v>
      </c>
      <c r="BG60" s="43">
        <f t="shared" si="449"/>
        <v>50153.760000000002</v>
      </c>
      <c r="BH60" s="43">
        <f t="shared" si="449"/>
        <v>50153.760000000002</v>
      </c>
      <c r="BI60" s="43">
        <f t="shared" si="449"/>
        <v>50153.760000000002</v>
      </c>
      <c r="BJ60" s="43">
        <f t="shared" si="449"/>
        <v>50153.760000000002</v>
      </c>
      <c r="BK60" s="43">
        <f t="shared" si="449"/>
        <v>50153.760000000002</v>
      </c>
      <c r="BL60" s="43">
        <f t="shared" si="449"/>
        <v>50153.760000000002</v>
      </c>
      <c r="BM60" s="43">
        <f t="shared" si="449"/>
        <v>273542.42255214619</v>
      </c>
      <c r="BN60" s="43">
        <f t="shared" ref="BN60:BY60" si="450">SUM(BN50:BN59)</f>
        <v>50153.760000000002</v>
      </c>
      <c r="BO60" s="43">
        <f t="shared" si="450"/>
        <v>50153.760000000002</v>
      </c>
      <c r="BP60" s="43">
        <f t="shared" si="450"/>
        <v>50153.760000000002</v>
      </c>
      <c r="BQ60" s="43">
        <f t="shared" si="450"/>
        <v>50153.760000000002</v>
      </c>
      <c r="BR60" s="43">
        <f t="shared" si="450"/>
        <v>50153.760000000002</v>
      </c>
      <c r="BS60" s="43">
        <f t="shared" si="450"/>
        <v>50153.760000000002</v>
      </c>
      <c r="BT60" s="43">
        <f t="shared" si="450"/>
        <v>50153.760000000002</v>
      </c>
      <c r="BU60" s="43">
        <f t="shared" si="450"/>
        <v>50153.760000000002</v>
      </c>
      <c r="BV60" s="43">
        <f t="shared" si="450"/>
        <v>50153.760000000002</v>
      </c>
      <c r="BW60" s="43">
        <f t="shared" si="450"/>
        <v>50153.760000000002</v>
      </c>
      <c r="BX60" s="43">
        <f t="shared" si="450"/>
        <v>50153.760000000002</v>
      </c>
      <c r="BY60" s="43">
        <f t="shared" si="450"/>
        <v>280244.10037603654</v>
      </c>
    </row>
    <row r="61" spans="2:77" x14ac:dyDescent="0.3">
      <c r="B61" s="25" t="s">
        <v>203</v>
      </c>
      <c r="D61" s="43">
        <f t="shared" ref="D61:R61" si="451">D49+D60</f>
        <v>634965.22000000009</v>
      </c>
      <c r="E61" s="43">
        <f t="shared" si="451"/>
        <v>375760.08</v>
      </c>
      <c r="F61" s="43">
        <f t="shared" si="451"/>
        <v>66998.180000000008</v>
      </c>
      <c r="G61" s="43">
        <f t="shared" si="451"/>
        <v>51720</v>
      </c>
      <c r="H61" s="43">
        <f t="shared" si="451"/>
        <v>45424.07</v>
      </c>
      <c r="I61" s="43">
        <f t="shared" si="451"/>
        <v>12584.460000000001</v>
      </c>
      <c r="J61" s="43">
        <f t="shared" si="451"/>
        <v>126466.72</v>
      </c>
      <c r="K61" s="43">
        <f t="shared" si="451"/>
        <v>46468.71</v>
      </c>
      <c r="L61" s="43">
        <f t="shared" si="451"/>
        <v>43494.59</v>
      </c>
      <c r="M61" s="43">
        <f t="shared" si="451"/>
        <v>42635.38</v>
      </c>
      <c r="N61" s="43">
        <f t="shared" si="451"/>
        <v>129937.34999999999</v>
      </c>
      <c r="O61" s="43">
        <f t="shared" si="451"/>
        <v>121905.31</v>
      </c>
      <c r="P61" s="43">
        <f t="shared" si="451"/>
        <v>405599.48</v>
      </c>
      <c r="Q61" s="43">
        <f t="shared" si="451"/>
        <v>652807.34000000008</v>
      </c>
      <c r="R61" s="43">
        <f t="shared" si="451"/>
        <v>731003.99000000011</v>
      </c>
      <c r="S61" s="43">
        <f t="shared" ref="S61:AO61" si="452">S49+S60</f>
        <v>442838.46000000008</v>
      </c>
      <c r="T61" s="43">
        <f t="shared" ref="T61:U61" si="453">T49+T60</f>
        <v>442947.66000000003</v>
      </c>
      <c r="U61" s="43">
        <f t="shared" si="453"/>
        <v>439880.83</v>
      </c>
      <c r="V61" s="43">
        <f t="shared" ref="V61:W61" si="454">V49+V60</f>
        <v>498310.91000000003</v>
      </c>
      <c r="W61" s="43">
        <f t="shared" si="454"/>
        <v>501487.52</v>
      </c>
      <c r="X61" s="43">
        <f t="shared" ref="X61" si="455">X49+X60</f>
        <v>471594.61000000004</v>
      </c>
      <c r="Y61" s="43">
        <f t="shared" si="452"/>
        <v>450499.98000000004</v>
      </c>
      <c r="Z61" s="43">
        <f t="shared" si="452"/>
        <v>427730.41000000003</v>
      </c>
      <c r="AA61" s="43">
        <f t="shared" si="452"/>
        <v>134478.82</v>
      </c>
      <c r="AB61" s="43">
        <f t="shared" si="452"/>
        <v>155077.53</v>
      </c>
      <c r="AC61" s="43">
        <f t="shared" si="452"/>
        <v>374699.5246784414</v>
      </c>
      <c r="AD61" s="43">
        <f t="shared" si="452"/>
        <v>74751.657745007687</v>
      </c>
      <c r="AE61" s="43">
        <f t="shared" si="452"/>
        <v>148087.66017094548</v>
      </c>
      <c r="AF61" s="43">
        <f t="shared" si="452"/>
        <v>189169.83894735697</v>
      </c>
      <c r="AG61" s="43">
        <f t="shared" si="452"/>
        <v>151815.99662902966</v>
      </c>
      <c r="AH61" s="43">
        <f t="shared" si="452"/>
        <v>162920.23140807147</v>
      </c>
      <c r="AI61" s="43">
        <f t="shared" si="452"/>
        <v>141542.4827644428</v>
      </c>
      <c r="AJ61" s="43">
        <f t="shared" si="452"/>
        <v>153109.15521593206</v>
      </c>
      <c r="AK61" s="43">
        <f t="shared" si="452"/>
        <v>155349.92443003555</v>
      </c>
      <c r="AL61" s="43">
        <f t="shared" si="452"/>
        <v>153037.99846145938</v>
      </c>
      <c r="AM61" s="43">
        <f t="shared" si="452"/>
        <v>147541.22246046318</v>
      </c>
      <c r="AN61" s="43">
        <f t="shared" si="452"/>
        <v>149965.98881018168</v>
      </c>
      <c r="AO61" s="43">
        <f t="shared" si="452"/>
        <v>407949.64485075069</v>
      </c>
      <c r="AP61" s="43">
        <f t="shared" ref="AP61:BM61" si="456">AP49+AP60</f>
        <v>81646.923756574251</v>
      </c>
      <c r="AQ61" s="43">
        <f t="shared" si="456"/>
        <v>163316.96922699385</v>
      </c>
      <c r="AR61" s="43">
        <f t="shared" si="456"/>
        <v>200220.12392759434</v>
      </c>
      <c r="AS61" s="43">
        <f t="shared" si="456"/>
        <v>168545.07030693104</v>
      </c>
      <c r="AT61" s="43">
        <f t="shared" si="456"/>
        <v>179955.10487903762</v>
      </c>
      <c r="AU61" s="43">
        <f t="shared" si="456"/>
        <v>156295.34697413867</v>
      </c>
      <c r="AV61" s="43">
        <f t="shared" si="456"/>
        <v>168387.09263476651</v>
      </c>
      <c r="AW61" s="43">
        <f t="shared" si="456"/>
        <v>166450.79275469217</v>
      </c>
      <c r="AX61" s="43">
        <f t="shared" si="456"/>
        <v>167038.53948641397</v>
      </c>
      <c r="AY61" s="43">
        <f t="shared" si="456"/>
        <v>160093.37520793403</v>
      </c>
      <c r="AZ61" s="43">
        <f t="shared" si="456"/>
        <v>162010.56158544825</v>
      </c>
      <c r="BA61" s="43">
        <f t="shared" si="456"/>
        <v>445102.91904498404</v>
      </c>
      <c r="BB61" s="43">
        <f t="shared" si="456"/>
        <v>84114.701569214376</v>
      </c>
      <c r="BC61" s="43">
        <f t="shared" si="456"/>
        <v>168796.27419545961</v>
      </c>
      <c r="BD61" s="43">
        <f t="shared" si="456"/>
        <v>205972.9226986861</v>
      </c>
      <c r="BE61" s="43">
        <f t="shared" si="456"/>
        <v>172917.26557034312</v>
      </c>
      <c r="BF61" s="43">
        <f t="shared" si="456"/>
        <v>184697.56910515024</v>
      </c>
      <c r="BG61" s="43">
        <f t="shared" si="456"/>
        <v>160300.1327416212</v>
      </c>
      <c r="BH61" s="43">
        <f t="shared" si="456"/>
        <v>172753.78146676</v>
      </c>
      <c r="BI61" s="43">
        <f t="shared" si="456"/>
        <v>175125.11050820493</v>
      </c>
      <c r="BJ61" s="43">
        <f t="shared" si="456"/>
        <v>171364.42136991385</v>
      </c>
      <c r="BK61" s="43">
        <f t="shared" si="456"/>
        <v>164238.18599975421</v>
      </c>
      <c r="BL61" s="43">
        <f t="shared" si="456"/>
        <v>166185.48605252351</v>
      </c>
      <c r="BM61" s="43">
        <f t="shared" si="456"/>
        <v>462739.18539014267</v>
      </c>
      <c r="BN61" s="43">
        <f t="shared" ref="BN61:BY61" si="457">BN49+BN60</f>
        <v>84756.882172742422</v>
      </c>
      <c r="BO61" s="43">
        <f t="shared" si="457"/>
        <v>171978.64753130192</v>
      </c>
      <c r="BP61" s="43">
        <f t="shared" si="457"/>
        <v>210007.86000588306</v>
      </c>
      <c r="BQ61" s="43">
        <f t="shared" si="457"/>
        <v>176222.93419660957</v>
      </c>
      <c r="BR61" s="43">
        <f t="shared" si="457"/>
        <v>188343.90200317389</v>
      </c>
      <c r="BS61" s="43">
        <f t="shared" si="457"/>
        <v>163226.93703739956</v>
      </c>
      <c r="BT61" s="43">
        <f t="shared" si="457"/>
        <v>176053.99594103446</v>
      </c>
      <c r="BU61" s="43">
        <f t="shared" si="457"/>
        <v>178455.74845936886</v>
      </c>
      <c r="BV61" s="43">
        <f t="shared" si="457"/>
        <v>174622.54688277718</v>
      </c>
      <c r="BW61" s="43">
        <f t="shared" si="457"/>
        <v>167269.72721493072</v>
      </c>
      <c r="BX61" s="43">
        <f t="shared" si="457"/>
        <v>169287.87171270314</v>
      </c>
      <c r="BY61" s="43">
        <f t="shared" si="457"/>
        <v>474725.38867680717</v>
      </c>
    </row>
    <row r="62" spans="2:77" x14ac:dyDescent="0.3">
      <c r="B62" s="25" t="s">
        <v>204</v>
      </c>
      <c r="D62" s="18">
        <v>0</v>
      </c>
      <c r="E62" s="18">
        <v>0</v>
      </c>
      <c r="F62" s="18">
        <v>0</v>
      </c>
      <c r="G62" s="18">
        <v>0</v>
      </c>
      <c r="H62" s="18">
        <v>0</v>
      </c>
      <c r="I62" s="18">
        <v>0</v>
      </c>
      <c r="J62" s="18">
        <v>0</v>
      </c>
      <c r="K62" s="18">
        <v>0</v>
      </c>
      <c r="L62" s="18">
        <v>0</v>
      </c>
      <c r="M62" s="18">
        <v>0</v>
      </c>
      <c r="N62" s="18">
        <v>0</v>
      </c>
      <c r="O62" s="18">
        <v>0</v>
      </c>
      <c r="P62" s="18">
        <v>0</v>
      </c>
      <c r="Q62" s="18">
        <v>0</v>
      </c>
      <c r="R62" s="8">
        <v>0</v>
      </c>
      <c r="S62" s="18">
        <v>0</v>
      </c>
      <c r="T62" s="18">
        <v>0</v>
      </c>
      <c r="U62" s="18">
        <v>0</v>
      </c>
      <c r="V62" s="18">
        <v>0</v>
      </c>
      <c r="W62" s="18">
        <v>0</v>
      </c>
      <c r="X62" s="18">
        <v>0</v>
      </c>
      <c r="Y62" s="18">
        <v>0</v>
      </c>
      <c r="Z62" s="18">
        <v>0</v>
      </c>
      <c r="AA62" s="18">
        <v>0</v>
      </c>
      <c r="AB62" s="18">
        <v>0</v>
      </c>
      <c r="AC62" s="36">
        <v>0</v>
      </c>
      <c r="AD62" s="36">
        <v>0</v>
      </c>
      <c r="AE62" s="36">
        <v>0</v>
      </c>
      <c r="AF62" s="36">
        <v>0</v>
      </c>
      <c r="AG62" s="36">
        <v>0</v>
      </c>
      <c r="AH62" s="36">
        <v>0</v>
      </c>
      <c r="AI62" s="36">
        <v>0</v>
      </c>
      <c r="AJ62" s="36">
        <v>0</v>
      </c>
      <c r="AK62" s="36">
        <v>0</v>
      </c>
      <c r="AL62" s="36">
        <v>0</v>
      </c>
      <c r="AM62" s="36">
        <v>0</v>
      </c>
      <c r="AN62" s="36">
        <v>0</v>
      </c>
      <c r="AO62" s="36">
        <v>0</v>
      </c>
      <c r="AP62" s="36">
        <v>0</v>
      </c>
      <c r="AQ62" s="36">
        <v>0</v>
      </c>
      <c r="AR62" s="36">
        <v>0</v>
      </c>
      <c r="AS62" s="36">
        <v>0</v>
      </c>
      <c r="AT62" s="36">
        <v>0</v>
      </c>
      <c r="AU62" s="36">
        <v>0</v>
      </c>
      <c r="AV62" s="36">
        <v>0</v>
      </c>
      <c r="AW62" s="36">
        <v>0</v>
      </c>
      <c r="AX62" s="36">
        <v>0</v>
      </c>
      <c r="AY62" s="36">
        <v>0</v>
      </c>
      <c r="AZ62" s="36">
        <v>0</v>
      </c>
      <c r="BA62" s="36">
        <v>0</v>
      </c>
      <c r="BB62" s="36">
        <v>0</v>
      </c>
      <c r="BC62" s="36">
        <v>0</v>
      </c>
      <c r="BD62" s="36">
        <v>0</v>
      </c>
      <c r="BE62" s="36">
        <v>0</v>
      </c>
      <c r="BF62" s="36">
        <v>0</v>
      </c>
      <c r="BG62" s="36">
        <v>0</v>
      </c>
      <c r="BH62" s="36">
        <v>0</v>
      </c>
      <c r="BI62" s="36">
        <v>0</v>
      </c>
      <c r="BJ62" s="36">
        <v>0</v>
      </c>
      <c r="BK62" s="36">
        <v>0</v>
      </c>
      <c r="BL62" s="36">
        <v>0</v>
      </c>
      <c r="BM62" s="36">
        <v>0</v>
      </c>
      <c r="BN62" s="36">
        <v>0</v>
      </c>
      <c r="BO62" s="36">
        <v>0</v>
      </c>
      <c r="BP62" s="36">
        <v>0</v>
      </c>
      <c r="BQ62" s="36">
        <v>0</v>
      </c>
      <c r="BR62" s="36">
        <v>0</v>
      </c>
      <c r="BS62" s="36">
        <v>0</v>
      </c>
      <c r="BT62" s="36">
        <v>0</v>
      </c>
      <c r="BU62" s="36">
        <v>0</v>
      </c>
      <c r="BV62" s="36">
        <v>0</v>
      </c>
      <c r="BW62" s="36">
        <v>0</v>
      </c>
      <c r="BX62" s="36">
        <v>0</v>
      </c>
      <c r="BY62" s="36">
        <v>0</v>
      </c>
    </row>
    <row r="63" spans="2:77" x14ac:dyDescent="0.3">
      <c r="B63" s="25" t="s">
        <v>201</v>
      </c>
      <c r="D63" s="18">
        <v>4718.16</v>
      </c>
      <c r="E63" s="18">
        <v>0</v>
      </c>
      <c r="F63" s="18">
        <v>0</v>
      </c>
      <c r="G63" s="18">
        <v>0</v>
      </c>
      <c r="H63" s="18">
        <v>0</v>
      </c>
      <c r="I63" s="18">
        <v>0</v>
      </c>
      <c r="J63" s="18">
        <v>0</v>
      </c>
      <c r="K63" s="18">
        <v>0</v>
      </c>
      <c r="L63" s="18">
        <v>52137.22</v>
      </c>
      <c r="M63" s="18">
        <v>104274.44</v>
      </c>
      <c r="N63" s="18">
        <v>156411.66</v>
      </c>
      <c r="O63" s="18">
        <v>176505</v>
      </c>
      <c r="P63" s="18">
        <v>176505</v>
      </c>
      <c r="Q63" s="18">
        <v>0</v>
      </c>
      <c r="R63" s="18">
        <v>0</v>
      </c>
      <c r="S63" s="18">
        <v>0</v>
      </c>
      <c r="T63" s="18">
        <v>0</v>
      </c>
      <c r="U63" s="18">
        <v>0</v>
      </c>
      <c r="V63" s="18">
        <v>0</v>
      </c>
      <c r="W63" s="18">
        <v>0</v>
      </c>
      <c r="X63" s="18">
        <v>0</v>
      </c>
      <c r="Y63" s="18">
        <v>0</v>
      </c>
      <c r="Z63" s="18">
        <v>0</v>
      </c>
      <c r="AA63" s="18">
        <v>0</v>
      </c>
      <c r="AB63" s="18">
        <v>0</v>
      </c>
      <c r="AC63" s="36">
        <v>0</v>
      </c>
      <c r="AD63" s="36">
        <v>0</v>
      </c>
      <c r="AE63" s="36">
        <v>0</v>
      </c>
      <c r="AF63" s="36">
        <v>0</v>
      </c>
      <c r="AG63" s="36">
        <v>0</v>
      </c>
      <c r="AH63" s="36">
        <v>0</v>
      </c>
      <c r="AI63" s="36">
        <v>0</v>
      </c>
      <c r="AJ63" s="36">
        <v>0</v>
      </c>
      <c r="AK63" s="36">
        <v>0</v>
      </c>
      <c r="AL63" s="36">
        <v>0</v>
      </c>
      <c r="AM63" s="36">
        <v>0</v>
      </c>
      <c r="AN63" s="36">
        <v>0</v>
      </c>
      <c r="AO63" s="36">
        <v>0</v>
      </c>
      <c r="AP63" s="36">
        <v>0</v>
      </c>
      <c r="AQ63" s="36">
        <v>0</v>
      </c>
      <c r="AR63" s="36">
        <v>0</v>
      </c>
      <c r="AS63" s="36">
        <v>0</v>
      </c>
      <c r="AT63" s="36">
        <v>0</v>
      </c>
      <c r="AU63" s="36">
        <v>0</v>
      </c>
      <c r="AV63" s="36">
        <v>0</v>
      </c>
      <c r="AW63" s="36">
        <v>0</v>
      </c>
      <c r="AX63" s="36">
        <v>0</v>
      </c>
      <c r="AY63" s="36">
        <v>0</v>
      </c>
      <c r="AZ63" s="36">
        <v>0</v>
      </c>
      <c r="BA63" s="36">
        <v>0</v>
      </c>
      <c r="BB63" s="36">
        <v>0</v>
      </c>
      <c r="BC63" s="36">
        <v>0</v>
      </c>
      <c r="BD63" s="36">
        <v>0</v>
      </c>
      <c r="BE63" s="36">
        <v>0</v>
      </c>
      <c r="BF63" s="36">
        <v>0</v>
      </c>
      <c r="BG63" s="36">
        <v>0</v>
      </c>
      <c r="BH63" s="36">
        <v>0</v>
      </c>
      <c r="BI63" s="36">
        <v>0</v>
      </c>
      <c r="BJ63" s="36">
        <v>0</v>
      </c>
      <c r="BK63" s="36">
        <v>0</v>
      </c>
      <c r="BL63" s="36">
        <v>0</v>
      </c>
      <c r="BM63" s="36">
        <v>0</v>
      </c>
      <c r="BN63" s="36">
        <v>0</v>
      </c>
      <c r="BO63" s="36">
        <v>0</v>
      </c>
      <c r="BP63" s="36">
        <v>0</v>
      </c>
      <c r="BQ63" s="36">
        <v>0</v>
      </c>
      <c r="BR63" s="36">
        <v>0</v>
      </c>
      <c r="BS63" s="36">
        <v>0</v>
      </c>
      <c r="BT63" s="36">
        <v>0</v>
      </c>
      <c r="BU63" s="36">
        <v>0</v>
      </c>
      <c r="BV63" s="36">
        <v>0</v>
      </c>
      <c r="BW63" s="36">
        <v>0</v>
      </c>
      <c r="BX63" s="36">
        <v>0</v>
      </c>
      <c r="BY63" s="36">
        <v>0</v>
      </c>
    </row>
    <row r="64" spans="2:77" collapsed="1" x14ac:dyDescent="0.3">
      <c r="B64" s="25" t="s">
        <v>205</v>
      </c>
      <c r="D64" s="18">
        <v>233184</v>
      </c>
      <c r="E64" s="18">
        <v>307712</v>
      </c>
      <c r="F64" s="18">
        <v>307712</v>
      </c>
      <c r="G64" s="18">
        <v>307712</v>
      </c>
      <c r="H64" s="18">
        <v>307712</v>
      </c>
      <c r="I64" s="18">
        <v>307712</v>
      </c>
      <c r="J64" s="18">
        <v>307712</v>
      </c>
      <c r="K64" s="18">
        <v>307712</v>
      </c>
      <c r="L64" s="18">
        <v>307712</v>
      </c>
      <c r="M64" s="18">
        <v>307712</v>
      </c>
      <c r="N64" s="18">
        <v>307712</v>
      </c>
      <c r="O64" s="18">
        <v>307712</v>
      </c>
      <c r="P64" s="18">
        <v>307712</v>
      </c>
      <c r="Q64" s="18">
        <v>730410</v>
      </c>
      <c r="R64" s="18">
        <v>730410</v>
      </c>
      <c r="S64" s="18">
        <v>730410</v>
      </c>
      <c r="T64" s="18">
        <v>730410</v>
      </c>
      <c r="U64" s="18">
        <v>730410</v>
      </c>
      <c r="V64" s="18">
        <v>730410</v>
      </c>
      <c r="W64" s="18">
        <v>730410</v>
      </c>
      <c r="X64" s="18">
        <v>730410</v>
      </c>
      <c r="Y64" s="18">
        <v>730410</v>
      </c>
      <c r="Z64" s="18">
        <v>730410</v>
      </c>
      <c r="AA64" s="18">
        <v>730410</v>
      </c>
      <c r="AB64" s="18">
        <v>730410</v>
      </c>
      <c r="AC64" s="36">
        <f t="shared" ref="AC64:AO64" si="458">AB64</f>
        <v>730410</v>
      </c>
      <c r="AD64" s="36">
        <f t="shared" si="458"/>
        <v>730410</v>
      </c>
      <c r="AE64" s="36">
        <f t="shared" si="458"/>
        <v>730410</v>
      </c>
      <c r="AF64" s="36">
        <f t="shared" si="458"/>
        <v>730410</v>
      </c>
      <c r="AG64" s="36">
        <f t="shared" si="458"/>
        <v>730410</v>
      </c>
      <c r="AH64" s="36">
        <f t="shared" si="458"/>
        <v>730410</v>
      </c>
      <c r="AI64" s="36">
        <f t="shared" si="458"/>
        <v>730410</v>
      </c>
      <c r="AJ64" s="36">
        <f t="shared" si="458"/>
        <v>730410</v>
      </c>
      <c r="AK64" s="36">
        <f t="shared" si="458"/>
        <v>730410</v>
      </c>
      <c r="AL64" s="36">
        <f t="shared" si="458"/>
        <v>730410</v>
      </c>
      <c r="AM64" s="36">
        <f t="shared" si="458"/>
        <v>730410</v>
      </c>
      <c r="AN64" s="36">
        <f t="shared" si="458"/>
        <v>730410</v>
      </c>
      <c r="AO64" s="36">
        <f t="shared" si="458"/>
        <v>730410</v>
      </c>
      <c r="AP64" s="36">
        <f t="shared" ref="AP64:AP65" si="459">AO64</f>
        <v>730410</v>
      </c>
      <c r="AQ64" s="36">
        <f t="shared" ref="AQ64:AQ65" si="460">AP64</f>
        <v>730410</v>
      </c>
      <c r="AR64" s="36">
        <f t="shared" ref="AR64:AR65" si="461">AQ64</f>
        <v>730410</v>
      </c>
      <c r="AS64" s="36">
        <f t="shared" ref="AS64:AS65" si="462">AR64</f>
        <v>730410</v>
      </c>
      <c r="AT64" s="36">
        <f t="shared" ref="AT64:AT65" si="463">AS64</f>
        <v>730410</v>
      </c>
      <c r="AU64" s="36">
        <f t="shared" ref="AU64:AU65" si="464">AT64</f>
        <v>730410</v>
      </c>
      <c r="AV64" s="36">
        <f t="shared" ref="AV64:AV65" si="465">AU64</f>
        <v>730410</v>
      </c>
      <c r="AW64" s="36">
        <f t="shared" ref="AW64:AW65" si="466">AV64</f>
        <v>730410</v>
      </c>
      <c r="AX64" s="36">
        <f t="shared" ref="AX64:AX65" si="467">AW64</f>
        <v>730410</v>
      </c>
      <c r="AY64" s="36">
        <f t="shared" ref="AY64:AY65" si="468">AX64</f>
        <v>730410</v>
      </c>
      <c r="AZ64" s="36">
        <f t="shared" ref="AZ64:AZ65" si="469">AY64</f>
        <v>730410</v>
      </c>
      <c r="BA64" s="36">
        <f t="shared" ref="BA64:BA65" si="470">AZ64</f>
        <v>730410</v>
      </c>
      <c r="BB64" s="36">
        <f t="shared" ref="BB64:BB65" si="471">BA64</f>
        <v>730410</v>
      </c>
      <c r="BC64" s="36">
        <f t="shared" ref="BC64:BC65" si="472">BB64</f>
        <v>730410</v>
      </c>
      <c r="BD64" s="36">
        <f t="shared" ref="BD64:BD65" si="473">BC64</f>
        <v>730410</v>
      </c>
      <c r="BE64" s="36">
        <f t="shared" ref="BE64:BE65" si="474">BD64</f>
        <v>730410</v>
      </c>
      <c r="BF64" s="36">
        <f t="shared" ref="BF64:BF65" si="475">BE64</f>
        <v>730410</v>
      </c>
      <c r="BG64" s="36">
        <f t="shared" ref="BG64:BG65" si="476">BF64</f>
        <v>730410</v>
      </c>
      <c r="BH64" s="36">
        <f t="shared" ref="BH64:BH65" si="477">BG64</f>
        <v>730410</v>
      </c>
      <c r="BI64" s="36">
        <f t="shared" ref="BI64:BI65" si="478">BH64</f>
        <v>730410</v>
      </c>
      <c r="BJ64" s="36">
        <f t="shared" ref="BJ64:BJ65" si="479">BI64</f>
        <v>730410</v>
      </c>
      <c r="BK64" s="36">
        <f t="shared" ref="BK64:BK65" si="480">BJ64</f>
        <v>730410</v>
      </c>
      <c r="BL64" s="36">
        <f t="shared" ref="BL64:BL65" si="481">BK64</f>
        <v>730410</v>
      </c>
      <c r="BM64" s="36">
        <f t="shared" ref="BM64:BM65" si="482">BL64</f>
        <v>730410</v>
      </c>
      <c r="BN64" s="36">
        <f t="shared" ref="BN64:BN65" si="483">BM64</f>
        <v>730410</v>
      </c>
      <c r="BO64" s="36">
        <f t="shared" ref="BO64:BO65" si="484">BN64</f>
        <v>730410</v>
      </c>
      <c r="BP64" s="36">
        <f t="shared" ref="BP64:BP65" si="485">BO64</f>
        <v>730410</v>
      </c>
      <c r="BQ64" s="36">
        <f t="shared" ref="BQ64:BQ65" si="486">BP64</f>
        <v>730410</v>
      </c>
      <c r="BR64" s="36">
        <f t="shared" ref="BR64:BR65" si="487">BQ64</f>
        <v>730410</v>
      </c>
      <c r="BS64" s="36">
        <f t="shared" ref="BS64:BS65" si="488">BR64</f>
        <v>730410</v>
      </c>
      <c r="BT64" s="36">
        <f t="shared" ref="BT64:BT65" si="489">BS64</f>
        <v>730410</v>
      </c>
      <c r="BU64" s="36">
        <f t="shared" ref="BU64:BU65" si="490">BT64</f>
        <v>730410</v>
      </c>
      <c r="BV64" s="36">
        <f t="shared" ref="BV64:BV65" si="491">BU64</f>
        <v>730410</v>
      </c>
      <c r="BW64" s="36">
        <f t="shared" ref="BW64:BW65" si="492">BV64</f>
        <v>730410</v>
      </c>
      <c r="BX64" s="36">
        <f t="shared" ref="BX64:BX65" si="493">BW64</f>
        <v>730410</v>
      </c>
      <c r="BY64" s="36">
        <f t="shared" ref="BY64:BY65" si="494">BX64</f>
        <v>730410</v>
      </c>
    </row>
    <row r="65" spans="1:77" x14ac:dyDescent="0.3">
      <c r="B65" s="25" t="s">
        <v>206</v>
      </c>
      <c r="D65" s="18">
        <v>2623690</v>
      </c>
      <c r="E65" s="18">
        <v>2943546</v>
      </c>
      <c r="F65" s="18">
        <v>2943546</v>
      </c>
      <c r="G65" s="18">
        <v>2943546</v>
      </c>
      <c r="H65" s="18">
        <v>2943546</v>
      </c>
      <c r="I65" s="18">
        <v>2943546</v>
      </c>
      <c r="J65" s="18">
        <v>2943546</v>
      </c>
      <c r="K65" s="18">
        <v>2943546</v>
      </c>
      <c r="L65" s="18">
        <v>2943546</v>
      </c>
      <c r="M65" s="18">
        <v>2943546</v>
      </c>
      <c r="N65" s="18">
        <v>2943546</v>
      </c>
      <c r="O65" s="18">
        <v>2943546</v>
      </c>
      <c r="P65" s="18">
        <v>2943546</v>
      </c>
      <c r="Q65" s="18">
        <v>2324990</v>
      </c>
      <c r="R65" s="18">
        <v>2324990</v>
      </c>
      <c r="S65" s="18">
        <v>2324990</v>
      </c>
      <c r="T65" s="18">
        <v>2324990</v>
      </c>
      <c r="U65" s="18">
        <v>2324990</v>
      </c>
      <c r="V65" s="18">
        <v>2324990</v>
      </c>
      <c r="W65" s="18">
        <v>2324990</v>
      </c>
      <c r="X65" s="18">
        <v>2324990</v>
      </c>
      <c r="Y65" s="18">
        <v>2324990</v>
      </c>
      <c r="Z65" s="18">
        <v>2324990</v>
      </c>
      <c r="AA65" s="18">
        <v>2324990</v>
      </c>
      <c r="AB65" s="18">
        <v>2324990</v>
      </c>
      <c r="AC65" s="36">
        <f t="shared" ref="AC65:AO65" si="495">AB65</f>
        <v>2324990</v>
      </c>
      <c r="AD65" s="36">
        <f t="shared" si="495"/>
        <v>2324990</v>
      </c>
      <c r="AE65" s="36">
        <f t="shared" si="495"/>
        <v>2324990</v>
      </c>
      <c r="AF65" s="36">
        <f t="shared" si="495"/>
        <v>2324990</v>
      </c>
      <c r="AG65" s="36">
        <f t="shared" si="495"/>
        <v>2324990</v>
      </c>
      <c r="AH65" s="36">
        <f t="shared" si="495"/>
        <v>2324990</v>
      </c>
      <c r="AI65" s="36">
        <f t="shared" si="495"/>
        <v>2324990</v>
      </c>
      <c r="AJ65" s="36">
        <f t="shared" si="495"/>
        <v>2324990</v>
      </c>
      <c r="AK65" s="36">
        <f t="shared" si="495"/>
        <v>2324990</v>
      </c>
      <c r="AL65" s="36">
        <f t="shared" si="495"/>
        <v>2324990</v>
      </c>
      <c r="AM65" s="36">
        <f t="shared" si="495"/>
        <v>2324990</v>
      </c>
      <c r="AN65" s="36">
        <f t="shared" si="495"/>
        <v>2324990</v>
      </c>
      <c r="AO65" s="36">
        <f t="shared" si="495"/>
        <v>2324990</v>
      </c>
      <c r="AP65" s="36">
        <f t="shared" si="459"/>
        <v>2324990</v>
      </c>
      <c r="AQ65" s="36">
        <f t="shared" si="460"/>
        <v>2324990</v>
      </c>
      <c r="AR65" s="36">
        <f t="shared" si="461"/>
        <v>2324990</v>
      </c>
      <c r="AS65" s="36">
        <f t="shared" si="462"/>
        <v>2324990</v>
      </c>
      <c r="AT65" s="36">
        <f t="shared" si="463"/>
        <v>2324990</v>
      </c>
      <c r="AU65" s="36">
        <f t="shared" si="464"/>
        <v>2324990</v>
      </c>
      <c r="AV65" s="36">
        <f t="shared" si="465"/>
        <v>2324990</v>
      </c>
      <c r="AW65" s="36">
        <f t="shared" si="466"/>
        <v>2324990</v>
      </c>
      <c r="AX65" s="36">
        <f t="shared" si="467"/>
        <v>2324990</v>
      </c>
      <c r="AY65" s="36">
        <f t="shared" si="468"/>
        <v>2324990</v>
      </c>
      <c r="AZ65" s="36">
        <f t="shared" si="469"/>
        <v>2324990</v>
      </c>
      <c r="BA65" s="36">
        <f t="shared" si="470"/>
        <v>2324990</v>
      </c>
      <c r="BB65" s="36">
        <f t="shared" si="471"/>
        <v>2324990</v>
      </c>
      <c r="BC65" s="36">
        <f t="shared" si="472"/>
        <v>2324990</v>
      </c>
      <c r="BD65" s="36">
        <f t="shared" si="473"/>
        <v>2324990</v>
      </c>
      <c r="BE65" s="36">
        <f t="shared" si="474"/>
        <v>2324990</v>
      </c>
      <c r="BF65" s="36">
        <f t="shared" si="475"/>
        <v>2324990</v>
      </c>
      <c r="BG65" s="36">
        <f t="shared" si="476"/>
        <v>2324990</v>
      </c>
      <c r="BH65" s="36">
        <f t="shared" si="477"/>
        <v>2324990</v>
      </c>
      <c r="BI65" s="36">
        <f t="shared" si="478"/>
        <v>2324990</v>
      </c>
      <c r="BJ65" s="36">
        <f t="shared" si="479"/>
        <v>2324990</v>
      </c>
      <c r="BK65" s="36">
        <f t="shared" si="480"/>
        <v>2324990</v>
      </c>
      <c r="BL65" s="36">
        <f t="shared" si="481"/>
        <v>2324990</v>
      </c>
      <c r="BM65" s="36">
        <f t="shared" si="482"/>
        <v>2324990</v>
      </c>
      <c r="BN65" s="36">
        <f t="shared" si="483"/>
        <v>2324990</v>
      </c>
      <c r="BO65" s="36">
        <f t="shared" si="484"/>
        <v>2324990</v>
      </c>
      <c r="BP65" s="36">
        <f t="shared" si="485"/>
        <v>2324990</v>
      </c>
      <c r="BQ65" s="36">
        <f t="shared" si="486"/>
        <v>2324990</v>
      </c>
      <c r="BR65" s="36">
        <f t="shared" si="487"/>
        <v>2324990</v>
      </c>
      <c r="BS65" s="36">
        <f t="shared" si="488"/>
        <v>2324990</v>
      </c>
      <c r="BT65" s="36">
        <f t="shared" si="489"/>
        <v>2324990</v>
      </c>
      <c r="BU65" s="36">
        <f t="shared" si="490"/>
        <v>2324990</v>
      </c>
      <c r="BV65" s="36">
        <f t="shared" si="491"/>
        <v>2324990</v>
      </c>
      <c r="BW65" s="36">
        <f t="shared" si="492"/>
        <v>2324990</v>
      </c>
      <c r="BX65" s="36">
        <f t="shared" si="493"/>
        <v>2324990</v>
      </c>
      <c r="BY65" s="36">
        <f t="shared" si="494"/>
        <v>2324990</v>
      </c>
    </row>
    <row r="66" spans="1:77" x14ac:dyDescent="0.3">
      <c r="B66" s="25" t="s">
        <v>418</v>
      </c>
      <c r="D66" s="18">
        <v>0</v>
      </c>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02">
        <f>IF('Hillpointe Detail'!$B$291="Red Hook",0,AC66+'Cash Flow Detail'!AB22+'Cash Flow Detail'!AB23)</f>
        <v>11320452.870000003</v>
      </c>
      <c r="AE66" s="102">
        <f>IF('Hillpointe Detail'!$B$291="Red Hook",0,AD66+'Cash Flow Detail'!AC22+'Cash Flow Detail'!AC23)</f>
        <v>11320452.870000003</v>
      </c>
      <c r="AF66" s="102">
        <f>IF('Hillpointe Detail'!$B$291="Red Hook",0,AE66+'Cash Flow Detail'!AD22+'Cash Flow Detail'!AD23)</f>
        <v>11320452.870000003</v>
      </c>
      <c r="AG66" s="102">
        <f>IF('Hillpointe Detail'!$B$291="Red Hook",0,AF66+'Cash Flow Detail'!AE22+'Cash Flow Detail'!AE23)</f>
        <v>11320452.870000003</v>
      </c>
      <c r="AH66" s="102">
        <f>IF('Hillpointe Detail'!$B$291="Red Hook",0,AG66+'Cash Flow Detail'!AF22+'Cash Flow Detail'!AF23)</f>
        <v>11320452.870000003</v>
      </c>
      <c r="AI66" s="102">
        <f>IF('Hillpointe Detail'!$B$291="Red Hook",0,AH66+'Cash Flow Detail'!AG22+'Cash Flow Detail'!AG23)</f>
        <v>12124984.759098353</v>
      </c>
      <c r="AJ66" s="102">
        <f>IF('Hillpointe Detail'!$B$291="Red Hook",0,AI66+'Cash Flow Detail'!AH22+'Cash Flow Detail'!AH23)</f>
        <v>12929516.648196703</v>
      </c>
      <c r="AK66" s="102">
        <f>IF('Hillpointe Detail'!$B$291="Red Hook",0,AJ66+'Cash Flow Detail'!AI22+'Cash Flow Detail'!AI23)</f>
        <v>13734048.537295053</v>
      </c>
      <c r="AL66" s="102">
        <f>IF('Hillpointe Detail'!$B$291="Red Hook",0,AK66+'Cash Flow Detail'!AJ22+'Cash Flow Detail'!AJ23)</f>
        <v>14538580.426393403</v>
      </c>
      <c r="AM66" s="102">
        <f>IF('Hillpointe Detail'!$B$291="Red Hook",0,AL66+'Cash Flow Detail'!AK22+'Cash Flow Detail'!AK23)</f>
        <v>15343112.315491753</v>
      </c>
      <c r="AN66" s="102">
        <f>IF('Hillpointe Detail'!$B$291="Red Hook",0,AM66+'Cash Flow Detail'!AL22+'Cash Flow Detail'!AL23)</f>
        <v>16147644.204590103</v>
      </c>
      <c r="AO66" s="102">
        <f>IF('Hillpointe Detail'!$B$291="Red Hook",0,AN66+'Cash Flow Detail'!AM22+'Cash Flow Detail'!AM23)</f>
        <v>16952176.093688454</v>
      </c>
      <c r="AP66" s="102">
        <f>IF('Hillpointe Detail'!$B$291="Red Hook",0,AO66+'Cash Flow Detail'!AN22+'Cash Flow Detail'!AN23)</f>
        <v>17751632.07026634</v>
      </c>
      <c r="AQ66" s="102">
        <f>IF('Hillpointe Detail'!$B$291="Red Hook",0,AP66+'Cash Flow Detail'!AO22+'Cash Flow Detail'!AO23)</f>
        <v>18551088.046844225</v>
      </c>
      <c r="AR66" s="102">
        <f>IF('Hillpointe Detail'!$B$291="Red Hook",0,AQ66+'Cash Flow Detail'!AP22+'Cash Flow Detail'!AP23)</f>
        <v>19350544.023422111</v>
      </c>
      <c r="AS66" s="102">
        <f>IF('Hillpointe Detail'!$B$291="Red Hook",0,AR66+'Cash Flow Detail'!AQ22+'Cash Flow Detail'!AQ23)</f>
        <v>20149999.999999996</v>
      </c>
      <c r="AT66" s="102">
        <f>IF('Hillpointe Detail'!$B$291="Red Hook",0,AS66+'Cash Flow Detail'!AR22+'Cash Flow Detail'!AR23)</f>
        <v>20149999.999999996</v>
      </c>
      <c r="AU66" s="102">
        <f>IF('Hillpointe Detail'!$B$291="Red Hook",0,AT66+'Cash Flow Detail'!AS22+'Cash Flow Detail'!AS23)</f>
        <v>20149999.999999996</v>
      </c>
      <c r="AV66" s="102">
        <f>IF('Hillpointe Detail'!$B$291="Red Hook",0,AU66+'Cash Flow Detail'!AT22+'Cash Flow Detail'!AT23)</f>
        <v>20149999.999999996</v>
      </c>
      <c r="AW66" s="102">
        <f>IF('Hillpointe Detail'!$B$291="Red Hook",0,AV66+'Cash Flow Detail'!AU22+'Cash Flow Detail'!AU23)</f>
        <v>20149999.999999996</v>
      </c>
      <c r="AX66" s="102">
        <f>IF('Hillpointe Detail'!$B$291="Red Hook",0,AW66+'Cash Flow Detail'!AV22+'Cash Flow Detail'!AV23)</f>
        <v>20149999.999999996</v>
      </c>
      <c r="AY66" s="102">
        <f>IF('Hillpointe Detail'!$B$291="Red Hook",0,AX66+'Cash Flow Detail'!AW22+'Cash Flow Detail'!AW23)</f>
        <v>20149999.999999996</v>
      </c>
      <c r="AZ66" s="102">
        <f>IF('Hillpointe Detail'!$B$291="Red Hook",0,AY66+'Cash Flow Detail'!AX22+'Cash Flow Detail'!AX23)</f>
        <v>20149999.999999996</v>
      </c>
      <c r="BA66" s="102">
        <f>IF('Hillpointe Detail'!$B$291="Red Hook",0,AZ66+'Cash Flow Detail'!AY22+'Cash Flow Detail'!AY23)</f>
        <v>20149999.999999996</v>
      </c>
      <c r="BB66" s="102">
        <f>IF('Hillpointe Detail'!$B$291="Red Hook",0,BA66+'Cash Flow Detail'!AZ22+'Cash Flow Detail'!AZ23)</f>
        <v>20138749.999999996</v>
      </c>
      <c r="BC66" s="102">
        <f>IF('Hillpointe Detail'!$B$291="Red Hook",0,BB66+'Cash Flow Detail'!BA22+'Cash Flow Detail'!BA23)</f>
        <v>20127499.999999996</v>
      </c>
      <c r="BD66" s="102">
        <f>IF('Hillpointe Detail'!$B$291="Red Hook",0,BC66+'Cash Flow Detail'!BB22+'Cash Flow Detail'!BB23)</f>
        <v>20116249.999999996</v>
      </c>
      <c r="BE66" s="102">
        <f>IF('Hillpointe Detail'!$B$291="Red Hook",0,BD66+'Cash Flow Detail'!BC22+'Cash Flow Detail'!BC23)</f>
        <v>20104999.999999996</v>
      </c>
      <c r="BF66" s="102">
        <f>IF('Hillpointe Detail'!$B$291="Red Hook",0,BE66+'Cash Flow Detail'!BD22+'Cash Flow Detail'!BD23)</f>
        <v>20093749.999999996</v>
      </c>
      <c r="BG66" s="102">
        <f>IF('Hillpointe Detail'!$B$291="Red Hook",0,BF66+'Cash Flow Detail'!BE22+'Cash Flow Detail'!BE23)</f>
        <v>20082499.999999996</v>
      </c>
      <c r="BH66" s="102">
        <f>IF('Hillpointe Detail'!$B$291="Red Hook",0,BG66+'Cash Flow Detail'!BF22+'Cash Flow Detail'!BF23)</f>
        <v>20071249.999999996</v>
      </c>
      <c r="BI66" s="102">
        <f>IF('Hillpointe Detail'!$B$291="Red Hook",0,BH66+'Cash Flow Detail'!BG22+'Cash Flow Detail'!BG23)</f>
        <v>20059999.999999996</v>
      </c>
      <c r="BJ66" s="102">
        <f>IF('Hillpointe Detail'!$B$291="Red Hook",0,BI66+'Cash Flow Detail'!BH22+'Cash Flow Detail'!BH23)</f>
        <v>20048749.999999996</v>
      </c>
      <c r="BK66" s="102">
        <f>IF('Hillpointe Detail'!$B$291="Red Hook",0,BJ66+'Cash Flow Detail'!BI22+'Cash Flow Detail'!BI23)</f>
        <v>20037499.999999996</v>
      </c>
      <c r="BL66" s="102">
        <f>IF('Hillpointe Detail'!$B$291="Red Hook",0,BK66+'Cash Flow Detail'!BJ22+'Cash Flow Detail'!BJ23)</f>
        <v>20026249.999999996</v>
      </c>
      <c r="BM66" s="102">
        <f>IF('Hillpointe Detail'!$B$291="Red Hook",0,BL66+'Cash Flow Detail'!BK22+'Cash Flow Detail'!BK23)</f>
        <v>20014999.999999996</v>
      </c>
      <c r="BN66" s="102">
        <f>IF('Hillpointe Detail'!$B$291="Red Hook",0,BM66+'Cash Flow Detail'!BL22+'Cash Flow Detail'!BL23)</f>
        <v>20003333.333333328</v>
      </c>
      <c r="BO66" s="102">
        <f>IF('Hillpointe Detail'!$B$291="Red Hook",0,BN66+'Cash Flow Detail'!BM22+'Cash Flow Detail'!BM23)</f>
        <v>19991666.66666666</v>
      </c>
      <c r="BP66" s="102">
        <f>IF('Hillpointe Detail'!$B$291="Red Hook",0,BO66+'Cash Flow Detail'!BN22+'Cash Flow Detail'!BN23)</f>
        <v>19979999.999999993</v>
      </c>
      <c r="BQ66" s="102">
        <f>IF('Hillpointe Detail'!$B$291="Red Hook",0,BP66+'Cash Flow Detail'!BO22+'Cash Flow Detail'!BO23)</f>
        <v>19968333.333333325</v>
      </c>
      <c r="BR66" s="102">
        <f>IF('Hillpointe Detail'!$B$291="Red Hook",0,BQ66+'Cash Flow Detail'!BP22+'Cash Flow Detail'!BP23)</f>
        <v>19956666.666666657</v>
      </c>
      <c r="BS66" s="102">
        <f>IF('Hillpointe Detail'!$B$291="Red Hook",0,BR66+'Cash Flow Detail'!BQ22+'Cash Flow Detail'!BQ23)</f>
        <v>19944999.999999989</v>
      </c>
      <c r="BT66" s="102">
        <f>IF('Hillpointe Detail'!$B$291="Red Hook",0,BS66+'Cash Flow Detail'!BR22+'Cash Flow Detail'!BR23)</f>
        <v>19933333.333333321</v>
      </c>
      <c r="BU66" s="102">
        <f>IF('Hillpointe Detail'!$B$291="Red Hook",0,BT66+'Cash Flow Detail'!BS22+'Cash Flow Detail'!BS23)</f>
        <v>19921666.666666653</v>
      </c>
      <c r="BV66" s="102">
        <f>IF('Hillpointe Detail'!$B$291="Red Hook",0,BU66+'Cash Flow Detail'!BT22+'Cash Flow Detail'!BT23)</f>
        <v>19909999.999999985</v>
      </c>
      <c r="BW66" s="102">
        <f>IF('Hillpointe Detail'!$B$291="Red Hook",0,BV66+'Cash Flow Detail'!BU22+'Cash Flow Detail'!BU23)</f>
        <v>19898333.333333317</v>
      </c>
      <c r="BX66" s="102">
        <f>IF('Hillpointe Detail'!$B$291="Red Hook",0,BW66+'Cash Flow Detail'!BV22+'Cash Flow Detail'!BV23)</f>
        <v>19886666.666666649</v>
      </c>
      <c r="BY66" s="102">
        <f>IF('Hillpointe Detail'!$B$291="Red Hook",0,BX66+'Cash Flow Detail'!BW22+'Cash Flow Detail'!BW23)</f>
        <v>19874999.999999981</v>
      </c>
    </row>
    <row r="67" spans="1:77" x14ac:dyDescent="0.3">
      <c r="B67" s="25" t="s">
        <v>340</v>
      </c>
      <c r="D67" s="18">
        <v>0</v>
      </c>
      <c r="E67" s="18">
        <v>0</v>
      </c>
      <c r="F67" s="18">
        <v>0</v>
      </c>
      <c r="G67" s="18">
        <v>0</v>
      </c>
      <c r="H67" s="18">
        <v>0</v>
      </c>
      <c r="I67" s="18">
        <v>0</v>
      </c>
      <c r="J67" s="18">
        <v>0</v>
      </c>
      <c r="K67" s="18">
        <v>0</v>
      </c>
      <c r="L67" s="18">
        <v>0</v>
      </c>
      <c r="M67" s="18">
        <v>0</v>
      </c>
      <c r="N67" s="18">
        <v>0</v>
      </c>
      <c r="O67" s="18">
        <v>0</v>
      </c>
      <c r="P67" s="18">
        <v>0</v>
      </c>
      <c r="Q67" s="18">
        <v>6280240</v>
      </c>
      <c r="R67" s="18">
        <v>6298229.1900000004</v>
      </c>
      <c r="S67" s="18">
        <v>6316372.8499999996</v>
      </c>
      <c r="T67" s="18">
        <v>6334672.29</v>
      </c>
      <c r="U67" s="18">
        <v>6353128.8600000003</v>
      </c>
      <c r="V67" s="18">
        <v>6371743.9000000004</v>
      </c>
      <c r="W67" s="18">
        <v>6390518.7800000003</v>
      </c>
      <c r="X67" s="18">
        <v>6404264.8600000003</v>
      </c>
      <c r="Y67" s="18">
        <v>6418128.9699999997</v>
      </c>
      <c r="Z67" s="18">
        <v>6384641.7199999997</v>
      </c>
      <c r="AA67" s="18">
        <v>6439869.9400000004</v>
      </c>
      <c r="AB67" s="18">
        <v>6445833.5099999998</v>
      </c>
      <c r="AC67" s="102">
        <f>AB67+'Cash Flow Detail'!AA21</f>
        <v>6460179.96</v>
      </c>
      <c r="AD67" s="102">
        <f>IF('Hillpointe Detail'!$B$291="Red Hook",AC67+'Cash Flow Detail'!AB21,0)</f>
        <v>0</v>
      </c>
      <c r="AE67" s="102">
        <f>IF('Hillpointe Detail'!$B$291="Red Hook",AD67+'Cash Flow Detail'!AC21,0)</f>
        <v>0</v>
      </c>
      <c r="AF67" s="102">
        <f>IF('Hillpointe Detail'!$B$291="Red Hook",AE67+'Cash Flow Detail'!AD21,0)</f>
        <v>0</v>
      </c>
      <c r="AG67" s="102">
        <f>IF('Hillpointe Detail'!$B$291="Red Hook",AF67+'Cash Flow Detail'!AE21,0)</f>
        <v>0</v>
      </c>
      <c r="AH67" s="102">
        <f>IF('Hillpointe Detail'!$B$291="Red Hook",AG67+'Cash Flow Detail'!AF21,0)</f>
        <v>0</v>
      </c>
      <c r="AI67" s="102">
        <f>IF('Hillpointe Detail'!$B$291="Red Hook",AH67+'Cash Flow Detail'!AG21,0)</f>
        <v>0</v>
      </c>
      <c r="AJ67" s="102">
        <f>IF('Hillpointe Detail'!$B$291="Red Hook",AI67+'Cash Flow Detail'!AH21,0)</f>
        <v>0</v>
      </c>
      <c r="AK67" s="102">
        <f>IF('Hillpointe Detail'!$B$291="Red Hook",AJ67+'Cash Flow Detail'!AI21,0)</f>
        <v>0</v>
      </c>
      <c r="AL67" s="102">
        <f>IF('Hillpointe Detail'!$B$291="Red Hook",AK67+'Cash Flow Detail'!AJ21,0)</f>
        <v>0</v>
      </c>
      <c r="AM67" s="102">
        <f>IF('Hillpointe Detail'!$B$291="Red Hook",AL67+'Cash Flow Detail'!AK21,0)</f>
        <v>0</v>
      </c>
      <c r="AN67" s="102">
        <f>IF('Hillpointe Detail'!$B$291="Red Hook",AM67+'Cash Flow Detail'!AL21,0)</f>
        <v>0</v>
      </c>
      <c r="AO67" s="102">
        <f>IF('Hillpointe Detail'!$B$291="Red Hook",AN67+'Cash Flow Detail'!AM21,0)</f>
        <v>0</v>
      </c>
      <c r="AP67" s="102">
        <f>IF('Hillpointe Detail'!$B$291="Red Hook",AO67+'Cash Flow Detail'!AN21,0)</f>
        <v>0</v>
      </c>
      <c r="AQ67" s="102">
        <f>IF('Hillpointe Detail'!$B$291="Red Hook",AP67+'Cash Flow Detail'!AO21,0)</f>
        <v>0</v>
      </c>
      <c r="AR67" s="102">
        <f>IF('Hillpointe Detail'!$B$291="Red Hook",AQ67+'Cash Flow Detail'!AP21,0)</f>
        <v>0</v>
      </c>
      <c r="AS67" s="102">
        <f>IF('Hillpointe Detail'!$B$291="Red Hook",AR67+'Cash Flow Detail'!AQ21,0)</f>
        <v>0</v>
      </c>
      <c r="AT67" s="102">
        <f>IF('Hillpointe Detail'!$B$291="Red Hook",AS67+'Cash Flow Detail'!AR21,0)</f>
        <v>0</v>
      </c>
      <c r="AU67" s="102">
        <f>IF('Hillpointe Detail'!$B$291="Red Hook",AT67+'Cash Flow Detail'!AS21,0)</f>
        <v>0</v>
      </c>
      <c r="AV67" s="102">
        <f>IF('Hillpointe Detail'!$B$291="Red Hook",AU67+'Cash Flow Detail'!AT21,0)</f>
        <v>0</v>
      </c>
      <c r="AW67" s="102">
        <f>IF('Hillpointe Detail'!$B$291="Red Hook",AV67+'Cash Flow Detail'!AU21,0)</f>
        <v>0</v>
      </c>
      <c r="AX67" s="102">
        <f>IF('Hillpointe Detail'!$B$291="Red Hook",AW67+'Cash Flow Detail'!AV21,0)</f>
        <v>0</v>
      </c>
      <c r="AY67" s="102">
        <f>IF('Hillpointe Detail'!$B$291="Red Hook",AX67+'Cash Flow Detail'!AW21,0)</f>
        <v>0</v>
      </c>
      <c r="AZ67" s="102">
        <f>IF('Hillpointe Detail'!$B$291="Red Hook",AY67+'Cash Flow Detail'!AX21,0)</f>
        <v>0</v>
      </c>
      <c r="BA67" s="102">
        <f>IF('Hillpointe Detail'!$B$291="Red Hook",AZ67+'Cash Flow Detail'!AY21,0)</f>
        <v>0</v>
      </c>
      <c r="BB67" s="102">
        <f>IF('Hillpointe Detail'!$B$291="Red Hook",BA67+'Cash Flow Detail'!AZ21,0)</f>
        <v>0</v>
      </c>
      <c r="BC67" s="102">
        <f>IF('Hillpointe Detail'!$B$291="Red Hook",BB67+'Cash Flow Detail'!BA21,0)</f>
        <v>0</v>
      </c>
      <c r="BD67" s="102">
        <f>IF('Hillpointe Detail'!$B$291="Red Hook",BC67+'Cash Flow Detail'!BB21,0)</f>
        <v>0</v>
      </c>
      <c r="BE67" s="102">
        <f>IF('Hillpointe Detail'!$B$291="Red Hook",BD67+'Cash Flow Detail'!BC21,0)</f>
        <v>0</v>
      </c>
      <c r="BF67" s="102">
        <f>IF('Hillpointe Detail'!$B$291="Red Hook",BE67+'Cash Flow Detail'!BD21,0)</f>
        <v>0</v>
      </c>
      <c r="BG67" s="102">
        <f>IF('Hillpointe Detail'!$B$291="Red Hook",BF67+'Cash Flow Detail'!BE21,0)</f>
        <v>0</v>
      </c>
      <c r="BH67" s="102">
        <f>IF('Hillpointe Detail'!$B$291="Red Hook",BG67+'Cash Flow Detail'!BF21,0)</f>
        <v>0</v>
      </c>
      <c r="BI67" s="102">
        <f>IF('Hillpointe Detail'!$B$291="Red Hook",BH67+'Cash Flow Detail'!BG21,0)</f>
        <v>0</v>
      </c>
      <c r="BJ67" s="102">
        <f>IF('Hillpointe Detail'!$B$291="Red Hook",BI67+'Cash Flow Detail'!BH21,0)</f>
        <v>0</v>
      </c>
      <c r="BK67" s="102">
        <f>IF('Hillpointe Detail'!$B$291="Red Hook",BJ67+'Cash Flow Detail'!BI21,0)</f>
        <v>0</v>
      </c>
      <c r="BL67" s="102">
        <f>IF('Hillpointe Detail'!$B$291="Red Hook",BK67+'Cash Flow Detail'!BJ21,0)</f>
        <v>0</v>
      </c>
      <c r="BM67" s="102">
        <f>IF('Hillpointe Detail'!$B$291="Red Hook",BL67+'Cash Flow Detail'!BK21,0)</f>
        <v>0</v>
      </c>
      <c r="BN67" s="102">
        <f>IF('Hillpointe Detail'!$B$291="Red Hook",BM67+'Cash Flow Detail'!BL21,0)</f>
        <v>0</v>
      </c>
      <c r="BO67" s="102">
        <f>IF('Hillpointe Detail'!$B$291="Red Hook",BN67+'Cash Flow Detail'!BM21,0)</f>
        <v>0</v>
      </c>
      <c r="BP67" s="102">
        <f>IF('Hillpointe Detail'!$B$291="Red Hook",BO67+'Cash Flow Detail'!BN21,0)</f>
        <v>0</v>
      </c>
      <c r="BQ67" s="102">
        <f>IF('Hillpointe Detail'!$B$291="Red Hook",BP67+'Cash Flow Detail'!BO21,0)</f>
        <v>0</v>
      </c>
      <c r="BR67" s="102">
        <f>IF('Hillpointe Detail'!$B$291="Red Hook",BQ67+'Cash Flow Detail'!BP21,0)</f>
        <v>0</v>
      </c>
      <c r="BS67" s="102">
        <f>IF('Hillpointe Detail'!$B$291="Red Hook",BR67+'Cash Flow Detail'!BQ21,0)</f>
        <v>0</v>
      </c>
      <c r="BT67" s="102">
        <f>IF('Hillpointe Detail'!$B$291="Red Hook",BS67+'Cash Flow Detail'!BR21,0)</f>
        <v>0</v>
      </c>
      <c r="BU67" s="102">
        <f>IF('Hillpointe Detail'!$B$291="Red Hook",BT67+'Cash Flow Detail'!BS21,0)</f>
        <v>0</v>
      </c>
      <c r="BV67" s="102">
        <f>IF('Hillpointe Detail'!$B$291="Red Hook",BU67+'Cash Flow Detail'!BT21,0)</f>
        <v>0</v>
      </c>
      <c r="BW67" s="102">
        <f>IF('Hillpointe Detail'!$B$291="Red Hook",BV67+'Cash Flow Detail'!BU21,0)</f>
        <v>0</v>
      </c>
      <c r="BX67" s="102">
        <f>IF('Hillpointe Detail'!$B$291="Red Hook",BW67+'Cash Flow Detail'!BV21,0)</f>
        <v>0</v>
      </c>
      <c r="BY67" s="102">
        <f>IF('Hillpointe Detail'!$B$291="Red Hook",BX67+'Cash Flow Detail'!BW21,0)</f>
        <v>0</v>
      </c>
    </row>
    <row r="68" spans="1:77" x14ac:dyDescent="0.3">
      <c r="B68" s="25" t="s">
        <v>207</v>
      </c>
      <c r="D68" s="112">
        <f>SUM(D62:D67)</f>
        <v>2861592.16</v>
      </c>
      <c r="E68" s="112">
        <f t="shared" ref="E68:AO68" si="496">SUM(E62:E67)</f>
        <v>3251258</v>
      </c>
      <c r="F68" s="112">
        <f t="shared" si="496"/>
        <v>3251258</v>
      </c>
      <c r="G68" s="112">
        <f t="shared" si="496"/>
        <v>3251258</v>
      </c>
      <c r="H68" s="112">
        <f t="shared" si="496"/>
        <v>3251258</v>
      </c>
      <c r="I68" s="112">
        <f t="shared" si="496"/>
        <v>3251258</v>
      </c>
      <c r="J68" s="112">
        <f t="shared" si="496"/>
        <v>3251258</v>
      </c>
      <c r="K68" s="112">
        <f t="shared" si="496"/>
        <v>3251258</v>
      </c>
      <c r="L68" s="112">
        <f t="shared" si="496"/>
        <v>3303395.2199999997</v>
      </c>
      <c r="M68" s="112">
        <f t="shared" si="496"/>
        <v>3355532.44</v>
      </c>
      <c r="N68" s="112">
        <f t="shared" si="496"/>
        <v>3407669.66</v>
      </c>
      <c r="O68" s="112">
        <f t="shared" si="496"/>
        <v>3427763</v>
      </c>
      <c r="P68" s="112">
        <f t="shared" si="496"/>
        <v>3427763</v>
      </c>
      <c r="Q68" s="112">
        <f t="shared" si="496"/>
        <v>9335640</v>
      </c>
      <c r="R68" s="112">
        <f t="shared" si="496"/>
        <v>9353629.1900000013</v>
      </c>
      <c r="S68" s="112">
        <f t="shared" si="496"/>
        <v>9371772.8499999996</v>
      </c>
      <c r="T68" s="112">
        <f t="shared" si="496"/>
        <v>9390072.2899999991</v>
      </c>
      <c r="U68" s="112">
        <f t="shared" si="496"/>
        <v>9408528.8599999994</v>
      </c>
      <c r="V68" s="112">
        <f t="shared" si="496"/>
        <v>9427143.9000000004</v>
      </c>
      <c r="W68" s="112">
        <f t="shared" si="496"/>
        <v>9445918.7800000012</v>
      </c>
      <c r="X68" s="112">
        <f t="shared" si="496"/>
        <v>9459664.8599999994</v>
      </c>
      <c r="Y68" s="112">
        <f t="shared" si="496"/>
        <v>9473528.9699999988</v>
      </c>
      <c r="Z68" s="112">
        <f t="shared" si="496"/>
        <v>9440041.7199999988</v>
      </c>
      <c r="AA68" s="112">
        <f t="shared" si="496"/>
        <v>9495269.9400000013</v>
      </c>
      <c r="AB68" s="112">
        <f t="shared" si="496"/>
        <v>9501233.5099999998</v>
      </c>
      <c r="AC68" s="112">
        <f t="shared" si="496"/>
        <v>9515579.9600000009</v>
      </c>
      <c r="AD68" s="112">
        <f t="shared" si="496"/>
        <v>14375852.870000003</v>
      </c>
      <c r="AE68" s="112">
        <f t="shared" si="496"/>
        <v>14375852.870000003</v>
      </c>
      <c r="AF68" s="112">
        <f t="shared" si="496"/>
        <v>14375852.870000003</v>
      </c>
      <c r="AG68" s="112">
        <f t="shared" si="496"/>
        <v>14375852.870000003</v>
      </c>
      <c r="AH68" s="112">
        <f t="shared" si="496"/>
        <v>14375852.870000003</v>
      </c>
      <c r="AI68" s="112">
        <f t="shared" si="496"/>
        <v>15180384.759098353</v>
      </c>
      <c r="AJ68" s="112">
        <f t="shared" si="496"/>
        <v>15984916.648196703</v>
      </c>
      <c r="AK68" s="112">
        <f t="shared" si="496"/>
        <v>16789448.537295051</v>
      </c>
      <c r="AL68" s="112">
        <f t="shared" si="496"/>
        <v>17593980.426393405</v>
      </c>
      <c r="AM68" s="112">
        <f t="shared" si="496"/>
        <v>18398512.315491751</v>
      </c>
      <c r="AN68" s="112">
        <f t="shared" si="496"/>
        <v>19203044.204590105</v>
      </c>
      <c r="AO68" s="112">
        <f t="shared" si="496"/>
        <v>20007576.093688454</v>
      </c>
      <c r="AP68" s="112">
        <f t="shared" ref="AP68:BM68" si="497">SUM(AP62:AP67)</f>
        <v>20807032.07026634</v>
      </c>
      <c r="AQ68" s="112">
        <f t="shared" si="497"/>
        <v>21606488.046844225</v>
      </c>
      <c r="AR68" s="112">
        <f t="shared" si="497"/>
        <v>22405944.023422111</v>
      </c>
      <c r="AS68" s="112">
        <f t="shared" si="497"/>
        <v>23205399.999999996</v>
      </c>
      <c r="AT68" s="112">
        <f t="shared" si="497"/>
        <v>23205399.999999996</v>
      </c>
      <c r="AU68" s="112">
        <f t="shared" si="497"/>
        <v>23205399.999999996</v>
      </c>
      <c r="AV68" s="112">
        <f t="shared" si="497"/>
        <v>23205399.999999996</v>
      </c>
      <c r="AW68" s="112">
        <f t="shared" si="497"/>
        <v>23205399.999999996</v>
      </c>
      <c r="AX68" s="112">
        <f t="shared" si="497"/>
        <v>23205399.999999996</v>
      </c>
      <c r="AY68" s="112">
        <f t="shared" si="497"/>
        <v>23205399.999999996</v>
      </c>
      <c r="AZ68" s="112">
        <f t="shared" si="497"/>
        <v>23205399.999999996</v>
      </c>
      <c r="BA68" s="112">
        <f t="shared" si="497"/>
        <v>23205399.999999996</v>
      </c>
      <c r="BB68" s="112">
        <f t="shared" si="497"/>
        <v>23194149.999999996</v>
      </c>
      <c r="BC68" s="112">
        <f t="shared" si="497"/>
        <v>23182899.999999996</v>
      </c>
      <c r="BD68" s="112">
        <f t="shared" si="497"/>
        <v>23171649.999999996</v>
      </c>
      <c r="BE68" s="112">
        <f t="shared" si="497"/>
        <v>23160399.999999996</v>
      </c>
      <c r="BF68" s="112">
        <f t="shared" si="497"/>
        <v>23149149.999999996</v>
      </c>
      <c r="BG68" s="112">
        <f t="shared" si="497"/>
        <v>23137899.999999996</v>
      </c>
      <c r="BH68" s="112">
        <f t="shared" si="497"/>
        <v>23126649.999999996</v>
      </c>
      <c r="BI68" s="112">
        <f t="shared" si="497"/>
        <v>23115399.999999996</v>
      </c>
      <c r="BJ68" s="112">
        <f t="shared" si="497"/>
        <v>23104149.999999996</v>
      </c>
      <c r="BK68" s="112">
        <f t="shared" si="497"/>
        <v>23092899.999999996</v>
      </c>
      <c r="BL68" s="112">
        <f t="shared" si="497"/>
        <v>23081649.999999996</v>
      </c>
      <c r="BM68" s="112">
        <f t="shared" si="497"/>
        <v>23070399.999999996</v>
      </c>
      <c r="BN68" s="112">
        <f t="shared" ref="BN68:BY68" si="498">SUM(BN62:BN67)</f>
        <v>23058733.333333328</v>
      </c>
      <c r="BO68" s="112">
        <f t="shared" si="498"/>
        <v>23047066.66666666</v>
      </c>
      <c r="BP68" s="112">
        <f t="shared" si="498"/>
        <v>23035399.999999993</v>
      </c>
      <c r="BQ68" s="112">
        <f t="shared" si="498"/>
        <v>23023733.333333325</v>
      </c>
      <c r="BR68" s="112">
        <f t="shared" si="498"/>
        <v>23012066.666666657</v>
      </c>
      <c r="BS68" s="112">
        <f t="shared" si="498"/>
        <v>23000399.999999989</v>
      </c>
      <c r="BT68" s="112">
        <f t="shared" si="498"/>
        <v>22988733.333333321</v>
      </c>
      <c r="BU68" s="112">
        <f t="shared" si="498"/>
        <v>22977066.666666653</v>
      </c>
      <c r="BV68" s="112">
        <f t="shared" si="498"/>
        <v>22965399.999999985</v>
      </c>
      <c r="BW68" s="112">
        <f t="shared" si="498"/>
        <v>22953733.333333317</v>
      </c>
      <c r="BX68" s="112">
        <f t="shared" si="498"/>
        <v>22942066.666666649</v>
      </c>
      <c r="BY68" s="112">
        <f t="shared" si="498"/>
        <v>22930399.999999981</v>
      </c>
    </row>
    <row r="69" spans="1:77" ht="18" customHeight="1" collapsed="1" x14ac:dyDescent="0.3">
      <c r="B69" s="64" t="s">
        <v>247</v>
      </c>
      <c r="D69" s="43">
        <f t="shared" ref="D69:M69" si="499">D61+D68</f>
        <v>3496557.3800000004</v>
      </c>
      <c r="E69" s="43">
        <f t="shared" si="499"/>
        <v>3627018.08</v>
      </c>
      <c r="F69" s="43">
        <f t="shared" si="499"/>
        <v>3318256.18</v>
      </c>
      <c r="G69" s="43">
        <f t="shared" si="499"/>
        <v>3302978</v>
      </c>
      <c r="H69" s="43">
        <f t="shared" si="499"/>
        <v>3296682.07</v>
      </c>
      <c r="I69" s="43">
        <f t="shared" si="499"/>
        <v>3263842.46</v>
      </c>
      <c r="J69" s="43">
        <f t="shared" si="499"/>
        <v>3377724.72</v>
      </c>
      <c r="K69" s="43">
        <f t="shared" si="499"/>
        <v>3297726.71</v>
      </c>
      <c r="L69" s="43">
        <f t="shared" si="499"/>
        <v>3346889.8099999996</v>
      </c>
      <c r="M69" s="43">
        <f t="shared" si="499"/>
        <v>3398167.82</v>
      </c>
      <c r="N69" s="43">
        <f t="shared" ref="N69:AO69" si="500">N61+N68</f>
        <v>3537607.0100000002</v>
      </c>
      <c r="O69" s="43">
        <f t="shared" si="500"/>
        <v>3549668.31</v>
      </c>
      <c r="P69" s="43">
        <f t="shared" si="500"/>
        <v>3833362.48</v>
      </c>
      <c r="Q69" s="43">
        <f t="shared" si="500"/>
        <v>9988447.3399999999</v>
      </c>
      <c r="R69" s="43">
        <f t="shared" si="500"/>
        <v>10084633.180000002</v>
      </c>
      <c r="S69" s="43">
        <f t="shared" si="500"/>
        <v>9814611.3100000005</v>
      </c>
      <c r="T69" s="43">
        <f t="shared" ref="T69:U69" si="501">T61+T68</f>
        <v>9833019.9499999993</v>
      </c>
      <c r="U69" s="43">
        <f t="shared" si="501"/>
        <v>9848409.6899999995</v>
      </c>
      <c r="V69" s="43">
        <f t="shared" ref="V69:W69" si="502">V61+V68</f>
        <v>9925454.8100000005</v>
      </c>
      <c r="W69" s="43">
        <f t="shared" si="502"/>
        <v>9947406.3000000007</v>
      </c>
      <c r="X69" s="43">
        <f t="shared" ref="X69" si="503">X61+X68</f>
        <v>9931259.4699999988</v>
      </c>
      <c r="Y69" s="43">
        <f t="shared" si="500"/>
        <v>9924028.9499999993</v>
      </c>
      <c r="Z69" s="43">
        <f t="shared" si="500"/>
        <v>9867772.129999999</v>
      </c>
      <c r="AA69" s="43">
        <f t="shared" si="500"/>
        <v>9629748.7600000016</v>
      </c>
      <c r="AB69" s="43">
        <f t="shared" si="500"/>
        <v>9656311.0399999991</v>
      </c>
      <c r="AC69" s="43">
        <f t="shared" si="500"/>
        <v>9890279.4846784417</v>
      </c>
      <c r="AD69" s="43">
        <f t="shared" si="500"/>
        <v>14450604.52774501</v>
      </c>
      <c r="AE69" s="43">
        <f t="shared" si="500"/>
        <v>14523940.530170949</v>
      </c>
      <c r="AF69" s="43">
        <f t="shared" si="500"/>
        <v>14565022.708947361</v>
      </c>
      <c r="AG69" s="43">
        <f t="shared" si="500"/>
        <v>14527668.866629032</v>
      </c>
      <c r="AH69" s="43">
        <f t="shared" si="500"/>
        <v>14538773.101408074</v>
      </c>
      <c r="AI69" s="43">
        <f t="shared" si="500"/>
        <v>15321927.241862796</v>
      </c>
      <c r="AJ69" s="43">
        <f t="shared" si="500"/>
        <v>16138025.803412635</v>
      </c>
      <c r="AK69" s="43">
        <f t="shared" si="500"/>
        <v>16944798.461725086</v>
      </c>
      <c r="AL69" s="43">
        <f t="shared" si="500"/>
        <v>17747018.424854863</v>
      </c>
      <c r="AM69" s="43">
        <f t="shared" si="500"/>
        <v>18546053.537952214</v>
      </c>
      <c r="AN69" s="43">
        <f t="shared" si="500"/>
        <v>19353010.193400286</v>
      </c>
      <c r="AO69" s="43">
        <f t="shared" si="500"/>
        <v>20415525.738539204</v>
      </c>
      <c r="AP69" s="43">
        <f t="shared" ref="AP69:BM69" si="504">AP61+AP68</f>
        <v>20888678.994022913</v>
      </c>
      <c r="AQ69" s="43">
        <f t="shared" si="504"/>
        <v>21769805.016071219</v>
      </c>
      <c r="AR69" s="43">
        <f t="shared" si="504"/>
        <v>22606164.147349704</v>
      </c>
      <c r="AS69" s="43">
        <f t="shared" si="504"/>
        <v>23373945.070306927</v>
      </c>
      <c r="AT69" s="43">
        <f t="shared" si="504"/>
        <v>23385355.104879033</v>
      </c>
      <c r="AU69" s="43">
        <f t="shared" si="504"/>
        <v>23361695.346974134</v>
      </c>
      <c r="AV69" s="43">
        <f t="shared" si="504"/>
        <v>23373787.092634764</v>
      </c>
      <c r="AW69" s="43">
        <f t="shared" si="504"/>
        <v>23371850.792754687</v>
      </c>
      <c r="AX69" s="43">
        <f t="shared" si="504"/>
        <v>23372438.539486412</v>
      </c>
      <c r="AY69" s="43">
        <f t="shared" si="504"/>
        <v>23365493.375207931</v>
      </c>
      <c r="AZ69" s="43">
        <f t="shared" si="504"/>
        <v>23367410.561585445</v>
      </c>
      <c r="BA69" s="43">
        <f t="shared" si="504"/>
        <v>23650502.919044979</v>
      </c>
      <c r="BB69" s="43">
        <f t="shared" si="504"/>
        <v>23278264.701569211</v>
      </c>
      <c r="BC69" s="43">
        <f t="shared" si="504"/>
        <v>23351696.274195455</v>
      </c>
      <c r="BD69" s="43">
        <f t="shared" si="504"/>
        <v>23377622.922698684</v>
      </c>
      <c r="BE69" s="43">
        <f t="shared" si="504"/>
        <v>23333317.265570339</v>
      </c>
      <c r="BF69" s="43">
        <f t="shared" si="504"/>
        <v>23333847.569105148</v>
      </c>
      <c r="BG69" s="43">
        <f t="shared" si="504"/>
        <v>23298200.132741619</v>
      </c>
      <c r="BH69" s="43">
        <f t="shared" si="504"/>
        <v>23299403.781466756</v>
      </c>
      <c r="BI69" s="43">
        <f t="shared" si="504"/>
        <v>23290525.1105082</v>
      </c>
      <c r="BJ69" s="43">
        <f t="shared" si="504"/>
        <v>23275514.42136991</v>
      </c>
      <c r="BK69" s="43">
        <f t="shared" si="504"/>
        <v>23257138.185999751</v>
      </c>
      <c r="BL69" s="43">
        <f t="shared" si="504"/>
        <v>23247835.486052521</v>
      </c>
      <c r="BM69" s="43">
        <f t="shared" si="504"/>
        <v>23533139.185390137</v>
      </c>
      <c r="BN69" s="43">
        <f t="shared" ref="BN69:BY69" si="505">BN61+BN68</f>
        <v>23143490.215506069</v>
      </c>
      <c r="BO69" s="43">
        <f t="shared" si="505"/>
        <v>23219045.314197961</v>
      </c>
      <c r="BP69" s="43">
        <f t="shared" si="505"/>
        <v>23245407.860005874</v>
      </c>
      <c r="BQ69" s="43">
        <f t="shared" si="505"/>
        <v>23199956.267529935</v>
      </c>
      <c r="BR69" s="43">
        <f t="shared" si="505"/>
        <v>23200410.56866983</v>
      </c>
      <c r="BS69" s="43">
        <f t="shared" si="505"/>
        <v>23163626.93703739</v>
      </c>
      <c r="BT69" s="43">
        <f t="shared" si="505"/>
        <v>23164787.329274356</v>
      </c>
      <c r="BU69" s="43">
        <f t="shared" si="505"/>
        <v>23155522.415126022</v>
      </c>
      <c r="BV69" s="43">
        <f t="shared" si="505"/>
        <v>23140022.546882764</v>
      </c>
      <c r="BW69" s="43">
        <f t="shared" si="505"/>
        <v>23121003.06054825</v>
      </c>
      <c r="BX69" s="43">
        <f t="shared" si="505"/>
        <v>23111354.538379353</v>
      </c>
      <c r="BY69" s="43">
        <f t="shared" si="505"/>
        <v>23405125.388676789</v>
      </c>
    </row>
    <row r="70" spans="1:77" x14ac:dyDescent="0.3">
      <c r="B70" s="25" t="s">
        <v>208</v>
      </c>
      <c r="D70" s="18">
        <v>0</v>
      </c>
      <c r="E70" s="18">
        <v>0</v>
      </c>
      <c r="F70" s="18">
        <v>0</v>
      </c>
      <c r="G70" s="18">
        <v>0</v>
      </c>
      <c r="H70" s="18">
        <v>0</v>
      </c>
      <c r="I70" s="18">
        <v>0</v>
      </c>
      <c r="J70" s="18">
        <v>0</v>
      </c>
      <c r="K70" s="18">
        <v>0</v>
      </c>
      <c r="L70" s="18">
        <v>0</v>
      </c>
      <c r="M70" s="18">
        <v>0</v>
      </c>
      <c r="N70" s="18">
        <v>0</v>
      </c>
      <c r="O70" s="18">
        <v>0</v>
      </c>
      <c r="P70" s="18">
        <v>0</v>
      </c>
      <c r="Q70" s="18">
        <v>0</v>
      </c>
      <c r="R70" s="8">
        <v>0</v>
      </c>
      <c r="S70" s="18">
        <v>0</v>
      </c>
      <c r="T70" s="18">
        <v>0</v>
      </c>
      <c r="U70" s="18">
        <v>0</v>
      </c>
      <c r="V70" s="18">
        <v>0</v>
      </c>
      <c r="W70" s="18">
        <v>0</v>
      </c>
      <c r="X70" s="18">
        <v>0</v>
      </c>
      <c r="Y70" s="18">
        <v>0</v>
      </c>
      <c r="Z70" s="18">
        <v>0</v>
      </c>
      <c r="AA70" s="18">
        <v>0</v>
      </c>
      <c r="AB70" s="18">
        <v>0</v>
      </c>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row>
    <row r="71" spans="1:77" x14ac:dyDescent="0.3">
      <c r="B71" s="25" t="s">
        <v>209</v>
      </c>
      <c r="D71" s="18">
        <v>-1974075.29</v>
      </c>
      <c r="E71" s="18">
        <v>-2342209.86</v>
      </c>
      <c r="F71" s="18">
        <v>-2371635.0299999998</v>
      </c>
      <c r="G71" s="18">
        <v>-2371635.0299999998</v>
      </c>
      <c r="H71" s="18">
        <v>-2371635.0299999998</v>
      </c>
      <c r="I71" s="18">
        <v>-2371635.0299999998</v>
      </c>
      <c r="J71" s="18">
        <v>-2371635.0299999998</v>
      </c>
      <c r="K71" s="18">
        <v>-2371635.0299999998</v>
      </c>
      <c r="L71" s="18">
        <v>-2371635.0299999998</v>
      </c>
      <c r="M71" s="18">
        <v>-2371635.0299999998</v>
      </c>
      <c r="N71" s="18">
        <v>-2371635.0299999998</v>
      </c>
      <c r="O71" s="18">
        <v>-2371635.0299999998</v>
      </c>
      <c r="P71" s="18">
        <v>-2371635.0299999998</v>
      </c>
      <c r="Q71" s="18">
        <v>-2371458.0299999998</v>
      </c>
      <c r="R71" s="18">
        <v>-1804284.24</v>
      </c>
      <c r="S71" s="18">
        <v>-1804284.24</v>
      </c>
      <c r="T71" s="18">
        <v>-1804284.24</v>
      </c>
      <c r="U71" s="18">
        <v>-1804284.24</v>
      </c>
      <c r="V71" s="18">
        <v>-1804284.24</v>
      </c>
      <c r="W71" s="18">
        <v>-1804284.24</v>
      </c>
      <c r="X71" s="18">
        <v>-1804284.24</v>
      </c>
      <c r="Y71" s="18">
        <v>-1804284.24</v>
      </c>
      <c r="Z71" s="18">
        <v>-1804284.24</v>
      </c>
      <c r="AA71" s="18">
        <v>-1804284.24</v>
      </c>
      <c r="AB71" s="18">
        <v>-1804284.24</v>
      </c>
      <c r="AC71" s="36">
        <f t="shared" ref="AC71:AO71" si="506">AB71</f>
        <v>-1804284.24</v>
      </c>
      <c r="AD71" s="105">
        <f>AC71</f>
        <v>-1804284.24</v>
      </c>
      <c r="AE71" s="36">
        <f t="shared" si="506"/>
        <v>-1804284.24</v>
      </c>
      <c r="AF71" s="36">
        <f t="shared" si="506"/>
        <v>-1804284.24</v>
      </c>
      <c r="AG71" s="36">
        <f t="shared" si="506"/>
        <v>-1804284.24</v>
      </c>
      <c r="AH71" s="36">
        <f t="shared" si="506"/>
        <v>-1804284.24</v>
      </c>
      <c r="AI71" s="36">
        <f t="shared" si="506"/>
        <v>-1804284.24</v>
      </c>
      <c r="AJ71" s="36">
        <f t="shared" si="506"/>
        <v>-1804284.24</v>
      </c>
      <c r="AK71" s="36">
        <f t="shared" si="506"/>
        <v>-1804284.24</v>
      </c>
      <c r="AL71" s="36">
        <f t="shared" si="506"/>
        <v>-1804284.24</v>
      </c>
      <c r="AM71" s="36">
        <f t="shared" si="506"/>
        <v>-1804284.24</v>
      </c>
      <c r="AN71" s="36">
        <f t="shared" si="506"/>
        <v>-1804284.24</v>
      </c>
      <c r="AO71" s="36">
        <f t="shared" si="506"/>
        <v>-1804284.24</v>
      </c>
      <c r="AP71" s="36">
        <f t="shared" ref="AP71" si="507">AO71</f>
        <v>-1804284.24</v>
      </c>
      <c r="AQ71" s="36">
        <f t="shared" ref="AQ71" si="508">AP71</f>
        <v>-1804284.24</v>
      </c>
      <c r="AR71" s="36">
        <f t="shared" ref="AR71" si="509">AQ71</f>
        <v>-1804284.24</v>
      </c>
      <c r="AS71" s="36">
        <f t="shared" ref="AS71" si="510">AR71</f>
        <v>-1804284.24</v>
      </c>
      <c r="AT71" s="36">
        <f t="shared" ref="AT71" si="511">AS71</f>
        <v>-1804284.24</v>
      </c>
      <c r="AU71" s="36">
        <f t="shared" ref="AU71" si="512">AT71</f>
        <v>-1804284.24</v>
      </c>
      <c r="AV71" s="36">
        <f t="shared" ref="AV71" si="513">AU71</f>
        <v>-1804284.24</v>
      </c>
      <c r="AW71" s="36">
        <f t="shared" ref="AW71" si="514">AV71</f>
        <v>-1804284.24</v>
      </c>
      <c r="AX71" s="36">
        <f t="shared" ref="AX71" si="515">AW71</f>
        <v>-1804284.24</v>
      </c>
      <c r="AY71" s="36">
        <f t="shared" ref="AY71" si="516">AX71</f>
        <v>-1804284.24</v>
      </c>
      <c r="AZ71" s="36">
        <f t="shared" ref="AZ71" si="517">AY71</f>
        <v>-1804284.24</v>
      </c>
      <c r="BA71" s="36">
        <f t="shared" ref="BA71" si="518">AZ71</f>
        <v>-1804284.24</v>
      </c>
      <c r="BB71" s="36">
        <f t="shared" ref="BB71" si="519">BA71</f>
        <v>-1804284.24</v>
      </c>
      <c r="BC71" s="36">
        <f t="shared" ref="BC71" si="520">BB71</f>
        <v>-1804284.24</v>
      </c>
      <c r="BD71" s="36">
        <f t="shared" ref="BD71" si="521">BC71</f>
        <v>-1804284.24</v>
      </c>
      <c r="BE71" s="36">
        <f t="shared" ref="BE71" si="522">BD71</f>
        <v>-1804284.24</v>
      </c>
      <c r="BF71" s="36">
        <f t="shared" ref="BF71" si="523">BE71</f>
        <v>-1804284.24</v>
      </c>
      <c r="BG71" s="36">
        <f t="shared" ref="BG71" si="524">BF71</f>
        <v>-1804284.24</v>
      </c>
      <c r="BH71" s="36">
        <f t="shared" ref="BH71" si="525">BG71</f>
        <v>-1804284.24</v>
      </c>
      <c r="BI71" s="36">
        <f t="shared" ref="BI71" si="526">BH71</f>
        <v>-1804284.24</v>
      </c>
      <c r="BJ71" s="36">
        <f t="shared" ref="BJ71" si="527">BI71</f>
        <v>-1804284.24</v>
      </c>
      <c r="BK71" s="36">
        <f t="shared" ref="BK71" si="528">BJ71</f>
        <v>-1804284.24</v>
      </c>
      <c r="BL71" s="36">
        <f t="shared" ref="BL71" si="529">BK71</f>
        <v>-1804284.24</v>
      </c>
      <c r="BM71" s="36">
        <f t="shared" ref="BM71" si="530">BL71</f>
        <v>-1804284.24</v>
      </c>
      <c r="BN71" s="36">
        <f t="shared" ref="BN71" si="531">BM71</f>
        <v>-1804284.24</v>
      </c>
      <c r="BO71" s="36">
        <f t="shared" ref="BO71" si="532">BN71</f>
        <v>-1804284.24</v>
      </c>
      <c r="BP71" s="36">
        <f t="shared" ref="BP71" si="533">BO71</f>
        <v>-1804284.24</v>
      </c>
      <c r="BQ71" s="36">
        <f t="shared" ref="BQ71" si="534">BP71</f>
        <v>-1804284.24</v>
      </c>
      <c r="BR71" s="36">
        <f t="shared" ref="BR71" si="535">BQ71</f>
        <v>-1804284.24</v>
      </c>
      <c r="BS71" s="36">
        <f t="shared" ref="BS71" si="536">BR71</f>
        <v>-1804284.24</v>
      </c>
      <c r="BT71" s="36">
        <f t="shared" ref="BT71" si="537">BS71</f>
        <v>-1804284.24</v>
      </c>
      <c r="BU71" s="36">
        <f t="shared" ref="BU71" si="538">BT71</f>
        <v>-1804284.24</v>
      </c>
      <c r="BV71" s="36">
        <f t="shared" ref="BV71" si="539">BU71</f>
        <v>-1804284.24</v>
      </c>
      <c r="BW71" s="36">
        <f t="shared" ref="BW71" si="540">BV71</f>
        <v>-1804284.24</v>
      </c>
      <c r="BX71" s="36">
        <f t="shared" ref="BX71" si="541">BW71</f>
        <v>-1804284.24</v>
      </c>
      <c r="BY71" s="36">
        <f t="shared" ref="BY71" si="542">BX71</f>
        <v>-1804284.24</v>
      </c>
    </row>
    <row r="72" spans="1:77" x14ac:dyDescent="0.3">
      <c r="B72" s="25" t="s">
        <v>210</v>
      </c>
      <c r="D72" s="18">
        <v>-368134.57</v>
      </c>
      <c r="E72" s="18">
        <v>-29425.17</v>
      </c>
      <c r="F72" s="18">
        <v>512568.47</v>
      </c>
      <c r="G72" s="18">
        <v>787207.11</v>
      </c>
      <c r="H72" s="18">
        <v>690271.23</v>
      </c>
      <c r="I72" s="18">
        <v>1028073.03</v>
      </c>
      <c r="J72" s="18">
        <v>768874.87</v>
      </c>
      <c r="K72" s="18">
        <v>1086375.58</v>
      </c>
      <c r="L72" s="18">
        <v>816986.34</v>
      </c>
      <c r="M72" s="18">
        <v>858183.27</v>
      </c>
      <c r="N72" s="18">
        <v>856216.35</v>
      </c>
      <c r="O72" s="18">
        <v>1117353.8600000001</v>
      </c>
      <c r="P72" s="18">
        <v>842558.99</v>
      </c>
      <c r="Q72" s="18">
        <v>567173.79</v>
      </c>
      <c r="R72" s="18">
        <v>42999.23</v>
      </c>
      <c r="S72" s="18">
        <v>-29445.93</v>
      </c>
      <c r="T72" s="18">
        <v>274911.89</v>
      </c>
      <c r="U72" s="18">
        <v>224144.96</v>
      </c>
      <c r="V72" s="18">
        <v>102739.53</v>
      </c>
      <c r="W72" s="18">
        <v>25897.93</v>
      </c>
      <c r="X72" s="18">
        <v>-37938.620000000003</v>
      </c>
      <c r="Y72" s="18">
        <v>-156307.07999999999</v>
      </c>
      <c r="Z72" s="18">
        <v>-111481.32</v>
      </c>
      <c r="AA72" s="18">
        <v>91666.31</v>
      </c>
      <c r="AB72" s="18">
        <v>-6868.63</v>
      </c>
      <c r="AC72" s="102">
        <f>AB72+'Hillpointe Detail'!AB173+'Sandhill Detail'!AB173</f>
        <v>-149564.48441716441</v>
      </c>
      <c r="AD72" s="102">
        <f>AC72+'Hillpointe Detail'!AC173+'Sandhill Detail'!AC173</f>
        <v>664603.12507331162</v>
      </c>
      <c r="AE72" s="102">
        <f>AD72+'Hillpointe Detail'!AD173+'Sandhill Detail'!AD173</f>
        <v>673866.84775329742</v>
      </c>
      <c r="AF72" s="102">
        <f>AE72+'Hillpointe Detail'!AE173+'Sandhill Detail'!AE173</f>
        <v>1049286.3435807268</v>
      </c>
      <c r="AG72" s="102">
        <f>AF72+'Hillpointe Detail'!AF173+'Sandhill Detail'!AF173</f>
        <v>1030749.2118894848</v>
      </c>
      <c r="AH72" s="102">
        <f>AG72+'Hillpointe Detail'!AG173+'Sandhill Detail'!AG173</f>
        <v>1003605.6702451039</v>
      </c>
      <c r="AI72" s="102">
        <f>AH72+'Hillpointe Detail'!AH173+'Sandhill Detail'!AH173</f>
        <v>1008011.6425254979</v>
      </c>
      <c r="AJ72" s="102">
        <f>AI72+'Hillpointe Detail'!AI173+'Sandhill Detail'!AI173</f>
        <v>990156.08426002529</v>
      </c>
      <c r="AK72" s="102">
        <f>AJ72+'Hillpointe Detail'!AJ173+'Sandhill Detail'!AJ173</f>
        <v>1079159.0472465092</v>
      </c>
      <c r="AL72" s="102">
        <f>AK72+'Hillpointe Detail'!AK173+'Sandhill Detail'!AK173</f>
        <v>1122417.5974424852</v>
      </c>
      <c r="AM72" s="102">
        <f>AL72+'Hillpointe Detail'!AL173+'Sandhill Detail'!AL173</f>
        <v>1183220.4445327623</v>
      </c>
      <c r="AN72" s="102">
        <f>AM72+'Hillpointe Detail'!AM173+'Sandhill Detail'!AM173</f>
        <v>1248398.4461795322</v>
      </c>
      <c r="AO72" s="102">
        <f>AN72+'Hillpointe Detail'!AN173+'Sandhill Detail'!AN173</f>
        <v>1053153.7080653117</v>
      </c>
      <c r="AP72" s="102">
        <f>AO72+'Hillpointe Detail'!AO173+'Sandhill Detail'!AO173</f>
        <v>1210129.7857249316</v>
      </c>
      <c r="AQ72" s="102">
        <f>AP72+'Hillpointe Detail'!AP173+'Sandhill Detail'!AP173</f>
        <v>1227236.7202941356</v>
      </c>
      <c r="AR72" s="102">
        <f>AQ72+'Hillpointe Detail'!AQ173+'Sandhill Detail'!AQ173</f>
        <v>1623543.8191592025</v>
      </c>
      <c r="AS72" s="102">
        <f>AR72+'Hillpointe Detail'!AR173+'Sandhill Detail'!AR173</f>
        <v>1601950.7910486099</v>
      </c>
      <c r="AT72" s="102">
        <f>AS72+'Hillpointe Detail'!AS173+'Sandhill Detail'!AS173</f>
        <v>1572550.7299617727</v>
      </c>
      <c r="AU72" s="102">
        <f>AT72+'Hillpointe Detail'!AT173+'Sandhill Detail'!AT173</f>
        <v>1579670.6497706622</v>
      </c>
      <c r="AV72" s="102">
        <f>AU72+'Hillpointe Detail'!AU173+'Sandhill Detail'!AU173</f>
        <v>1562520.404838562</v>
      </c>
      <c r="AW72" s="102">
        <f>AV72+'Hillpointe Detail'!AV173+'Sandhill Detail'!AV173</f>
        <v>1595540.9941984913</v>
      </c>
      <c r="AX72" s="102">
        <f>AW72+'Hillpointe Detail'!AW173+'Sandhill Detail'!AW173</f>
        <v>1612532.9440262837</v>
      </c>
      <c r="AY72" s="102">
        <f>AX72+'Hillpointe Detail'!AX173+'Sandhill Detail'!AX173</f>
        <v>1620791.29703294</v>
      </c>
      <c r="AZ72" s="102">
        <f>AY72+'Hillpointe Detail'!AY173+'Sandhill Detail'!AY173</f>
        <v>1634694.4580631086</v>
      </c>
      <c r="BA72" s="102">
        <f>AZ72+'Hillpointe Detail'!AZ173+'Sandhill Detail'!AZ173</f>
        <v>1432766.6448347492</v>
      </c>
      <c r="BB72" s="102">
        <f>BA72+'Hillpointe Detail'!BA173+'Sandhill Detail'!BA173</f>
        <v>1635954.0137673095</v>
      </c>
      <c r="BC72" s="102">
        <f>BB72+'Hillpointe Detail'!BB173+'Sandhill Detail'!BB173</f>
        <v>1637642.5874333002</v>
      </c>
      <c r="BD72" s="102">
        <f>BC72+'Hillpointe Detail'!BC173+'Sandhill Detail'!BC173</f>
        <v>2017273.3257521647</v>
      </c>
      <c r="BE72" s="102">
        <f>BD72+'Hillpointe Detail'!BD173+'Sandhill Detail'!BD173</f>
        <v>1983939.4003734845</v>
      </c>
      <c r="BF72" s="102">
        <f>BE72+'Hillpointe Detail'!BE173+'Sandhill Detail'!BE173</f>
        <v>1942310.4025767141</v>
      </c>
      <c r="BG72" s="102">
        <f>BF72+'Hillpointe Detail'!BF173+'Sandhill Detail'!BF173</f>
        <v>1939325.2425904542</v>
      </c>
      <c r="BH72" s="102">
        <f>BG72+'Hillpointe Detail'!BG173+'Sandhill Detail'!BG173</f>
        <v>1911682.294370112</v>
      </c>
      <c r="BI72" s="102">
        <f>BH72+'Hillpointe Detail'!BH173+'Sandhill Detail'!BH173</f>
        <v>1935162.2524658183</v>
      </c>
      <c r="BJ72" s="102">
        <f>BI72+'Hillpointe Detail'!BI173+'Sandhill Detail'!BI173</f>
        <v>1941314.5314201601</v>
      </c>
      <c r="BK72" s="102">
        <f>BJ72+'Hillpointe Detail'!BJ173+'Sandhill Detail'!BJ173</f>
        <v>1939386.8994964329</v>
      </c>
      <c r="BL72" s="102">
        <f>BK72+'Hillpointe Detail'!BK173+'Sandhill Detail'!BK173</f>
        <v>1943070.6391267509</v>
      </c>
      <c r="BM72" s="102">
        <f>BL72+'Hillpointe Detail'!BL173+'Sandhill Detail'!BL173</f>
        <v>1720834.412290259</v>
      </c>
      <c r="BN72" s="102">
        <f>BM72+'Hillpointe Detail'!BM173+'Sandhill Detail'!BM173</f>
        <v>1950734.0936302929</v>
      </c>
      <c r="BO72" s="102">
        <f>BN72+'Hillpointe Detail'!BN173+'Sandhill Detail'!BN173</f>
        <v>1955352.2699834758</v>
      </c>
      <c r="BP72" s="102">
        <f>BO72+'Hillpointe Detail'!BO173+'Sandhill Detail'!BO173</f>
        <v>2336098.9857381447</v>
      </c>
      <c r="BQ72" s="102">
        <f>BP72+'Hillpointe Detail'!BP173+'Sandhill Detail'!BP173</f>
        <v>2305711.2185938647</v>
      </c>
      <c r="BR72" s="102">
        <f>BQ72+'Hillpointe Detail'!BQ173+'Sandhill Detail'!BQ173</f>
        <v>2265769.9659044114</v>
      </c>
      <c r="BS72" s="102">
        <f>BR72+'Hillpointe Detail'!BR173+'Sandhill Detail'!BR173</f>
        <v>2265484.4805452488</v>
      </c>
      <c r="BT72" s="102">
        <f>BS72+'Hillpointe Detail'!BS173+'Sandhill Detail'!BS173</f>
        <v>2238823.2145640347</v>
      </c>
      <c r="BU72" s="102">
        <f>BT72+'Hillpointe Detail'!BT173+'Sandhill Detail'!BT173</f>
        <v>2266766.9035051744</v>
      </c>
      <c r="BV72" s="102">
        <f>BU72+'Hillpointe Detail'!BU173+'Sandhill Detail'!BU173</f>
        <v>2276649.2894118619</v>
      </c>
      <c r="BW72" s="102">
        <f>BV72+'Hillpointe Detail'!BV173+'Sandhill Detail'!BV173</f>
        <v>2278632.9176957584</v>
      </c>
      <c r="BX72" s="102">
        <f>BW72+'Hillpointe Detail'!BW173+'Sandhill Detail'!BW173</f>
        <v>2286081.2658991427</v>
      </c>
      <c r="BY72" s="102">
        <f>BX72+'Hillpointe Detail'!BX173+'Sandhill Detail'!BX173</f>
        <v>2060979.8268100061</v>
      </c>
    </row>
    <row r="73" spans="1:77" ht="18" customHeight="1" collapsed="1" x14ac:dyDescent="0.3">
      <c r="B73" s="25" t="s">
        <v>232</v>
      </c>
      <c r="D73" s="112">
        <f>SUM(D70:D72)</f>
        <v>-2342209.86</v>
      </c>
      <c r="E73" s="112">
        <f t="shared" ref="E73:M73" si="543">SUM(E70:E72)</f>
        <v>-2371635.0299999998</v>
      </c>
      <c r="F73" s="112">
        <f t="shared" si="543"/>
        <v>-1859066.5599999998</v>
      </c>
      <c r="G73" s="112">
        <f t="shared" si="543"/>
        <v>-1584427.92</v>
      </c>
      <c r="H73" s="112">
        <f t="shared" si="543"/>
        <v>-1681363.7999999998</v>
      </c>
      <c r="I73" s="112">
        <f t="shared" si="543"/>
        <v>-1343561.9999999998</v>
      </c>
      <c r="J73" s="112">
        <f t="shared" si="543"/>
        <v>-1602760.1599999997</v>
      </c>
      <c r="K73" s="112">
        <f t="shared" si="543"/>
        <v>-1285259.4499999997</v>
      </c>
      <c r="L73" s="112">
        <f t="shared" si="543"/>
        <v>-1554648.69</v>
      </c>
      <c r="M73" s="112">
        <f t="shared" si="543"/>
        <v>-1513451.7599999998</v>
      </c>
      <c r="N73" s="112">
        <f t="shared" ref="N73" si="544">SUM(N70:N72)</f>
        <v>-1515418.6799999997</v>
      </c>
      <c r="O73" s="112">
        <f t="shared" ref="O73" si="545">SUM(O70:O72)</f>
        <v>-1254281.1699999997</v>
      </c>
      <c r="P73" s="112">
        <f t="shared" ref="P73" si="546">SUM(P70:P72)</f>
        <v>-1529076.0399999998</v>
      </c>
      <c r="Q73" s="112">
        <f t="shared" ref="Q73" si="547">SUM(Q70:Q72)</f>
        <v>-1804284.2399999998</v>
      </c>
      <c r="R73" s="112">
        <f t="shared" ref="R73" si="548">SUM(R70:R72)</f>
        <v>-1761285.01</v>
      </c>
      <c r="S73" s="112">
        <f t="shared" ref="S73:T73" si="549">SUM(S70:S72)</f>
        <v>-1833730.17</v>
      </c>
      <c r="T73" s="112">
        <f t="shared" si="549"/>
        <v>-1529372.35</v>
      </c>
      <c r="U73" s="112">
        <f t="shared" ref="U73:V73" si="550">SUM(U70:U72)</f>
        <v>-1580139.28</v>
      </c>
      <c r="V73" s="112">
        <f t="shared" si="550"/>
        <v>-1701544.71</v>
      </c>
      <c r="W73" s="112">
        <f t="shared" ref="W73:X73" si="551">SUM(W70:W72)</f>
        <v>-1778386.31</v>
      </c>
      <c r="X73" s="112">
        <f t="shared" si="551"/>
        <v>-1842222.86</v>
      </c>
      <c r="Y73" s="112">
        <f t="shared" ref="Y73" si="552">SUM(Y70:Y72)</f>
        <v>-1960591.32</v>
      </c>
      <c r="Z73" s="112">
        <f t="shared" ref="Z73" si="553">SUM(Z70:Z72)</f>
        <v>-1915765.56</v>
      </c>
      <c r="AA73" s="112">
        <f t="shared" ref="AA73" si="554">SUM(AA70:AA72)</f>
        <v>-1712617.93</v>
      </c>
      <c r="AB73" s="112">
        <f t="shared" ref="AB73" si="555">SUM(AB70:AB72)</f>
        <v>-1811152.8699999999</v>
      </c>
      <c r="AC73" s="112">
        <f t="shared" ref="AC73" si="556">SUM(AC70:AC72)</f>
        <v>-1953848.7244171645</v>
      </c>
      <c r="AD73" s="112">
        <f>SUM(AD70:AD72)</f>
        <v>-1139681.1149266884</v>
      </c>
      <c r="AE73" s="112">
        <f t="shared" ref="AE73" si="557">SUM(AE70:AE72)</f>
        <v>-1130417.3922467027</v>
      </c>
      <c r="AF73" s="112">
        <f t="shared" ref="AF73" si="558">SUM(AF70:AF72)</f>
        <v>-754997.89641927322</v>
      </c>
      <c r="AG73" s="112">
        <f t="shared" ref="AG73" si="559">SUM(AG70:AG72)</f>
        <v>-773535.02811051521</v>
      </c>
      <c r="AH73" s="112">
        <f t="shared" ref="AH73" si="560">SUM(AH70:AH72)</f>
        <v>-800678.5697548961</v>
      </c>
      <c r="AI73" s="112">
        <f t="shared" ref="AI73" si="561">SUM(AI70:AI72)</f>
        <v>-796272.59747450205</v>
      </c>
      <c r="AJ73" s="112">
        <f t="shared" ref="AJ73" si="562">SUM(AJ70:AJ72)</f>
        <v>-814128.1557399747</v>
      </c>
      <c r="AK73" s="112">
        <f t="shared" ref="AK73" si="563">SUM(AK70:AK72)</f>
        <v>-725125.19275349076</v>
      </c>
      <c r="AL73" s="112">
        <f t="shared" ref="AL73" si="564">SUM(AL70:AL72)</f>
        <v>-681866.64255751483</v>
      </c>
      <c r="AM73" s="112">
        <f t="shared" ref="AM73" si="565">SUM(AM70:AM72)</f>
        <v>-621063.79546723771</v>
      </c>
      <c r="AN73" s="112">
        <f t="shared" ref="AN73" si="566">SUM(AN70:AN72)</f>
        <v>-555885.79382046778</v>
      </c>
      <c r="AO73" s="112">
        <f t="shared" ref="AO73" si="567">SUM(AO70:AO72)</f>
        <v>-751130.53193468833</v>
      </c>
      <c r="AP73" s="112">
        <f t="shared" ref="AP73:BM73" si="568">SUM(AP70:AP72)</f>
        <v>-594154.45427506836</v>
      </c>
      <c r="AQ73" s="112">
        <f t="shared" si="568"/>
        <v>-577047.51970586437</v>
      </c>
      <c r="AR73" s="112">
        <f t="shared" si="568"/>
        <v>-180740.42084079748</v>
      </c>
      <c r="AS73" s="112">
        <f t="shared" si="568"/>
        <v>-202333.44895139011</v>
      </c>
      <c r="AT73" s="112">
        <f t="shared" si="568"/>
        <v>-231733.51003822731</v>
      </c>
      <c r="AU73" s="112">
        <f t="shared" si="568"/>
        <v>-224613.5902293378</v>
      </c>
      <c r="AV73" s="112">
        <f t="shared" si="568"/>
        <v>-241763.83516143798</v>
      </c>
      <c r="AW73" s="112">
        <f t="shared" si="568"/>
        <v>-208743.24580150866</v>
      </c>
      <c r="AX73" s="112">
        <f t="shared" si="568"/>
        <v>-191751.2959737163</v>
      </c>
      <c r="AY73" s="112">
        <f t="shared" si="568"/>
        <v>-183492.94296706002</v>
      </c>
      <c r="AZ73" s="112">
        <f t="shared" si="568"/>
        <v>-169589.78193689138</v>
      </c>
      <c r="BA73" s="112">
        <f t="shared" si="568"/>
        <v>-371517.59516525082</v>
      </c>
      <c r="BB73" s="112">
        <f t="shared" si="568"/>
        <v>-168330.2262326905</v>
      </c>
      <c r="BC73" s="112">
        <f t="shared" si="568"/>
        <v>-166641.65256669978</v>
      </c>
      <c r="BD73" s="112">
        <f t="shared" si="568"/>
        <v>212989.08575216471</v>
      </c>
      <c r="BE73" s="112">
        <f t="shared" si="568"/>
        <v>179655.16037348448</v>
      </c>
      <c r="BF73" s="112">
        <f t="shared" si="568"/>
        <v>138026.16257671406</v>
      </c>
      <c r="BG73" s="112">
        <f t="shared" si="568"/>
        <v>135041.00259045418</v>
      </c>
      <c r="BH73" s="112">
        <f t="shared" si="568"/>
        <v>107398.05437011202</v>
      </c>
      <c r="BI73" s="112">
        <f t="shared" si="568"/>
        <v>130878.01246581832</v>
      </c>
      <c r="BJ73" s="112">
        <f t="shared" si="568"/>
        <v>137030.29142016009</v>
      </c>
      <c r="BK73" s="112">
        <f t="shared" si="568"/>
        <v>135102.65949643287</v>
      </c>
      <c r="BL73" s="112">
        <f t="shared" si="568"/>
        <v>138786.39912675088</v>
      </c>
      <c r="BM73" s="112">
        <f t="shared" si="568"/>
        <v>-83449.827709740959</v>
      </c>
      <c r="BN73" s="112">
        <f t="shared" ref="BN73:BY73" si="569">SUM(BN70:BN72)</f>
        <v>146449.85363029293</v>
      </c>
      <c r="BO73" s="112">
        <f t="shared" si="569"/>
        <v>151068.0299834758</v>
      </c>
      <c r="BP73" s="112">
        <f t="shared" si="569"/>
        <v>531814.74573814473</v>
      </c>
      <c r="BQ73" s="112">
        <f t="shared" si="569"/>
        <v>501426.97859386471</v>
      </c>
      <c r="BR73" s="112">
        <f t="shared" si="569"/>
        <v>461485.7259044114</v>
      </c>
      <c r="BS73" s="112">
        <f t="shared" si="569"/>
        <v>461200.24054524885</v>
      </c>
      <c r="BT73" s="112">
        <f t="shared" si="569"/>
        <v>434538.97456403472</v>
      </c>
      <c r="BU73" s="112">
        <f t="shared" si="569"/>
        <v>462482.66350517445</v>
      </c>
      <c r="BV73" s="112">
        <f t="shared" si="569"/>
        <v>472365.04941186192</v>
      </c>
      <c r="BW73" s="112">
        <f t="shared" si="569"/>
        <v>474348.67769575841</v>
      </c>
      <c r="BX73" s="112">
        <f t="shared" si="569"/>
        <v>481797.02589914273</v>
      </c>
      <c r="BY73" s="112">
        <f t="shared" si="569"/>
        <v>256695.58681000606</v>
      </c>
    </row>
    <row r="74" spans="1:77" ht="18" customHeight="1" thickBot="1" x14ac:dyDescent="0.35">
      <c r="B74" s="64" t="s">
        <v>211</v>
      </c>
      <c r="D74" s="111">
        <f>D69+D73</f>
        <v>1154347.5200000005</v>
      </c>
      <c r="E74" s="111">
        <f t="shared" ref="E74:M74" si="570">E69+E73</f>
        <v>1255383.0500000003</v>
      </c>
      <c r="F74" s="111">
        <f t="shared" si="570"/>
        <v>1459189.6200000003</v>
      </c>
      <c r="G74" s="111">
        <f t="shared" si="570"/>
        <v>1718550.08</v>
      </c>
      <c r="H74" s="111">
        <f t="shared" si="570"/>
        <v>1615318.27</v>
      </c>
      <c r="I74" s="111">
        <f t="shared" si="570"/>
        <v>1920280.4600000002</v>
      </c>
      <c r="J74" s="111">
        <f t="shared" si="570"/>
        <v>1774964.5600000005</v>
      </c>
      <c r="K74" s="111">
        <f t="shared" si="570"/>
        <v>2012467.2600000002</v>
      </c>
      <c r="L74" s="111">
        <f t="shared" si="570"/>
        <v>1792241.1199999996</v>
      </c>
      <c r="M74" s="111">
        <f t="shared" si="570"/>
        <v>1884716.06</v>
      </c>
      <c r="N74" s="111">
        <f t="shared" ref="N74" si="571">N69+N73</f>
        <v>2022188.3300000005</v>
      </c>
      <c r="O74" s="111">
        <f t="shared" ref="O74" si="572">O69+O73</f>
        <v>2295387.1400000006</v>
      </c>
      <c r="P74" s="111">
        <f t="shared" ref="P74" si="573">P69+P73</f>
        <v>2304286.4400000004</v>
      </c>
      <c r="Q74" s="111">
        <f t="shared" ref="Q74" si="574">Q69+Q73</f>
        <v>8184163.0999999996</v>
      </c>
      <c r="R74" s="111">
        <f t="shared" ref="R74" si="575">R69+R73</f>
        <v>8323348.1700000018</v>
      </c>
      <c r="S74" s="111">
        <f t="shared" ref="S74:T74" si="576">S69+S73</f>
        <v>7980881.1400000006</v>
      </c>
      <c r="T74" s="111">
        <f t="shared" si="576"/>
        <v>8303647.5999999996</v>
      </c>
      <c r="U74" s="111">
        <f t="shared" ref="U74:V74" si="577">U69+U73</f>
        <v>8268270.4099999992</v>
      </c>
      <c r="V74" s="111">
        <f t="shared" si="577"/>
        <v>8223910.1000000006</v>
      </c>
      <c r="W74" s="111">
        <f t="shared" ref="W74:X74" si="578">W69+W73</f>
        <v>8169019.9900000002</v>
      </c>
      <c r="X74" s="111">
        <f t="shared" si="578"/>
        <v>8089036.6099999985</v>
      </c>
      <c r="Y74" s="111">
        <f t="shared" ref="Y74" si="579">Y69+Y73</f>
        <v>7963437.629999999</v>
      </c>
      <c r="Z74" s="111">
        <f t="shared" ref="Z74" si="580">Z69+Z73</f>
        <v>7952006.5699999984</v>
      </c>
      <c r="AA74" s="111">
        <f t="shared" ref="AA74" si="581">AA69+AA73</f>
        <v>7917130.8300000019</v>
      </c>
      <c r="AB74" s="111">
        <f t="shared" ref="AB74" si="582">AB69+AB73</f>
        <v>7845158.169999999</v>
      </c>
      <c r="AC74" s="111">
        <f t="shared" ref="AC74" si="583">AC69+AC73</f>
        <v>7936430.7602612767</v>
      </c>
      <c r="AD74" s="111">
        <f t="shared" ref="AD74" si="584">AD69+AD73</f>
        <v>13310923.412818322</v>
      </c>
      <c r="AE74" s="111">
        <f t="shared" ref="AE74" si="585">AE69+AE73</f>
        <v>13393523.137924246</v>
      </c>
      <c r="AF74" s="111">
        <f t="shared" ref="AF74" si="586">AF69+AF73</f>
        <v>13810024.812528087</v>
      </c>
      <c r="AG74" s="111">
        <f t="shared" ref="AG74" si="587">AG69+AG73</f>
        <v>13754133.838518517</v>
      </c>
      <c r="AH74" s="111">
        <f t="shared" ref="AH74" si="588">AH69+AH73</f>
        <v>13738094.531653177</v>
      </c>
      <c r="AI74" s="111">
        <f t="shared" ref="AI74" si="589">AI69+AI73</f>
        <v>14525654.644388294</v>
      </c>
      <c r="AJ74" s="111">
        <f t="shared" ref="AJ74" si="590">AJ69+AJ73</f>
        <v>15323897.647672661</v>
      </c>
      <c r="AK74" s="111">
        <f t="shared" ref="AK74" si="591">AK69+AK73</f>
        <v>16219673.268971596</v>
      </c>
      <c r="AL74" s="111">
        <f t="shared" ref="AL74" si="592">AL69+AL73</f>
        <v>17065151.78229735</v>
      </c>
      <c r="AM74" s="111">
        <f t="shared" ref="AM74" si="593">AM69+AM73</f>
        <v>17924989.742484976</v>
      </c>
      <c r="AN74" s="111">
        <f t="shared" ref="AN74" si="594">AN69+AN73</f>
        <v>18797124.399579819</v>
      </c>
      <c r="AO74" s="111">
        <f t="shared" ref="AO74" si="595">AO69+AO73</f>
        <v>19664395.206604514</v>
      </c>
      <c r="AP74" s="111">
        <f t="shared" ref="AP74:BM74" si="596">AP69+AP73</f>
        <v>20294524.539747845</v>
      </c>
      <c r="AQ74" s="111">
        <f t="shared" si="596"/>
        <v>21192757.496365353</v>
      </c>
      <c r="AR74" s="111">
        <f t="shared" si="596"/>
        <v>22425423.726508908</v>
      </c>
      <c r="AS74" s="111">
        <f t="shared" si="596"/>
        <v>23171611.621355537</v>
      </c>
      <c r="AT74" s="111">
        <f t="shared" si="596"/>
        <v>23153621.594840806</v>
      </c>
      <c r="AU74" s="111">
        <f t="shared" si="596"/>
        <v>23137081.756744798</v>
      </c>
      <c r="AV74" s="111">
        <f t="shared" si="596"/>
        <v>23132023.257473327</v>
      </c>
      <c r="AW74" s="111">
        <f t="shared" si="596"/>
        <v>23163107.546953179</v>
      </c>
      <c r="AX74" s="111">
        <f t="shared" si="596"/>
        <v>23180687.243512698</v>
      </c>
      <c r="AY74" s="111">
        <f t="shared" si="596"/>
        <v>23182000.43224087</v>
      </c>
      <c r="AZ74" s="111">
        <f t="shared" si="596"/>
        <v>23197820.779648554</v>
      </c>
      <c r="BA74" s="111">
        <f t="shared" si="596"/>
        <v>23278985.323879726</v>
      </c>
      <c r="BB74" s="111">
        <f t="shared" si="596"/>
        <v>23109934.475336522</v>
      </c>
      <c r="BC74" s="111">
        <f t="shared" si="596"/>
        <v>23185054.621628754</v>
      </c>
      <c r="BD74" s="111">
        <f t="shared" si="596"/>
        <v>23590612.008450847</v>
      </c>
      <c r="BE74" s="111">
        <f t="shared" si="596"/>
        <v>23512972.425943822</v>
      </c>
      <c r="BF74" s="111">
        <f t="shared" si="596"/>
        <v>23471873.731681861</v>
      </c>
      <c r="BG74" s="111">
        <f t="shared" si="596"/>
        <v>23433241.135332074</v>
      </c>
      <c r="BH74" s="111">
        <f t="shared" si="596"/>
        <v>23406801.835836869</v>
      </c>
      <c r="BI74" s="111">
        <f t="shared" si="596"/>
        <v>23421403.122974019</v>
      </c>
      <c r="BJ74" s="111">
        <f t="shared" si="596"/>
        <v>23412544.712790072</v>
      </c>
      <c r="BK74" s="111">
        <f t="shared" si="596"/>
        <v>23392240.845496185</v>
      </c>
      <c r="BL74" s="111">
        <f t="shared" si="596"/>
        <v>23386621.88517927</v>
      </c>
      <c r="BM74" s="111">
        <f t="shared" si="596"/>
        <v>23449689.357680395</v>
      </c>
      <c r="BN74" s="111">
        <f t="shared" ref="BN74:BY74" si="597">BN69+BN73</f>
        <v>23289940.069136363</v>
      </c>
      <c r="BO74" s="111">
        <f t="shared" si="597"/>
        <v>23370113.344181437</v>
      </c>
      <c r="BP74" s="111">
        <f t="shared" si="597"/>
        <v>23777222.605744019</v>
      </c>
      <c r="BQ74" s="111">
        <f t="shared" si="597"/>
        <v>23701383.246123798</v>
      </c>
      <c r="BR74" s="111">
        <f t="shared" si="597"/>
        <v>23661896.294574242</v>
      </c>
      <c r="BS74" s="111">
        <f t="shared" si="597"/>
        <v>23624827.17758264</v>
      </c>
      <c r="BT74" s="111">
        <f t="shared" si="597"/>
        <v>23599326.303838391</v>
      </c>
      <c r="BU74" s="111">
        <f t="shared" si="597"/>
        <v>23618005.078631196</v>
      </c>
      <c r="BV74" s="111">
        <f t="shared" si="597"/>
        <v>23612387.596294627</v>
      </c>
      <c r="BW74" s="111">
        <f t="shared" si="597"/>
        <v>23595351.738244008</v>
      </c>
      <c r="BX74" s="111">
        <f t="shared" si="597"/>
        <v>23593151.564278495</v>
      </c>
      <c r="BY74" s="111">
        <f t="shared" si="597"/>
        <v>23661820.975486796</v>
      </c>
    </row>
    <row r="75" spans="1:77" ht="15" thickTop="1" x14ac:dyDescent="0.3">
      <c r="K75" s="8"/>
      <c r="AE75" s="13"/>
      <c r="AF75" s="13"/>
      <c r="AG75" s="13"/>
      <c r="AH75" s="13"/>
    </row>
    <row r="76" spans="1:77" x14ac:dyDescent="0.3">
      <c r="A76" s="1" t="s">
        <v>226</v>
      </c>
      <c r="K76" s="8"/>
      <c r="S76" s="13"/>
    </row>
    <row r="77" spans="1:77" x14ac:dyDescent="0.3">
      <c r="B77" t="s">
        <v>227</v>
      </c>
      <c r="D77" s="8">
        <f t="shared" ref="D77:AO77" si="598">D43-D74</f>
        <v>0</v>
      </c>
      <c r="E77" s="8">
        <f t="shared" si="598"/>
        <v>0</v>
      </c>
      <c r="F77" s="8">
        <f t="shared" si="598"/>
        <v>0</v>
      </c>
      <c r="G77" s="8">
        <f t="shared" si="598"/>
        <v>0</v>
      </c>
      <c r="H77" s="8">
        <f t="shared" si="598"/>
        <v>0</v>
      </c>
      <c r="I77" s="8">
        <f t="shared" si="598"/>
        <v>0</v>
      </c>
      <c r="J77" s="8">
        <f t="shared" si="598"/>
        <v>0</v>
      </c>
      <c r="K77" s="8">
        <f t="shared" si="598"/>
        <v>0</v>
      </c>
      <c r="L77" s="8">
        <f t="shared" si="598"/>
        <v>0</v>
      </c>
      <c r="M77" s="8">
        <f t="shared" si="598"/>
        <v>0</v>
      </c>
      <c r="N77" s="8">
        <f t="shared" si="598"/>
        <v>0</v>
      </c>
      <c r="O77" s="8">
        <f t="shared" si="598"/>
        <v>0</v>
      </c>
      <c r="P77" s="8">
        <f t="shared" si="598"/>
        <v>0</v>
      </c>
      <c r="Q77" s="8">
        <f t="shared" si="598"/>
        <v>0</v>
      </c>
      <c r="R77" s="8">
        <f t="shared" si="598"/>
        <v>2.9999998398125172E-2</v>
      </c>
      <c r="S77" s="8">
        <f t="shared" si="598"/>
        <v>0</v>
      </c>
      <c r="T77" s="8">
        <f t="shared" si="598"/>
        <v>0</v>
      </c>
      <c r="U77" s="8">
        <f>U43-U74</f>
        <v>0</v>
      </c>
      <c r="V77" s="8">
        <f t="shared" si="598"/>
        <v>0</v>
      </c>
      <c r="W77" s="8">
        <f t="shared" si="598"/>
        <v>0</v>
      </c>
      <c r="X77" s="8">
        <f t="shared" si="598"/>
        <v>0</v>
      </c>
      <c r="Y77" s="8">
        <f t="shared" si="598"/>
        <v>0</v>
      </c>
      <c r="Z77" s="8">
        <f t="shared" si="598"/>
        <v>0</v>
      </c>
      <c r="AA77" s="8">
        <f t="shared" si="598"/>
        <v>0</v>
      </c>
      <c r="AB77" s="8">
        <f t="shared" si="598"/>
        <v>0</v>
      </c>
      <c r="AC77" s="8">
        <f t="shared" si="598"/>
        <v>0</v>
      </c>
      <c r="AD77" s="8">
        <f t="shared" si="598"/>
        <v>0</v>
      </c>
      <c r="AE77" s="8">
        <f t="shared" si="598"/>
        <v>0</v>
      </c>
      <c r="AF77" s="8">
        <f t="shared" si="598"/>
        <v>0</v>
      </c>
      <c r="AG77" s="8">
        <f t="shared" si="598"/>
        <v>0</v>
      </c>
      <c r="AH77" s="8">
        <f t="shared" si="598"/>
        <v>0</v>
      </c>
      <c r="AI77" s="8">
        <f t="shared" si="598"/>
        <v>0</v>
      </c>
      <c r="AJ77" s="8">
        <f t="shared" si="598"/>
        <v>0</v>
      </c>
      <c r="AK77" s="8">
        <f t="shared" si="598"/>
        <v>0</v>
      </c>
      <c r="AL77" s="8">
        <f t="shared" si="598"/>
        <v>0</v>
      </c>
      <c r="AM77" s="8">
        <f t="shared" si="598"/>
        <v>0</v>
      </c>
      <c r="AN77" s="8">
        <f t="shared" si="598"/>
        <v>0</v>
      </c>
      <c r="AO77" s="8">
        <f t="shared" si="598"/>
        <v>0</v>
      </c>
      <c r="AP77" s="8">
        <f t="shared" ref="AP77:BM77" si="599">AP43-AP74</f>
        <v>0</v>
      </c>
      <c r="AQ77" s="8">
        <f t="shared" si="599"/>
        <v>0</v>
      </c>
      <c r="AR77" s="8">
        <f t="shared" si="599"/>
        <v>0</v>
      </c>
      <c r="AS77" s="8">
        <f t="shared" si="599"/>
        <v>0</v>
      </c>
      <c r="AT77" s="8">
        <f t="shared" si="599"/>
        <v>0</v>
      </c>
      <c r="AU77" s="8">
        <f t="shared" si="599"/>
        <v>0</v>
      </c>
      <c r="AV77" s="8">
        <f t="shared" si="599"/>
        <v>0</v>
      </c>
      <c r="AW77" s="8">
        <f t="shared" si="599"/>
        <v>0</v>
      </c>
      <c r="AX77" s="8">
        <f t="shared" si="599"/>
        <v>0</v>
      </c>
      <c r="AY77" s="8">
        <f t="shared" si="599"/>
        <v>0</v>
      </c>
      <c r="AZ77" s="8">
        <f t="shared" si="599"/>
        <v>0</v>
      </c>
      <c r="BA77" s="8">
        <f t="shared" si="599"/>
        <v>0</v>
      </c>
      <c r="BB77" s="8">
        <f t="shared" si="599"/>
        <v>0</v>
      </c>
      <c r="BC77" s="8">
        <f t="shared" si="599"/>
        <v>0</v>
      </c>
      <c r="BD77" s="8">
        <f t="shared" si="599"/>
        <v>0</v>
      </c>
      <c r="BE77" s="8">
        <f t="shared" si="599"/>
        <v>0</v>
      </c>
      <c r="BF77" s="8">
        <f t="shared" si="599"/>
        <v>0</v>
      </c>
      <c r="BG77" s="8">
        <f t="shared" si="599"/>
        <v>0</v>
      </c>
      <c r="BH77" s="8">
        <f t="shared" si="599"/>
        <v>0</v>
      </c>
      <c r="BI77" s="8">
        <f t="shared" si="599"/>
        <v>0</v>
      </c>
      <c r="BJ77" s="8">
        <f t="shared" si="599"/>
        <v>0</v>
      </c>
      <c r="BK77" s="8">
        <f t="shared" si="599"/>
        <v>0</v>
      </c>
      <c r="BL77" s="8">
        <f t="shared" si="599"/>
        <v>0</v>
      </c>
      <c r="BM77" s="8">
        <f t="shared" si="599"/>
        <v>0</v>
      </c>
      <c r="BN77" s="8">
        <f t="shared" ref="BN77:BY77" si="600">BN43-BN74</f>
        <v>0</v>
      </c>
      <c r="BO77" s="8">
        <f t="shared" si="600"/>
        <v>0</v>
      </c>
      <c r="BP77" s="8">
        <f t="shared" si="600"/>
        <v>0</v>
      </c>
      <c r="BQ77" s="8">
        <f t="shared" si="600"/>
        <v>0</v>
      </c>
      <c r="BR77" s="8">
        <f t="shared" si="600"/>
        <v>0</v>
      </c>
      <c r="BS77" s="8">
        <f t="shared" si="600"/>
        <v>0</v>
      </c>
      <c r="BT77" s="8">
        <f t="shared" si="600"/>
        <v>0</v>
      </c>
      <c r="BU77" s="8">
        <f t="shared" si="600"/>
        <v>0</v>
      </c>
      <c r="BV77" s="8">
        <f t="shared" si="600"/>
        <v>0</v>
      </c>
      <c r="BW77" s="8">
        <f t="shared" si="600"/>
        <v>0</v>
      </c>
      <c r="BX77" s="8">
        <f t="shared" si="600"/>
        <v>0</v>
      </c>
      <c r="BY77" s="8">
        <f t="shared" si="600"/>
        <v>0</v>
      </c>
    </row>
    <row r="78" spans="1:77" x14ac:dyDescent="0.3">
      <c r="B78" t="s">
        <v>228</v>
      </c>
      <c r="D78" s="13">
        <f>SUM(D8:D13,D15:D17,D19:D25,D28:D37,D39:D41)-D43</f>
        <v>0</v>
      </c>
      <c r="E78" s="13">
        <f t="shared" ref="E78:AO78" si="601">SUM(E8:E13,E15:E17,E19:E25,E28:E37,E39:E41)-E43</f>
        <v>0</v>
      </c>
      <c r="F78" s="13">
        <f t="shared" si="601"/>
        <v>0</v>
      </c>
      <c r="G78" s="13">
        <f t="shared" si="601"/>
        <v>0</v>
      </c>
      <c r="H78" s="13">
        <f t="shared" si="601"/>
        <v>0</v>
      </c>
      <c r="I78" s="13">
        <f t="shared" si="601"/>
        <v>0</v>
      </c>
      <c r="J78" s="13">
        <f t="shared" si="601"/>
        <v>0</v>
      </c>
      <c r="K78" s="13">
        <f t="shared" si="601"/>
        <v>0</v>
      </c>
      <c r="L78" s="13">
        <f t="shared" si="601"/>
        <v>0</v>
      </c>
      <c r="M78" s="13">
        <f t="shared" si="601"/>
        <v>0</v>
      </c>
      <c r="N78" s="13">
        <f t="shared" si="601"/>
        <v>0</v>
      </c>
      <c r="O78" s="13">
        <f t="shared" si="601"/>
        <v>0</v>
      </c>
      <c r="P78" s="13">
        <f t="shared" si="601"/>
        <v>0</v>
      </c>
      <c r="Q78" s="13">
        <f t="shared" si="601"/>
        <v>0</v>
      </c>
      <c r="R78" s="13">
        <f t="shared" si="601"/>
        <v>0</v>
      </c>
      <c r="S78" s="13">
        <f t="shared" si="601"/>
        <v>0</v>
      </c>
      <c r="T78" s="13">
        <f t="shared" si="601"/>
        <v>0</v>
      </c>
      <c r="U78" s="13">
        <f t="shared" si="601"/>
        <v>0</v>
      </c>
      <c r="V78" s="13">
        <f t="shared" si="601"/>
        <v>0</v>
      </c>
      <c r="W78" s="13">
        <f t="shared" si="601"/>
        <v>0</v>
      </c>
      <c r="X78" s="13">
        <f t="shared" si="601"/>
        <v>0</v>
      </c>
      <c r="Y78" s="13">
        <f t="shared" si="601"/>
        <v>0</v>
      </c>
      <c r="Z78" s="13">
        <f t="shared" si="601"/>
        <v>0</v>
      </c>
      <c r="AA78" s="13">
        <f t="shared" si="601"/>
        <v>0</v>
      </c>
      <c r="AB78" s="13">
        <f t="shared" si="601"/>
        <v>0</v>
      </c>
      <c r="AC78" s="13">
        <f t="shared" si="601"/>
        <v>0</v>
      </c>
      <c r="AD78" s="13">
        <f t="shared" si="601"/>
        <v>0</v>
      </c>
      <c r="AE78" s="13">
        <f t="shared" si="601"/>
        <v>0</v>
      </c>
      <c r="AF78" s="13">
        <f t="shared" si="601"/>
        <v>0</v>
      </c>
      <c r="AG78" s="13">
        <f t="shared" si="601"/>
        <v>0</v>
      </c>
      <c r="AH78" s="13">
        <f t="shared" si="601"/>
        <v>0</v>
      </c>
      <c r="AI78" s="13">
        <f t="shared" si="601"/>
        <v>0</v>
      </c>
      <c r="AJ78" s="13">
        <f t="shared" si="601"/>
        <v>0</v>
      </c>
      <c r="AK78" s="13">
        <f t="shared" si="601"/>
        <v>0</v>
      </c>
      <c r="AL78" s="13">
        <f t="shared" si="601"/>
        <v>0</v>
      </c>
      <c r="AM78" s="13">
        <f t="shared" si="601"/>
        <v>0</v>
      </c>
      <c r="AN78" s="13">
        <f t="shared" si="601"/>
        <v>0</v>
      </c>
      <c r="AO78" s="13">
        <f t="shared" si="601"/>
        <v>0</v>
      </c>
      <c r="AP78" s="13">
        <f t="shared" ref="AP78:BM78" si="602">SUM(AP8:AP13,AP15:AP17,AP19:AP25,AP28:AP37,AP39:AP41)-AP43</f>
        <v>0</v>
      </c>
      <c r="AQ78" s="13">
        <f t="shared" si="602"/>
        <v>0</v>
      </c>
      <c r="AR78" s="13">
        <f t="shared" si="602"/>
        <v>0</v>
      </c>
      <c r="AS78" s="13">
        <f t="shared" si="602"/>
        <v>0</v>
      </c>
      <c r="AT78" s="13">
        <f t="shared" si="602"/>
        <v>0</v>
      </c>
      <c r="AU78" s="13">
        <f t="shared" si="602"/>
        <v>0</v>
      </c>
      <c r="AV78" s="13">
        <f t="shared" si="602"/>
        <v>0</v>
      </c>
      <c r="AW78" s="13">
        <f t="shared" si="602"/>
        <v>0</v>
      </c>
      <c r="AX78" s="13">
        <f t="shared" si="602"/>
        <v>0</v>
      </c>
      <c r="AY78" s="13">
        <f t="shared" si="602"/>
        <v>0</v>
      </c>
      <c r="AZ78" s="13">
        <f t="shared" si="602"/>
        <v>0</v>
      </c>
      <c r="BA78" s="13">
        <f t="shared" si="602"/>
        <v>0</v>
      </c>
      <c r="BB78" s="13">
        <f t="shared" si="602"/>
        <v>0</v>
      </c>
      <c r="BC78" s="13">
        <f t="shared" si="602"/>
        <v>0</v>
      </c>
      <c r="BD78" s="13">
        <f t="shared" si="602"/>
        <v>0</v>
      </c>
      <c r="BE78" s="13">
        <f t="shared" si="602"/>
        <v>0</v>
      </c>
      <c r="BF78" s="13">
        <f t="shared" si="602"/>
        <v>0</v>
      </c>
      <c r="BG78" s="13">
        <f t="shared" si="602"/>
        <v>0</v>
      </c>
      <c r="BH78" s="13">
        <f t="shared" si="602"/>
        <v>0</v>
      </c>
      <c r="BI78" s="13">
        <f t="shared" si="602"/>
        <v>0</v>
      </c>
      <c r="BJ78" s="13">
        <f t="shared" si="602"/>
        <v>0</v>
      </c>
      <c r="BK78" s="13">
        <f t="shared" si="602"/>
        <v>0</v>
      </c>
      <c r="BL78" s="13">
        <f t="shared" si="602"/>
        <v>0</v>
      </c>
      <c r="BM78" s="13">
        <f t="shared" si="602"/>
        <v>0</v>
      </c>
      <c r="BN78" s="13">
        <f t="shared" ref="BN78:BY78" si="603">SUM(BN8:BN13,BN15:BN17,BN19:BN25,BN28:BN37,BN39:BN41)-BN43</f>
        <v>0</v>
      </c>
      <c r="BO78" s="13">
        <f t="shared" si="603"/>
        <v>0</v>
      </c>
      <c r="BP78" s="13">
        <f t="shared" si="603"/>
        <v>0</v>
      </c>
      <c r="BQ78" s="13">
        <f t="shared" si="603"/>
        <v>0</v>
      </c>
      <c r="BR78" s="13">
        <f t="shared" si="603"/>
        <v>0</v>
      </c>
      <c r="BS78" s="13">
        <f t="shared" si="603"/>
        <v>0</v>
      </c>
      <c r="BT78" s="13">
        <f t="shared" si="603"/>
        <v>0</v>
      </c>
      <c r="BU78" s="13">
        <f t="shared" si="603"/>
        <v>0</v>
      </c>
      <c r="BV78" s="13">
        <f t="shared" si="603"/>
        <v>0</v>
      </c>
      <c r="BW78" s="13">
        <f t="shared" si="603"/>
        <v>0</v>
      </c>
      <c r="BX78" s="13">
        <f t="shared" si="603"/>
        <v>0</v>
      </c>
      <c r="BY78" s="13">
        <f t="shared" si="603"/>
        <v>0</v>
      </c>
    </row>
    <row r="79" spans="1:77" x14ac:dyDescent="0.3">
      <c r="B79" t="s">
        <v>229</v>
      </c>
      <c r="D79" s="13">
        <f t="shared" ref="D79:Q79" si="604">SUM(D45:D48,D50:D59,D62:D67,D70:D72)-D74</f>
        <v>0</v>
      </c>
      <c r="E79" s="13">
        <f t="shared" si="604"/>
        <v>0</v>
      </c>
      <c r="F79" s="13">
        <f t="shared" si="604"/>
        <v>0</v>
      </c>
      <c r="G79" s="13">
        <f t="shared" si="604"/>
        <v>0</v>
      </c>
      <c r="H79" s="13">
        <f t="shared" si="604"/>
        <v>0</v>
      </c>
      <c r="I79" s="13">
        <f t="shared" si="604"/>
        <v>0</v>
      </c>
      <c r="J79" s="13">
        <f t="shared" si="604"/>
        <v>0</v>
      </c>
      <c r="K79" s="13">
        <f t="shared" si="604"/>
        <v>0</v>
      </c>
      <c r="L79" s="13">
        <f t="shared" si="604"/>
        <v>0</v>
      </c>
      <c r="M79" s="13">
        <f t="shared" si="604"/>
        <v>0</v>
      </c>
      <c r="N79" s="13">
        <f t="shared" si="604"/>
        <v>0</v>
      </c>
      <c r="O79" s="13">
        <f t="shared" si="604"/>
        <v>0</v>
      </c>
      <c r="P79" s="13">
        <f t="shared" si="604"/>
        <v>0</v>
      </c>
      <c r="Q79" s="13">
        <f t="shared" si="604"/>
        <v>0</v>
      </c>
      <c r="R79" s="13">
        <f>SUM(R45:R48,R50:R59,R62:R67,R70:R72)-R74</f>
        <v>0</v>
      </c>
      <c r="S79" s="13">
        <f t="shared" ref="S79:AO79" si="605">SUM(S45:S48,S50:S59,S62:S67,S70:S72)-S74</f>
        <v>0</v>
      </c>
      <c r="T79" s="13">
        <f t="shared" si="605"/>
        <v>0</v>
      </c>
      <c r="U79" s="13">
        <f t="shared" si="605"/>
        <v>0</v>
      </c>
      <c r="V79" s="13">
        <f t="shared" si="605"/>
        <v>0</v>
      </c>
      <c r="W79" s="13">
        <f t="shared" si="605"/>
        <v>0</v>
      </c>
      <c r="X79" s="13">
        <f t="shared" si="605"/>
        <v>0</v>
      </c>
      <c r="Y79" s="13">
        <f t="shared" si="605"/>
        <v>0</v>
      </c>
      <c r="Z79" s="13">
        <f t="shared" si="605"/>
        <v>0</v>
      </c>
      <c r="AA79" s="13">
        <f t="shared" si="605"/>
        <v>0</v>
      </c>
      <c r="AB79" s="13">
        <f t="shared" si="605"/>
        <v>0</v>
      </c>
      <c r="AC79" s="13">
        <f t="shared" si="605"/>
        <v>0</v>
      </c>
      <c r="AD79" s="13">
        <f t="shared" si="605"/>
        <v>0</v>
      </c>
      <c r="AE79" s="13">
        <f t="shared" si="605"/>
        <v>0</v>
      </c>
      <c r="AF79" s="13">
        <f t="shared" si="605"/>
        <v>0</v>
      </c>
      <c r="AG79" s="13">
        <f t="shared" si="605"/>
        <v>0</v>
      </c>
      <c r="AH79" s="13">
        <f t="shared" si="605"/>
        <v>0</v>
      </c>
      <c r="AI79" s="13">
        <f t="shared" si="605"/>
        <v>0</v>
      </c>
      <c r="AJ79" s="13">
        <f t="shared" si="605"/>
        <v>0</v>
      </c>
      <c r="AK79" s="13">
        <f t="shared" si="605"/>
        <v>0</v>
      </c>
      <c r="AL79" s="13">
        <f t="shared" si="605"/>
        <v>0</v>
      </c>
      <c r="AM79" s="13">
        <f t="shared" si="605"/>
        <v>0</v>
      </c>
      <c r="AN79" s="13">
        <f t="shared" si="605"/>
        <v>0</v>
      </c>
      <c r="AO79" s="13">
        <f t="shared" si="605"/>
        <v>0</v>
      </c>
      <c r="AP79" s="13">
        <f t="shared" ref="AP79:BM79" si="606">SUM(AP45:AP48,AP50:AP59,AP62:AP67,AP70:AP72)-AP74</f>
        <v>0</v>
      </c>
      <c r="AQ79" s="13">
        <f t="shared" si="606"/>
        <v>0</v>
      </c>
      <c r="AR79" s="13">
        <f t="shared" si="606"/>
        <v>0</v>
      </c>
      <c r="AS79" s="13">
        <f t="shared" si="606"/>
        <v>0</v>
      </c>
      <c r="AT79" s="13">
        <f t="shared" si="606"/>
        <v>0</v>
      </c>
      <c r="AU79" s="13">
        <f t="shared" si="606"/>
        <v>0</v>
      </c>
      <c r="AV79" s="13">
        <f t="shared" si="606"/>
        <v>0</v>
      </c>
      <c r="AW79" s="13">
        <f t="shared" si="606"/>
        <v>0</v>
      </c>
      <c r="AX79" s="13">
        <f t="shared" si="606"/>
        <v>0</v>
      </c>
      <c r="AY79" s="13">
        <f t="shared" si="606"/>
        <v>0</v>
      </c>
      <c r="AZ79" s="13">
        <f t="shared" si="606"/>
        <v>0</v>
      </c>
      <c r="BA79" s="13">
        <f t="shared" si="606"/>
        <v>0</v>
      </c>
      <c r="BB79" s="13">
        <f t="shared" si="606"/>
        <v>0</v>
      </c>
      <c r="BC79" s="13">
        <f t="shared" si="606"/>
        <v>0</v>
      </c>
      <c r="BD79" s="13">
        <f t="shared" si="606"/>
        <v>0</v>
      </c>
      <c r="BE79" s="13">
        <f t="shared" si="606"/>
        <v>0</v>
      </c>
      <c r="BF79" s="13">
        <f t="shared" si="606"/>
        <v>0</v>
      </c>
      <c r="BG79" s="13">
        <f t="shared" si="606"/>
        <v>0</v>
      </c>
      <c r="BH79" s="13">
        <f t="shared" si="606"/>
        <v>0</v>
      </c>
      <c r="BI79" s="13">
        <f t="shared" si="606"/>
        <v>0</v>
      </c>
      <c r="BJ79" s="13">
        <f t="shared" si="606"/>
        <v>0</v>
      </c>
      <c r="BK79" s="13">
        <f t="shared" si="606"/>
        <v>0</v>
      </c>
      <c r="BL79" s="13">
        <f t="shared" si="606"/>
        <v>0</v>
      </c>
      <c r="BM79" s="13">
        <f t="shared" si="606"/>
        <v>0</v>
      </c>
      <c r="BN79" s="13">
        <f t="shared" ref="BN79:BY79" si="607">SUM(BN45:BN48,BN50:BN59,BN62:BN67,BN70:BN72)-BN74</f>
        <v>0</v>
      </c>
      <c r="BO79" s="13">
        <f t="shared" si="607"/>
        <v>0</v>
      </c>
      <c r="BP79" s="13">
        <f t="shared" si="607"/>
        <v>0</v>
      </c>
      <c r="BQ79" s="13">
        <f t="shared" si="607"/>
        <v>0</v>
      </c>
      <c r="BR79" s="13">
        <f t="shared" si="607"/>
        <v>0</v>
      </c>
      <c r="BS79" s="13">
        <f t="shared" si="607"/>
        <v>0</v>
      </c>
      <c r="BT79" s="13">
        <f t="shared" si="607"/>
        <v>0</v>
      </c>
      <c r="BU79" s="13">
        <f t="shared" si="607"/>
        <v>0</v>
      </c>
      <c r="BV79" s="13">
        <f t="shared" si="607"/>
        <v>0</v>
      </c>
      <c r="BW79" s="13">
        <f t="shared" si="607"/>
        <v>0</v>
      </c>
      <c r="BX79" s="13">
        <f t="shared" si="607"/>
        <v>0</v>
      </c>
      <c r="BY79" s="13">
        <f t="shared" si="607"/>
        <v>0</v>
      </c>
    </row>
    <row r="80" spans="1:77" x14ac:dyDescent="0.3">
      <c r="S80" s="13"/>
      <c r="T80" s="13"/>
      <c r="U80" s="13"/>
      <c r="V80" s="13"/>
      <c r="W80" s="13"/>
      <c r="AC80" s="13"/>
      <c r="AD80" s="13"/>
    </row>
    <row r="81" spans="1:77" x14ac:dyDescent="0.3">
      <c r="A81" s="1" t="s">
        <v>395</v>
      </c>
      <c r="S81" s="13"/>
      <c r="T81" s="13"/>
      <c r="U81" s="13"/>
      <c r="V81" s="13"/>
      <c r="W81" s="13"/>
    </row>
    <row r="82" spans="1:77" x14ac:dyDescent="0.3">
      <c r="B82" t="s">
        <v>225</v>
      </c>
      <c r="E82" s="13">
        <f t="shared" ref="E82:L82" si="608">(D18-E18+D26-E26+D40-E40)+(E61-D61+E63-D63)</f>
        <v>-207769.88000000006</v>
      </c>
      <c r="F82" s="13">
        <f t="shared" si="608"/>
        <v>-285255.53000000003</v>
      </c>
      <c r="G82" s="13">
        <f t="shared" si="608"/>
        <v>-15278.180000000008</v>
      </c>
      <c r="H82" s="13">
        <f t="shared" si="608"/>
        <v>-6295.93</v>
      </c>
      <c r="I82" s="13">
        <f t="shared" si="608"/>
        <v>-32839.61</v>
      </c>
      <c r="J82" s="13">
        <f t="shared" si="608"/>
        <v>113882.26</v>
      </c>
      <c r="K82" s="13">
        <f t="shared" si="608"/>
        <v>-79998.010000000009</v>
      </c>
      <c r="L82" s="13">
        <f t="shared" si="608"/>
        <v>415.77999999999884</v>
      </c>
      <c r="M82" s="13">
        <f t="shared" ref="M82:Y82" si="609">(L18-M18+L26-M26+L40-M40)+(M61-L61+M63-L63)</f>
        <v>-5800.3099999999904</v>
      </c>
      <c r="N82" s="13">
        <f t="shared" si="609"/>
        <v>147770.19</v>
      </c>
      <c r="O82" s="13">
        <f t="shared" si="609"/>
        <v>-45017.019999999982</v>
      </c>
      <c r="P82" s="13">
        <f t="shared" si="609"/>
        <v>318283.5</v>
      </c>
      <c r="Q82" s="13">
        <f t="shared" si="609"/>
        <v>-73447.859999999899</v>
      </c>
      <c r="R82" s="13">
        <f t="shared" si="609"/>
        <v>170976.66000000003</v>
      </c>
      <c r="S82" s="13">
        <f t="shared" si="609"/>
        <v>-288165.53000000003</v>
      </c>
      <c r="T82" s="13">
        <f t="shared" si="609"/>
        <v>-2687.8000000000466</v>
      </c>
      <c r="U82" s="13">
        <f t="shared" si="609"/>
        <v>-56455.80000000001</v>
      </c>
      <c r="V82" s="13">
        <f t="shared" si="609"/>
        <v>123734.61000000003</v>
      </c>
      <c r="W82" s="13">
        <f t="shared" si="609"/>
        <v>231317.79999999993</v>
      </c>
      <c r="X82" s="13">
        <f t="shared" si="609"/>
        <v>-256190.45999999993</v>
      </c>
      <c r="Y82" s="13">
        <f t="shared" si="609"/>
        <v>-28493.949999999997</v>
      </c>
      <c r="Z82" s="13">
        <f t="shared" ref="Z82:AO82" si="610">(Y18-Z18+Y26-Z26+Y40-Z40)+(Z61-Y61+Z63-Y63)</f>
        <v>-22712.75</v>
      </c>
      <c r="AA82" s="13">
        <f t="shared" si="610"/>
        <v>-296221.15000000002</v>
      </c>
      <c r="AB82" s="13">
        <f t="shared" si="610"/>
        <v>17941.199999999997</v>
      </c>
      <c r="AC82" s="13">
        <f t="shared" si="610"/>
        <v>219621.99467844141</v>
      </c>
      <c r="AD82" s="13">
        <f t="shared" si="610"/>
        <v>-299947.86693343369</v>
      </c>
      <c r="AE82" s="13">
        <f t="shared" si="610"/>
        <v>73336.002425937797</v>
      </c>
      <c r="AF82" s="13">
        <f t="shared" si="610"/>
        <v>41082.178776411485</v>
      </c>
      <c r="AG82" s="13">
        <f t="shared" si="610"/>
        <v>-37353.842318327312</v>
      </c>
      <c r="AH82" s="13">
        <f t="shared" si="610"/>
        <v>11104.234779041813</v>
      </c>
      <c r="AI82" s="13">
        <f t="shared" si="610"/>
        <v>-21377.748643628671</v>
      </c>
      <c r="AJ82" s="13">
        <f t="shared" si="610"/>
        <v>11566.672451489256</v>
      </c>
      <c r="AK82" s="13">
        <f t="shared" si="610"/>
        <v>2240.7692141034931</v>
      </c>
      <c r="AL82" s="13">
        <f t="shared" si="610"/>
        <v>-2311.9259685761645</v>
      </c>
      <c r="AM82" s="13">
        <f t="shared" si="610"/>
        <v>-5496.7760009962076</v>
      </c>
      <c r="AN82" s="13">
        <f t="shared" si="610"/>
        <v>2424.7663497184985</v>
      </c>
      <c r="AO82" s="13">
        <f t="shared" si="610"/>
        <v>257983.65604056901</v>
      </c>
      <c r="AP82" s="13">
        <f t="shared" ref="AP82:BM82" si="611">(AO18-AP18+AO26-AP26+AO40-AP40)+(AP61-AO61+AP63-AO63)</f>
        <v>-326302.72109417641</v>
      </c>
      <c r="AQ82" s="13">
        <f t="shared" si="611"/>
        <v>81670.045470419602</v>
      </c>
      <c r="AR82" s="13">
        <f t="shared" si="611"/>
        <v>36903.154700600484</v>
      </c>
      <c r="AS82" s="13">
        <f t="shared" si="611"/>
        <v>-31675.053620663297</v>
      </c>
      <c r="AT82" s="13">
        <f t="shared" si="611"/>
        <v>11410.034572106582</v>
      </c>
      <c r="AU82" s="13">
        <f t="shared" si="611"/>
        <v>-23659.757904898957</v>
      </c>
      <c r="AV82" s="13">
        <f t="shared" si="611"/>
        <v>12091.745660627843</v>
      </c>
      <c r="AW82" s="13">
        <f t="shared" si="611"/>
        <v>-1936.2998800743371</v>
      </c>
      <c r="AX82" s="13">
        <f t="shared" si="611"/>
        <v>587.7467317217961</v>
      </c>
      <c r="AY82" s="13">
        <f t="shared" si="611"/>
        <v>-6945.1642784799333</v>
      </c>
      <c r="AZ82" s="13">
        <f t="shared" si="611"/>
        <v>1917.1863775142119</v>
      </c>
      <c r="BA82" s="13">
        <f t="shared" si="611"/>
        <v>283092.35745953582</v>
      </c>
      <c r="BB82" s="13">
        <f t="shared" si="611"/>
        <v>-360988.21747576969</v>
      </c>
      <c r="BC82" s="13">
        <f t="shared" si="611"/>
        <v>84681.572626245237</v>
      </c>
      <c r="BD82" s="13">
        <f t="shared" si="611"/>
        <v>37176.64850322649</v>
      </c>
      <c r="BE82" s="13">
        <f t="shared" si="611"/>
        <v>-33055.65712834298</v>
      </c>
      <c r="BF82" s="13">
        <f t="shared" si="611"/>
        <v>11780.303534807113</v>
      </c>
      <c r="BG82" s="13">
        <f t="shared" si="611"/>
        <v>-24397.436363529036</v>
      </c>
      <c r="BH82" s="13">
        <f t="shared" si="611"/>
        <v>12453.648725138803</v>
      </c>
      <c r="BI82" s="13">
        <f t="shared" si="611"/>
        <v>2371.3290414449293</v>
      </c>
      <c r="BJ82" s="13">
        <f t="shared" si="611"/>
        <v>-3760.6891382910835</v>
      </c>
      <c r="BK82" s="13">
        <f t="shared" si="611"/>
        <v>-7126.2353701596439</v>
      </c>
      <c r="BL82" s="13">
        <f t="shared" si="611"/>
        <v>1947.3000527693075</v>
      </c>
      <c r="BM82" s="13">
        <f t="shared" si="611"/>
        <v>296553.69933761912</v>
      </c>
      <c r="BN82" s="13">
        <f t="shared" ref="BN82:BY82" si="612">(BM18-BN18+BM26-BN26+BM40-BN40)+(BN61-BM61+BN63-BM63)</f>
        <v>-377982.30321740021</v>
      </c>
      <c r="BO82" s="13">
        <f t="shared" si="612"/>
        <v>87221.765358559496</v>
      </c>
      <c r="BP82" s="13">
        <f t="shared" si="612"/>
        <v>38029.212474581145</v>
      </c>
      <c r="BQ82" s="13">
        <f t="shared" si="612"/>
        <v>-33784.925809273496</v>
      </c>
      <c r="BR82" s="13">
        <f t="shared" si="612"/>
        <v>12120.967806564324</v>
      </c>
      <c r="BS82" s="13">
        <f t="shared" si="612"/>
        <v>-25116.964965774328</v>
      </c>
      <c r="BT82" s="13">
        <f t="shared" si="612"/>
        <v>12827.058903634897</v>
      </c>
      <c r="BU82" s="13">
        <f t="shared" si="612"/>
        <v>2401.7525183343969</v>
      </c>
      <c r="BV82" s="13">
        <f t="shared" si="612"/>
        <v>-3833.2015765916731</v>
      </c>
      <c r="BW82" s="13">
        <f t="shared" si="612"/>
        <v>-7352.8196678464592</v>
      </c>
      <c r="BX82" s="13">
        <f t="shared" si="612"/>
        <v>2018.1444977724168</v>
      </c>
      <c r="BY82" s="13">
        <f t="shared" si="612"/>
        <v>305437.51696410403</v>
      </c>
    </row>
    <row r="83" spans="1:77" x14ac:dyDescent="0.3">
      <c r="B83" t="s">
        <v>230</v>
      </c>
      <c r="E83" s="13">
        <f>(D38-E38)+(E37-D37)</f>
        <v>-16303</v>
      </c>
      <c r="F83" s="13">
        <f t="shared" ref="F83:O83" si="613">(E38-F38)+(F37-E37)</f>
        <v>0</v>
      </c>
      <c r="G83" s="13">
        <f t="shared" si="613"/>
        <v>-14800</v>
      </c>
      <c r="H83" s="13">
        <f t="shared" si="613"/>
        <v>3.637978807091713E-12</v>
      </c>
      <c r="I83" s="13">
        <f t="shared" si="613"/>
        <v>-5200.0000000000036</v>
      </c>
      <c r="J83" s="13">
        <f t="shared" si="613"/>
        <v>-88908.089999999982</v>
      </c>
      <c r="K83" s="13">
        <f t="shared" si="613"/>
        <v>-5000.0000000000036</v>
      </c>
      <c r="L83" s="13">
        <f t="shared" si="613"/>
        <v>-1.8189894035458565E-12</v>
      </c>
      <c r="M83" s="13">
        <f t="shared" si="613"/>
        <v>-3.637978807091713E-12</v>
      </c>
      <c r="N83" s="13">
        <f t="shared" si="613"/>
        <v>-260271.32000000004</v>
      </c>
      <c r="O83" s="13">
        <f t="shared" si="613"/>
        <v>-7010.5699999999324</v>
      </c>
      <c r="P83" s="13">
        <f t="shared" ref="P83" si="614">(O38-P38)+(P37-O37)</f>
        <v>0</v>
      </c>
      <c r="Q83" s="13">
        <f t="shared" ref="Q83:Y83" si="615">(P38-Q38)+(Q37-P37)</f>
        <v>-6198689.7700000005</v>
      </c>
      <c r="R83" s="13">
        <f t="shared" si="615"/>
        <v>-38867.150000000489</v>
      </c>
      <c r="S83" s="13">
        <f t="shared" si="615"/>
        <v>-18291.149999998917</v>
      </c>
      <c r="T83" s="13">
        <f t="shared" si="615"/>
        <v>-50356.740000000631</v>
      </c>
      <c r="U83" s="13">
        <f t="shared" si="615"/>
        <v>5.2386894822120667E-10</v>
      </c>
      <c r="V83" s="13">
        <f t="shared" si="615"/>
        <v>-9200.0000000004075</v>
      </c>
      <c r="W83" s="13">
        <f t="shared" si="615"/>
        <v>5.2386894822120667E-10</v>
      </c>
      <c r="X83" s="13">
        <f t="shared" si="615"/>
        <v>-4.0745362639427185E-10</v>
      </c>
      <c r="Y83" s="13">
        <f t="shared" si="615"/>
        <v>-4.0745362639427185E-10</v>
      </c>
      <c r="Z83" s="13">
        <f t="shared" ref="Z83" si="616">(Y38-Z38)+(Z37-Y37)</f>
        <v>5.2386894822120667E-10</v>
      </c>
      <c r="AA83" s="13">
        <f t="shared" ref="AA83" si="617">(Z38-AA38)+(AA37-Z37)</f>
        <v>-17801.540000000328</v>
      </c>
      <c r="AB83" s="13">
        <f t="shared" ref="AB83" si="618">(AA38-AB38)+(AB37-AA37)</f>
        <v>2.9103830456733704E-10</v>
      </c>
      <c r="AC83" s="13">
        <f t="shared" ref="AC83" si="619">(AB38-AC38)+(AC37-AB37)</f>
        <v>-4.0745362639427185E-10</v>
      </c>
      <c r="AD83" s="13">
        <f t="shared" ref="AD83" si="620">(AC38-AD38)+(AD37-AC37)</f>
        <v>-3789750.5828571445</v>
      </c>
      <c r="AE83" s="13">
        <f t="shared" ref="AE83" si="621">(AD38-AE38)+(AE37-AD37)</f>
        <v>25452.287142856047</v>
      </c>
      <c r="AF83" s="13">
        <f t="shared" ref="AF83" si="622">(AE38-AF38)+(AF37-AE37)</f>
        <v>21461.810952382162</v>
      </c>
      <c r="AG83" s="13">
        <f t="shared" ref="AG83" si="623">(AF38-AG38)+(AG37-AF37)</f>
        <v>21471.334761904553</v>
      </c>
      <c r="AH83" s="13">
        <f t="shared" ref="AH83" si="624">(AG38-AH38)+(AH37-AG37)</f>
        <v>9509.429999999702</v>
      </c>
      <c r="AI83" s="13">
        <f t="shared" ref="AI83" si="625">(AH38-AI38)+(AI37-AH37)</f>
        <v>-781097.38317192532</v>
      </c>
      <c r="AJ83" s="13">
        <f t="shared" ref="AJ83" si="626">(AI38-AJ38)+(AJ37-AI37)</f>
        <v>-779172.30724550039</v>
      </c>
      <c r="AK83" s="13">
        <f t="shared" ref="AK83" si="627">(AJ38-AK38)+(AK37-AJ37)</f>
        <v>-777247.23131907731</v>
      </c>
      <c r="AL83" s="13">
        <f t="shared" ref="AL83" si="628">(AK38-AL38)+(AL37-AK37)</f>
        <v>-775322.15539265051</v>
      </c>
      <c r="AM83" s="13">
        <f t="shared" ref="AM83" si="629">(AL38-AM38)+(AM37-AL37)</f>
        <v>-773397.07946622744</v>
      </c>
      <c r="AN83" s="13">
        <f t="shared" ref="AN83" si="630">(AM38-AN38)+(AN37-AM37)</f>
        <v>-771472.00353980064</v>
      </c>
      <c r="AO83" s="13">
        <f t="shared" ref="AO83" si="631">(AN38-AO38)+(AO37-AN37)</f>
        <v>-769546.92761337757</v>
      </c>
      <c r="AP83" s="13">
        <f t="shared" ref="AP83" si="632">(AO38-AP38)+(AP37-AO37)</f>
        <v>-766881.04054550454</v>
      </c>
      <c r="AQ83" s="13">
        <f t="shared" ref="AQ83" si="633">(AP38-AQ38)+(AQ37-AP37)</f>
        <v>-764957.73266476765</v>
      </c>
      <c r="AR83" s="13">
        <f t="shared" ref="AR83" si="634">(AQ38-AR38)+(AR37-AQ37)</f>
        <v>-763034.42478402331</v>
      </c>
      <c r="AS83" s="13">
        <f t="shared" ref="AS83" si="635">(AR38-AS38)+(AS37-AR37)</f>
        <v>-761111.11690328643</v>
      </c>
      <c r="AT83" s="13">
        <f t="shared" ref="AT83" si="636">(AS38-AT38)+(AT37-AS37)</f>
        <v>38364.700944446027</v>
      </c>
      <c r="AU83" s="13">
        <f t="shared" ref="AU83" si="637">(AT38-AU38)+(AU37-AT37)</f>
        <v>38384.542214285582</v>
      </c>
      <c r="AV83" s="13">
        <f t="shared" ref="AV83" si="638">(AU38-AV38)+(AV37-AU37)</f>
        <v>38404.383484128863</v>
      </c>
      <c r="AW83" s="13">
        <f t="shared" ref="AW83" si="639">(AV38-AW38)+(AW37-AV37)</f>
        <v>38424.224753968418</v>
      </c>
      <c r="AX83" s="13">
        <f t="shared" ref="AX83" si="640">(AW38-AX38)+(AX37-AW37)</f>
        <v>38444.066023811698</v>
      </c>
      <c r="AY83" s="13">
        <f t="shared" ref="AY83" si="641">(AX38-AY38)+(AY37-AX37)</f>
        <v>38463.907293651253</v>
      </c>
      <c r="AZ83" s="13">
        <f t="shared" ref="AZ83" si="642">(AY38-AZ38)+(AZ37-AY37)</f>
        <v>38483.748563494533</v>
      </c>
      <c r="BA83" s="13">
        <f t="shared" ref="BA83" si="643">(AZ38-BA38)+(BA37-AZ37)</f>
        <v>38503.589833334088</v>
      </c>
      <c r="BB83" s="13">
        <f t="shared" ref="BB83" si="644">(BA38-BB38)+(BB37-BA37)</f>
        <v>38523.431103177369</v>
      </c>
      <c r="BC83" s="13">
        <f t="shared" ref="BC83" si="645">(BB38-BC38)+(BC37-BB37)</f>
        <v>38543.272373016924</v>
      </c>
      <c r="BD83" s="13">
        <f t="shared" ref="BD83" si="646">(BC38-BD38)+(BD37-BC37)</f>
        <v>38563.113642856479</v>
      </c>
      <c r="BE83" s="13">
        <f t="shared" ref="BE83" si="647">(BD38-BE38)+(BE37-BD37)</f>
        <v>38582.954912699759</v>
      </c>
      <c r="BF83" s="13">
        <f t="shared" ref="BF83" si="648">(BE38-BF38)+(BF37-BE37)</f>
        <v>38602.796182543039</v>
      </c>
      <c r="BG83" s="13">
        <f t="shared" ref="BG83" si="649">(BF38-BG38)+(BG37-BF37)</f>
        <v>38622.637452382594</v>
      </c>
      <c r="BH83" s="13">
        <f t="shared" ref="BH83" si="650">(BG38-BH38)+(BH37-BG37)</f>
        <v>38642.478722222149</v>
      </c>
      <c r="BI83" s="13">
        <f t="shared" ref="BI83" si="651">(BH38-BI38)+(BI37-BH37)</f>
        <v>38662.31999206543</v>
      </c>
      <c r="BJ83" s="13">
        <f t="shared" ref="BJ83" si="652">(BI38-BJ38)+(BJ37-BI37)</f>
        <v>38682.161261904985</v>
      </c>
      <c r="BK83" s="13">
        <f t="shared" ref="BK83" si="653">(BJ38-BK38)+(BK37-BJ37)</f>
        <v>38702.002531748265</v>
      </c>
      <c r="BL83" s="13">
        <f t="shared" ref="BL83" si="654">(BK38-BL38)+(BL37-BK37)</f>
        <v>38721.84380158782</v>
      </c>
      <c r="BM83" s="13">
        <f t="shared" ref="BM83" si="655">(BL38-BM38)+(BM37-BL37)</f>
        <v>38741.6850714311</v>
      </c>
      <c r="BN83" s="13">
        <f t="shared" ref="BN83" si="656">(BM38-BN38)+(BN37-BM37)</f>
        <v>38761.526341270655</v>
      </c>
      <c r="BO83" s="13">
        <f t="shared" ref="BO83" si="657">(BN38-BO38)+(BO37-BN37)</f>
        <v>38781.36761111021</v>
      </c>
      <c r="BP83" s="13">
        <f t="shared" ref="BP83" si="658">(BO38-BP38)+(BP37-BO37)</f>
        <v>38801.208880953491</v>
      </c>
      <c r="BQ83" s="13">
        <f t="shared" ref="BQ83" si="659">(BP38-BQ38)+(BQ37-BP37)</f>
        <v>38821.050150796771</v>
      </c>
      <c r="BR83" s="13">
        <f t="shared" ref="BR83" si="660">(BQ38-BR38)+(BR37-BQ37)</f>
        <v>38840.891420636326</v>
      </c>
      <c r="BS83" s="13">
        <f t="shared" ref="BS83" si="661">(BR38-BS38)+(BS37-BR37)</f>
        <v>38860.732690475881</v>
      </c>
      <c r="BT83" s="13">
        <f t="shared" ref="BT83" si="662">(BS38-BT38)+(BT37-BS37)</f>
        <v>38880.573960319161</v>
      </c>
      <c r="BU83" s="13">
        <f t="shared" ref="BU83" si="663">(BT38-BU38)+(BU37-BT37)</f>
        <v>38900.415230158716</v>
      </c>
      <c r="BV83" s="13">
        <f t="shared" ref="BV83" si="664">(BU38-BV38)+(BV37-BU37)</f>
        <v>38920.256500001997</v>
      </c>
      <c r="BW83" s="13">
        <f t="shared" ref="BW83" si="665">(BV38-BW38)+(BW37-BV37)</f>
        <v>38940.097769841552</v>
      </c>
      <c r="BX83" s="13">
        <f t="shared" ref="BX83" si="666">(BW38-BX38)+(BX37-BW37)</f>
        <v>38959.939039684832</v>
      </c>
      <c r="BY83" s="13">
        <f t="shared" ref="BY83" si="667">(BX38-BY38)+(BY37-BX37)</f>
        <v>38979.780309524387</v>
      </c>
    </row>
    <row r="84" spans="1:77" x14ac:dyDescent="0.3">
      <c r="B84" t="s">
        <v>393</v>
      </c>
      <c r="F84" s="378"/>
      <c r="G84" s="378"/>
      <c r="H84" s="378"/>
      <c r="I84" s="378"/>
      <c r="J84" s="378"/>
      <c r="K84" s="378"/>
      <c r="L84" s="378"/>
      <c r="M84" s="378"/>
      <c r="N84" s="378"/>
      <c r="O84" s="378"/>
      <c r="P84" s="378"/>
      <c r="Q84" s="378"/>
      <c r="R84" s="378">
        <f>R48/'DCS Detail'!Q166*DAY(R5)</f>
        <v>20.498399283914139</v>
      </c>
      <c r="S84" s="378">
        <f>S48/'DCS Detail'!R166*DAY(S5)</f>
        <v>7.5143779223975233</v>
      </c>
      <c r="T84" s="378">
        <f>T48/'DCS Detail'!S166*DAY(T5)</f>
        <v>5.4168394517003282</v>
      </c>
      <c r="U84" s="378">
        <f>U48/'DCS Detail'!T166*DAY(U5)</f>
        <v>8.1557237787129697</v>
      </c>
      <c r="V84" s="378">
        <f>V48/'DCS Detail'!U166*DAY(V5)</f>
        <v>10.719501589938886</v>
      </c>
      <c r="W84" s="378">
        <f>W48/'DCS Detail'!V166*DAY(W5)</f>
        <v>12.532740931996308</v>
      </c>
      <c r="X84" s="378">
        <f>X48/'DCS Detail'!W166*DAY(X5)</f>
        <v>14.043478897516703</v>
      </c>
      <c r="Y84" s="378">
        <f>Y48/'DCS Detail'!X166*DAY(Y5)</f>
        <v>6.8613039572344867</v>
      </c>
      <c r="Z84" s="378">
        <f>Z48/'DCS Detail'!Y166*DAY(Z5)</f>
        <v>12.918860199437169</v>
      </c>
      <c r="AA84" s="378">
        <f>AA48/'DCS Detail'!Z166*DAY(AA5)</f>
        <v>7.0717511029503912</v>
      </c>
      <c r="AB84" s="378">
        <f>AB48/'DCS Detail'!AA166*DAY(AB5)</f>
        <v>9.4584712072261379</v>
      </c>
      <c r="AC84" s="28">
        <v>10</v>
      </c>
      <c r="AD84" s="28">
        <v>10</v>
      </c>
      <c r="AE84" s="28">
        <v>10</v>
      </c>
      <c r="AF84" s="28">
        <v>10</v>
      </c>
      <c r="AG84" s="28">
        <v>10</v>
      </c>
      <c r="AH84" s="28">
        <v>10</v>
      </c>
      <c r="AI84" s="28">
        <v>10</v>
      </c>
      <c r="AJ84" s="28">
        <v>10</v>
      </c>
      <c r="AK84" s="28">
        <v>10</v>
      </c>
      <c r="AL84" s="28">
        <v>10</v>
      </c>
      <c r="AM84" s="28">
        <v>10</v>
      </c>
      <c r="AN84" s="28">
        <v>10</v>
      </c>
      <c r="AO84" s="28">
        <v>10</v>
      </c>
      <c r="AP84" s="28">
        <v>10</v>
      </c>
      <c r="AQ84" s="28">
        <v>10</v>
      </c>
      <c r="AR84" s="28">
        <v>10</v>
      </c>
      <c r="AS84" s="28">
        <v>10</v>
      </c>
      <c r="AT84" s="28">
        <v>10</v>
      </c>
      <c r="AU84" s="28">
        <v>10</v>
      </c>
      <c r="AV84" s="28">
        <v>10</v>
      </c>
      <c r="AW84" s="28">
        <v>10</v>
      </c>
      <c r="AX84" s="28">
        <v>10</v>
      </c>
      <c r="AY84" s="28">
        <v>10</v>
      </c>
      <c r="AZ84" s="28">
        <v>10</v>
      </c>
      <c r="BA84" s="28">
        <v>10</v>
      </c>
      <c r="BB84" s="28">
        <v>10</v>
      </c>
      <c r="BC84" s="28">
        <v>10</v>
      </c>
      <c r="BD84" s="28">
        <v>10</v>
      </c>
      <c r="BE84" s="28">
        <v>10</v>
      </c>
      <c r="BF84" s="28">
        <v>10</v>
      </c>
      <c r="BG84" s="28">
        <v>10</v>
      </c>
      <c r="BH84" s="28">
        <v>10</v>
      </c>
      <c r="BI84" s="28">
        <v>10</v>
      </c>
      <c r="BJ84" s="28">
        <v>10</v>
      </c>
      <c r="BK84" s="28">
        <v>10</v>
      </c>
      <c r="BL84" s="28">
        <v>10</v>
      </c>
      <c r="BM84" s="28">
        <v>10</v>
      </c>
      <c r="BN84" s="28">
        <v>10</v>
      </c>
      <c r="BO84" s="28">
        <v>10</v>
      </c>
      <c r="BP84" s="28">
        <v>10</v>
      </c>
      <c r="BQ84" s="28">
        <v>10</v>
      </c>
      <c r="BR84" s="28">
        <v>10</v>
      </c>
      <c r="BS84" s="28">
        <v>10</v>
      </c>
      <c r="BT84" s="28">
        <v>10</v>
      </c>
      <c r="BU84" s="28">
        <v>10</v>
      </c>
      <c r="BV84" s="28">
        <v>10</v>
      </c>
      <c r="BW84" s="28">
        <v>10</v>
      </c>
      <c r="BX84" s="28">
        <v>10</v>
      </c>
      <c r="BY84" s="28">
        <v>10</v>
      </c>
    </row>
    <row r="85" spans="1:77" x14ac:dyDescent="0.3">
      <c r="B85" t="s">
        <v>396</v>
      </c>
      <c r="Z85" s="434">
        <v>23.5</v>
      </c>
      <c r="AA85" s="434">
        <v>23.5</v>
      </c>
      <c r="AB85" s="434">
        <v>23.5</v>
      </c>
      <c r="AC85" s="434">
        <v>23.5</v>
      </c>
      <c r="AD85" s="438">
        <f>IF('Hillpointe Detail'!$B$291="red hook",23.5,35)</f>
        <v>35</v>
      </c>
      <c r="AE85" s="439">
        <f>AD85</f>
        <v>35</v>
      </c>
      <c r="AF85" s="439">
        <f t="shared" ref="AF85:BY85" si="668">AE85</f>
        <v>35</v>
      </c>
      <c r="AG85" s="439">
        <f t="shared" si="668"/>
        <v>35</v>
      </c>
      <c r="AH85" s="439">
        <f t="shared" si="668"/>
        <v>35</v>
      </c>
      <c r="AI85" s="439">
        <f t="shared" si="668"/>
        <v>35</v>
      </c>
      <c r="AJ85" s="439">
        <f t="shared" si="668"/>
        <v>35</v>
      </c>
      <c r="AK85" s="439">
        <f t="shared" si="668"/>
        <v>35</v>
      </c>
      <c r="AL85" s="439">
        <f t="shared" si="668"/>
        <v>35</v>
      </c>
      <c r="AM85" s="439">
        <f t="shared" si="668"/>
        <v>35</v>
      </c>
      <c r="AN85" s="439">
        <f t="shared" si="668"/>
        <v>35</v>
      </c>
      <c r="AO85" s="439">
        <f t="shared" si="668"/>
        <v>35</v>
      </c>
      <c r="AP85" s="439">
        <f t="shared" si="668"/>
        <v>35</v>
      </c>
      <c r="AQ85" s="439">
        <f t="shared" si="668"/>
        <v>35</v>
      </c>
      <c r="AR85" s="439">
        <f t="shared" si="668"/>
        <v>35</v>
      </c>
      <c r="AS85" s="439">
        <f t="shared" si="668"/>
        <v>35</v>
      </c>
      <c r="AT85" s="439">
        <f t="shared" si="668"/>
        <v>35</v>
      </c>
      <c r="AU85" s="439">
        <f t="shared" si="668"/>
        <v>35</v>
      </c>
      <c r="AV85" s="439">
        <f t="shared" si="668"/>
        <v>35</v>
      </c>
      <c r="AW85" s="439">
        <f t="shared" si="668"/>
        <v>35</v>
      </c>
      <c r="AX85" s="439">
        <f t="shared" si="668"/>
        <v>35</v>
      </c>
      <c r="AY85" s="439">
        <f t="shared" si="668"/>
        <v>35</v>
      </c>
      <c r="AZ85" s="439">
        <f t="shared" si="668"/>
        <v>35</v>
      </c>
      <c r="BA85" s="439">
        <f t="shared" si="668"/>
        <v>35</v>
      </c>
      <c r="BB85" s="439">
        <f t="shared" si="668"/>
        <v>35</v>
      </c>
      <c r="BC85" s="439">
        <f t="shared" si="668"/>
        <v>35</v>
      </c>
      <c r="BD85" s="439">
        <f t="shared" si="668"/>
        <v>35</v>
      </c>
      <c r="BE85" s="439">
        <f t="shared" si="668"/>
        <v>35</v>
      </c>
      <c r="BF85" s="439">
        <f t="shared" si="668"/>
        <v>35</v>
      </c>
      <c r="BG85" s="439">
        <f t="shared" si="668"/>
        <v>35</v>
      </c>
      <c r="BH85" s="439">
        <f t="shared" si="668"/>
        <v>35</v>
      </c>
      <c r="BI85" s="439">
        <f t="shared" si="668"/>
        <v>35</v>
      </c>
      <c r="BJ85" s="439">
        <f t="shared" si="668"/>
        <v>35</v>
      </c>
      <c r="BK85" s="439">
        <f t="shared" si="668"/>
        <v>35</v>
      </c>
      <c r="BL85" s="439">
        <f t="shared" si="668"/>
        <v>35</v>
      </c>
      <c r="BM85" s="439">
        <f t="shared" si="668"/>
        <v>35</v>
      </c>
      <c r="BN85" s="439">
        <f t="shared" si="668"/>
        <v>35</v>
      </c>
      <c r="BO85" s="439">
        <f t="shared" si="668"/>
        <v>35</v>
      </c>
      <c r="BP85" s="439">
        <f t="shared" si="668"/>
        <v>35</v>
      </c>
      <c r="BQ85" s="439">
        <f t="shared" si="668"/>
        <v>35</v>
      </c>
      <c r="BR85" s="439">
        <f t="shared" si="668"/>
        <v>35</v>
      </c>
      <c r="BS85" s="439">
        <f t="shared" si="668"/>
        <v>35</v>
      </c>
      <c r="BT85" s="439">
        <f t="shared" si="668"/>
        <v>35</v>
      </c>
      <c r="BU85" s="439">
        <f t="shared" si="668"/>
        <v>35</v>
      </c>
      <c r="BV85" s="439">
        <f t="shared" si="668"/>
        <v>35</v>
      </c>
      <c r="BW85" s="439">
        <f t="shared" si="668"/>
        <v>35</v>
      </c>
      <c r="BX85" s="439">
        <f t="shared" si="668"/>
        <v>35</v>
      </c>
      <c r="BY85" s="439">
        <f t="shared" si="668"/>
        <v>35</v>
      </c>
    </row>
    <row r="86" spans="1:77" x14ac:dyDescent="0.3">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row>
    <row r="87" spans="1:77" x14ac:dyDescent="0.3">
      <c r="A87" s="1" t="s">
        <v>131</v>
      </c>
    </row>
    <row r="88" spans="1:77" x14ac:dyDescent="0.3">
      <c r="B88" t="s">
        <v>121</v>
      </c>
      <c r="D88" s="6">
        <f>IF(D$5=Support!$A$17,1,0)</f>
        <v>0</v>
      </c>
      <c r="E88" s="6">
        <f>IF(E$5=Support!$A$17,1,0)</f>
        <v>0</v>
      </c>
      <c r="F88" s="6"/>
      <c r="G88" s="6"/>
      <c r="H88" s="6"/>
      <c r="I88" s="6"/>
      <c r="J88" s="6"/>
      <c r="K88" s="6">
        <f>IF(K$5=Support!$A$17,1,0)</f>
        <v>0</v>
      </c>
      <c r="L88" s="6">
        <f>IF(L$5=Support!$A$17,1,0)</f>
        <v>0</v>
      </c>
      <c r="M88" s="6">
        <f>IF(M$5=Support!$A$17,1,0)</f>
        <v>0</v>
      </c>
      <c r="N88" s="6">
        <f>IF(N$5=Support!$A$17,1,0)</f>
        <v>0</v>
      </c>
      <c r="O88" s="6">
        <f>IF(O$5=Support!$A$17,1,0)</f>
        <v>0</v>
      </c>
      <c r="P88" s="6">
        <f>IF(P$5=Support!$A$17,1,0)</f>
        <v>0</v>
      </c>
      <c r="Q88" s="6">
        <f>IF(Q$5=Support!$A$17,1,0)</f>
        <v>0</v>
      </c>
      <c r="R88" s="6">
        <f>IF(R$5=Support!$A$17,1,0)</f>
        <v>0</v>
      </c>
      <c r="S88" s="6">
        <f>IF(S$5=Support!$A$17,1,0)</f>
        <v>0</v>
      </c>
      <c r="T88" s="6">
        <f>IF(T$5=Support!$A$17,1,0)</f>
        <v>0</v>
      </c>
      <c r="U88" s="6">
        <f>IF(U$5=Support!$A$17,1,0)</f>
        <v>0</v>
      </c>
      <c r="V88" s="6">
        <f>IF(V$5=Support!$A$17,1,0)</f>
        <v>0</v>
      </c>
      <c r="W88" s="6">
        <f>IF(W$5=Support!$A$17,1,0)</f>
        <v>0</v>
      </c>
      <c r="X88" s="6">
        <f>IF(X$5=Support!$A$17,1,0)</f>
        <v>0</v>
      </c>
      <c r="Y88" s="6">
        <f>IF(Y$5=Support!$A$17,1,0)</f>
        <v>0</v>
      </c>
      <c r="Z88" s="6">
        <f>IF(Z$5=Support!$A$17,1,0)</f>
        <v>0</v>
      </c>
      <c r="AA88" s="6">
        <f>IF(AA$5=Support!$A$17,1,0)</f>
        <v>0</v>
      </c>
      <c r="AB88" s="6">
        <f>IF(AB$5=Support!$A$17,1,0)</f>
        <v>1</v>
      </c>
      <c r="AC88" s="6">
        <f>IF(AC$5=Support!$A$17,1,0)</f>
        <v>0</v>
      </c>
      <c r="AD88" s="6">
        <f>IF(AD$5=Support!$A$17,1,0)</f>
        <v>0</v>
      </c>
      <c r="AE88" s="6">
        <f>IF(AE$5=Support!$A$17,1,0)</f>
        <v>0</v>
      </c>
      <c r="AF88" s="6">
        <f>IF(AF$5=Support!$A$17,1,0)</f>
        <v>0</v>
      </c>
      <c r="AG88" s="6">
        <f>IF(AG$5=Support!$A$17,1,0)</f>
        <v>0</v>
      </c>
      <c r="AH88" s="6">
        <f>IF(AH$5=Support!$A$17,1,0)</f>
        <v>0</v>
      </c>
      <c r="AI88" s="6">
        <f>IF(AI$5=Support!$A$17,1,0)</f>
        <v>0</v>
      </c>
      <c r="AJ88" s="6">
        <f>IF(AJ$5=Support!$A$17,1,0)</f>
        <v>0</v>
      </c>
      <c r="AK88" s="6">
        <f>IF(AK$5=Support!$A$17,1,0)</f>
        <v>0</v>
      </c>
      <c r="AL88" s="6">
        <f>IF(AL$5=Support!$A$17,1,0)</f>
        <v>0</v>
      </c>
      <c r="AM88" s="6">
        <f>IF(AM$5=Support!$A$17,1,0)</f>
        <v>0</v>
      </c>
      <c r="AN88" s="6">
        <f>IF(AN$5=Support!$A$17,1,0)</f>
        <v>0</v>
      </c>
      <c r="AO88" s="6">
        <f>IF(AO$5=Support!$A$17,1,0)</f>
        <v>0</v>
      </c>
      <c r="AP88" s="6">
        <f>IF(AP$5=Support!$A$17,1,0)</f>
        <v>0</v>
      </c>
      <c r="AQ88" s="6">
        <f>IF(AQ$5=Support!$A$17,1,0)</f>
        <v>0</v>
      </c>
      <c r="AR88" s="6">
        <f>IF(AR$5=Support!$A$17,1,0)</f>
        <v>0</v>
      </c>
      <c r="AS88" s="6">
        <f>IF(AS$5=Support!$A$17,1,0)</f>
        <v>0</v>
      </c>
      <c r="AT88" s="6">
        <f>IF(AT$5=Support!$A$17,1,0)</f>
        <v>0</v>
      </c>
      <c r="AU88" s="6">
        <f>IF(AU$5=Support!$A$17,1,0)</f>
        <v>0</v>
      </c>
      <c r="AV88" s="6">
        <f>IF(AV$5=Support!$A$17,1,0)</f>
        <v>0</v>
      </c>
      <c r="AW88" s="6">
        <f>IF(AW$5=Support!$A$17,1,0)</f>
        <v>0</v>
      </c>
      <c r="AX88" s="6">
        <f>IF(AX$5=Support!$A$17,1,0)</f>
        <v>0</v>
      </c>
      <c r="AY88" s="6">
        <f>IF(AY$5=Support!$A$17,1,0)</f>
        <v>0</v>
      </c>
      <c r="AZ88" s="6">
        <f>IF(AZ$5=Support!$A$17,1,0)</f>
        <v>0</v>
      </c>
      <c r="BA88" s="6">
        <f>IF(BA$5=Support!$A$17,1,0)</f>
        <v>0</v>
      </c>
      <c r="BB88" s="6">
        <f>IF(BB$5=Support!$A$17,1,0)</f>
        <v>0</v>
      </c>
      <c r="BC88" s="6">
        <f>IF(BC$5=Support!$A$17,1,0)</f>
        <v>0</v>
      </c>
      <c r="BD88" s="6">
        <f>IF(BD$5=Support!$A$17,1,0)</f>
        <v>0</v>
      </c>
      <c r="BE88" s="6">
        <f>IF(BE$5=Support!$A$17,1,0)</f>
        <v>0</v>
      </c>
      <c r="BF88" s="6">
        <f>IF(BF$5=Support!$A$17,1,0)</f>
        <v>0</v>
      </c>
      <c r="BG88" s="6">
        <f>IF(BG$5=Support!$A$17,1,0)</f>
        <v>0</v>
      </c>
      <c r="BH88" s="6">
        <f>IF(BH$5=Support!$A$17,1,0)</f>
        <v>0</v>
      </c>
      <c r="BI88" s="6">
        <f>IF(BI$5=Support!$A$17,1,0)</f>
        <v>0</v>
      </c>
      <c r="BJ88" s="6">
        <f>IF(BJ$5=Support!$A$17,1,0)</f>
        <v>0</v>
      </c>
      <c r="BK88" s="6">
        <f>IF(BK$5=Support!$A$17,1,0)</f>
        <v>0</v>
      </c>
      <c r="BL88" s="6">
        <f>IF(BL$5=Support!$A$17,1,0)</f>
        <v>0</v>
      </c>
      <c r="BM88" s="6">
        <f>IF(BM$5=Support!$A$17,1,0)</f>
        <v>0</v>
      </c>
      <c r="BN88" s="6">
        <f>IF(BN$5=Support!$A$17,1,0)</f>
        <v>0</v>
      </c>
      <c r="BO88" s="6">
        <f>IF(BO$5=Support!$A$17,1,0)</f>
        <v>0</v>
      </c>
      <c r="BP88" s="6">
        <f>IF(BP$5=Support!$A$17,1,0)</f>
        <v>0</v>
      </c>
      <c r="BQ88" s="6">
        <f>IF(BQ$5=Support!$A$17,1,0)</f>
        <v>0</v>
      </c>
      <c r="BR88" s="6">
        <f>IF(BR$5=Support!$A$17,1,0)</f>
        <v>0</v>
      </c>
      <c r="BS88" s="6">
        <f>IF(BS$5=Support!$A$17,1,0)</f>
        <v>0</v>
      </c>
      <c r="BT88" s="6">
        <f>IF(BT$5=Support!$A$17,1,0)</f>
        <v>0</v>
      </c>
      <c r="BU88" s="6">
        <f>IF(BU$5=Support!$A$17,1,0)</f>
        <v>0</v>
      </c>
      <c r="BV88" s="6">
        <f>IF(BV$5=Support!$A$17,1,0)</f>
        <v>0</v>
      </c>
      <c r="BW88" s="6">
        <f>IF(BW$5=Support!$A$17,1,0)</f>
        <v>0</v>
      </c>
      <c r="BX88" s="6">
        <f>IF(BX$5=Support!$A$17,1,0)</f>
        <v>0</v>
      </c>
      <c r="BY88" s="6">
        <f>IF(BY$5=Support!$A$17,1,0)</f>
        <v>0</v>
      </c>
    </row>
    <row r="89" spans="1:77" x14ac:dyDescent="0.3">
      <c r="B89" t="s">
        <v>153</v>
      </c>
      <c r="D89" s="6">
        <f>IF(D$5&lt;=Support!$A$17,1,0)</f>
        <v>1</v>
      </c>
      <c r="E89" s="6">
        <f>IF(E$5&lt;=Support!$A$17,1,0)</f>
        <v>1</v>
      </c>
      <c r="F89" s="6"/>
      <c r="G89" s="6"/>
      <c r="H89" s="6"/>
      <c r="I89" s="6"/>
      <c r="J89" s="6"/>
      <c r="K89" s="6">
        <f>IF(K$5&lt;=Support!$A$17,1,0)</f>
        <v>1</v>
      </c>
      <c r="L89" s="6">
        <f>IF(L$5&lt;=Support!$A$17,1,0)</f>
        <v>1</v>
      </c>
      <c r="M89" s="6">
        <f>IF(M$5&lt;=Support!$A$17,1,0)</f>
        <v>1</v>
      </c>
      <c r="N89" s="6">
        <f>IF(N$5&lt;=Support!$A$17,1,0)</f>
        <v>1</v>
      </c>
      <c r="O89" s="6">
        <f>IF(O$5&lt;=Support!$A$17,1,0)</f>
        <v>1</v>
      </c>
      <c r="P89" s="6">
        <f>IF(P$5&lt;=Support!$A$17,1,0)</f>
        <v>1</v>
      </c>
      <c r="Q89" s="6">
        <f>IF(Q$5&lt;=Support!$A$17,1,0)</f>
        <v>1</v>
      </c>
      <c r="R89" s="6">
        <f>IF(R$5&lt;=Support!$A$17,1,0)</f>
        <v>1</v>
      </c>
      <c r="S89" s="6">
        <f>IF(S$5&lt;=Support!$A$17,1,0)</f>
        <v>1</v>
      </c>
      <c r="T89" s="6">
        <f>IF(T$5&lt;=Support!$A$17,1,0)</f>
        <v>1</v>
      </c>
      <c r="U89" s="6">
        <f>IF(U$5&lt;=Support!$A$17,1,0)</f>
        <v>1</v>
      </c>
      <c r="V89" s="6">
        <f>IF(V$5&lt;=Support!$A$17,1,0)</f>
        <v>1</v>
      </c>
      <c r="W89" s="6">
        <f>IF(W$5&lt;=Support!$A$17,1,0)</f>
        <v>1</v>
      </c>
      <c r="X89" s="6">
        <f>IF(X$5&lt;=Support!$A$17,1,0)</f>
        <v>1</v>
      </c>
      <c r="Y89" s="6">
        <f>IF(Y$5&lt;=Support!$A$17,1,0)</f>
        <v>1</v>
      </c>
      <c r="Z89" s="6">
        <f>IF(Z$5&lt;=Support!$A$17,1,0)</f>
        <v>1</v>
      </c>
      <c r="AA89" s="6">
        <f>IF(AA$5&lt;=Support!$A$17,1,0)</f>
        <v>1</v>
      </c>
      <c r="AB89" s="6">
        <f>IF(AB$5&lt;=Support!$A$17,1,0)</f>
        <v>1</v>
      </c>
      <c r="AC89" s="6">
        <f>IF(AC$5&lt;=Support!$A$17,1,0)</f>
        <v>0</v>
      </c>
      <c r="AD89" s="6">
        <f>IF(AD$5&lt;=Support!$A$17,1,0)</f>
        <v>0</v>
      </c>
      <c r="AE89" s="6">
        <f>IF(AE$5&lt;=Support!$A$17,1,0)</f>
        <v>0</v>
      </c>
      <c r="AF89" s="6">
        <f>IF(AF$5&lt;=Support!$A$17,1,0)</f>
        <v>0</v>
      </c>
      <c r="AG89" s="6">
        <f>IF(AG$5&lt;=Support!$A$17,1,0)</f>
        <v>0</v>
      </c>
      <c r="AH89" s="6">
        <f>IF(AH$5&lt;=Support!$A$17,1,0)</f>
        <v>0</v>
      </c>
      <c r="AI89" s="6">
        <f>IF(AI$5&lt;=Support!$A$17,1,0)</f>
        <v>0</v>
      </c>
      <c r="AJ89" s="6">
        <f>IF(AJ$5&lt;=Support!$A$17,1,0)</f>
        <v>0</v>
      </c>
      <c r="AK89" s="6">
        <f>IF(AK$5&lt;=Support!$A$17,1,0)</f>
        <v>0</v>
      </c>
      <c r="AL89" s="6">
        <f>IF(AL$5&lt;=Support!$A$17,1,0)</f>
        <v>0</v>
      </c>
      <c r="AM89" s="6">
        <f>IF(AM$5&lt;=Support!$A$17,1,0)</f>
        <v>0</v>
      </c>
      <c r="AN89" s="6">
        <f>IF(AN$5&lt;=Support!$A$17,1,0)</f>
        <v>0</v>
      </c>
      <c r="AO89" s="6">
        <f>IF(AO$5&lt;=Support!$A$17,1,0)</f>
        <v>0</v>
      </c>
      <c r="AP89" s="6">
        <f>IF(AP$5&lt;=Support!$A$17,1,0)</f>
        <v>0</v>
      </c>
      <c r="AQ89" s="6">
        <f>IF(AQ$5&lt;=Support!$A$17,1,0)</f>
        <v>0</v>
      </c>
      <c r="AR89" s="6">
        <f>IF(AR$5&lt;=Support!$A$17,1,0)</f>
        <v>0</v>
      </c>
      <c r="AS89" s="6">
        <f>IF(AS$5&lt;=Support!$A$17,1,0)</f>
        <v>0</v>
      </c>
      <c r="AT89" s="6">
        <f>IF(AT$5&lt;=Support!$A$17,1,0)</f>
        <v>0</v>
      </c>
      <c r="AU89" s="6">
        <f>IF(AU$5&lt;=Support!$A$17,1,0)</f>
        <v>0</v>
      </c>
      <c r="AV89" s="6">
        <f>IF(AV$5&lt;=Support!$A$17,1,0)</f>
        <v>0</v>
      </c>
      <c r="AW89" s="6">
        <f>IF(AW$5&lt;=Support!$A$17,1,0)</f>
        <v>0</v>
      </c>
      <c r="AX89" s="6">
        <f>IF(AX$5&lt;=Support!$A$17,1,0)</f>
        <v>0</v>
      </c>
      <c r="AY89" s="6">
        <f>IF(AY$5&lt;=Support!$A$17,1,0)</f>
        <v>0</v>
      </c>
      <c r="AZ89" s="6">
        <f>IF(AZ$5&lt;=Support!$A$17,1,0)</f>
        <v>0</v>
      </c>
      <c r="BA89" s="6">
        <f>IF(BA$5&lt;=Support!$A$17,1,0)</f>
        <v>0</v>
      </c>
      <c r="BB89" s="6">
        <f>IF(BB$5&lt;=Support!$A$17,1,0)</f>
        <v>0</v>
      </c>
      <c r="BC89" s="6">
        <f>IF(BC$5&lt;=Support!$A$17,1,0)</f>
        <v>0</v>
      </c>
      <c r="BD89" s="6">
        <f>IF(BD$5&lt;=Support!$A$17,1,0)</f>
        <v>0</v>
      </c>
      <c r="BE89" s="6">
        <f>IF(BE$5&lt;=Support!$A$17,1,0)</f>
        <v>0</v>
      </c>
      <c r="BF89" s="6">
        <f>IF(BF$5&lt;=Support!$A$17,1,0)</f>
        <v>0</v>
      </c>
      <c r="BG89" s="6">
        <f>IF(BG$5&lt;=Support!$A$17,1,0)</f>
        <v>0</v>
      </c>
      <c r="BH89" s="6">
        <f>IF(BH$5&lt;=Support!$A$17,1,0)</f>
        <v>0</v>
      </c>
      <c r="BI89" s="6">
        <f>IF(BI$5&lt;=Support!$A$17,1,0)</f>
        <v>0</v>
      </c>
      <c r="BJ89" s="6">
        <f>IF(BJ$5&lt;=Support!$A$17,1,0)</f>
        <v>0</v>
      </c>
      <c r="BK89" s="6">
        <f>IF(BK$5&lt;=Support!$A$17,1,0)</f>
        <v>0</v>
      </c>
      <c r="BL89" s="6">
        <f>IF(BL$5&lt;=Support!$A$17,1,0)</f>
        <v>0</v>
      </c>
      <c r="BM89" s="6">
        <f>IF(BM$5&lt;=Support!$A$17,1,0)</f>
        <v>0</v>
      </c>
      <c r="BN89" s="6">
        <f>IF(BN$5&lt;=Support!$A$17,1,0)</f>
        <v>0</v>
      </c>
      <c r="BO89" s="6">
        <f>IF(BO$5&lt;=Support!$A$17,1,0)</f>
        <v>0</v>
      </c>
      <c r="BP89" s="6">
        <f>IF(BP$5&lt;=Support!$A$17,1,0)</f>
        <v>0</v>
      </c>
      <c r="BQ89" s="6">
        <f>IF(BQ$5&lt;=Support!$A$17,1,0)</f>
        <v>0</v>
      </c>
      <c r="BR89" s="6">
        <f>IF(BR$5&lt;=Support!$A$17,1,0)</f>
        <v>0</v>
      </c>
      <c r="BS89" s="6">
        <f>IF(BS$5&lt;=Support!$A$17,1,0)</f>
        <v>0</v>
      </c>
      <c r="BT89" s="6">
        <f>IF(BT$5&lt;=Support!$A$17,1,0)</f>
        <v>0</v>
      </c>
      <c r="BU89" s="6">
        <f>IF(BU$5&lt;=Support!$A$17,1,0)</f>
        <v>0</v>
      </c>
      <c r="BV89" s="6">
        <f>IF(BV$5&lt;=Support!$A$17,1,0)</f>
        <v>0</v>
      </c>
      <c r="BW89" s="6">
        <f>IF(BW$5&lt;=Support!$A$17,1,0)</f>
        <v>0</v>
      </c>
      <c r="BX89" s="6">
        <f>IF(BX$5&lt;=Support!$A$17,1,0)</f>
        <v>0</v>
      </c>
      <c r="BY89" s="6">
        <f>IF(BY$5&lt;=Support!$A$17,1,0)</f>
        <v>0</v>
      </c>
    </row>
    <row r="90" spans="1:77" x14ac:dyDescent="0.3">
      <c r="B90" t="s">
        <v>154</v>
      </c>
      <c r="D90" s="6">
        <f>IF(D91=Support!$A$19,1,0)</f>
        <v>0</v>
      </c>
      <c r="E90" s="6">
        <f>IF(E91=Support!$A$19,1,0)</f>
        <v>0</v>
      </c>
      <c r="F90" s="6"/>
      <c r="G90" s="6"/>
      <c r="H90" s="6"/>
      <c r="I90" s="6"/>
      <c r="J90" s="6"/>
      <c r="K90" s="6">
        <f>IF(K91=Support!$A$19,1,0)</f>
        <v>0</v>
      </c>
      <c r="L90" s="6">
        <f>IF(L91=Support!$A$19,1,0)</f>
        <v>0</v>
      </c>
      <c r="M90" s="6">
        <f>IF(M91=Support!$A$19,1,0)</f>
        <v>0</v>
      </c>
      <c r="N90" s="6">
        <f>IF(N91=Support!$A$19,1,0)</f>
        <v>0</v>
      </c>
      <c r="O90" s="6">
        <f>IF(O91=Support!$A$19,1,0)</f>
        <v>0</v>
      </c>
      <c r="P90" s="6">
        <f>IF(P91=Support!$A$19,1,0)</f>
        <v>0</v>
      </c>
      <c r="Q90" s="6">
        <f>IF(Q91=Support!$A$19,1,0)</f>
        <v>0</v>
      </c>
      <c r="R90" s="6">
        <f>IF(R91=Support!$A$19,1,0)</f>
        <v>1</v>
      </c>
      <c r="S90" s="6">
        <f>IF(S91=Support!$A$19,1,0)</f>
        <v>1</v>
      </c>
      <c r="T90" s="6">
        <f>IF(T91=Support!$A$19,1,0)</f>
        <v>1</v>
      </c>
      <c r="U90" s="6">
        <f>IF(U91=Support!$A$19,1,0)</f>
        <v>1</v>
      </c>
      <c r="V90" s="6">
        <f>IF(V91=Support!$A$19,1,0)</f>
        <v>1</v>
      </c>
      <c r="W90" s="6">
        <f>IF(W91=Support!$A$19,1,0)</f>
        <v>1</v>
      </c>
      <c r="X90" s="6">
        <f>IF(X91=Support!$A$19,1,0)</f>
        <v>1</v>
      </c>
      <c r="Y90" s="6">
        <f>IF(Y91=Support!$A$19,1,0)</f>
        <v>1</v>
      </c>
      <c r="Z90" s="6">
        <f>IF(Z91=Support!$A$19,1,0)</f>
        <v>1</v>
      </c>
      <c r="AA90" s="6">
        <f>IF(AA91=Support!$A$19,1,0)</f>
        <v>1</v>
      </c>
      <c r="AB90" s="6">
        <f>IF(AB91=Support!$A$19,1,0)</f>
        <v>1</v>
      </c>
      <c r="AC90" s="6">
        <f>IF(AC91=Support!$A$19,1,0)</f>
        <v>1</v>
      </c>
      <c r="AD90" s="6">
        <f>IF(AD91=Support!$A$19,1,0)</f>
        <v>0</v>
      </c>
      <c r="AE90" s="6">
        <f>IF(AE91=Support!$A$19,1,0)</f>
        <v>0</v>
      </c>
      <c r="AF90" s="6">
        <f>IF(AF91=Support!$A$19,1,0)</f>
        <v>0</v>
      </c>
      <c r="AG90" s="6">
        <f>IF(AG91=Support!$A$19,1,0)</f>
        <v>0</v>
      </c>
      <c r="AH90" s="6">
        <f>IF(AH91=Support!$A$19,1,0)</f>
        <v>0</v>
      </c>
      <c r="AI90" s="6">
        <f>IF(AI91=Support!$A$19,1,0)</f>
        <v>0</v>
      </c>
      <c r="AJ90" s="6">
        <f>IF(AJ91=Support!$A$19,1,0)</f>
        <v>0</v>
      </c>
      <c r="AK90" s="6">
        <f>IF(AK91=Support!$A$19,1,0)</f>
        <v>0</v>
      </c>
      <c r="AL90" s="6">
        <f>IF(AL91=Support!$A$19,1,0)</f>
        <v>0</v>
      </c>
      <c r="AM90" s="6">
        <f>IF(AM91=Support!$A$19,1,0)</f>
        <v>0</v>
      </c>
      <c r="AN90" s="6">
        <f>IF(AN91=Support!$A$19,1,0)</f>
        <v>0</v>
      </c>
      <c r="AO90" s="6">
        <f>IF(AO91=Support!$A$19,1,0)</f>
        <v>0</v>
      </c>
      <c r="AP90" s="6">
        <f>IF(AP91=Support!$A$19,1,0)</f>
        <v>0</v>
      </c>
      <c r="AQ90" s="6">
        <f>IF(AQ91=Support!$A$19,1,0)</f>
        <v>0</v>
      </c>
      <c r="AR90" s="6">
        <f>IF(AR91=Support!$A$19,1,0)</f>
        <v>0</v>
      </c>
      <c r="AS90" s="6">
        <f>IF(AS91=Support!$A$19,1,0)</f>
        <v>0</v>
      </c>
      <c r="AT90" s="6">
        <f>IF(AT91=Support!$A$19,1,0)</f>
        <v>0</v>
      </c>
      <c r="AU90" s="6">
        <f>IF(AU91=Support!$A$19,1,0)</f>
        <v>0</v>
      </c>
      <c r="AV90" s="6">
        <f>IF(AV91=Support!$A$19,1,0)</f>
        <v>0</v>
      </c>
      <c r="AW90" s="6">
        <f>IF(AW91=Support!$A$19,1,0)</f>
        <v>0</v>
      </c>
      <c r="AX90" s="6">
        <f>IF(AX91=Support!$A$19,1,0)</f>
        <v>0</v>
      </c>
      <c r="AY90" s="6">
        <f>IF(AY91=Support!$A$19,1,0)</f>
        <v>0</v>
      </c>
      <c r="AZ90" s="6">
        <f>IF(AZ91=Support!$A$19,1,0)</f>
        <v>0</v>
      </c>
      <c r="BA90" s="6">
        <f>IF(BA91=Support!$A$19,1,0)</f>
        <v>0</v>
      </c>
      <c r="BB90" s="6">
        <f>IF(BB91=Support!$A$19,1,0)</f>
        <v>0</v>
      </c>
      <c r="BC90" s="6">
        <f>IF(BC91=Support!$A$19,1,0)</f>
        <v>0</v>
      </c>
      <c r="BD90" s="6">
        <f>IF(BD91=Support!$A$19,1,0)</f>
        <v>0</v>
      </c>
      <c r="BE90" s="6">
        <f>IF(BE91=Support!$A$19,1,0)</f>
        <v>0</v>
      </c>
      <c r="BF90" s="6">
        <f>IF(BF91=Support!$A$19,1,0)</f>
        <v>0</v>
      </c>
      <c r="BG90" s="6">
        <f>IF(BG91=Support!$A$19,1,0)</f>
        <v>0</v>
      </c>
      <c r="BH90" s="6">
        <f>IF(BH91=Support!$A$19,1,0)</f>
        <v>0</v>
      </c>
      <c r="BI90" s="6">
        <f>IF(BI91=Support!$A$19,1,0)</f>
        <v>0</v>
      </c>
      <c r="BJ90" s="6">
        <f>IF(BJ91=Support!$A$19,1,0)</f>
        <v>0</v>
      </c>
      <c r="BK90" s="6">
        <f>IF(BK91=Support!$A$19,1,0)</f>
        <v>0</v>
      </c>
      <c r="BL90" s="6">
        <f>IF(BL91=Support!$A$19,1,0)</f>
        <v>0</v>
      </c>
      <c r="BM90" s="6">
        <f>IF(BM91=Support!$A$19,1,0)</f>
        <v>0</v>
      </c>
      <c r="BN90" s="6">
        <f>IF(BN91=Support!$A$19,1,0)</f>
        <v>0</v>
      </c>
      <c r="BO90" s="6">
        <f>IF(BO91=Support!$A$19,1,0)</f>
        <v>0</v>
      </c>
      <c r="BP90" s="6">
        <f>IF(BP91=Support!$A$19,1,0)</f>
        <v>0</v>
      </c>
      <c r="BQ90" s="6">
        <f>IF(BQ91=Support!$A$19,1,0)</f>
        <v>0</v>
      </c>
      <c r="BR90" s="6">
        <f>IF(BR91=Support!$A$19,1,0)</f>
        <v>0</v>
      </c>
      <c r="BS90" s="6">
        <f>IF(BS91=Support!$A$19,1,0)</f>
        <v>0</v>
      </c>
      <c r="BT90" s="6">
        <f>IF(BT91=Support!$A$19,1,0)</f>
        <v>0</v>
      </c>
      <c r="BU90" s="6">
        <f>IF(BU91=Support!$A$19,1,0)</f>
        <v>0</v>
      </c>
      <c r="BV90" s="6">
        <f>IF(BV91=Support!$A$19,1,0)</f>
        <v>0</v>
      </c>
      <c r="BW90" s="6">
        <f>IF(BW91=Support!$A$19,1,0)</f>
        <v>0</v>
      </c>
      <c r="BX90" s="6">
        <f>IF(BX91=Support!$A$19,1,0)</f>
        <v>0</v>
      </c>
      <c r="BY90" s="6">
        <f>IF(BY91=Support!$A$19,1,0)</f>
        <v>0</v>
      </c>
    </row>
    <row r="91" spans="1:77" x14ac:dyDescent="0.3">
      <c r="B91" t="s">
        <v>155</v>
      </c>
      <c r="D91" s="151">
        <f>'DCS Detail'!C3</f>
        <v>2019</v>
      </c>
      <c r="E91" s="151">
        <f>'DCS Detail'!D3</f>
        <v>2020</v>
      </c>
      <c r="F91" s="151">
        <f>'DCS Detail'!E3</f>
        <v>2021</v>
      </c>
      <c r="G91" s="151">
        <f>'DCS Detail'!F3</f>
        <v>2021</v>
      </c>
      <c r="H91" s="151">
        <f>'DCS Detail'!G3</f>
        <v>2021</v>
      </c>
      <c r="I91" s="151">
        <f>'DCS Detail'!H3</f>
        <v>2021</v>
      </c>
      <c r="J91" s="151">
        <f>'DCS Detail'!I3</f>
        <v>2021</v>
      </c>
      <c r="K91" s="151">
        <f>'DCS Detail'!J3</f>
        <v>2021</v>
      </c>
      <c r="L91" s="151">
        <f>'DCS Detail'!K3</f>
        <v>2021</v>
      </c>
      <c r="M91" s="151">
        <f>'DCS Detail'!L3</f>
        <v>2021</v>
      </c>
      <c r="N91" s="151">
        <f>'DCS Detail'!M3</f>
        <v>2021</v>
      </c>
      <c r="O91" s="151">
        <f>'DCS Detail'!N3</f>
        <v>2021</v>
      </c>
      <c r="P91" s="151">
        <f>'DCS Detail'!O3</f>
        <v>2021</v>
      </c>
      <c r="Q91" s="151">
        <f>'DCS Detail'!P3</f>
        <v>2021</v>
      </c>
      <c r="R91" s="151">
        <f>'DCS Detail'!Q3</f>
        <v>2022</v>
      </c>
      <c r="S91" s="151">
        <f>'DCS Detail'!R3</f>
        <v>2022</v>
      </c>
      <c r="T91" s="151">
        <f>'DCS Detail'!S3</f>
        <v>2022</v>
      </c>
      <c r="U91" s="151">
        <f>'DCS Detail'!T3</f>
        <v>2022</v>
      </c>
      <c r="V91" s="151">
        <f>'DCS Detail'!U3</f>
        <v>2022</v>
      </c>
      <c r="W91" s="151">
        <f>'DCS Detail'!V3</f>
        <v>2022</v>
      </c>
      <c r="X91" s="151">
        <f>'DCS Detail'!W3</f>
        <v>2022</v>
      </c>
      <c r="Y91" s="151">
        <f>'DCS Detail'!X3</f>
        <v>2022</v>
      </c>
      <c r="Z91" s="151">
        <f>'DCS Detail'!Y3</f>
        <v>2022</v>
      </c>
      <c r="AA91" s="151">
        <f>'DCS Detail'!Z3</f>
        <v>2022</v>
      </c>
      <c r="AB91" s="151">
        <f>'DCS Detail'!AA3</f>
        <v>2022</v>
      </c>
      <c r="AC91" s="151">
        <f>'DCS Detail'!AB3</f>
        <v>2022</v>
      </c>
      <c r="AD91" s="151">
        <f>'DCS Detail'!AC3</f>
        <v>2023</v>
      </c>
      <c r="AE91" s="151">
        <f>'DCS Detail'!AD3</f>
        <v>2023</v>
      </c>
      <c r="AF91" s="151">
        <f>'DCS Detail'!AE3</f>
        <v>2023</v>
      </c>
      <c r="AG91" s="151">
        <f>'DCS Detail'!AF3</f>
        <v>2023</v>
      </c>
      <c r="AH91" s="151">
        <f>'DCS Detail'!AG3</f>
        <v>2023</v>
      </c>
      <c r="AI91" s="151">
        <f>'DCS Detail'!AH3</f>
        <v>2023</v>
      </c>
      <c r="AJ91" s="151">
        <f>'DCS Detail'!AI3</f>
        <v>2023</v>
      </c>
      <c r="AK91" s="151">
        <f>'DCS Detail'!AJ3</f>
        <v>2023</v>
      </c>
      <c r="AL91" s="151">
        <f>'DCS Detail'!AK3</f>
        <v>2023</v>
      </c>
      <c r="AM91" s="151">
        <f>'DCS Detail'!AL3</f>
        <v>2023</v>
      </c>
      <c r="AN91" s="151">
        <f>'DCS Detail'!AM3</f>
        <v>2023</v>
      </c>
      <c r="AO91" s="151">
        <f>'DCS Detail'!AN3</f>
        <v>2023</v>
      </c>
      <c r="AP91" s="151">
        <f>'DCS Detail'!AO3</f>
        <v>2024</v>
      </c>
      <c r="AQ91" s="151">
        <f>'DCS Detail'!AP3</f>
        <v>2024</v>
      </c>
      <c r="AR91" s="151">
        <f>'DCS Detail'!AQ3</f>
        <v>2024</v>
      </c>
      <c r="AS91" s="151">
        <f>'DCS Detail'!AR3</f>
        <v>2024</v>
      </c>
      <c r="AT91" s="151">
        <f>'DCS Detail'!AS3</f>
        <v>2024</v>
      </c>
      <c r="AU91" s="151">
        <f>'DCS Detail'!AT3</f>
        <v>2024</v>
      </c>
      <c r="AV91" s="151">
        <f>'DCS Detail'!AU3</f>
        <v>2024</v>
      </c>
      <c r="AW91" s="151">
        <f>'DCS Detail'!AV3</f>
        <v>2024</v>
      </c>
      <c r="AX91" s="151">
        <f>'DCS Detail'!AW3</f>
        <v>2024</v>
      </c>
      <c r="AY91" s="151">
        <f>'DCS Detail'!AX3</f>
        <v>2024</v>
      </c>
      <c r="AZ91" s="151">
        <f>'DCS Detail'!AY3</f>
        <v>2024</v>
      </c>
      <c r="BA91" s="151">
        <f>'DCS Detail'!AZ3</f>
        <v>2024</v>
      </c>
      <c r="BB91" s="151">
        <f>'DCS Detail'!BA3</f>
        <v>2025</v>
      </c>
      <c r="BC91" s="151">
        <f>'DCS Detail'!BB3</f>
        <v>2025</v>
      </c>
      <c r="BD91" s="151">
        <f>'DCS Detail'!BC3</f>
        <v>2025</v>
      </c>
      <c r="BE91" s="151">
        <f>'DCS Detail'!BD3</f>
        <v>2025</v>
      </c>
      <c r="BF91" s="151">
        <f>'DCS Detail'!BE3</f>
        <v>2025</v>
      </c>
      <c r="BG91" s="151">
        <f>'DCS Detail'!BF3</f>
        <v>2025</v>
      </c>
      <c r="BH91" s="151">
        <f>'DCS Detail'!BG3</f>
        <v>2025</v>
      </c>
      <c r="BI91" s="151">
        <f>'DCS Detail'!BH3</f>
        <v>2025</v>
      </c>
      <c r="BJ91" s="151">
        <f>'DCS Detail'!BI3</f>
        <v>2025</v>
      </c>
      <c r="BK91" s="151">
        <f>'DCS Detail'!BJ3</f>
        <v>2025</v>
      </c>
      <c r="BL91" s="151">
        <f>'DCS Detail'!BK3</f>
        <v>2025</v>
      </c>
      <c r="BM91" s="151">
        <f>'DCS Detail'!BL3</f>
        <v>2025</v>
      </c>
      <c r="BN91" s="151">
        <f>'DCS Detail'!BM3</f>
        <v>2026</v>
      </c>
      <c r="BO91" s="151">
        <f>'DCS Detail'!BN3</f>
        <v>2026</v>
      </c>
      <c r="BP91" s="151">
        <f>'DCS Detail'!BO3</f>
        <v>2026</v>
      </c>
      <c r="BQ91" s="151">
        <f>'DCS Detail'!BP3</f>
        <v>2026</v>
      </c>
      <c r="BR91" s="151">
        <f>'DCS Detail'!BQ3</f>
        <v>2026</v>
      </c>
      <c r="BS91" s="151">
        <f>'DCS Detail'!BR3</f>
        <v>2026</v>
      </c>
      <c r="BT91" s="151">
        <f>'DCS Detail'!BS3</f>
        <v>2026</v>
      </c>
      <c r="BU91" s="151">
        <f>'DCS Detail'!BT3</f>
        <v>2026</v>
      </c>
      <c r="BV91" s="151">
        <f>'DCS Detail'!BU3</f>
        <v>2026</v>
      </c>
      <c r="BW91" s="151">
        <f>'DCS Detail'!BV3</f>
        <v>2026</v>
      </c>
      <c r="BX91" s="151">
        <f>'DCS Detail'!BW3</f>
        <v>2026</v>
      </c>
      <c r="BY91" s="151">
        <f>'DCS Detail'!BX3</f>
        <v>2026</v>
      </c>
    </row>
  </sheetData>
  <mergeCells count="1">
    <mergeCell ref="A2:B2"/>
  </mergeCells>
  <phoneticPr fontId="21" type="noConversion"/>
  <printOptions horizontalCentered="1" verticalCentered="1"/>
  <pageMargins left="0.15" right="0.15" top="0.75" bottom="0.75" header="0.3" footer="0.3"/>
  <pageSetup scale="18" orientation="landscape" horizontalDpi="1200" verticalDpi="1200" r:id="rId1"/>
  <headerFooter>
    <oddFooter>&amp;L&amp;"Bodoni MT,Bold"&amp;10&amp;F&amp;C&amp;10&amp;P of &amp;N&amp;R&amp;10&amp;A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29144-CD62-4404-80E2-5868FCC9639C}">
  <sheetPr>
    <pageSetUpPr fitToPage="1"/>
  </sheetPr>
  <dimension ref="A1:BY52"/>
  <sheetViews>
    <sheetView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RowHeight="14.4" x14ac:dyDescent="0.3"/>
  <cols>
    <col min="1" max="1" width="1.77734375" customWidth="1"/>
    <col min="2" max="2" width="23.109375" customWidth="1"/>
    <col min="3" max="3" width="1.77734375" customWidth="1"/>
    <col min="4" max="27" width="11" customWidth="1"/>
    <col min="28" max="28" width="12.44140625" bestFit="1" customWidth="1"/>
    <col min="29" max="41" width="11" customWidth="1"/>
    <col min="42" max="75" width="11.44140625" customWidth="1"/>
    <col min="76" max="76" width="1.77734375" customWidth="1" collapsed="1"/>
    <col min="77" max="77" width="11.44140625" customWidth="1"/>
  </cols>
  <sheetData>
    <row r="1" spans="1:77" ht="15.6" x14ac:dyDescent="0.3">
      <c r="A1" s="12" t="str">
        <f>Support!A13</f>
        <v>Discovery Charter School ("DCS")</v>
      </c>
      <c r="B1" s="12"/>
    </row>
    <row r="2" spans="1:77" x14ac:dyDescent="0.3">
      <c r="A2" s="444">
        <f>Support!A19</f>
        <v>2022</v>
      </c>
      <c r="B2" s="444"/>
    </row>
    <row r="3" spans="1:77" x14ac:dyDescent="0.3">
      <c r="A3" s="2" t="str">
        <f>Cover!A15</f>
        <v>(Bond Scenario)</v>
      </c>
      <c r="B3" s="51"/>
    </row>
    <row r="4" spans="1:77" x14ac:dyDescent="0.3">
      <c r="D4" s="46" t="str">
        <f>IF(D5&lt;=Support!$A$17,"Actual","Forecast")</f>
        <v>Actual</v>
      </c>
      <c r="E4" s="46" t="str">
        <f>IF(E5&lt;=Support!$A$17,"Actual","Forecast")</f>
        <v>Actual</v>
      </c>
      <c r="F4" s="46" t="str">
        <f>IF(F5&lt;=Support!$A$17,"Actual","Forecast")</f>
        <v>Actual</v>
      </c>
      <c r="G4" s="46" t="str">
        <f>IF(G5&lt;=Support!$A$17,"Actual","Forecast")</f>
        <v>Actual</v>
      </c>
      <c r="H4" s="46" t="str">
        <f>IF(H5&lt;=Support!$A$17,"Actual","Forecast")</f>
        <v>Actual</v>
      </c>
      <c r="I4" s="46" t="str">
        <f>IF(I5&lt;=Support!$A$17,"Actual","Forecast")</f>
        <v>Actual</v>
      </c>
      <c r="J4" s="46" t="str">
        <f>IF(J5&lt;=Support!$A$17,"Actual","Forecast")</f>
        <v>Actual</v>
      </c>
      <c r="K4" s="46" t="str">
        <f>IF(K5&lt;=Support!$A$17,"Actual","Forecast")</f>
        <v>Actual</v>
      </c>
      <c r="L4" s="46" t="str">
        <f>IF(L5&lt;=Support!$A$17,"Actual","Forecast")</f>
        <v>Actual</v>
      </c>
      <c r="M4" s="46" t="str">
        <f>IF(M5&lt;=Support!$A$17,"Actual","Forecast")</f>
        <v>Actual</v>
      </c>
      <c r="N4" s="46" t="str">
        <f>IF(N5&lt;=Support!$A$17,"Actual","Forecast")</f>
        <v>Actual</v>
      </c>
      <c r="O4" s="46" t="str">
        <f>IF(O5&lt;=Support!$A$17,"Actual","Forecast")</f>
        <v>Actual</v>
      </c>
      <c r="P4" s="46" t="str">
        <f>IF(P5&lt;=Support!$A$17,"Actual","Forecast")</f>
        <v>Actual</v>
      </c>
      <c r="Q4" s="46" t="str">
        <f>IF(Q5&lt;=Support!$A$17,"Actual","Forecast")</f>
        <v>Actual</v>
      </c>
      <c r="R4" s="46" t="str">
        <f>IF(R5&lt;=Support!$A$17,"Actual","Forecast")</f>
        <v>Actual</v>
      </c>
      <c r="S4" s="46" t="str">
        <f>IF(S5&lt;=Support!$A$17,"Actual","Forecast")</f>
        <v>Actual</v>
      </c>
      <c r="T4" s="46" t="str">
        <f>IF(T5&lt;=Support!$A$17,"Actual","Forecast")</f>
        <v>Actual</v>
      </c>
      <c r="U4" s="46" t="str">
        <f>IF(U5&lt;=Support!$A$17,"Actual","Forecast")</f>
        <v>Actual</v>
      </c>
      <c r="V4" s="46" t="str">
        <f>IF(V5&lt;=Support!$A$17,"Actual","Forecast")</f>
        <v>Actual</v>
      </c>
      <c r="W4" s="46" t="str">
        <f>IF(W5&lt;=Support!$A$17,"Actual","Forecast")</f>
        <v>Actual</v>
      </c>
      <c r="X4" s="46" t="str">
        <f>IF(X5&lt;=Support!$A$17,"Actual","Forecast")</f>
        <v>Actual</v>
      </c>
      <c r="Y4" s="46" t="str">
        <f>IF(Y5&lt;=Support!$A$17,"Actual","Forecast")</f>
        <v>Actual</v>
      </c>
      <c r="Z4" s="46" t="str">
        <f>IF(Z5&lt;=Support!$A$17,"Actual","Forecast")</f>
        <v>Actual</v>
      </c>
      <c r="AA4" s="46" t="str">
        <f>IF(AA5&lt;=Support!$A$17,"Actual","Forecast")</f>
        <v>Forecast</v>
      </c>
      <c r="AB4" s="46" t="str">
        <f>IF(AB5&lt;=Support!$A$17,"Actual","Forecast")</f>
        <v>Forecast</v>
      </c>
      <c r="AC4" s="46" t="str">
        <f>IF(AC5&lt;=Support!$A$17,"Actual","Forecast")</f>
        <v>Forecast</v>
      </c>
      <c r="AD4" s="46" t="str">
        <f>IF(AD5&lt;=Support!$A$17,"Actual","Forecast")</f>
        <v>Forecast</v>
      </c>
      <c r="AE4" s="46" t="str">
        <f>IF(AE5&lt;=Support!$A$17,"Actual","Forecast")</f>
        <v>Forecast</v>
      </c>
      <c r="AF4" s="46" t="str">
        <f>IF(AF5&lt;=Support!$A$17,"Actual","Forecast")</f>
        <v>Forecast</v>
      </c>
      <c r="AG4" s="46" t="str">
        <f>IF(AG5&lt;=Support!$A$17,"Actual","Forecast")</f>
        <v>Forecast</v>
      </c>
      <c r="AH4" s="46" t="str">
        <f>IF(AH5&lt;=Support!$A$17,"Actual","Forecast")</f>
        <v>Forecast</v>
      </c>
      <c r="AI4" s="46" t="str">
        <f>IF(AI5&lt;=Support!$A$17,"Actual","Forecast")</f>
        <v>Forecast</v>
      </c>
      <c r="AJ4" s="46" t="str">
        <f>IF(AJ5&lt;=Support!$A$17,"Actual","Forecast")</f>
        <v>Forecast</v>
      </c>
      <c r="AK4" s="46" t="str">
        <f>IF(AK5&lt;=Support!$A$17,"Actual","Forecast")</f>
        <v>Forecast</v>
      </c>
      <c r="AL4" s="46" t="str">
        <f>IF(AL5&lt;=Support!$A$17,"Actual","Forecast")</f>
        <v>Forecast</v>
      </c>
      <c r="AM4" s="46" t="str">
        <f>IF(AM5&lt;=Support!$A$17,"Actual","Forecast")</f>
        <v>Forecast</v>
      </c>
      <c r="AN4" s="46" t="str">
        <f>IF(AN5&lt;=Support!$A$17,"Actual","Forecast")</f>
        <v>Forecast</v>
      </c>
      <c r="AO4" s="46" t="str">
        <f>IF(AO5&lt;=Support!$A$17,"Actual","Forecast")</f>
        <v>Forecast</v>
      </c>
      <c r="AP4" s="46" t="str">
        <f>IF(AP5&lt;=Support!$A$17,"Actual","Forecast")</f>
        <v>Forecast</v>
      </c>
      <c r="AQ4" s="46" t="str">
        <f>IF(AQ5&lt;=Support!$A$17,"Actual","Forecast")</f>
        <v>Forecast</v>
      </c>
      <c r="AR4" s="46" t="str">
        <f>IF(AR5&lt;=Support!$A$17,"Actual","Forecast")</f>
        <v>Forecast</v>
      </c>
      <c r="AS4" s="46" t="str">
        <f>IF(AS5&lt;=Support!$A$17,"Actual","Forecast")</f>
        <v>Forecast</v>
      </c>
      <c r="AT4" s="46" t="str">
        <f>IF(AT5&lt;=Support!$A$17,"Actual","Forecast")</f>
        <v>Forecast</v>
      </c>
      <c r="AU4" s="46" t="str">
        <f>IF(AU5&lt;=Support!$A$17,"Actual","Forecast")</f>
        <v>Forecast</v>
      </c>
      <c r="AV4" s="46" t="str">
        <f>IF(AV5&lt;=Support!$A$17,"Actual","Forecast")</f>
        <v>Forecast</v>
      </c>
      <c r="AW4" s="46" t="str">
        <f>IF(AW5&lt;=Support!$A$17,"Actual","Forecast")</f>
        <v>Forecast</v>
      </c>
      <c r="AX4" s="46" t="str">
        <f>IF(AX5&lt;=Support!$A$17,"Actual","Forecast")</f>
        <v>Forecast</v>
      </c>
      <c r="AY4" s="46" t="str">
        <f>IF(AY5&lt;=Support!$A$17,"Actual","Forecast")</f>
        <v>Forecast</v>
      </c>
      <c r="AZ4" s="46" t="str">
        <f>IF(AZ5&lt;=Support!$A$17,"Actual","Forecast")</f>
        <v>Forecast</v>
      </c>
      <c r="BA4" s="46" t="str">
        <f>IF(BA5&lt;=Support!$A$17,"Actual","Forecast")</f>
        <v>Forecast</v>
      </c>
      <c r="BB4" s="46" t="str">
        <f>IF(BB5&lt;=Support!$A$17,"Actual","Forecast")</f>
        <v>Forecast</v>
      </c>
      <c r="BC4" s="46" t="str">
        <f>IF(BC5&lt;=Support!$A$17,"Actual","Forecast")</f>
        <v>Forecast</v>
      </c>
      <c r="BD4" s="46" t="str">
        <f>IF(BD5&lt;=Support!$A$17,"Actual","Forecast")</f>
        <v>Forecast</v>
      </c>
      <c r="BE4" s="46" t="str">
        <f>IF(BE5&lt;=Support!$A$17,"Actual","Forecast")</f>
        <v>Forecast</v>
      </c>
      <c r="BF4" s="46" t="str">
        <f>IF(BF5&lt;=Support!$A$17,"Actual","Forecast")</f>
        <v>Forecast</v>
      </c>
      <c r="BG4" s="46" t="str">
        <f>IF(BG5&lt;=Support!$A$17,"Actual","Forecast")</f>
        <v>Forecast</v>
      </c>
      <c r="BH4" s="46" t="str">
        <f>IF(BH5&lt;=Support!$A$17,"Actual","Forecast")</f>
        <v>Forecast</v>
      </c>
      <c r="BI4" s="46" t="str">
        <f>IF(BI5&lt;=Support!$A$17,"Actual","Forecast")</f>
        <v>Forecast</v>
      </c>
      <c r="BJ4" s="46" t="str">
        <f>IF(BJ5&lt;=Support!$A$17,"Actual","Forecast")</f>
        <v>Forecast</v>
      </c>
      <c r="BK4" s="46" t="str">
        <f>IF(BK5&lt;=Support!$A$17,"Actual","Forecast")</f>
        <v>Forecast</v>
      </c>
      <c r="BL4" s="46" t="str">
        <f>IF(BL5&lt;=Support!$A$17,"Actual","Forecast")</f>
        <v>Forecast</v>
      </c>
      <c r="BM4" s="46" t="str">
        <f>IF(BM5&lt;=Support!$A$17,"Actual","Forecast")</f>
        <v>Forecast</v>
      </c>
      <c r="BN4" s="46" t="str">
        <f>IF(BN5&lt;=Support!$A$17,"Actual","Forecast")</f>
        <v>Forecast</v>
      </c>
      <c r="BO4" s="46" t="str">
        <f>IF(BO5&lt;=Support!$A$17,"Actual","Forecast")</f>
        <v>Forecast</v>
      </c>
      <c r="BP4" s="46" t="str">
        <f>IF(BP5&lt;=Support!$A$17,"Actual","Forecast")</f>
        <v>Forecast</v>
      </c>
      <c r="BQ4" s="46" t="str">
        <f>IF(BQ5&lt;=Support!$A$17,"Actual","Forecast")</f>
        <v>Forecast</v>
      </c>
      <c r="BR4" s="46" t="str">
        <f>IF(BR5&lt;=Support!$A$17,"Actual","Forecast")</f>
        <v>Forecast</v>
      </c>
      <c r="BS4" s="46" t="str">
        <f>IF(BS5&lt;=Support!$A$17,"Actual","Forecast")</f>
        <v>Forecast</v>
      </c>
      <c r="BT4" s="46" t="str">
        <f>IF(BT5&lt;=Support!$A$17,"Actual","Forecast")</f>
        <v>Forecast</v>
      </c>
      <c r="BU4" s="46" t="str">
        <f>IF(BU5&lt;=Support!$A$17,"Actual","Forecast")</f>
        <v>Forecast</v>
      </c>
      <c r="BV4" s="46" t="str">
        <f>IF(BV5&lt;=Support!$A$17,"Actual","Forecast")</f>
        <v>Forecast</v>
      </c>
      <c r="BW4" s="46" t="str">
        <f>IF(BW5&lt;=Support!$A$17,"Actual","Forecast")</f>
        <v>Forecast</v>
      </c>
      <c r="BY4" s="46" t="s">
        <v>129</v>
      </c>
    </row>
    <row r="5" spans="1:77" x14ac:dyDescent="0.3">
      <c r="D5" s="3">
        <v>44043</v>
      </c>
      <c r="E5" s="3">
        <f>EOMONTH(D5,1)</f>
        <v>44074</v>
      </c>
      <c r="F5" s="3">
        <f t="shared" ref="F5:M5" si="0">EOMONTH(E5,1)</f>
        <v>44104</v>
      </c>
      <c r="G5" s="3">
        <f t="shared" si="0"/>
        <v>44135</v>
      </c>
      <c r="H5" s="3">
        <f t="shared" si="0"/>
        <v>44165</v>
      </c>
      <c r="I5" s="3">
        <f t="shared" si="0"/>
        <v>44196</v>
      </c>
      <c r="J5" s="3">
        <f t="shared" si="0"/>
        <v>44227</v>
      </c>
      <c r="K5" s="3">
        <f t="shared" si="0"/>
        <v>44255</v>
      </c>
      <c r="L5" s="3">
        <f t="shared" si="0"/>
        <v>44286</v>
      </c>
      <c r="M5" s="3">
        <f t="shared" si="0"/>
        <v>44316</v>
      </c>
      <c r="N5" s="3">
        <f t="shared" ref="N5:O5" si="1">EOMONTH(M5,1)</f>
        <v>44347</v>
      </c>
      <c r="O5" s="3">
        <f t="shared" si="1"/>
        <v>44377</v>
      </c>
      <c r="P5" s="3">
        <f t="shared" ref="P5" si="2">EOMONTH(O5,1)</f>
        <v>44408</v>
      </c>
      <c r="Q5" s="3">
        <f t="shared" ref="Q5" si="3">EOMONTH(P5,1)</f>
        <v>44439</v>
      </c>
      <c r="R5" s="3">
        <f t="shared" ref="R5" si="4">EOMONTH(Q5,1)</f>
        <v>44469</v>
      </c>
      <c r="S5" s="3">
        <f t="shared" ref="S5" si="5">EOMONTH(R5,1)</f>
        <v>44500</v>
      </c>
      <c r="T5" s="3">
        <f t="shared" ref="T5" si="6">EOMONTH(S5,1)</f>
        <v>44530</v>
      </c>
      <c r="U5" s="3">
        <f t="shared" ref="U5" si="7">EOMONTH(T5,1)</f>
        <v>44561</v>
      </c>
      <c r="V5" s="3">
        <f t="shared" ref="V5" si="8">EOMONTH(U5,1)</f>
        <v>44592</v>
      </c>
      <c r="W5" s="3">
        <f t="shared" ref="W5" si="9">EOMONTH(V5,1)</f>
        <v>44620</v>
      </c>
      <c r="X5" s="3">
        <f t="shared" ref="X5" si="10">EOMONTH(W5,1)</f>
        <v>44651</v>
      </c>
      <c r="Y5" s="3">
        <f t="shared" ref="Y5" si="11">EOMONTH(X5,1)</f>
        <v>44681</v>
      </c>
      <c r="Z5" s="3">
        <f t="shared" ref="Z5" si="12">EOMONTH(Y5,1)</f>
        <v>44712</v>
      </c>
      <c r="AA5" s="3">
        <f t="shared" ref="AA5" si="13">EOMONTH(Z5,1)</f>
        <v>44742</v>
      </c>
      <c r="AB5" s="3">
        <f t="shared" ref="AB5" si="14">EOMONTH(AA5,1)</f>
        <v>44773</v>
      </c>
      <c r="AC5" s="3">
        <f t="shared" ref="AC5" si="15">EOMONTH(AB5,1)</f>
        <v>44804</v>
      </c>
      <c r="AD5" s="3">
        <f t="shared" ref="AD5" si="16">EOMONTH(AC5,1)</f>
        <v>44834</v>
      </c>
      <c r="AE5" s="3">
        <f t="shared" ref="AE5" si="17">EOMONTH(AD5,1)</f>
        <v>44865</v>
      </c>
      <c r="AF5" s="3">
        <f t="shared" ref="AF5" si="18">EOMONTH(AE5,1)</f>
        <v>44895</v>
      </c>
      <c r="AG5" s="3">
        <f t="shared" ref="AG5" si="19">EOMONTH(AF5,1)</f>
        <v>44926</v>
      </c>
      <c r="AH5" s="3">
        <f t="shared" ref="AH5" si="20">EOMONTH(AG5,1)</f>
        <v>44957</v>
      </c>
      <c r="AI5" s="3">
        <f t="shared" ref="AI5" si="21">EOMONTH(AH5,1)</f>
        <v>44985</v>
      </c>
      <c r="AJ5" s="3">
        <f t="shared" ref="AJ5" si="22">EOMONTH(AI5,1)</f>
        <v>45016</v>
      </c>
      <c r="AK5" s="3">
        <f t="shared" ref="AK5" si="23">EOMONTH(AJ5,1)</f>
        <v>45046</v>
      </c>
      <c r="AL5" s="3">
        <f t="shared" ref="AL5" si="24">EOMONTH(AK5,1)</f>
        <v>45077</v>
      </c>
      <c r="AM5" s="3">
        <f t="shared" ref="AM5" si="25">EOMONTH(AL5,1)</f>
        <v>45107</v>
      </c>
      <c r="AN5" s="3">
        <f t="shared" ref="AN5" si="26">EOMONTH(AM5,1)</f>
        <v>45138</v>
      </c>
      <c r="AO5" s="3">
        <f t="shared" ref="AO5" si="27">EOMONTH(AN5,1)</f>
        <v>45169</v>
      </c>
      <c r="AP5" s="3">
        <f t="shared" ref="AP5" si="28">EOMONTH(AO5,1)</f>
        <v>45199</v>
      </c>
      <c r="AQ5" s="3">
        <f t="shared" ref="AQ5" si="29">EOMONTH(AP5,1)</f>
        <v>45230</v>
      </c>
      <c r="AR5" s="3">
        <f t="shared" ref="AR5" si="30">EOMONTH(AQ5,1)</f>
        <v>45260</v>
      </c>
      <c r="AS5" s="3">
        <f t="shared" ref="AS5" si="31">EOMONTH(AR5,1)</f>
        <v>45291</v>
      </c>
      <c r="AT5" s="3">
        <f t="shared" ref="AT5" si="32">EOMONTH(AS5,1)</f>
        <v>45322</v>
      </c>
      <c r="AU5" s="3">
        <f t="shared" ref="AU5" si="33">EOMONTH(AT5,1)</f>
        <v>45351</v>
      </c>
      <c r="AV5" s="3">
        <f t="shared" ref="AV5" si="34">EOMONTH(AU5,1)</f>
        <v>45382</v>
      </c>
      <c r="AW5" s="3">
        <f t="shared" ref="AW5" si="35">EOMONTH(AV5,1)</f>
        <v>45412</v>
      </c>
      <c r="AX5" s="3">
        <f t="shared" ref="AX5" si="36">EOMONTH(AW5,1)</f>
        <v>45443</v>
      </c>
      <c r="AY5" s="3">
        <f t="shared" ref="AY5" si="37">EOMONTH(AX5,1)</f>
        <v>45473</v>
      </c>
      <c r="AZ5" s="3">
        <f t="shared" ref="AZ5" si="38">EOMONTH(AY5,1)</f>
        <v>45504</v>
      </c>
      <c r="BA5" s="3">
        <f t="shared" ref="BA5" si="39">EOMONTH(AZ5,1)</f>
        <v>45535</v>
      </c>
      <c r="BB5" s="3">
        <f t="shared" ref="BB5" si="40">EOMONTH(BA5,1)</f>
        <v>45565</v>
      </c>
      <c r="BC5" s="3">
        <f t="shared" ref="BC5" si="41">EOMONTH(BB5,1)</f>
        <v>45596</v>
      </c>
      <c r="BD5" s="3">
        <f t="shared" ref="BD5" si="42">EOMONTH(BC5,1)</f>
        <v>45626</v>
      </c>
      <c r="BE5" s="3">
        <f t="shared" ref="BE5" si="43">EOMONTH(BD5,1)</f>
        <v>45657</v>
      </c>
      <c r="BF5" s="3">
        <f t="shared" ref="BF5" si="44">EOMONTH(BE5,1)</f>
        <v>45688</v>
      </c>
      <c r="BG5" s="3">
        <f t="shared" ref="BG5" si="45">EOMONTH(BF5,1)</f>
        <v>45716</v>
      </c>
      <c r="BH5" s="3">
        <f t="shared" ref="BH5" si="46">EOMONTH(BG5,1)</f>
        <v>45747</v>
      </c>
      <c r="BI5" s="3">
        <f t="shared" ref="BI5" si="47">EOMONTH(BH5,1)</f>
        <v>45777</v>
      </c>
      <c r="BJ5" s="3">
        <f t="shared" ref="BJ5" si="48">EOMONTH(BI5,1)</f>
        <v>45808</v>
      </c>
      <c r="BK5" s="3">
        <f t="shared" ref="BK5" si="49">EOMONTH(BJ5,1)</f>
        <v>45838</v>
      </c>
      <c r="BL5" s="3">
        <f t="shared" ref="BL5" si="50">EOMONTH(BK5,1)</f>
        <v>45869</v>
      </c>
      <c r="BM5" s="3">
        <f t="shared" ref="BM5" si="51">EOMONTH(BL5,1)</f>
        <v>45900</v>
      </c>
      <c r="BN5" s="3">
        <f t="shared" ref="BN5" si="52">EOMONTH(BM5,1)</f>
        <v>45930</v>
      </c>
      <c r="BO5" s="3">
        <f t="shared" ref="BO5" si="53">EOMONTH(BN5,1)</f>
        <v>45961</v>
      </c>
      <c r="BP5" s="3">
        <f t="shared" ref="BP5" si="54">EOMONTH(BO5,1)</f>
        <v>45991</v>
      </c>
      <c r="BQ5" s="3">
        <f t="shared" ref="BQ5" si="55">EOMONTH(BP5,1)</f>
        <v>46022</v>
      </c>
      <c r="BR5" s="3">
        <f t="shared" ref="BR5" si="56">EOMONTH(BQ5,1)</f>
        <v>46053</v>
      </c>
      <c r="BS5" s="3">
        <f t="shared" ref="BS5" si="57">EOMONTH(BR5,1)</f>
        <v>46081</v>
      </c>
      <c r="BT5" s="3">
        <f t="shared" ref="BT5" si="58">EOMONTH(BS5,1)</f>
        <v>46112</v>
      </c>
      <c r="BU5" s="3">
        <f t="shared" ref="BU5" si="59">EOMONTH(BT5,1)</f>
        <v>46142</v>
      </c>
      <c r="BV5" s="3">
        <f t="shared" ref="BV5" si="60">EOMONTH(BU5,1)</f>
        <v>46173</v>
      </c>
      <c r="BW5" s="3">
        <f t="shared" ref="BW5" si="61">EOMONTH(BV5,1)</f>
        <v>46203</v>
      </c>
      <c r="BY5" s="53">
        <f>Support!A19</f>
        <v>2022</v>
      </c>
    </row>
    <row r="6" spans="1:77" x14ac:dyDescent="0.3">
      <c r="A6" s="1" t="s">
        <v>234</v>
      </c>
    </row>
    <row r="7" spans="1:77" x14ac:dyDescent="0.3">
      <c r="B7" t="s">
        <v>144</v>
      </c>
      <c r="D7" s="52">
        <f>'DCS Detail'!E173</f>
        <v>512568.47</v>
      </c>
      <c r="E7" s="52">
        <f>'DCS Detail'!F173</f>
        <v>274638.64000000007</v>
      </c>
      <c r="F7" s="52">
        <f>'DCS Detail'!G173</f>
        <v>-96935.880000000034</v>
      </c>
      <c r="G7" s="52">
        <f>'DCS Detail'!H173</f>
        <v>337801.79999999987</v>
      </c>
      <c r="H7" s="52">
        <f>'DCS Detail'!I173</f>
        <v>-259198.16000000018</v>
      </c>
      <c r="I7" s="52">
        <f>'DCS Detail'!J173</f>
        <v>317500.70999999996</v>
      </c>
      <c r="J7" s="52">
        <f>'DCS Detail'!K173</f>
        <v>-269389.24000000017</v>
      </c>
      <c r="K7" s="52">
        <f>'DCS Detail'!L173</f>
        <v>41196.929999999935</v>
      </c>
      <c r="L7" s="52">
        <f>'DCS Detail'!M173</f>
        <v>-18044.420000000042</v>
      </c>
      <c r="M7" s="52">
        <f>'DCS Detail'!N173</f>
        <v>277215.00999999995</v>
      </c>
      <c r="N7" s="52">
        <f>'DCS Detail'!O173</f>
        <v>-277270.71999999997</v>
      </c>
      <c r="O7" s="52">
        <f>'DCS Detail'!P173</f>
        <v>-275385.20000000019</v>
      </c>
      <c r="P7" s="52">
        <f>'DCS Detail'!Q173</f>
        <v>42999.229999999952</v>
      </c>
      <c r="Q7" s="52">
        <f>'DCS Detail'!R173</f>
        <v>-72445.129999999946</v>
      </c>
      <c r="R7" s="52">
        <f>'DCS Detail'!S173</f>
        <v>304357.7900000001</v>
      </c>
      <c r="S7" s="52">
        <f>'DCS Detail'!T173</f>
        <v>-50766.930000000109</v>
      </c>
      <c r="T7" s="52">
        <f>'DCS Detail'!U173</f>
        <v>-121405.42999999993</v>
      </c>
      <c r="U7" s="52">
        <f>'DCS Detail'!V173</f>
        <v>-76841.600000000268</v>
      </c>
      <c r="V7" s="52">
        <f>'DCS Detail'!W173</f>
        <v>-63836.549999999988</v>
      </c>
      <c r="W7" s="52">
        <f>'DCS Detail'!X173</f>
        <v>-118368.46000000014</v>
      </c>
      <c r="X7" s="52">
        <f>'DCS Detail'!Y173</f>
        <v>44825.759999999835</v>
      </c>
      <c r="Y7" s="52">
        <f>'DCS Detail'!Z173</f>
        <v>203147.63</v>
      </c>
      <c r="Z7" s="52">
        <f>'DCS Detail'!AA173</f>
        <v>-98534.94</v>
      </c>
      <c r="AA7" s="52">
        <f>'DCS Detail'!AB173</f>
        <v>-142695.85441716458</v>
      </c>
      <c r="AB7" s="52">
        <f>'DCS Detail'!AC173</f>
        <v>814167.6094904762</v>
      </c>
      <c r="AC7" s="52">
        <f>'DCS Detail'!AD173</f>
        <v>9263.7226799857453</v>
      </c>
      <c r="AD7" s="52">
        <f>'DCS Detail'!AE173</f>
        <v>375419.49582742946</v>
      </c>
      <c r="AE7" s="52">
        <f>'DCS Detail'!AF173</f>
        <v>-18537.131691241811</v>
      </c>
      <c r="AF7" s="52">
        <f>'DCS Detail'!AG173</f>
        <v>-27143.541644380835</v>
      </c>
      <c r="AG7" s="52">
        <f>'DCS Detail'!AH173</f>
        <v>4405.9722803940531</v>
      </c>
      <c r="AH7" s="52">
        <f>'DCS Detail'!AI173</f>
        <v>-17855.558265472588</v>
      </c>
      <c r="AI7" s="52">
        <f>'DCS Detail'!AJ173</f>
        <v>89002.962986483995</v>
      </c>
      <c r="AJ7" s="52">
        <f>'DCS Detail'!AK173</f>
        <v>43258.550195976044</v>
      </c>
      <c r="AK7" s="52">
        <f>'DCS Detail'!AL173</f>
        <v>60802.847090277181</v>
      </c>
      <c r="AL7" s="52">
        <f>'DCS Detail'!AM173</f>
        <v>65178.001646770339</v>
      </c>
      <c r="AM7" s="52">
        <f>'DCS Detail'!AN173</f>
        <v>-195244.73811422061</v>
      </c>
      <c r="AN7" s="52">
        <f>'DCS Detail'!AO173</f>
        <v>156976.07765961988</v>
      </c>
      <c r="AO7" s="52">
        <f>'DCS Detail'!AP173</f>
        <v>17106.934569204052</v>
      </c>
      <c r="AP7" s="52">
        <f>'DCS Detail'!AQ173</f>
        <v>396307.09886506712</v>
      </c>
      <c r="AQ7" s="52">
        <f>'DCS Detail'!AR173</f>
        <v>-21593.028110592684</v>
      </c>
      <c r="AR7" s="52">
        <f>'DCS Detail'!AS173</f>
        <v>-29400.061086836853</v>
      </c>
      <c r="AS7" s="52">
        <f>'DCS Detail'!AT173</f>
        <v>7119.9198088892736</v>
      </c>
      <c r="AT7" s="52">
        <f>'DCS Detail'!AU173</f>
        <v>-17150.244932100235</v>
      </c>
      <c r="AU7" s="52">
        <f>'DCS Detail'!AV173</f>
        <v>33020.589359929436</v>
      </c>
      <c r="AV7" s="52">
        <f>'DCS Detail'!AW173</f>
        <v>16991.94982779253</v>
      </c>
      <c r="AW7" s="52">
        <f>'DCS Detail'!AX173</f>
        <v>8258.3530066562234</v>
      </c>
      <c r="AX7" s="52">
        <f>'DCS Detail'!AY173</f>
        <v>13903.16103016882</v>
      </c>
      <c r="AY7" s="52">
        <f>'DCS Detail'!AZ173</f>
        <v>-201927.8132283598</v>
      </c>
      <c r="AZ7" s="52">
        <f>'DCS Detail'!BA173</f>
        <v>203187.36893256049</v>
      </c>
      <c r="BA7" s="52">
        <f>'DCS Detail'!BB173</f>
        <v>1688.5736659906688</v>
      </c>
      <c r="BB7" s="52">
        <f>'DCS Detail'!BC173</f>
        <v>379630.73831886437</v>
      </c>
      <c r="BC7" s="52">
        <f>'DCS Detail'!BD173</f>
        <v>-33333.925378680346</v>
      </c>
      <c r="BD7" s="52">
        <f>'DCS Detail'!BE173</f>
        <v>-41628.997796770476</v>
      </c>
      <c r="BE7" s="52">
        <f>'DCS Detail'!BF173</f>
        <v>-2985.1599862598232</v>
      </c>
      <c r="BF7" s="52">
        <f>'DCS Detail'!BG173</f>
        <v>-27642.948220342456</v>
      </c>
      <c r="BG7" s="52">
        <f>'DCS Detail'!BH173</f>
        <v>23479.958095706359</v>
      </c>
      <c r="BH7" s="52">
        <f>'DCS Detail'!BI173</f>
        <v>6152.2789543417748</v>
      </c>
      <c r="BI7" s="52">
        <f>'DCS Detail'!BJ173</f>
        <v>-1927.6319237273419</v>
      </c>
      <c r="BJ7" s="52">
        <f>'DCS Detail'!BK173</f>
        <v>3683.739630318014</v>
      </c>
      <c r="BK7" s="52">
        <f>'DCS Detail'!BL173</f>
        <v>-222236.22683649202</v>
      </c>
      <c r="BL7" s="52">
        <f>'DCS Detail'!BM173</f>
        <v>229899.68134003383</v>
      </c>
      <c r="BM7" s="52">
        <f>'DCS Detail'!BN173</f>
        <v>4618.1763531830511</v>
      </c>
      <c r="BN7" s="52">
        <f>'DCS Detail'!BO173</f>
        <v>380746.71575466881</v>
      </c>
      <c r="BO7" s="52">
        <f>'DCS Detail'!BP173</f>
        <v>-30387.767144279904</v>
      </c>
      <c r="BP7" s="52">
        <f>'DCS Detail'!BQ173</f>
        <v>-39941.252689453191</v>
      </c>
      <c r="BQ7" s="52">
        <f>'DCS Detail'!BR173</f>
        <v>-285.48535916290712</v>
      </c>
      <c r="BR7" s="52">
        <f>'DCS Detail'!BS173</f>
        <v>-26661.265981214005</v>
      </c>
      <c r="BS7" s="52">
        <f>'DCS Detail'!BT173</f>
        <v>27943.688941139902</v>
      </c>
      <c r="BT7" s="52">
        <f>'DCS Detail'!BU173</f>
        <v>9882.3859066877048</v>
      </c>
      <c r="BU7" s="52">
        <f>'DCS Detail'!BV173</f>
        <v>1983.6282838964253</v>
      </c>
      <c r="BV7" s="52">
        <f>'DCS Detail'!BW173</f>
        <v>7448.3482033844339</v>
      </c>
      <c r="BW7" s="52">
        <f>'DCS Detail'!BX173</f>
        <v>-225101.43908913672</v>
      </c>
      <c r="BY7" s="52">
        <f>SUMIF($C$37:$BX$37,1,$C7:$BX7)</f>
        <v>-6868.6300000004703</v>
      </c>
    </row>
    <row r="8" spans="1:77" x14ac:dyDescent="0.3">
      <c r="B8" t="s">
        <v>159</v>
      </c>
      <c r="D8" s="8">
        <f>'DCS Detail'!E139</f>
        <v>283.33999999999997</v>
      </c>
      <c r="E8" s="8">
        <f>'DCS Detail'!F139</f>
        <v>283.33999999999997</v>
      </c>
      <c r="F8" s="8">
        <f>'DCS Detail'!G139</f>
        <v>283.33999999999997</v>
      </c>
      <c r="G8" s="8">
        <f>'DCS Detail'!H139</f>
        <v>283.33999999999997</v>
      </c>
      <c r="H8" s="8">
        <f>'DCS Detail'!I139</f>
        <v>283.33999999999997</v>
      </c>
      <c r="I8" s="8">
        <f>'DCS Detail'!J139</f>
        <v>283.33999999999997</v>
      </c>
      <c r="J8" s="8">
        <f>'DCS Detail'!K139</f>
        <v>283.33999999999997</v>
      </c>
      <c r="K8" s="8">
        <f>'DCS Detail'!L139</f>
        <v>283.34000000000003</v>
      </c>
      <c r="L8" s="8">
        <f>'DCS Detail'!M139</f>
        <v>9317.0300000000007</v>
      </c>
      <c r="M8" s="8">
        <f>'DCS Detail'!N139</f>
        <v>2643.08</v>
      </c>
      <c r="N8" s="8">
        <f>'DCS Detail'!O139</f>
        <v>2728.06</v>
      </c>
      <c r="O8" s="8">
        <f>'DCS Detail'!P139</f>
        <v>129454.54000000001</v>
      </c>
      <c r="P8" s="8">
        <f>'DCS Detail'!Q139</f>
        <v>23791.88</v>
      </c>
      <c r="Q8" s="8">
        <f>'DCS Detail'!R139</f>
        <v>23847.31</v>
      </c>
      <c r="R8" s="8">
        <f>'DCS Detail'!S139</f>
        <v>23847.31</v>
      </c>
      <c r="S8" s="8">
        <f>'DCS Detail'!T139</f>
        <v>23847.31</v>
      </c>
      <c r="T8" s="8">
        <f>'DCS Detail'!U139</f>
        <v>23847.31</v>
      </c>
      <c r="U8" s="8">
        <f>'DCS Detail'!V139</f>
        <v>23847.31</v>
      </c>
      <c r="V8" s="8">
        <f>'DCS Detail'!W139</f>
        <v>23847.31</v>
      </c>
      <c r="W8" s="8">
        <f>'DCS Detail'!X139</f>
        <v>23847.31</v>
      </c>
      <c r="X8" s="8">
        <f>'DCS Detail'!Y139</f>
        <v>23847.31</v>
      </c>
      <c r="Y8" s="8">
        <f>'DCS Detail'!Z139</f>
        <v>23957.93</v>
      </c>
      <c r="Z8" s="8">
        <f>'DCS Detail'!AA139</f>
        <v>21831.32</v>
      </c>
      <c r="AA8" s="8">
        <f>'DCS Detail'!AB139</f>
        <v>23847.31</v>
      </c>
      <c r="AB8" s="8">
        <f>'DCS Detail'!AC139</f>
        <v>25452.287142857149</v>
      </c>
      <c r="AC8" s="8">
        <f>'DCS Detail'!AD139</f>
        <v>25452.287142857149</v>
      </c>
      <c r="AD8" s="8">
        <f>'DCS Detail'!AE139</f>
        <v>25461.810952380962</v>
      </c>
      <c r="AE8" s="8">
        <f>'DCS Detail'!AF139</f>
        <v>25471.334761904767</v>
      </c>
      <c r="AF8" s="8">
        <f>'DCS Detail'!AG139</f>
        <v>25509.430000000008</v>
      </c>
      <c r="AG8" s="8">
        <f>'DCS Detail'!AH139</f>
        <v>27434.505926424648</v>
      </c>
      <c r="AH8" s="8">
        <f>'DCS Detail'!AI139</f>
        <v>29359.581852849293</v>
      </c>
      <c r="AI8" s="8">
        <f>'DCS Detail'!AJ139</f>
        <v>31284.657779273937</v>
      </c>
      <c r="AJ8" s="8">
        <f>'DCS Detail'!AK139</f>
        <v>33209.733705698571</v>
      </c>
      <c r="AK8" s="8">
        <f>'DCS Detail'!AL139</f>
        <v>35134.809632123215</v>
      </c>
      <c r="AL8" s="8">
        <f>'DCS Detail'!AM139</f>
        <v>37059.88555854786</v>
      </c>
      <c r="AM8" s="8">
        <f>'DCS Detail'!AN139</f>
        <v>38984.961484972504</v>
      </c>
      <c r="AN8" s="8">
        <f>'DCS Detail'!AO139</f>
        <v>40908.269365713495</v>
      </c>
      <c r="AO8" s="8">
        <f>'DCS Detail'!AP139</f>
        <v>42831.577246454501</v>
      </c>
      <c r="AP8" s="8">
        <f>'DCS Detail'!AQ139</f>
        <v>44754.885127195506</v>
      </c>
      <c r="AQ8" s="8">
        <f>'DCS Detail'!AR139</f>
        <v>46678.193007936505</v>
      </c>
      <c r="AR8" s="8">
        <f>'DCS Detail'!AS139</f>
        <v>46698.034277777777</v>
      </c>
      <c r="AS8" s="8">
        <f>'DCS Detail'!AT139</f>
        <v>46717.875547619042</v>
      </c>
      <c r="AT8" s="8">
        <f>'DCS Detail'!AU139</f>
        <v>46737.716817460314</v>
      </c>
      <c r="AU8" s="8">
        <f>'DCS Detail'!AV139</f>
        <v>46757.558087301572</v>
      </c>
      <c r="AV8" s="8">
        <f>'DCS Detail'!AW139</f>
        <v>46777.399357142836</v>
      </c>
      <c r="AW8" s="8">
        <f>'DCS Detail'!AX139</f>
        <v>46797.240626984109</v>
      </c>
      <c r="AX8" s="8">
        <f>'DCS Detail'!AY139</f>
        <v>46817.081896825373</v>
      </c>
      <c r="AY8" s="8">
        <f>'DCS Detail'!AZ139</f>
        <v>46836.923166666646</v>
      </c>
      <c r="AZ8" s="8">
        <f>'DCS Detail'!BA139</f>
        <v>46856.764436507903</v>
      </c>
      <c r="BA8" s="8">
        <f>'DCS Detail'!BB139</f>
        <v>46876.605706349175</v>
      </c>
      <c r="BB8" s="8">
        <f>'DCS Detail'!BC139</f>
        <v>46896.44697619044</v>
      </c>
      <c r="BC8" s="8">
        <f>'DCS Detail'!BD139</f>
        <v>46916.288246031712</v>
      </c>
      <c r="BD8" s="8">
        <f>'DCS Detail'!BE139</f>
        <v>46936.129515872977</v>
      </c>
      <c r="BE8" s="8">
        <f>'DCS Detail'!BF139</f>
        <v>46955.970785714249</v>
      </c>
      <c r="BF8" s="8">
        <f>'DCS Detail'!BG139</f>
        <v>46975.812055555507</v>
      </c>
      <c r="BG8" s="8">
        <f>'DCS Detail'!BH139</f>
        <v>46995.653325396772</v>
      </c>
      <c r="BH8" s="8">
        <f>'DCS Detail'!BI139</f>
        <v>47015.494595238044</v>
      </c>
      <c r="BI8" s="8">
        <f>'DCS Detail'!BJ139</f>
        <v>47035.335865079309</v>
      </c>
      <c r="BJ8" s="8">
        <f>'DCS Detail'!BK139</f>
        <v>47055.177134920581</v>
      </c>
      <c r="BK8" s="8">
        <f>'DCS Detail'!BL139</f>
        <v>47075.018404761839</v>
      </c>
      <c r="BL8" s="8">
        <f>'DCS Detail'!BM139</f>
        <v>47094.859674603111</v>
      </c>
      <c r="BM8" s="8">
        <f>'DCS Detail'!BN139</f>
        <v>47114.700944444376</v>
      </c>
      <c r="BN8" s="8">
        <f>'DCS Detail'!BO139</f>
        <v>47134.542214285648</v>
      </c>
      <c r="BO8" s="8">
        <f>'DCS Detail'!BP139</f>
        <v>47154.383484126913</v>
      </c>
      <c r="BP8" s="8">
        <f>'DCS Detail'!BQ139</f>
        <v>47174.224753968185</v>
      </c>
      <c r="BQ8" s="8">
        <f>'DCS Detail'!BR139</f>
        <v>47194.066023809442</v>
      </c>
      <c r="BR8" s="8">
        <f>'DCS Detail'!BS139</f>
        <v>47213.907293650715</v>
      </c>
      <c r="BS8" s="8">
        <f>'DCS Detail'!BT139</f>
        <v>47233.748563491979</v>
      </c>
      <c r="BT8" s="8">
        <f>'DCS Detail'!BU139</f>
        <v>47253.589833333244</v>
      </c>
      <c r="BU8" s="8">
        <f>'DCS Detail'!BV139</f>
        <v>47273.431103174516</v>
      </c>
      <c r="BV8" s="8">
        <f>'DCS Detail'!BW139</f>
        <v>47293.272373015774</v>
      </c>
      <c r="BW8" s="8">
        <f>'DCS Detail'!BX139</f>
        <v>47313.113642857046</v>
      </c>
      <c r="BX8" s="8"/>
      <c r="BY8" s="8">
        <f>SUMIF($C$37:$BX$37,1,$C8:$BX8)</f>
        <v>260359.61</v>
      </c>
    </row>
    <row r="9" spans="1:77" x14ac:dyDescent="0.3">
      <c r="B9" t="s">
        <v>235</v>
      </c>
      <c r="D9" s="8">
        <f>'Financial Position Detail'!F82</f>
        <v>-285255.53000000003</v>
      </c>
      <c r="E9" s="8">
        <f>'Financial Position Detail'!G82</f>
        <v>-15278.180000000008</v>
      </c>
      <c r="F9" s="8">
        <f>'Financial Position Detail'!H82</f>
        <v>-6295.93</v>
      </c>
      <c r="G9" s="8">
        <f>'Financial Position Detail'!I82</f>
        <v>-32839.61</v>
      </c>
      <c r="H9" s="8">
        <f>'Financial Position Detail'!J82</f>
        <v>113882.26</v>
      </c>
      <c r="I9" s="8">
        <f>'Financial Position Detail'!K82</f>
        <v>-79998.010000000009</v>
      </c>
      <c r="J9" s="8">
        <f>'Financial Position Detail'!L82</f>
        <v>415.77999999999884</v>
      </c>
      <c r="K9" s="8">
        <f>'Financial Position Detail'!M82</f>
        <v>-5800.3099999999904</v>
      </c>
      <c r="L9" s="8">
        <f>'Financial Position Detail'!N82</f>
        <v>147770.19</v>
      </c>
      <c r="M9" s="8">
        <f>'Financial Position Detail'!O82</f>
        <v>-45017.019999999982</v>
      </c>
      <c r="N9" s="8">
        <f>'Financial Position Detail'!P82</f>
        <v>318283.5</v>
      </c>
      <c r="O9" s="8">
        <f>'Financial Position Detail'!Q82</f>
        <v>-73447.859999999899</v>
      </c>
      <c r="P9" s="8">
        <f>'Financial Position Detail'!R82</f>
        <v>170976.66000000003</v>
      </c>
      <c r="Q9" s="8">
        <f>'Financial Position Detail'!S82</f>
        <v>-288165.53000000003</v>
      </c>
      <c r="R9" s="8">
        <f>'Financial Position Detail'!T82</f>
        <v>-2687.8000000000466</v>
      </c>
      <c r="S9" s="8">
        <f>'Financial Position Detail'!U82</f>
        <v>-56455.80000000001</v>
      </c>
      <c r="T9" s="8">
        <f>'Financial Position Detail'!V82</f>
        <v>123734.61000000003</v>
      </c>
      <c r="U9" s="8">
        <f>'Financial Position Detail'!W82</f>
        <v>231317.79999999993</v>
      </c>
      <c r="V9" s="8">
        <f>'Financial Position Detail'!X82</f>
        <v>-256190.45999999993</v>
      </c>
      <c r="W9" s="8">
        <f>'Financial Position Detail'!Y82</f>
        <v>-28493.949999999997</v>
      </c>
      <c r="X9" s="8">
        <f>'Financial Position Detail'!Z82</f>
        <v>-22712.75</v>
      </c>
      <c r="Y9" s="8">
        <f>'Financial Position Detail'!AA82</f>
        <v>-296221.15000000002</v>
      </c>
      <c r="Z9" s="8">
        <f>'Financial Position Detail'!AB82</f>
        <v>17941.199999999997</v>
      </c>
      <c r="AA9" s="8">
        <f>'Financial Position Detail'!AC82</f>
        <v>219621.99467844141</v>
      </c>
      <c r="AB9" s="8">
        <f>'Financial Position Detail'!AD82</f>
        <v>-299947.86693343369</v>
      </c>
      <c r="AC9" s="8">
        <f>'Financial Position Detail'!AE82</f>
        <v>73336.002425937797</v>
      </c>
      <c r="AD9" s="8">
        <f>'Financial Position Detail'!AF82</f>
        <v>41082.178776411485</v>
      </c>
      <c r="AE9" s="8">
        <f>'Financial Position Detail'!AG82</f>
        <v>-37353.842318327312</v>
      </c>
      <c r="AF9" s="8">
        <f>'Financial Position Detail'!AH82</f>
        <v>11104.234779041813</v>
      </c>
      <c r="AG9" s="8">
        <f>'Financial Position Detail'!AI82</f>
        <v>-21377.748643628671</v>
      </c>
      <c r="AH9" s="8">
        <f>'Financial Position Detail'!AJ82</f>
        <v>11566.672451489256</v>
      </c>
      <c r="AI9" s="8">
        <f>'Financial Position Detail'!AK82</f>
        <v>2240.7692141034931</v>
      </c>
      <c r="AJ9" s="8">
        <f>'Financial Position Detail'!AL82</f>
        <v>-2311.9259685761645</v>
      </c>
      <c r="AK9" s="8">
        <f>'Financial Position Detail'!AM82</f>
        <v>-5496.7760009962076</v>
      </c>
      <c r="AL9" s="8">
        <f>'Financial Position Detail'!AN82</f>
        <v>2424.7663497184985</v>
      </c>
      <c r="AM9" s="8">
        <f>'Financial Position Detail'!AO82</f>
        <v>257983.65604056901</v>
      </c>
      <c r="AN9" s="8">
        <f>'Financial Position Detail'!AP82</f>
        <v>-326302.72109417641</v>
      </c>
      <c r="AO9" s="8">
        <f>'Financial Position Detail'!AQ82</f>
        <v>81670.045470419602</v>
      </c>
      <c r="AP9" s="8">
        <f>'Financial Position Detail'!AR82</f>
        <v>36903.154700600484</v>
      </c>
      <c r="AQ9" s="8">
        <f>'Financial Position Detail'!AS82</f>
        <v>-31675.053620663297</v>
      </c>
      <c r="AR9" s="8">
        <f>'Financial Position Detail'!AT82</f>
        <v>11410.034572106582</v>
      </c>
      <c r="AS9" s="8">
        <f>'Financial Position Detail'!AU82</f>
        <v>-23659.757904898957</v>
      </c>
      <c r="AT9" s="8">
        <f>'Financial Position Detail'!AV82</f>
        <v>12091.745660627843</v>
      </c>
      <c r="AU9" s="8">
        <f>'Financial Position Detail'!AW82</f>
        <v>-1936.2998800743371</v>
      </c>
      <c r="AV9" s="8">
        <f>'Financial Position Detail'!AX82</f>
        <v>587.7467317217961</v>
      </c>
      <c r="AW9" s="8">
        <f>'Financial Position Detail'!AY82</f>
        <v>-6945.1642784799333</v>
      </c>
      <c r="AX9" s="8">
        <f>'Financial Position Detail'!AZ82</f>
        <v>1917.1863775142119</v>
      </c>
      <c r="AY9" s="8">
        <f>'Financial Position Detail'!BA82</f>
        <v>283092.35745953582</v>
      </c>
      <c r="AZ9" s="8">
        <f>'Financial Position Detail'!BB82</f>
        <v>-360988.21747576969</v>
      </c>
      <c r="BA9" s="8">
        <f>'Financial Position Detail'!BC82</f>
        <v>84681.572626245237</v>
      </c>
      <c r="BB9" s="8">
        <f>'Financial Position Detail'!BD82</f>
        <v>37176.64850322649</v>
      </c>
      <c r="BC9" s="8">
        <f>'Financial Position Detail'!BE82</f>
        <v>-33055.65712834298</v>
      </c>
      <c r="BD9" s="8">
        <f>'Financial Position Detail'!BF82</f>
        <v>11780.303534807113</v>
      </c>
      <c r="BE9" s="8">
        <f>'Financial Position Detail'!BG82</f>
        <v>-24397.436363529036</v>
      </c>
      <c r="BF9" s="8">
        <f>'Financial Position Detail'!BH82</f>
        <v>12453.648725138803</v>
      </c>
      <c r="BG9" s="8">
        <f>'Financial Position Detail'!BI82</f>
        <v>2371.3290414449293</v>
      </c>
      <c r="BH9" s="8">
        <f>'Financial Position Detail'!BJ82</f>
        <v>-3760.6891382910835</v>
      </c>
      <c r="BI9" s="8">
        <f>'Financial Position Detail'!BK82</f>
        <v>-7126.2353701596439</v>
      </c>
      <c r="BJ9" s="8">
        <f>'Financial Position Detail'!BL82</f>
        <v>1947.3000527693075</v>
      </c>
      <c r="BK9" s="8">
        <f>'Financial Position Detail'!BM82</f>
        <v>296553.69933761912</v>
      </c>
      <c r="BL9" s="8">
        <f>'Financial Position Detail'!BN82</f>
        <v>-377982.30321740021</v>
      </c>
      <c r="BM9" s="8">
        <f>'Financial Position Detail'!BO82</f>
        <v>87221.765358559496</v>
      </c>
      <c r="BN9" s="8">
        <f>'Financial Position Detail'!BP82</f>
        <v>38029.212474581145</v>
      </c>
      <c r="BO9" s="8">
        <f>'Financial Position Detail'!BQ82</f>
        <v>-33784.925809273496</v>
      </c>
      <c r="BP9" s="8">
        <f>'Financial Position Detail'!BR82</f>
        <v>12120.967806564324</v>
      </c>
      <c r="BQ9" s="8">
        <f>'Financial Position Detail'!BS82</f>
        <v>-25116.964965774328</v>
      </c>
      <c r="BR9" s="8">
        <f>'Financial Position Detail'!BT82</f>
        <v>12827.058903634897</v>
      </c>
      <c r="BS9" s="8">
        <f>'Financial Position Detail'!BU82</f>
        <v>2401.7525183343969</v>
      </c>
      <c r="BT9" s="8">
        <f>'Financial Position Detail'!BV82</f>
        <v>-3833.2015765916731</v>
      </c>
      <c r="BU9" s="8">
        <f>'Financial Position Detail'!BW82</f>
        <v>-7352.8196678464592</v>
      </c>
      <c r="BV9" s="8">
        <f>'Financial Position Detail'!BX82</f>
        <v>2018.1444977724168</v>
      </c>
      <c r="BW9" s="8">
        <f>'Financial Position Detail'!BY82</f>
        <v>305437.51696410403</v>
      </c>
      <c r="BX9" s="8"/>
      <c r="BY9" s="8">
        <f>SUMIF($C$37:$BX$37,1,$C9:$BX9)</f>
        <v>-406957.17000000004</v>
      </c>
    </row>
    <row r="10" spans="1:77" x14ac:dyDescent="0.3">
      <c r="B10" t="s">
        <v>124</v>
      </c>
      <c r="D10" s="18">
        <v>0</v>
      </c>
      <c r="E10" s="18">
        <v>0</v>
      </c>
      <c r="F10" s="18">
        <v>0</v>
      </c>
      <c r="G10" s="18">
        <v>0</v>
      </c>
      <c r="H10" s="18">
        <v>0</v>
      </c>
      <c r="I10" s="18">
        <v>0</v>
      </c>
      <c r="J10" s="18">
        <v>0</v>
      </c>
      <c r="K10" s="18">
        <v>0</v>
      </c>
      <c r="L10" s="18">
        <v>7043.8100000004597</v>
      </c>
      <c r="M10" s="18">
        <v>-7043.8100000004597</v>
      </c>
      <c r="N10" s="18">
        <v>2475.8500000003201</v>
      </c>
      <c r="O10" s="18">
        <f>49606+177</f>
        <v>49783</v>
      </c>
      <c r="P10" s="18">
        <v>0</v>
      </c>
      <c r="Q10" s="18">
        <v>0</v>
      </c>
      <c r="R10" s="18">
        <v>0</v>
      </c>
      <c r="S10" s="18">
        <v>0</v>
      </c>
      <c r="T10" s="18">
        <v>0</v>
      </c>
      <c r="U10" s="18">
        <v>0</v>
      </c>
      <c r="V10" s="18">
        <v>0</v>
      </c>
      <c r="W10" s="18">
        <v>0</v>
      </c>
      <c r="X10" s="18">
        <v>0</v>
      </c>
      <c r="Y10" s="18">
        <v>0</v>
      </c>
      <c r="Z10" s="18">
        <v>0</v>
      </c>
      <c r="AA10" s="18">
        <v>0</v>
      </c>
      <c r="AB10" s="102">
        <f>-IF('Hillpointe Detail'!$B$291="Red Hook",0,'Financial Position Detail'!AC67-'Financial Position Detail'!AC34-'Financial Position Detail'!AC37)</f>
        <v>-670098.30999999994</v>
      </c>
      <c r="AC10" s="18">
        <v>0</v>
      </c>
      <c r="AD10" s="18">
        <v>0</v>
      </c>
      <c r="AE10" s="18">
        <v>0</v>
      </c>
      <c r="AF10" s="18">
        <v>0</v>
      </c>
      <c r="AG10" s="18">
        <v>0</v>
      </c>
      <c r="AH10" s="18">
        <v>0</v>
      </c>
      <c r="AI10" s="18">
        <v>0</v>
      </c>
      <c r="AJ10" s="18">
        <v>0</v>
      </c>
      <c r="AK10" s="18">
        <v>0</v>
      </c>
      <c r="AL10" s="18">
        <v>0</v>
      </c>
      <c r="AM10" s="18">
        <v>0</v>
      </c>
      <c r="AN10" s="18">
        <v>0</v>
      </c>
      <c r="AO10" s="18">
        <v>0</v>
      </c>
      <c r="AP10" s="18">
        <v>0</v>
      </c>
      <c r="AQ10" s="18">
        <v>0</v>
      </c>
      <c r="AR10" s="18">
        <v>0</v>
      </c>
      <c r="AS10" s="18">
        <v>0</v>
      </c>
      <c r="AT10" s="18">
        <v>0</v>
      </c>
      <c r="AU10" s="18">
        <v>0</v>
      </c>
      <c r="AV10" s="18">
        <v>0</v>
      </c>
      <c r="AW10" s="18">
        <v>0</v>
      </c>
      <c r="AX10" s="18">
        <v>0</v>
      </c>
      <c r="AY10" s="18">
        <v>0</v>
      </c>
      <c r="AZ10" s="18">
        <v>0</v>
      </c>
      <c r="BA10" s="18">
        <v>0</v>
      </c>
      <c r="BB10" s="18">
        <v>0</v>
      </c>
      <c r="BC10" s="18">
        <v>0</v>
      </c>
      <c r="BD10" s="18">
        <v>0</v>
      </c>
      <c r="BE10" s="18">
        <v>0</v>
      </c>
      <c r="BF10" s="18">
        <v>0</v>
      </c>
      <c r="BG10" s="18">
        <v>0</v>
      </c>
      <c r="BH10" s="18">
        <v>0</v>
      </c>
      <c r="BI10" s="18">
        <v>0</v>
      </c>
      <c r="BJ10" s="18">
        <v>0</v>
      </c>
      <c r="BK10" s="18">
        <v>0</v>
      </c>
      <c r="BL10" s="18">
        <v>0</v>
      </c>
      <c r="BM10" s="18">
        <v>0</v>
      </c>
      <c r="BN10" s="18">
        <v>0</v>
      </c>
      <c r="BO10" s="18">
        <v>0</v>
      </c>
      <c r="BP10" s="18">
        <v>0</v>
      </c>
      <c r="BQ10" s="18">
        <v>0</v>
      </c>
      <c r="BR10" s="18">
        <v>0</v>
      </c>
      <c r="BS10" s="18">
        <v>0</v>
      </c>
      <c r="BT10" s="18">
        <v>0</v>
      </c>
      <c r="BU10" s="18">
        <v>0</v>
      </c>
      <c r="BV10" s="18">
        <v>0</v>
      </c>
      <c r="BW10" s="18">
        <v>0</v>
      </c>
      <c r="BX10" s="8"/>
      <c r="BY10" s="8">
        <f>SUMIF($C$37:$BX$37,1,$C10:$BX10)</f>
        <v>0</v>
      </c>
    </row>
    <row r="11" spans="1:77" ht="3" customHeight="1" x14ac:dyDescent="0.3">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8"/>
      <c r="BY11" s="9"/>
    </row>
    <row r="12" spans="1:77" x14ac:dyDescent="0.3">
      <c r="A12" s="1" t="s">
        <v>236</v>
      </c>
      <c r="D12" s="8">
        <f>SUM(D7:D11)</f>
        <v>227596.27999999997</v>
      </c>
      <c r="E12" s="8">
        <f t="shared" ref="E12:O12" si="62">SUM(E7:E11)</f>
        <v>259643.8000000001</v>
      </c>
      <c r="F12" s="8">
        <f t="shared" si="62"/>
        <v>-102948.47000000003</v>
      </c>
      <c r="G12" s="8">
        <f t="shared" si="62"/>
        <v>305245.52999999991</v>
      </c>
      <c r="H12" s="8">
        <f t="shared" si="62"/>
        <v>-145032.56000000017</v>
      </c>
      <c r="I12" s="8">
        <f t="shared" si="62"/>
        <v>237786.03999999998</v>
      </c>
      <c r="J12" s="8">
        <f t="shared" si="62"/>
        <v>-268690.12000000011</v>
      </c>
      <c r="K12" s="8">
        <f t="shared" si="62"/>
        <v>35679.959999999941</v>
      </c>
      <c r="L12" s="8">
        <f t="shared" si="62"/>
        <v>146086.61000000042</v>
      </c>
      <c r="M12" s="8">
        <f t="shared" si="62"/>
        <v>227797.25999999951</v>
      </c>
      <c r="N12" s="8">
        <f t="shared" si="62"/>
        <v>46216.690000000344</v>
      </c>
      <c r="O12" s="8">
        <f t="shared" si="62"/>
        <v>-169595.52000000008</v>
      </c>
      <c r="P12" s="8">
        <f t="shared" ref="P12:AA12" si="63">SUM(P7:P11)</f>
        <v>237767.77</v>
      </c>
      <c r="Q12" s="8">
        <f t="shared" si="63"/>
        <v>-336763.35</v>
      </c>
      <c r="R12" s="8">
        <f t="shared" si="63"/>
        <v>325517.30000000005</v>
      </c>
      <c r="S12" s="8">
        <f t="shared" si="63"/>
        <v>-83375.420000000115</v>
      </c>
      <c r="T12" s="8">
        <f t="shared" si="63"/>
        <v>26176.490000000093</v>
      </c>
      <c r="U12" s="8">
        <f t="shared" si="63"/>
        <v>178323.50999999966</v>
      </c>
      <c r="V12" s="8">
        <f t="shared" si="63"/>
        <v>-296179.69999999995</v>
      </c>
      <c r="W12" s="8">
        <f t="shared" si="63"/>
        <v>-123015.10000000014</v>
      </c>
      <c r="X12" s="8">
        <f t="shared" si="63"/>
        <v>45960.319999999832</v>
      </c>
      <c r="Y12" s="8">
        <f t="shared" si="63"/>
        <v>-69115.590000000026</v>
      </c>
      <c r="Z12" s="8">
        <f t="shared" si="63"/>
        <v>-58762.42</v>
      </c>
      <c r="AA12" s="8">
        <f t="shared" si="63"/>
        <v>100773.45026127683</v>
      </c>
      <c r="AB12" s="8">
        <f t="shared" ref="AB12:AM12" si="64">SUM(AB7:AB11)</f>
        <v>-130426.28030010033</v>
      </c>
      <c r="AC12" s="8">
        <f t="shared" si="64"/>
        <v>108052.01224878069</v>
      </c>
      <c r="AD12" s="8">
        <f t="shared" si="64"/>
        <v>441963.48555622192</v>
      </c>
      <c r="AE12" s="8">
        <f t="shared" si="64"/>
        <v>-30419.639247664356</v>
      </c>
      <c r="AF12" s="8">
        <f t="shared" si="64"/>
        <v>9470.1231346609857</v>
      </c>
      <c r="AG12" s="8">
        <f t="shared" si="64"/>
        <v>10462.729563190031</v>
      </c>
      <c r="AH12" s="8">
        <f t="shared" si="64"/>
        <v>23070.696038865961</v>
      </c>
      <c r="AI12" s="8">
        <f t="shared" si="64"/>
        <v>122528.38997986143</v>
      </c>
      <c r="AJ12" s="8">
        <f t="shared" si="64"/>
        <v>74156.35793309845</v>
      </c>
      <c r="AK12" s="8">
        <f t="shared" si="64"/>
        <v>90440.880721404188</v>
      </c>
      <c r="AL12" s="8">
        <f t="shared" si="64"/>
        <v>104662.6535550367</v>
      </c>
      <c r="AM12" s="8">
        <f t="shared" si="64"/>
        <v>101723.8794113209</v>
      </c>
      <c r="AN12" s="8">
        <f>SUM(AN7:AN11)</f>
        <v>-128418.37406884303</v>
      </c>
      <c r="AO12" s="8">
        <f t="shared" ref="AO12:BW12" si="65">SUM(AO7:AO11)</f>
        <v>141608.55728607817</v>
      </c>
      <c r="AP12" s="8">
        <f t="shared" si="65"/>
        <v>477965.13869286311</v>
      </c>
      <c r="AQ12" s="8">
        <f t="shared" si="65"/>
        <v>-6589.8887233194764</v>
      </c>
      <c r="AR12" s="8">
        <f t="shared" si="65"/>
        <v>28708.007763047506</v>
      </c>
      <c r="AS12" s="8">
        <f t="shared" si="65"/>
        <v>30178.037451609358</v>
      </c>
      <c r="AT12" s="8">
        <f t="shared" si="65"/>
        <v>41679.217545987922</v>
      </c>
      <c r="AU12" s="8">
        <f t="shared" si="65"/>
        <v>77841.84756715667</v>
      </c>
      <c r="AV12" s="8">
        <f t="shared" si="65"/>
        <v>64357.095916657163</v>
      </c>
      <c r="AW12" s="8">
        <f t="shared" si="65"/>
        <v>48110.429355160399</v>
      </c>
      <c r="AX12" s="8">
        <f t="shared" si="65"/>
        <v>62637.429304508405</v>
      </c>
      <c r="AY12" s="8">
        <f t="shared" si="65"/>
        <v>128001.46739784267</v>
      </c>
      <c r="AZ12" s="8">
        <f t="shared" si="65"/>
        <v>-110944.08410670131</v>
      </c>
      <c r="BA12" s="8">
        <f t="shared" si="65"/>
        <v>133246.75199858507</v>
      </c>
      <c r="BB12" s="8">
        <f t="shared" si="65"/>
        <v>463703.83379828127</v>
      </c>
      <c r="BC12" s="8">
        <f t="shared" si="65"/>
        <v>-19473.294260991614</v>
      </c>
      <c r="BD12" s="8">
        <f t="shared" si="65"/>
        <v>17087.435253909614</v>
      </c>
      <c r="BE12" s="8">
        <f t="shared" si="65"/>
        <v>19573.374435925391</v>
      </c>
      <c r="BF12" s="8">
        <f t="shared" si="65"/>
        <v>31786.512560351854</v>
      </c>
      <c r="BG12" s="8">
        <f t="shared" si="65"/>
        <v>72846.940462548053</v>
      </c>
      <c r="BH12" s="8">
        <f t="shared" si="65"/>
        <v>49407.084411288735</v>
      </c>
      <c r="BI12" s="8">
        <f t="shared" si="65"/>
        <v>37981.468571192323</v>
      </c>
      <c r="BJ12" s="8">
        <f t="shared" si="65"/>
        <v>52686.216818007902</v>
      </c>
      <c r="BK12" s="8">
        <f t="shared" si="65"/>
        <v>121392.49090588896</v>
      </c>
      <c r="BL12" s="8">
        <f t="shared" si="65"/>
        <v>-100987.76220276329</v>
      </c>
      <c r="BM12" s="8">
        <f t="shared" si="65"/>
        <v>138954.64265618692</v>
      </c>
      <c r="BN12" s="8">
        <f t="shared" si="65"/>
        <v>465910.4704435356</v>
      </c>
      <c r="BO12" s="8">
        <f t="shared" si="65"/>
        <v>-17018.309469426487</v>
      </c>
      <c r="BP12" s="8">
        <f t="shared" si="65"/>
        <v>19353.939871079318</v>
      </c>
      <c r="BQ12" s="8">
        <f t="shared" si="65"/>
        <v>21791.615698872207</v>
      </c>
      <c r="BR12" s="8">
        <f t="shared" si="65"/>
        <v>33379.700216071607</v>
      </c>
      <c r="BS12" s="8">
        <f t="shared" si="65"/>
        <v>77579.190022966271</v>
      </c>
      <c r="BT12" s="8">
        <f t="shared" si="65"/>
        <v>53302.774163429276</v>
      </c>
      <c r="BU12" s="8">
        <f t="shared" si="65"/>
        <v>41904.239719224483</v>
      </c>
      <c r="BV12" s="8">
        <f t="shared" si="65"/>
        <v>56759.765074172625</v>
      </c>
      <c r="BW12" s="8">
        <f t="shared" si="65"/>
        <v>127649.19151782437</v>
      </c>
      <c r="BX12" s="8"/>
      <c r="BY12" s="8">
        <f>SUM(BY7:BY11)</f>
        <v>-153466.19000000053</v>
      </c>
    </row>
    <row r="13" spans="1:77" ht="6" customHeight="1" x14ac:dyDescent="0.3">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row>
    <row r="14" spans="1:77" x14ac:dyDescent="0.3">
      <c r="A14" s="1" t="s">
        <v>237</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row>
    <row r="15" spans="1:77" x14ac:dyDescent="0.3">
      <c r="B15" t="s">
        <v>231</v>
      </c>
      <c r="D15" s="8">
        <f>'Financial Position Detail'!F83</f>
        <v>0</v>
      </c>
      <c r="E15" s="8">
        <f>'Financial Position Detail'!G83</f>
        <v>-14800</v>
      </c>
      <c r="F15" s="8">
        <f>'Financial Position Detail'!H83</f>
        <v>3.637978807091713E-12</v>
      </c>
      <c r="G15" s="8">
        <f>'Financial Position Detail'!I83</f>
        <v>-5200.0000000000036</v>
      </c>
      <c r="H15" s="8">
        <f>'Financial Position Detail'!J83</f>
        <v>-88908.089999999982</v>
      </c>
      <c r="I15" s="8">
        <f>'Financial Position Detail'!K83</f>
        <v>-5000.0000000000036</v>
      </c>
      <c r="J15" s="8">
        <f>'Financial Position Detail'!L83</f>
        <v>-1.8189894035458565E-12</v>
      </c>
      <c r="K15" s="8">
        <f>'Financial Position Detail'!M83</f>
        <v>-3.637978807091713E-12</v>
      </c>
      <c r="L15" s="8">
        <f>'Financial Position Detail'!N83</f>
        <v>-260271.32000000004</v>
      </c>
      <c r="M15" s="8">
        <f>'Financial Position Detail'!O83</f>
        <v>-7010.5699999999324</v>
      </c>
      <c r="N15" s="8">
        <f>'Financial Position Detail'!P83</f>
        <v>0</v>
      </c>
      <c r="O15" s="8">
        <f>'Financial Position Detail'!Q83</f>
        <v>-6198689.7700000005</v>
      </c>
      <c r="P15" s="8">
        <f>'Financial Position Detail'!R83</f>
        <v>-38867.150000000489</v>
      </c>
      <c r="Q15" s="8">
        <f>'Financial Position Detail'!S83</f>
        <v>-18291.149999998917</v>
      </c>
      <c r="R15" s="8">
        <f>'Financial Position Detail'!T83</f>
        <v>-50356.740000000631</v>
      </c>
      <c r="S15" s="8">
        <f>'Financial Position Detail'!U83</f>
        <v>5.2386894822120667E-10</v>
      </c>
      <c r="T15" s="8">
        <f>'Financial Position Detail'!V83</f>
        <v>-9200.0000000004075</v>
      </c>
      <c r="U15" s="8">
        <f>'Financial Position Detail'!W83</f>
        <v>5.2386894822120667E-10</v>
      </c>
      <c r="V15" s="8">
        <f>'Financial Position Detail'!X83</f>
        <v>-4.0745362639427185E-10</v>
      </c>
      <c r="W15" s="8">
        <f>'Financial Position Detail'!Y83</f>
        <v>-4.0745362639427185E-10</v>
      </c>
      <c r="X15" s="8">
        <f>'Financial Position Detail'!Z83</f>
        <v>5.2386894822120667E-10</v>
      </c>
      <c r="Y15" s="8">
        <f>'Financial Position Detail'!AA83</f>
        <v>-17801.540000000328</v>
      </c>
      <c r="Z15" s="8">
        <f>'Financial Position Detail'!AB83</f>
        <v>2.9103830456733704E-10</v>
      </c>
      <c r="AA15" s="18">
        <v>0</v>
      </c>
      <c r="AB15" s="18">
        <f>-168000</f>
        <v>-168000</v>
      </c>
      <c r="AC15" s="18">
        <v>0</v>
      </c>
      <c r="AD15" s="18">
        <v>-4000</v>
      </c>
      <c r="AE15" s="18">
        <v>-4000</v>
      </c>
      <c r="AF15" s="18">
        <v>-16000</v>
      </c>
      <c r="AG15" s="18">
        <v>-4000</v>
      </c>
      <c r="AH15" s="18">
        <v>-4000</v>
      </c>
      <c r="AI15" s="18">
        <v>-4000</v>
      </c>
      <c r="AJ15" s="18">
        <v>-4000</v>
      </c>
      <c r="AK15" s="18">
        <v>-4000</v>
      </c>
      <c r="AL15" s="18">
        <v>-4000</v>
      </c>
      <c r="AM15" s="18">
        <v>-4000</v>
      </c>
      <c r="AN15" s="18">
        <f t="shared" ref="AN15:BW15" si="66">-100000/12</f>
        <v>-8333.3333333333339</v>
      </c>
      <c r="AO15" s="18">
        <f t="shared" si="66"/>
        <v>-8333.3333333333339</v>
      </c>
      <c r="AP15" s="18">
        <f t="shared" si="66"/>
        <v>-8333.3333333333339</v>
      </c>
      <c r="AQ15" s="18">
        <f t="shared" si="66"/>
        <v>-8333.3333333333339</v>
      </c>
      <c r="AR15" s="18">
        <f t="shared" si="66"/>
        <v>-8333.3333333333339</v>
      </c>
      <c r="AS15" s="18">
        <f t="shared" si="66"/>
        <v>-8333.3333333333339</v>
      </c>
      <c r="AT15" s="18">
        <f t="shared" si="66"/>
        <v>-8333.3333333333339</v>
      </c>
      <c r="AU15" s="18">
        <f t="shared" si="66"/>
        <v>-8333.3333333333339</v>
      </c>
      <c r="AV15" s="18">
        <f t="shared" si="66"/>
        <v>-8333.3333333333339</v>
      </c>
      <c r="AW15" s="18">
        <f t="shared" si="66"/>
        <v>-8333.3333333333339</v>
      </c>
      <c r="AX15" s="18">
        <f t="shared" si="66"/>
        <v>-8333.3333333333339</v>
      </c>
      <c r="AY15" s="18">
        <f t="shared" si="66"/>
        <v>-8333.3333333333339</v>
      </c>
      <c r="AZ15" s="18">
        <f t="shared" si="66"/>
        <v>-8333.3333333333339</v>
      </c>
      <c r="BA15" s="18">
        <f t="shared" si="66"/>
        <v>-8333.3333333333339</v>
      </c>
      <c r="BB15" s="18">
        <f t="shared" si="66"/>
        <v>-8333.3333333333339</v>
      </c>
      <c r="BC15" s="18">
        <f t="shared" si="66"/>
        <v>-8333.3333333333339</v>
      </c>
      <c r="BD15" s="18">
        <f t="shared" si="66"/>
        <v>-8333.3333333333339</v>
      </c>
      <c r="BE15" s="18">
        <f t="shared" si="66"/>
        <v>-8333.3333333333339</v>
      </c>
      <c r="BF15" s="18">
        <f t="shared" si="66"/>
        <v>-8333.3333333333339</v>
      </c>
      <c r="BG15" s="18">
        <f t="shared" si="66"/>
        <v>-8333.3333333333339</v>
      </c>
      <c r="BH15" s="18">
        <f t="shared" si="66"/>
        <v>-8333.3333333333339</v>
      </c>
      <c r="BI15" s="18">
        <f t="shared" si="66"/>
        <v>-8333.3333333333339</v>
      </c>
      <c r="BJ15" s="18">
        <f t="shared" si="66"/>
        <v>-8333.3333333333339</v>
      </c>
      <c r="BK15" s="18">
        <f t="shared" si="66"/>
        <v>-8333.3333333333339</v>
      </c>
      <c r="BL15" s="18">
        <f t="shared" si="66"/>
        <v>-8333.3333333333339</v>
      </c>
      <c r="BM15" s="18">
        <f t="shared" si="66"/>
        <v>-8333.3333333333339</v>
      </c>
      <c r="BN15" s="18">
        <f t="shared" si="66"/>
        <v>-8333.3333333333339</v>
      </c>
      <c r="BO15" s="18">
        <f t="shared" si="66"/>
        <v>-8333.3333333333339</v>
      </c>
      <c r="BP15" s="18">
        <f t="shared" si="66"/>
        <v>-8333.3333333333339</v>
      </c>
      <c r="BQ15" s="18">
        <f t="shared" si="66"/>
        <v>-8333.3333333333339</v>
      </c>
      <c r="BR15" s="18">
        <f t="shared" si="66"/>
        <v>-8333.3333333333339</v>
      </c>
      <c r="BS15" s="18">
        <f t="shared" si="66"/>
        <v>-8333.3333333333339</v>
      </c>
      <c r="BT15" s="18">
        <f t="shared" si="66"/>
        <v>-8333.3333333333339</v>
      </c>
      <c r="BU15" s="18">
        <f t="shared" si="66"/>
        <v>-8333.3333333333339</v>
      </c>
      <c r="BV15" s="18">
        <f t="shared" si="66"/>
        <v>-8333.3333333333339</v>
      </c>
      <c r="BW15" s="18">
        <f t="shared" si="66"/>
        <v>-8333.3333333333339</v>
      </c>
      <c r="BX15" s="8"/>
      <c r="BY15" s="8">
        <f>SUMIF($C$37:$BX$37,1,$C15:$BX15)</f>
        <v>-134516.57999999973</v>
      </c>
    </row>
    <row r="16" spans="1:77" x14ac:dyDescent="0.3">
      <c r="B16" t="s">
        <v>430</v>
      </c>
      <c r="D16" s="8">
        <v>0</v>
      </c>
      <c r="E16" s="8">
        <v>0</v>
      </c>
      <c r="F16" s="8">
        <v>0</v>
      </c>
      <c r="G16" s="8">
        <v>0</v>
      </c>
      <c r="H16" s="8">
        <v>0</v>
      </c>
      <c r="I16" s="103">
        <v>0</v>
      </c>
      <c r="J16" s="105">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c r="AB16" s="102">
        <f>IF('Hillpointe Detail'!$B$291="Red Hook",0,-AB41-AB43-AB44)</f>
        <v>-9875702.8700000029</v>
      </c>
      <c r="AC16" s="102">
        <f>IF('Hillpointe Detail'!$B$291="Red Hook",0,-AC41-AC43-AC44)</f>
        <v>0</v>
      </c>
      <c r="AD16" s="102">
        <f>IF('Hillpointe Detail'!$B$291="Red Hook",0,-AD41-AD43-AD44)</f>
        <v>0</v>
      </c>
      <c r="AE16" s="102">
        <f>IF('Hillpointe Detail'!$B$291="Red Hook",0,-AE41-AE43-AE44)</f>
        <v>0</v>
      </c>
      <c r="AF16" s="102">
        <f>IF('Hillpointe Detail'!$B$291="Red Hook",0,-AF41-AF43-AF44)</f>
        <v>0</v>
      </c>
      <c r="AG16" s="102">
        <f>IF('Hillpointe Detail'!$B$291="Red Hook",0,-AG41-AG43-AG44)</f>
        <v>-804531.88909835042</v>
      </c>
      <c r="AH16" s="102">
        <f>IF('Hillpointe Detail'!$B$291="Red Hook",0,-AH41-AH43-AH44)</f>
        <v>-804531.88909835042</v>
      </c>
      <c r="AI16" s="102">
        <f>IF('Hillpointe Detail'!$B$291="Red Hook",0,-AI41-AI43-AI44)</f>
        <v>-804531.88909835042</v>
      </c>
      <c r="AJ16" s="102">
        <f>IF('Hillpointe Detail'!$B$291="Red Hook",0,-AJ41-AJ43-AJ44)</f>
        <v>-804531.88909835042</v>
      </c>
      <c r="AK16" s="102">
        <f>IF('Hillpointe Detail'!$B$291="Red Hook",0,-AK41-AK43-AK44)</f>
        <v>-804531.88909835042</v>
      </c>
      <c r="AL16" s="102">
        <f>IF('Hillpointe Detail'!$B$291="Red Hook",0,-AL41-AL43-AL44)</f>
        <v>-804531.88909835042</v>
      </c>
      <c r="AM16" s="102">
        <f>IF('Hillpointe Detail'!$B$291="Red Hook",0,-AM41-AM43-AM44)</f>
        <v>-804531.88909835042</v>
      </c>
      <c r="AN16" s="102">
        <f>IF('Hillpointe Detail'!$B$291="Red Hook",0,-AN41-AN43-AN44)</f>
        <v>-799455.97657788661</v>
      </c>
      <c r="AO16" s="102">
        <f>IF('Hillpointe Detail'!$B$291="Red Hook",0,-AO41-AO43-AO44)</f>
        <v>-799455.97657788661</v>
      </c>
      <c r="AP16" s="102">
        <f>IF('Hillpointe Detail'!$B$291="Red Hook",0,-AP41-AP43-AP44)</f>
        <v>-799455.97657788661</v>
      </c>
      <c r="AQ16" s="102">
        <f>IF('Hillpointe Detail'!$B$291="Red Hook",0,-AQ41-AQ43-AQ44)</f>
        <v>-799455.97657788661</v>
      </c>
      <c r="AR16" s="102">
        <f>IF('Hillpointe Detail'!$B$291="Red Hook",0,-AR41-AR43-AR44)</f>
        <v>0</v>
      </c>
      <c r="AS16" s="102">
        <f>IF('Hillpointe Detail'!$B$291="Red Hook",0,-AS41-AS43-AS44)</f>
        <v>0</v>
      </c>
      <c r="AT16" s="102">
        <f>IF('Hillpointe Detail'!$B$291="Red Hook",0,-AT41-AT43-AT44)</f>
        <v>0</v>
      </c>
      <c r="AU16" s="102">
        <f>IF('Hillpointe Detail'!$B$291="Red Hook",0,-AU41-AU43-AU44)</f>
        <v>0</v>
      </c>
      <c r="AV16" s="102">
        <f>IF('Hillpointe Detail'!$B$291="Red Hook",0,-AV41-AV43-AV44)</f>
        <v>0</v>
      </c>
      <c r="AW16" s="102">
        <f>IF('Hillpointe Detail'!$B$291="Red Hook",0,-AW41-AW43-AW44)</f>
        <v>0</v>
      </c>
      <c r="AX16" s="102">
        <f>IF('Hillpointe Detail'!$B$291="Red Hook",0,-AX41-AX43-AX44)</f>
        <v>0</v>
      </c>
      <c r="AY16" s="102">
        <f>IF('Hillpointe Detail'!$B$291="Red Hook",0,-AY41-AY43-AY44)</f>
        <v>0</v>
      </c>
      <c r="AZ16" s="102">
        <f>IF('Hillpointe Detail'!$B$291="Red Hook",0,-AZ41-AZ43-AZ44)</f>
        <v>0</v>
      </c>
      <c r="BA16" s="102">
        <f>IF('Hillpointe Detail'!$B$291="Red Hook",0,-BA41-BA43-BA44)</f>
        <v>0</v>
      </c>
      <c r="BB16" s="102">
        <f>IF('Hillpointe Detail'!$B$291="Red Hook",0,-BB41-BB43-BB44)</f>
        <v>0</v>
      </c>
      <c r="BC16" s="102">
        <f>IF('Hillpointe Detail'!$B$291="Red Hook",0,-BC41-BC43-BC44)</f>
        <v>0</v>
      </c>
      <c r="BD16" s="102">
        <f>IF('Hillpointe Detail'!$B$291="Red Hook",0,-BD41-BD43-BD44)</f>
        <v>0</v>
      </c>
      <c r="BE16" s="102">
        <f>IF('Hillpointe Detail'!$B$291="Red Hook",0,-BE41-BE43-BE44)</f>
        <v>0</v>
      </c>
      <c r="BF16" s="102">
        <f>IF('Hillpointe Detail'!$B$291="Red Hook",0,-BF41-BF43-BF44)</f>
        <v>0</v>
      </c>
      <c r="BG16" s="102">
        <f>IF('Hillpointe Detail'!$B$291="Red Hook",0,-BG41-BG43-BG44)</f>
        <v>0</v>
      </c>
      <c r="BH16" s="102">
        <f>IF('Hillpointe Detail'!$B$291="Red Hook",0,-BH41-BH43-BH44)</f>
        <v>0</v>
      </c>
      <c r="BI16" s="102">
        <f>IF('Hillpointe Detail'!$B$291="Red Hook",0,-BI41-BI43-BI44)</f>
        <v>0</v>
      </c>
      <c r="BJ16" s="102">
        <f>IF('Hillpointe Detail'!$B$291="Red Hook",0,-BJ41-BJ43-BJ44)</f>
        <v>0</v>
      </c>
      <c r="BK16" s="102">
        <f>IF('Hillpointe Detail'!$B$291="Red Hook",0,-BK41-BK43-BK44)</f>
        <v>0</v>
      </c>
      <c r="BL16" s="102">
        <f>IF('Hillpointe Detail'!$B$291="Red Hook",0,-BL41-BL43-BL44)</f>
        <v>0</v>
      </c>
      <c r="BM16" s="102">
        <f>IF('Hillpointe Detail'!$B$291="Red Hook",0,-BM41-BM43-BM44)</f>
        <v>0</v>
      </c>
      <c r="BN16" s="102">
        <f>IF('Hillpointe Detail'!$B$291="Red Hook",0,-BN41-BN43-BN44)</f>
        <v>0</v>
      </c>
      <c r="BO16" s="102">
        <f>IF('Hillpointe Detail'!$B$291="Red Hook",0,-BO41-BO43-BO44)</f>
        <v>0</v>
      </c>
      <c r="BP16" s="102">
        <f>IF('Hillpointe Detail'!$B$291="Red Hook",0,-BP41-BP43-BP44)</f>
        <v>0</v>
      </c>
      <c r="BQ16" s="102">
        <f>IF('Hillpointe Detail'!$B$291="Red Hook",0,-BQ41-BQ43-BQ44)</f>
        <v>0</v>
      </c>
      <c r="BR16" s="102">
        <f>IF('Hillpointe Detail'!$B$291="Red Hook",0,-BR41-BR43-BR44)</f>
        <v>0</v>
      </c>
      <c r="BS16" s="102">
        <f>IF('Hillpointe Detail'!$B$291="Red Hook",0,-BS41-BS43-BS44)</f>
        <v>0</v>
      </c>
      <c r="BT16" s="102">
        <f>IF('Hillpointe Detail'!$B$291="Red Hook",0,-BT41-BT43-BT44)</f>
        <v>0</v>
      </c>
      <c r="BU16" s="102">
        <f>IF('Hillpointe Detail'!$B$291="Red Hook",0,-BU41-BU43-BU44)</f>
        <v>0</v>
      </c>
      <c r="BV16" s="102">
        <f>IF('Hillpointe Detail'!$B$291="Red Hook",0,-BV41-BV43-BV44)</f>
        <v>0</v>
      </c>
      <c r="BW16" s="102">
        <f>IF('Hillpointe Detail'!$B$291="Red Hook",0,-BW41-BW43-BW44)</f>
        <v>0</v>
      </c>
      <c r="BX16" s="8"/>
      <c r="BY16" s="8">
        <f>SUMIF($C$37:$BX$37,1,$C16:$BX16)</f>
        <v>0</v>
      </c>
    </row>
    <row r="17" spans="1:77" ht="3" customHeight="1" x14ac:dyDescent="0.3">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8"/>
      <c r="BY17" s="9"/>
    </row>
    <row r="18" spans="1:77" x14ac:dyDescent="0.3">
      <c r="A18" s="1" t="s">
        <v>238</v>
      </c>
      <c r="D18" s="8">
        <f>SUM(D15:D17)</f>
        <v>0</v>
      </c>
      <c r="E18" s="8">
        <f t="shared" ref="E18:O18" si="67">SUM(E15:E17)</f>
        <v>-14800</v>
      </c>
      <c r="F18" s="8">
        <f t="shared" si="67"/>
        <v>3.637978807091713E-12</v>
      </c>
      <c r="G18" s="8">
        <f t="shared" si="67"/>
        <v>-5200.0000000000036</v>
      </c>
      <c r="H18" s="8">
        <f t="shared" si="67"/>
        <v>-88908.089999999982</v>
      </c>
      <c r="I18" s="8">
        <f t="shared" si="67"/>
        <v>-5000.0000000000036</v>
      </c>
      <c r="J18" s="8">
        <f t="shared" si="67"/>
        <v>-1.8189894035458565E-12</v>
      </c>
      <c r="K18" s="8">
        <f t="shared" si="67"/>
        <v>-3.637978807091713E-12</v>
      </c>
      <c r="L18" s="8">
        <f t="shared" si="67"/>
        <v>-260271.32000000004</v>
      </c>
      <c r="M18" s="8">
        <f t="shared" si="67"/>
        <v>-7010.5699999999324</v>
      </c>
      <c r="N18" s="8">
        <f t="shared" si="67"/>
        <v>0</v>
      </c>
      <c r="O18" s="8">
        <f t="shared" si="67"/>
        <v>-6198689.7700000005</v>
      </c>
      <c r="P18" s="8">
        <f t="shared" ref="P18:AA18" si="68">SUM(P15:P17)</f>
        <v>-38867.150000000489</v>
      </c>
      <c r="Q18" s="8">
        <f t="shared" si="68"/>
        <v>-18291.149999998917</v>
      </c>
      <c r="R18" s="8">
        <f t="shared" si="68"/>
        <v>-50356.740000000631</v>
      </c>
      <c r="S18" s="8">
        <f t="shared" si="68"/>
        <v>5.2386894822120667E-10</v>
      </c>
      <c r="T18" s="8">
        <f t="shared" si="68"/>
        <v>-9200.0000000004075</v>
      </c>
      <c r="U18" s="8">
        <f t="shared" si="68"/>
        <v>5.2386894822120667E-10</v>
      </c>
      <c r="V18" s="8">
        <f t="shared" si="68"/>
        <v>-4.0745362639427185E-10</v>
      </c>
      <c r="W18" s="8">
        <f t="shared" si="68"/>
        <v>-4.0745362639427185E-10</v>
      </c>
      <c r="X18" s="8">
        <f t="shared" si="68"/>
        <v>5.2386894822120667E-10</v>
      </c>
      <c r="Y18" s="8">
        <f t="shared" si="68"/>
        <v>-17801.540000000328</v>
      </c>
      <c r="Z18" s="8">
        <f t="shared" si="68"/>
        <v>2.9103830456733704E-10</v>
      </c>
      <c r="AA18" s="8">
        <f t="shared" si="68"/>
        <v>0</v>
      </c>
      <c r="AB18" s="8">
        <f t="shared" ref="AB18:AM18" si="69">SUM(AB15:AB17)</f>
        <v>-10043702.870000003</v>
      </c>
      <c r="AC18" s="8">
        <f t="shared" si="69"/>
        <v>0</v>
      </c>
      <c r="AD18" s="8">
        <f t="shared" si="69"/>
        <v>-4000</v>
      </c>
      <c r="AE18" s="8">
        <f t="shared" si="69"/>
        <v>-4000</v>
      </c>
      <c r="AF18" s="8">
        <f t="shared" si="69"/>
        <v>-16000</v>
      </c>
      <c r="AG18" s="8">
        <f t="shared" si="69"/>
        <v>-808531.88909835042</v>
      </c>
      <c r="AH18" s="8">
        <f t="shared" si="69"/>
        <v>-808531.88909835042</v>
      </c>
      <c r="AI18" s="8">
        <f t="shared" si="69"/>
        <v>-808531.88909835042</v>
      </c>
      <c r="AJ18" s="8">
        <f t="shared" si="69"/>
        <v>-808531.88909835042</v>
      </c>
      <c r="AK18" s="8">
        <f t="shared" si="69"/>
        <v>-808531.88909835042</v>
      </c>
      <c r="AL18" s="8">
        <f t="shared" si="69"/>
        <v>-808531.88909835042</v>
      </c>
      <c r="AM18" s="8">
        <f t="shared" si="69"/>
        <v>-808531.88909835042</v>
      </c>
      <c r="AN18" s="8">
        <f t="shared" ref="AN18:BW18" si="70">SUM(AN15:AN17)</f>
        <v>-807789.30991121999</v>
      </c>
      <c r="AO18" s="8">
        <f t="shared" si="70"/>
        <v>-807789.30991121999</v>
      </c>
      <c r="AP18" s="8">
        <f t="shared" si="70"/>
        <v>-807789.30991121999</v>
      </c>
      <c r="AQ18" s="8">
        <f t="shared" si="70"/>
        <v>-807789.30991121999</v>
      </c>
      <c r="AR18" s="8">
        <f t="shared" si="70"/>
        <v>-8333.3333333333339</v>
      </c>
      <c r="AS18" s="8">
        <f t="shared" si="70"/>
        <v>-8333.3333333333339</v>
      </c>
      <c r="AT18" s="8">
        <f t="shared" si="70"/>
        <v>-8333.3333333333339</v>
      </c>
      <c r="AU18" s="8">
        <f t="shared" si="70"/>
        <v>-8333.3333333333339</v>
      </c>
      <c r="AV18" s="8">
        <f t="shared" si="70"/>
        <v>-8333.3333333333339</v>
      </c>
      <c r="AW18" s="8">
        <f t="shared" si="70"/>
        <v>-8333.3333333333339</v>
      </c>
      <c r="AX18" s="8">
        <f t="shared" si="70"/>
        <v>-8333.3333333333339</v>
      </c>
      <c r="AY18" s="8">
        <f t="shared" si="70"/>
        <v>-8333.3333333333339</v>
      </c>
      <c r="AZ18" s="8">
        <f t="shared" si="70"/>
        <v>-8333.3333333333339</v>
      </c>
      <c r="BA18" s="8">
        <f t="shared" si="70"/>
        <v>-8333.3333333333339</v>
      </c>
      <c r="BB18" s="8">
        <f t="shared" si="70"/>
        <v>-8333.3333333333339</v>
      </c>
      <c r="BC18" s="8">
        <f t="shared" si="70"/>
        <v>-8333.3333333333339</v>
      </c>
      <c r="BD18" s="8">
        <f t="shared" si="70"/>
        <v>-8333.3333333333339</v>
      </c>
      <c r="BE18" s="8">
        <f t="shared" si="70"/>
        <v>-8333.3333333333339</v>
      </c>
      <c r="BF18" s="8">
        <f t="shared" si="70"/>
        <v>-8333.3333333333339</v>
      </c>
      <c r="BG18" s="8">
        <f t="shared" si="70"/>
        <v>-8333.3333333333339</v>
      </c>
      <c r="BH18" s="8">
        <f t="shared" si="70"/>
        <v>-8333.3333333333339</v>
      </c>
      <c r="BI18" s="8">
        <f t="shared" si="70"/>
        <v>-8333.3333333333339</v>
      </c>
      <c r="BJ18" s="8">
        <f t="shared" si="70"/>
        <v>-8333.3333333333339</v>
      </c>
      <c r="BK18" s="8">
        <f t="shared" si="70"/>
        <v>-8333.3333333333339</v>
      </c>
      <c r="BL18" s="8">
        <f t="shared" si="70"/>
        <v>-8333.3333333333339</v>
      </c>
      <c r="BM18" s="8">
        <f t="shared" si="70"/>
        <v>-8333.3333333333339</v>
      </c>
      <c r="BN18" s="8">
        <f t="shared" si="70"/>
        <v>-8333.3333333333339</v>
      </c>
      <c r="BO18" s="8">
        <f t="shared" si="70"/>
        <v>-8333.3333333333339</v>
      </c>
      <c r="BP18" s="8">
        <f t="shared" si="70"/>
        <v>-8333.3333333333339</v>
      </c>
      <c r="BQ18" s="8">
        <f t="shared" si="70"/>
        <v>-8333.3333333333339</v>
      </c>
      <c r="BR18" s="8">
        <f t="shared" si="70"/>
        <v>-8333.3333333333339</v>
      </c>
      <c r="BS18" s="8">
        <f t="shared" si="70"/>
        <v>-8333.3333333333339</v>
      </c>
      <c r="BT18" s="8">
        <f t="shared" si="70"/>
        <v>-8333.3333333333339</v>
      </c>
      <c r="BU18" s="8">
        <f t="shared" si="70"/>
        <v>-8333.3333333333339</v>
      </c>
      <c r="BV18" s="8">
        <f t="shared" si="70"/>
        <v>-8333.3333333333339</v>
      </c>
      <c r="BW18" s="8">
        <f t="shared" si="70"/>
        <v>-8333.3333333333339</v>
      </c>
      <c r="BX18" s="8"/>
      <c r="BY18" s="8">
        <f>SUM(BY15:BY17)</f>
        <v>-134516.57999999973</v>
      </c>
    </row>
    <row r="19" spans="1:77" ht="6" customHeight="1" x14ac:dyDescent="0.3">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row>
    <row r="20" spans="1:77" x14ac:dyDescent="0.3">
      <c r="A20" s="1" t="s">
        <v>239</v>
      </c>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row>
    <row r="21" spans="1:77" x14ac:dyDescent="0.3">
      <c r="B21" t="s">
        <v>381</v>
      </c>
      <c r="D21" s="8">
        <v>0</v>
      </c>
      <c r="E21" s="8">
        <v>0</v>
      </c>
      <c r="F21" s="8">
        <v>0</v>
      </c>
      <c r="G21" s="8">
        <v>0</v>
      </c>
      <c r="H21" s="8">
        <v>0</v>
      </c>
      <c r="I21" s="8">
        <v>0</v>
      </c>
      <c r="J21" s="8">
        <v>0</v>
      </c>
      <c r="K21" s="8">
        <v>0</v>
      </c>
      <c r="L21" s="8">
        <v>0</v>
      </c>
      <c r="M21" s="8">
        <v>0</v>
      </c>
      <c r="N21" s="8">
        <v>0</v>
      </c>
      <c r="O21" s="8">
        <f>'Financial Position Detail'!Q67-'Financial Position Detail'!P67</f>
        <v>6280240</v>
      </c>
      <c r="P21" s="8">
        <f>'Financial Position Detail'!R67-'Financial Position Detail'!Q67</f>
        <v>17989.19000000041</v>
      </c>
      <c r="Q21" s="8">
        <f>'Financial Position Detail'!S67-'Financial Position Detail'!R67</f>
        <v>18143.659999999218</v>
      </c>
      <c r="R21" s="8">
        <f>'Financial Position Detail'!T67-'Financial Position Detail'!S67</f>
        <v>18299.44000000041</v>
      </c>
      <c r="S21" s="8">
        <f>'Financial Position Detail'!U67-'Financial Position Detail'!T67</f>
        <v>18456.570000000298</v>
      </c>
      <c r="T21" s="8">
        <f>'Financial Position Detail'!V67-'Financial Position Detail'!U67</f>
        <v>18615.040000000037</v>
      </c>
      <c r="U21" s="8">
        <f>'Financial Position Detail'!W67-'Financial Position Detail'!V67</f>
        <v>18774.879999999888</v>
      </c>
      <c r="V21" s="8">
        <f>'Financial Position Detail'!X67-'Financial Position Detail'!W67</f>
        <v>13746.080000000075</v>
      </c>
      <c r="W21" s="8">
        <f>'Financial Position Detail'!Y67-'Financial Position Detail'!X67</f>
        <v>13864.109999999404</v>
      </c>
      <c r="X21" s="8">
        <f>'Financial Position Detail'!Z67-'Financial Position Detail'!Y67</f>
        <v>-33487.25</v>
      </c>
      <c r="Y21" s="8">
        <f>'Financial Position Detail'!AA67-'Financial Position Detail'!Z67</f>
        <v>55228.220000000671</v>
      </c>
      <c r="Z21" s="8">
        <f>'Financial Position Detail'!AB67-'Financial Position Detail'!AA67</f>
        <v>5963.5699999993667</v>
      </c>
      <c r="AA21" s="18">
        <v>14346.45</v>
      </c>
      <c r="AB21" s="102">
        <f>IF('Hillpointe Detail'!$B$291="Red Hook",AB49,0)</f>
        <v>0</v>
      </c>
      <c r="AC21" s="102">
        <f>IF('Hillpointe Detail'!$B$291="Red Hook",AC49,0)</f>
        <v>0</v>
      </c>
      <c r="AD21" s="102">
        <f>IF('Hillpointe Detail'!$B$291="Red Hook",AD49,0)</f>
        <v>0</v>
      </c>
      <c r="AE21" s="102">
        <f>IF('Hillpointe Detail'!$B$291="Red Hook",AE49,0)</f>
        <v>0</v>
      </c>
      <c r="AF21" s="102">
        <f>IF('Hillpointe Detail'!$B$291="Red Hook",AF49,0)</f>
        <v>0</v>
      </c>
      <c r="AG21" s="102">
        <f>IF('Hillpointe Detail'!$B$291="Red Hook",AG49,0)</f>
        <v>0</v>
      </c>
      <c r="AH21" s="102">
        <f>IF('Hillpointe Detail'!$B$291="Red Hook",AH49,0)</f>
        <v>0</v>
      </c>
      <c r="AI21" s="102">
        <f>IF('Hillpointe Detail'!$B$291="Red Hook",AI49,0)</f>
        <v>0</v>
      </c>
      <c r="AJ21" s="102">
        <f>IF('Hillpointe Detail'!$B$291="Red Hook",AJ49,0)</f>
        <v>0</v>
      </c>
      <c r="AK21" s="102">
        <f>IF('Hillpointe Detail'!$B$291="Red Hook",AK49,0)</f>
        <v>0</v>
      </c>
      <c r="AL21" s="102">
        <f>IF('Hillpointe Detail'!$B$291="Red Hook",AL49,0)</f>
        <v>0</v>
      </c>
      <c r="AM21" s="102">
        <f>IF('Hillpointe Detail'!$B$291="Red Hook",AM49,0)</f>
        <v>0</v>
      </c>
      <c r="AN21" s="102">
        <f>IF('Hillpointe Detail'!$B$291="Red Hook",AN49,0)</f>
        <v>0</v>
      </c>
      <c r="AO21" s="102">
        <f>IF('Hillpointe Detail'!$B$291="Red Hook",AO49,0)</f>
        <v>0</v>
      </c>
      <c r="AP21" s="102">
        <f>IF('Hillpointe Detail'!$B$291="Red Hook",AP49,0)</f>
        <v>0</v>
      </c>
      <c r="AQ21" s="102">
        <f>IF('Hillpointe Detail'!$B$291="Red Hook",AQ49,0)</f>
        <v>0</v>
      </c>
      <c r="AR21" s="102">
        <f>IF('Hillpointe Detail'!$B$291="Red Hook",AR49,0)</f>
        <v>0</v>
      </c>
      <c r="AS21" s="102">
        <f>IF('Hillpointe Detail'!$B$291="Red Hook",AS49,0)</f>
        <v>0</v>
      </c>
      <c r="AT21" s="102">
        <f>IF('Hillpointe Detail'!$B$291="Red Hook",AT49,0)</f>
        <v>0</v>
      </c>
      <c r="AU21" s="102">
        <f>IF('Hillpointe Detail'!$B$291="Red Hook",AU49,0)</f>
        <v>0</v>
      </c>
      <c r="AV21" s="102">
        <f>IF('Hillpointe Detail'!$B$291="Red Hook",AV49,0)</f>
        <v>0</v>
      </c>
      <c r="AW21" s="102">
        <f>IF('Hillpointe Detail'!$B$291="Red Hook",AW49,0)</f>
        <v>0</v>
      </c>
      <c r="AX21" s="102">
        <f>IF('Hillpointe Detail'!$B$291="Red Hook",AX49,0)</f>
        <v>0</v>
      </c>
      <c r="AY21" s="102">
        <f>IF('Hillpointe Detail'!$B$291="Red Hook",AY49,0)</f>
        <v>0</v>
      </c>
      <c r="AZ21" s="102">
        <f>IF('Hillpointe Detail'!$B$291="Red Hook",AZ49,0)</f>
        <v>0</v>
      </c>
      <c r="BA21" s="102">
        <f>IF('Hillpointe Detail'!$B$291="Red Hook",BA49,0)</f>
        <v>0</v>
      </c>
      <c r="BB21" s="102">
        <f>IF('Hillpointe Detail'!$B$291="Red Hook",BB49,0)</f>
        <v>0</v>
      </c>
      <c r="BC21" s="102">
        <f>IF('Hillpointe Detail'!$B$291="Red Hook",BC49,0)</f>
        <v>0</v>
      </c>
      <c r="BD21" s="102">
        <f>IF('Hillpointe Detail'!$B$291="Red Hook",BD49,0)</f>
        <v>0</v>
      </c>
      <c r="BE21" s="102">
        <f>IF('Hillpointe Detail'!$B$291="Red Hook",BE49,0)</f>
        <v>0</v>
      </c>
      <c r="BF21" s="102">
        <f>IF('Hillpointe Detail'!$B$291="Red Hook",BF49,0)</f>
        <v>0</v>
      </c>
      <c r="BG21" s="102">
        <f>IF('Hillpointe Detail'!$B$291="Red Hook",BG49,0)</f>
        <v>0</v>
      </c>
      <c r="BH21" s="102">
        <f>IF('Hillpointe Detail'!$B$291="Red Hook",BH49,0)</f>
        <v>0</v>
      </c>
      <c r="BI21" s="102">
        <f>IF('Hillpointe Detail'!$B$291="Red Hook",BI49,0)</f>
        <v>0</v>
      </c>
      <c r="BJ21" s="102">
        <f>IF('Hillpointe Detail'!$B$291="Red Hook",BJ49,0)</f>
        <v>0</v>
      </c>
      <c r="BK21" s="102">
        <f>IF('Hillpointe Detail'!$B$291="Red Hook",BK49,0)</f>
        <v>0</v>
      </c>
      <c r="BL21" s="102">
        <f>IF('Hillpointe Detail'!$B$291="Red Hook",BL49,0)</f>
        <v>0</v>
      </c>
      <c r="BM21" s="102">
        <f>IF('Hillpointe Detail'!$B$291="Red Hook",BM49,0)</f>
        <v>0</v>
      </c>
      <c r="BN21" s="102">
        <f>IF('Hillpointe Detail'!$B$291="Red Hook",BN49,0)</f>
        <v>0</v>
      </c>
      <c r="BO21" s="102">
        <f>IF('Hillpointe Detail'!$B$291="Red Hook",BO49,0)</f>
        <v>0</v>
      </c>
      <c r="BP21" s="102">
        <f>IF('Hillpointe Detail'!$B$291="Red Hook",BP49,0)</f>
        <v>0</v>
      </c>
      <c r="BQ21" s="102">
        <f>IF('Hillpointe Detail'!$B$291="Red Hook",BQ49,0)</f>
        <v>0</v>
      </c>
      <c r="BR21" s="102">
        <f>IF('Hillpointe Detail'!$B$291="Red Hook",BR49,0)</f>
        <v>0</v>
      </c>
      <c r="BS21" s="102">
        <f>IF('Hillpointe Detail'!$B$291="Red Hook",BS49,0)</f>
        <v>0</v>
      </c>
      <c r="BT21" s="102">
        <f>IF('Hillpointe Detail'!$B$291="Red Hook",BT49,0)</f>
        <v>0</v>
      </c>
      <c r="BU21" s="102">
        <f>IF('Hillpointe Detail'!$B$291="Red Hook",BU49,0)</f>
        <v>0</v>
      </c>
      <c r="BV21" s="102">
        <f>IF('Hillpointe Detail'!$B$291="Red Hook",BV49,0)</f>
        <v>0</v>
      </c>
      <c r="BW21" s="102">
        <f>IF('Hillpointe Detail'!$B$291="Red Hook",BW49,0)</f>
        <v>0</v>
      </c>
      <c r="BX21" s="8"/>
      <c r="BY21" s="8">
        <f>SUMIF($C$37:$BX$37,1,$C21:$BX21)</f>
        <v>165593.50999999978</v>
      </c>
    </row>
    <row r="22" spans="1:77" x14ac:dyDescent="0.3">
      <c r="B22" t="s">
        <v>422</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102">
        <f>IF('Hillpointe Detail'!$B$291="Red Hook",0,AB46)</f>
        <v>11320452.870000003</v>
      </c>
      <c r="AC22" s="102">
        <f>IF('Hillpointe Detail'!$B$291="Red Hook",0,AC46)</f>
        <v>0</v>
      </c>
      <c r="AD22" s="102">
        <f>IF('Hillpointe Detail'!$B$291="Red Hook",0,AD46)</f>
        <v>0</v>
      </c>
      <c r="AE22" s="102">
        <f>IF('Hillpointe Detail'!$B$291="Red Hook",0,AE46)</f>
        <v>0</v>
      </c>
      <c r="AF22" s="102">
        <f>IF('Hillpointe Detail'!$B$291="Red Hook",0,AF46)</f>
        <v>0</v>
      </c>
      <c r="AG22" s="102">
        <f>IF('Hillpointe Detail'!$B$291="Red Hook",0,AG46)</f>
        <v>804531.88909835042</v>
      </c>
      <c r="AH22" s="102">
        <f>IF('Hillpointe Detail'!$B$291="Red Hook",0,AH46)</f>
        <v>804531.88909835042</v>
      </c>
      <c r="AI22" s="102">
        <f>IF('Hillpointe Detail'!$B$291="Red Hook",0,AI46)</f>
        <v>804531.88909835042</v>
      </c>
      <c r="AJ22" s="102">
        <f>IF('Hillpointe Detail'!$B$291="Red Hook",0,AJ46)</f>
        <v>804531.88909835042</v>
      </c>
      <c r="AK22" s="102">
        <f>IF('Hillpointe Detail'!$B$291="Red Hook",0,AK46)</f>
        <v>804531.88909835042</v>
      </c>
      <c r="AL22" s="102">
        <f>IF('Hillpointe Detail'!$B$291="Red Hook",0,AL46)</f>
        <v>804531.88909835042</v>
      </c>
      <c r="AM22" s="102">
        <f>IF('Hillpointe Detail'!$B$291="Red Hook",0,AM46)</f>
        <v>804531.88909835042</v>
      </c>
      <c r="AN22" s="102">
        <f>IF('Hillpointe Detail'!$B$291="Red Hook",0,AN46)</f>
        <v>799455.97657788661</v>
      </c>
      <c r="AO22" s="102">
        <f>IF('Hillpointe Detail'!$B$291="Red Hook",0,AO46)</f>
        <v>799455.97657788661</v>
      </c>
      <c r="AP22" s="102">
        <f>IF('Hillpointe Detail'!$B$291="Red Hook",0,AP46)</f>
        <v>799455.97657788661</v>
      </c>
      <c r="AQ22" s="102">
        <f>IF('Hillpointe Detail'!$B$291="Red Hook",0,AQ46)</f>
        <v>799455.97657788661</v>
      </c>
      <c r="AR22" s="102">
        <f>IF('Hillpointe Detail'!$B$291="Red Hook",0,AR46)</f>
        <v>0</v>
      </c>
      <c r="AS22" s="102">
        <f>IF('Hillpointe Detail'!$B$291="Red Hook",0,AS46)</f>
        <v>0</v>
      </c>
      <c r="AT22" s="102">
        <f>IF('Hillpointe Detail'!$B$291="Red Hook",0,AT46)</f>
        <v>0</v>
      </c>
      <c r="AU22" s="102">
        <f>IF('Hillpointe Detail'!$B$291="Red Hook",0,AU46)</f>
        <v>0</v>
      </c>
      <c r="AV22" s="102">
        <f>IF('Hillpointe Detail'!$B$291="Red Hook",0,AV46)</f>
        <v>0</v>
      </c>
      <c r="AW22" s="102">
        <f>IF('Hillpointe Detail'!$B$291="Red Hook",0,AW46)</f>
        <v>0</v>
      </c>
      <c r="AX22" s="102">
        <f>IF('Hillpointe Detail'!$B$291="Red Hook",0,AX46)</f>
        <v>0</v>
      </c>
      <c r="AY22" s="102">
        <f>IF('Hillpointe Detail'!$B$291="Red Hook",0,AY46)</f>
        <v>0</v>
      </c>
      <c r="AZ22" s="102">
        <f>IF('Hillpointe Detail'!$B$291="Red Hook",0,AZ46)</f>
        <v>0</v>
      </c>
      <c r="BA22" s="102">
        <f>IF('Hillpointe Detail'!$B$291="Red Hook",0,BA46)</f>
        <v>0</v>
      </c>
      <c r="BB22" s="102">
        <f>IF('Hillpointe Detail'!$B$291="Red Hook",0,BB46)</f>
        <v>0</v>
      </c>
      <c r="BC22" s="102">
        <f>IF('Hillpointe Detail'!$B$291="Red Hook",0,BC46)</f>
        <v>0</v>
      </c>
      <c r="BD22" s="102">
        <f>IF('Hillpointe Detail'!$B$291="Red Hook",0,BD46)</f>
        <v>0</v>
      </c>
      <c r="BE22" s="102">
        <f>IF('Hillpointe Detail'!$B$291="Red Hook",0,BE46)</f>
        <v>0</v>
      </c>
      <c r="BF22" s="102">
        <f>IF('Hillpointe Detail'!$B$291="Red Hook",0,BF46)</f>
        <v>0</v>
      </c>
      <c r="BG22" s="102">
        <f>IF('Hillpointe Detail'!$B$291="Red Hook",0,BG46)</f>
        <v>0</v>
      </c>
      <c r="BH22" s="102">
        <f>IF('Hillpointe Detail'!$B$291="Red Hook",0,BH46)</f>
        <v>0</v>
      </c>
      <c r="BI22" s="102">
        <f>IF('Hillpointe Detail'!$B$291="Red Hook",0,BI46)</f>
        <v>0</v>
      </c>
      <c r="BJ22" s="102">
        <f>IF('Hillpointe Detail'!$B$291="Red Hook",0,BJ46)</f>
        <v>0</v>
      </c>
      <c r="BK22" s="102">
        <f>IF('Hillpointe Detail'!$B$291="Red Hook",0,BK46)</f>
        <v>0</v>
      </c>
      <c r="BL22" s="102">
        <f>IF('Hillpointe Detail'!$B$291="Red Hook",0,BL46)</f>
        <v>0</v>
      </c>
      <c r="BM22" s="102">
        <f>IF('Hillpointe Detail'!$B$291="Red Hook",0,BM46)</f>
        <v>0</v>
      </c>
      <c r="BN22" s="102">
        <f>IF('Hillpointe Detail'!$B$291="Red Hook",0,BN46)</f>
        <v>0</v>
      </c>
      <c r="BO22" s="102">
        <f>IF('Hillpointe Detail'!$B$291="Red Hook",0,BO46)</f>
        <v>0</v>
      </c>
      <c r="BP22" s="102">
        <f>IF('Hillpointe Detail'!$B$291="Red Hook",0,BP46)</f>
        <v>0</v>
      </c>
      <c r="BQ22" s="102">
        <f>IF('Hillpointe Detail'!$B$291="Red Hook",0,BQ46)</f>
        <v>0</v>
      </c>
      <c r="BR22" s="102">
        <f>IF('Hillpointe Detail'!$B$291="Red Hook",0,BR46)</f>
        <v>0</v>
      </c>
      <c r="BS22" s="102">
        <f>IF('Hillpointe Detail'!$B$291="Red Hook",0,BS46)</f>
        <v>0</v>
      </c>
      <c r="BT22" s="102">
        <f>IF('Hillpointe Detail'!$B$291="Red Hook",0,BT46)</f>
        <v>0</v>
      </c>
      <c r="BU22" s="102">
        <f>IF('Hillpointe Detail'!$B$291="Red Hook",0,BU46)</f>
        <v>0</v>
      </c>
      <c r="BV22" s="102">
        <f>IF('Hillpointe Detail'!$B$291="Red Hook",0,BV46)</f>
        <v>0</v>
      </c>
      <c r="BW22" s="102">
        <f>IF('Hillpointe Detail'!$B$291="Red Hook",0,BW46)</f>
        <v>0</v>
      </c>
      <c r="BX22" s="8"/>
      <c r="BY22" s="8">
        <f>SUMIF($C$37:$BX$37,1,$C22:$BX22)</f>
        <v>0</v>
      </c>
    </row>
    <row r="23" spans="1:77" x14ac:dyDescent="0.3">
      <c r="B23" t="s">
        <v>423</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102">
        <f>IF('Hillpointe Detail'!$B$291="Red Hook",0,-AB50)</f>
        <v>0</v>
      </c>
      <c r="AC23" s="102">
        <f>IF('Hillpointe Detail'!$B$291="Red Hook",0,-AC50)</f>
        <v>0</v>
      </c>
      <c r="AD23" s="102">
        <f>IF('Hillpointe Detail'!$B$291="Red Hook",0,-AD50)</f>
        <v>0</v>
      </c>
      <c r="AE23" s="102">
        <f>IF('Hillpointe Detail'!$B$291="Red Hook",0,-AE50)</f>
        <v>0</v>
      </c>
      <c r="AF23" s="102">
        <f>IF('Hillpointe Detail'!$B$291="Red Hook",0,-AF50)</f>
        <v>0</v>
      </c>
      <c r="AG23" s="102">
        <f>IF('Hillpointe Detail'!$B$291="Red Hook",0,-AG50)</f>
        <v>0</v>
      </c>
      <c r="AH23" s="102">
        <f>IF('Hillpointe Detail'!$B$291="Red Hook",0,-AH50)</f>
        <v>0</v>
      </c>
      <c r="AI23" s="102">
        <f>IF('Hillpointe Detail'!$B$291="Red Hook",0,-AI50)</f>
        <v>0</v>
      </c>
      <c r="AJ23" s="102">
        <f>IF('Hillpointe Detail'!$B$291="Red Hook",0,-AJ50)</f>
        <v>0</v>
      </c>
      <c r="AK23" s="102">
        <f>IF('Hillpointe Detail'!$B$291="Red Hook",0,-AK50)</f>
        <v>0</v>
      </c>
      <c r="AL23" s="102">
        <f>IF('Hillpointe Detail'!$B$291="Red Hook",0,-AL50)</f>
        <v>0</v>
      </c>
      <c r="AM23" s="102">
        <f>IF('Hillpointe Detail'!$B$291="Red Hook",0,-AM50)</f>
        <v>0</v>
      </c>
      <c r="AN23" s="102">
        <f>IF('Hillpointe Detail'!$B$291="Red Hook",0,-AN50)</f>
        <v>0</v>
      </c>
      <c r="AO23" s="102">
        <f>IF('Hillpointe Detail'!$B$291="Red Hook",0,-AO50)</f>
        <v>0</v>
      </c>
      <c r="AP23" s="102">
        <f>IF('Hillpointe Detail'!$B$291="Red Hook",0,-AP50)</f>
        <v>0</v>
      </c>
      <c r="AQ23" s="102">
        <f>IF('Hillpointe Detail'!$B$291="Red Hook",0,-AQ50)</f>
        <v>0</v>
      </c>
      <c r="AR23" s="102">
        <f>IF('Hillpointe Detail'!$B$291="Red Hook",0,-AR50)</f>
        <v>0</v>
      </c>
      <c r="AS23" s="102">
        <f>IF('Hillpointe Detail'!$B$291="Red Hook",0,-AS50)</f>
        <v>0</v>
      </c>
      <c r="AT23" s="102">
        <f>IF('Hillpointe Detail'!$B$291="Red Hook",0,-AT50)</f>
        <v>0</v>
      </c>
      <c r="AU23" s="102">
        <f>IF('Hillpointe Detail'!$B$291="Red Hook",0,-AU50)</f>
        <v>0</v>
      </c>
      <c r="AV23" s="102">
        <f>IF('Hillpointe Detail'!$B$291="Red Hook",0,-AV50)</f>
        <v>0</v>
      </c>
      <c r="AW23" s="102">
        <f>IF('Hillpointe Detail'!$B$291="Red Hook",0,-AW50)</f>
        <v>0</v>
      </c>
      <c r="AX23" s="102">
        <f>IF('Hillpointe Detail'!$B$291="Red Hook",0,-AX50)</f>
        <v>0</v>
      </c>
      <c r="AY23" s="102">
        <f>IF('Hillpointe Detail'!$B$291="Red Hook",0,-AY50)</f>
        <v>0</v>
      </c>
      <c r="AZ23" s="102">
        <f>IF('Hillpointe Detail'!$B$291="Red Hook",0,-AZ50)</f>
        <v>-11250</v>
      </c>
      <c r="BA23" s="102">
        <f>IF('Hillpointe Detail'!$B$291="Red Hook",0,-BA50)</f>
        <v>-11250</v>
      </c>
      <c r="BB23" s="102">
        <f>IF('Hillpointe Detail'!$B$291="Red Hook",0,-BB50)</f>
        <v>-11250</v>
      </c>
      <c r="BC23" s="102">
        <f>IF('Hillpointe Detail'!$B$291="Red Hook",0,-BC50)</f>
        <v>-11250</v>
      </c>
      <c r="BD23" s="102">
        <f>IF('Hillpointe Detail'!$B$291="Red Hook",0,-BD50)</f>
        <v>-11250</v>
      </c>
      <c r="BE23" s="102">
        <f>IF('Hillpointe Detail'!$B$291="Red Hook",0,-BE50)</f>
        <v>-11250</v>
      </c>
      <c r="BF23" s="102">
        <f>IF('Hillpointe Detail'!$B$291="Red Hook",0,-BF50)</f>
        <v>-11250</v>
      </c>
      <c r="BG23" s="102">
        <f>IF('Hillpointe Detail'!$B$291="Red Hook",0,-BG50)</f>
        <v>-11250</v>
      </c>
      <c r="BH23" s="102">
        <f>IF('Hillpointe Detail'!$B$291="Red Hook",0,-BH50)</f>
        <v>-11250</v>
      </c>
      <c r="BI23" s="102">
        <f>IF('Hillpointe Detail'!$B$291="Red Hook",0,-BI50)</f>
        <v>-11250</v>
      </c>
      <c r="BJ23" s="102">
        <f>IF('Hillpointe Detail'!$B$291="Red Hook",0,-BJ50)</f>
        <v>-11250</v>
      </c>
      <c r="BK23" s="102">
        <f>IF('Hillpointe Detail'!$B$291="Red Hook",0,-BK50)</f>
        <v>-11250</v>
      </c>
      <c r="BL23" s="102">
        <f>IF('Hillpointe Detail'!$B$291="Red Hook",0,-BL50)</f>
        <v>-11666.666666666666</v>
      </c>
      <c r="BM23" s="102">
        <f>IF('Hillpointe Detail'!$B$291="Red Hook",0,-BM50)</f>
        <v>-11666.666666666666</v>
      </c>
      <c r="BN23" s="102">
        <f>IF('Hillpointe Detail'!$B$291="Red Hook",0,-BN50)</f>
        <v>-11666.666666666666</v>
      </c>
      <c r="BO23" s="102">
        <f>IF('Hillpointe Detail'!$B$291="Red Hook",0,-BO50)</f>
        <v>-11666.666666666666</v>
      </c>
      <c r="BP23" s="102">
        <f>IF('Hillpointe Detail'!$B$291="Red Hook",0,-BP50)</f>
        <v>-11666.666666666666</v>
      </c>
      <c r="BQ23" s="102">
        <f>IF('Hillpointe Detail'!$B$291="Red Hook",0,-BQ50)</f>
        <v>-11666.666666666666</v>
      </c>
      <c r="BR23" s="102">
        <f>IF('Hillpointe Detail'!$B$291="Red Hook",0,-BR50)</f>
        <v>-11666.666666666666</v>
      </c>
      <c r="BS23" s="102">
        <f>IF('Hillpointe Detail'!$B$291="Red Hook",0,-BS50)</f>
        <v>-11666.666666666666</v>
      </c>
      <c r="BT23" s="102">
        <f>IF('Hillpointe Detail'!$B$291="Red Hook",0,-BT50)</f>
        <v>-11666.666666666666</v>
      </c>
      <c r="BU23" s="102">
        <f>IF('Hillpointe Detail'!$B$291="Red Hook",0,-BU50)</f>
        <v>-11666.666666666666</v>
      </c>
      <c r="BV23" s="102">
        <f>IF('Hillpointe Detail'!$B$291="Red Hook",0,-BV50)</f>
        <v>-11666.666666666666</v>
      </c>
      <c r="BW23" s="102">
        <f>IF('Hillpointe Detail'!$B$291="Red Hook",0,-BW50)</f>
        <v>-11666.666666666666</v>
      </c>
      <c r="BX23" s="8"/>
      <c r="BY23" s="8">
        <f>SUMIF($C$37:$BX$37,1,$C23:$BX23)</f>
        <v>0</v>
      </c>
    </row>
    <row r="24" spans="1:77" ht="3" customHeight="1" x14ac:dyDescent="0.3">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8"/>
      <c r="BY24" s="9"/>
    </row>
    <row r="25" spans="1:77" x14ac:dyDescent="0.3">
      <c r="A25" s="1" t="s">
        <v>240</v>
      </c>
      <c r="D25" s="8">
        <f>SUM(D21:D24)</f>
        <v>0</v>
      </c>
      <c r="E25" s="8">
        <f t="shared" ref="E25" si="71">SUM(E21:E24)</f>
        <v>0</v>
      </c>
      <c r="F25" s="8">
        <f t="shared" ref="F25" si="72">SUM(F21:F24)</f>
        <v>0</v>
      </c>
      <c r="G25" s="8">
        <f t="shared" ref="G25" si="73">SUM(G21:G24)</f>
        <v>0</v>
      </c>
      <c r="H25" s="8">
        <f t="shared" ref="H25" si="74">SUM(H21:H24)</f>
        <v>0</v>
      </c>
      <c r="I25" s="8">
        <f t="shared" ref="I25" si="75">SUM(I21:I24)</f>
        <v>0</v>
      </c>
      <c r="J25" s="8">
        <f t="shared" ref="J25" si="76">SUM(J21:J24)</f>
        <v>0</v>
      </c>
      <c r="K25" s="8">
        <f t="shared" ref="K25" si="77">SUM(K21:K24)</f>
        <v>0</v>
      </c>
      <c r="L25" s="8">
        <f t="shared" ref="L25" si="78">SUM(L21:L24)</f>
        <v>0</v>
      </c>
      <c r="M25" s="8">
        <f t="shared" ref="M25:O25" si="79">SUM(M21:M24)</f>
        <v>0</v>
      </c>
      <c r="N25" s="8">
        <f t="shared" si="79"/>
        <v>0</v>
      </c>
      <c r="O25" s="8">
        <f t="shared" si="79"/>
        <v>6280240</v>
      </c>
      <c r="P25" s="8">
        <f t="shared" ref="P25:AA25" si="80">SUM(P21:P24)</f>
        <v>17989.19000000041</v>
      </c>
      <c r="Q25" s="8">
        <f t="shared" si="80"/>
        <v>18143.659999999218</v>
      </c>
      <c r="R25" s="8">
        <f t="shared" si="80"/>
        <v>18299.44000000041</v>
      </c>
      <c r="S25" s="8">
        <f t="shared" si="80"/>
        <v>18456.570000000298</v>
      </c>
      <c r="T25" s="8">
        <f t="shared" si="80"/>
        <v>18615.040000000037</v>
      </c>
      <c r="U25" s="8">
        <f t="shared" si="80"/>
        <v>18774.879999999888</v>
      </c>
      <c r="V25" s="8">
        <f t="shared" si="80"/>
        <v>13746.080000000075</v>
      </c>
      <c r="W25" s="8">
        <f t="shared" si="80"/>
        <v>13864.109999999404</v>
      </c>
      <c r="X25" s="8">
        <f>SUM(X21:X24)</f>
        <v>-33487.25</v>
      </c>
      <c r="Y25" s="8">
        <f t="shared" si="80"/>
        <v>55228.220000000671</v>
      </c>
      <c r="Z25" s="8">
        <f t="shared" si="80"/>
        <v>5963.5699999993667</v>
      </c>
      <c r="AA25" s="8">
        <f t="shared" si="80"/>
        <v>14346.45</v>
      </c>
      <c r="AB25" s="8">
        <f t="shared" ref="AB25:AM25" si="81">SUM(AB21:AB24)</f>
        <v>11320452.870000003</v>
      </c>
      <c r="AC25" s="8">
        <f t="shared" si="81"/>
        <v>0</v>
      </c>
      <c r="AD25" s="8">
        <f t="shared" si="81"/>
        <v>0</v>
      </c>
      <c r="AE25" s="8">
        <f t="shared" si="81"/>
        <v>0</v>
      </c>
      <c r="AF25" s="8">
        <f t="shared" si="81"/>
        <v>0</v>
      </c>
      <c r="AG25" s="8">
        <f t="shared" si="81"/>
        <v>804531.88909835042</v>
      </c>
      <c r="AH25" s="8">
        <f t="shared" si="81"/>
        <v>804531.88909835042</v>
      </c>
      <c r="AI25" s="8">
        <f t="shared" si="81"/>
        <v>804531.88909835042</v>
      </c>
      <c r="AJ25" s="8">
        <f t="shared" si="81"/>
        <v>804531.88909835042</v>
      </c>
      <c r="AK25" s="8">
        <f t="shared" si="81"/>
        <v>804531.88909835042</v>
      </c>
      <c r="AL25" s="8">
        <f t="shared" si="81"/>
        <v>804531.88909835042</v>
      </c>
      <c r="AM25" s="8">
        <f t="shared" si="81"/>
        <v>804531.88909835042</v>
      </c>
      <c r="AN25" s="8">
        <f t="shared" ref="AN25:BW25" si="82">SUM(AN21:AN24)</f>
        <v>799455.97657788661</v>
      </c>
      <c r="AO25" s="8">
        <f t="shared" si="82"/>
        <v>799455.97657788661</v>
      </c>
      <c r="AP25" s="8">
        <f t="shared" si="82"/>
        <v>799455.97657788661</v>
      </c>
      <c r="AQ25" s="8">
        <f t="shared" si="82"/>
        <v>799455.97657788661</v>
      </c>
      <c r="AR25" s="8">
        <f t="shared" si="82"/>
        <v>0</v>
      </c>
      <c r="AS25" s="8">
        <f t="shared" si="82"/>
        <v>0</v>
      </c>
      <c r="AT25" s="8">
        <f t="shared" si="82"/>
        <v>0</v>
      </c>
      <c r="AU25" s="8">
        <f t="shared" si="82"/>
        <v>0</v>
      </c>
      <c r="AV25" s="8">
        <f t="shared" si="82"/>
        <v>0</v>
      </c>
      <c r="AW25" s="8">
        <f t="shared" si="82"/>
        <v>0</v>
      </c>
      <c r="AX25" s="8">
        <f t="shared" si="82"/>
        <v>0</v>
      </c>
      <c r="AY25" s="8">
        <f t="shared" si="82"/>
        <v>0</v>
      </c>
      <c r="AZ25" s="8">
        <f t="shared" si="82"/>
        <v>-11250</v>
      </c>
      <c r="BA25" s="8">
        <f t="shared" si="82"/>
        <v>-11250</v>
      </c>
      <c r="BB25" s="8">
        <f t="shared" si="82"/>
        <v>-11250</v>
      </c>
      <c r="BC25" s="8">
        <f t="shared" si="82"/>
        <v>-11250</v>
      </c>
      <c r="BD25" s="8">
        <f t="shared" si="82"/>
        <v>-11250</v>
      </c>
      <c r="BE25" s="8">
        <f t="shared" si="82"/>
        <v>-11250</v>
      </c>
      <c r="BF25" s="8">
        <f t="shared" si="82"/>
        <v>-11250</v>
      </c>
      <c r="BG25" s="8">
        <f t="shared" si="82"/>
        <v>-11250</v>
      </c>
      <c r="BH25" s="8">
        <f t="shared" si="82"/>
        <v>-11250</v>
      </c>
      <c r="BI25" s="8">
        <f t="shared" si="82"/>
        <v>-11250</v>
      </c>
      <c r="BJ25" s="8">
        <f t="shared" si="82"/>
        <v>-11250</v>
      </c>
      <c r="BK25" s="8">
        <f t="shared" si="82"/>
        <v>-11250</v>
      </c>
      <c r="BL25" s="8">
        <f t="shared" si="82"/>
        <v>-11666.666666666666</v>
      </c>
      <c r="BM25" s="8">
        <f t="shared" si="82"/>
        <v>-11666.666666666666</v>
      </c>
      <c r="BN25" s="8">
        <f t="shared" si="82"/>
        <v>-11666.666666666666</v>
      </c>
      <c r="BO25" s="8">
        <f t="shared" si="82"/>
        <v>-11666.666666666666</v>
      </c>
      <c r="BP25" s="8">
        <f t="shared" si="82"/>
        <v>-11666.666666666666</v>
      </c>
      <c r="BQ25" s="8">
        <f t="shared" si="82"/>
        <v>-11666.666666666666</v>
      </c>
      <c r="BR25" s="8">
        <f t="shared" si="82"/>
        <v>-11666.666666666666</v>
      </c>
      <c r="BS25" s="8">
        <f t="shared" si="82"/>
        <v>-11666.666666666666</v>
      </c>
      <c r="BT25" s="8">
        <f t="shared" si="82"/>
        <v>-11666.666666666666</v>
      </c>
      <c r="BU25" s="8">
        <f t="shared" si="82"/>
        <v>-11666.666666666666</v>
      </c>
      <c r="BV25" s="8">
        <f t="shared" si="82"/>
        <v>-11666.666666666666</v>
      </c>
      <c r="BW25" s="8">
        <f t="shared" si="82"/>
        <v>-11666.666666666666</v>
      </c>
      <c r="BX25" s="8"/>
      <c r="BY25" s="8">
        <f t="shared" ref="BY25" si="83">SUM(BY21:BY24)</f>
        <v>165593.50999999978</v>
      </c>
    </row>
    <row r="26" spans="1:77" ht="6" customHeight="1" x14ac:dyDescent="0.3">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row>
    <row r="27" spans="1:77" x14ac:dyDescent="0.3">
      <c r="A27" s="1" t="s">
        <v>241</v>
      </c>
      <c r="D27" s="77">
        <f t="shared" ref="D27:O27" si="84">D12+D18+D25</f>
        <v>227596.27999999997</v>
      </c>
      <c r="E27" s="77">
        <f t="shared" si="84"/>
        <v>244843.8000000001</v>
      </c>
      <c r="F27" s="77">
        <f t="shared" si="84"/>
        <v>-102948.47000000003</v>
      </c>
      <c r="G27" s="77">
        <f t="shared" si="84"/>
        <v>300045.52999999991</v>
      </c>
      <c r="H27" s="77">
        <f t="shared" si="84"/>
        <v>-233940.65000000014</v>
      </c>
      <c r="I27" s="77">
        <f t="shared" si="84"/>
        <v>232786.03999999998</v>
      </c>
      <c r="J27" s="77">
        <f t="shared" si="84"/>
        <v>-268690.12000000011</v>
      </c>
      <c r="K27" s="77">
        <f t="shared" si="84"/>
        <v>35679.959999999934</v>
      </c>
      <c r="L27" s="77">
        <f t="shared" si="84"/>
        <v>-114184.70999999961</v>
      </c>
      <c r="M27" s="77">
        <f t="shared" si="84"/>
        <v>220786.68999999959</v>
      </c>
      <c r="N27" s="77">
        <f t="shared" si="84"/>
        <v>46216.690000000344</v>
      </c>
      <c r="O27" s="77">
        <f t="shared" si="84"/>
        <v>-88045.290000000969</v>
      </c>
      <c r="P27" s="77">
        <f t="shared" ref="P27:AA27" si="85">P12+P18+P25</f>
        <v>216889.80999999991</v>
      </c>
      <c r="Q27" s="77">
        <f t="shared" si="85"/>
        <v>-336910.83999999968</v>
      </c>
      <c r="R27" s="77">
        <f t="shared" si="85"/>
        <v>293459.99999999983</v>
      </c>
      <c r="S27" s="77">
        <f t="shared" si="85"/>
        <v>-64918.849999999293</v>
      </c>
      <c r="T27" s="77">
        <f t="shared" si="85"/>
        <v>35591.529999999722</v>
      </c>
      <c r="U27" s="77">
        <f t="shared" si="85"/>
        <v>197098.39000000007</v>
      </c>
      <c r="V27" s="77">
        <f t="shared" si="85"/>
        <v>-282433.62000000029</v>
      </c>
      <c r="W27" s="77">
        <f t="shared" si="85"/>
        <v>-109150.99000000114</v>
      </c>
      <c r="X27" s="77">
        <f t="shared" si="85"/>
        <v>12473.070000000356</v>
      </c>
      <c r="Y27" s="77">
        <f t="shared" si="85"/>
        <v>-31688.909999999683</v>
      </c>
      <c r="Z27" s="77">
        <f t="shared" si="85"/>
        <v>-52798.850000000341</v>
      </c>
      <c r="AA27" s="77">
        <f t="shared" si="85"/>
        <v>115119.90026127682</v>
      </c>
      <c r="AB27" s="77">
        <f t="shared" ref="AB27:AM27" si="86">AB12+AB18+AB25</f>
        <v>1146323.7196998987</v>
      </c>
      <c r="AC27" s="77">
        <f t="shared" si="86"/>
        <v>108052.01224878069</v>
      </c>
      <c r="AD27" s="77">
        <f t="shared" si="86"/>
        <v>437963.48555622192</v>
      </c>
      <c r="AE27" s="77">
        <f t="shared" si="86"/>
        <v>-34419.639247664352</v>
      </c>
      <c r="AF27" s="77">
        <f t="shared" si="86"/>
        <v>-6529.8768653390143</v>
      </c>
      <c r="AG27" s="77">
        <f t="shared" si="86"/>
        <v>6462.7295631900197</v>
      </c>
      <c r="AH27" s="77">
        <f t="shared" si="86"/>
        <v>19070.69603886595</v>
      </c>
      <c r="AI27" s="77">
        <f t="shared" si="86"/>
        <v>118528.38997986144</v>
      </c>
      <c r="AJ27" s="77">
        <f t="shared" si="86"/>
        <v>70156.35793309845</v>
      </c>
      <c r="AK27" s="77">
        <f t="shared" si="86"/>
        <v>86440.880721404217</v>
      </c>
      <c r="AL27" s="77">
        <f t="shared" si="86"/>
        <v>100662.65355503676</v>
      </c>
      <c r="AM27" s="77">
        <f t="shared" si="86"/>
        <v>97723.879411320901</v>
      </c>
      <c r="AN27" s="77">
        <f t="shared" ref="AN27:BW27" si="87">AN12+AN18+AN25</f>
        <v>-136751.70740217646</v>
      </c>
      <c r="AO27" s="77">
        <f t="shared" si="87"/>
        <v>133275.22395274485</v>
      </c>
      <c r="AP27" s="77">
        <f t="shared" si="87"/>
        <v>469631.80535952974</v>
      </c>
      <c r="AQ27" s="77">
        <f t="shared" si="87"/>
        <v>-14923.222056652885</v>
      </c>
      <c r="AR27" s="77">
        <f t="shared" si="87"/>
        <v>20374.67442971417</v>
      </c>
      <c r="AS27" s="77">
        <f t="shared" si="87"/>
        <v>21844.704118276022</v>
      </c>
      <c r="AT27" s="77">
        <f t="shared" si="87"/>
        <v>33345.884212654586</v>
      </c>
      <c r="AU27" s="77">
        <f t="shared" si="87"/>
        <v>69508.514233823342</v>
      </c>
      <c r="AV27" s="77">
        <f t="shared" si="87"/>
        <v>56023.762583323827</v>
      </c>
      <c r="AW27" s="77">
        <f t="shared" si="87"/>
        <v>39777.096021827063</v>
      </c>
      <c r="AX27" s="77">
        <f t="shared" si="87"/>
        <v>54304.095971175069</v>
      </c>
      <c r="AY27" s="77">
        <f t="shared" si="87"/>
        <v>119668.13406450934</v>
      </c>
      <c r="AZ27" s="77">
        <f t="shared" si="87"/>
        <v>-130527.41744003464</v>
      </c>
      <c r="BA27" s="77">
        <f t="shared" si="87"/>
        <v>113663.41866525174</v>
      </c>
      <c r="BB27" s="77">
        <f t="shared" si="87"/>
        <v>444120.50046494795</v>
      </c>
      <c r="BC27" s="77">
        <f t="shared" si="87"/>
        <v>-39056.627594324949</v>
      </c>
      <c r="BD27" s="77">
        <f t="shared" si="87"/>
        <v>-2495.8980794237195</v>
      </c>
      <c r="BE27" s="77">
        <f t="shared" si="87"/>
        <v>-9.9588974079433683</v>
      </c>
      <c r="BF27" s="77">
        <f t="shared" si="87"/>
        <v>12203.179227018518</v>
      </c>
      <c r="BG27" s="77">
        <f t="shared" si="87"/>
        <v>53263.607129214717</v>
      </c>
      <c r="BH27" s="77">
        <f t="shared" si="87"/>
        <v>29823.7510779554</v>
      </c>
      <c r="BI27" s="77">
        <f t="shared" si="87"/>
        <v>18398.135237858987</v>
      </c>
      <c r="BJ27" s="77">
        <f t="shared" si="87"/>
        <v>33102.883484674567</v>
      </c>
      <c r="BK27" s="77">
        <f t="shared" si="87"/>
        <v>101809.15757255563</v>
      </c>
      <c r="BL27" s="77">
        <f t="shared" si="87"/>
        <v>-120987.76220276329</v>
      </c>
      <c r="BM27" s="77">
        <f t="shared" si="87"/>
        <v>118954.64265618692</v>
      </c>
      <c r="BN27" s="77">
        <f t="shared" si="87"/>
        <v>445910.4704435356</v>
      </c>
      <c r="BO27" s="77">
        <f t="shared" si="87"/>
        <v>-37018.309469426487</v>
      </c>
      <c r="BP27" s="77">
        <f t="shared" si="87"/>
        <v>-646.06012892068247</v>
      </c>
      <c r="BQ27" s="77">
        <f t="shared" si="87"/>
        <v>1791.6156988722068</v>
      </c>
      <c r="BR27" s="77">
        <f t="shared" si="87"/>
        <v>13379.700216071606</v>
      </c>
      <c r="BS27" s="77">
        <f t="shared" si="87"/>
        <v>57579.190022966279</v>
      </c>
      <c r="BT27" s="77">
        <f t="shared" si="87"/>
        <v>33302.774163429276</v>
      </c>
      <c r="BU27" s="77">
        <f t="shared" si="87"/>
        <v>21904.239719224483</v>
      </c>
      <c r="BV27" s="77">
        <f t="shared" si="87"/>
        <v>36759.765074172625</v>
      </c>
      <c r="BW27" s="77">
        <f t="shared" si="87"/>
        <v>107649.19151782437</v>
      </c>
      <c r="BX27" s="8"/>
      <c r="BY27" s="77">
        <f>BY12+BY18+BY25</f>
        <v>-122389.26000000047</v>
      </c>
    </row>
    <row r="28" spans="1:77" ht="6" customHeight="1" x14ac:dyDescent="0.3">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row>
    <row r="29" spans="1:77" x14ac:dyDescent="0.3">
      <c r="B29" t="s">
        <v>242</v>
      </c>
      <c r="D29" s="18">
        <f>'Financial Position Detail'!E14</f>
        <v>130780.68</v>
      </c>
      <c r="E29" s="8">
        <f>D31</f>
        <v>358376.95999999996</v>
      </c>
      <c r="F29" s="8">
        <f t="shared" ref="F29:M29" si="88">E31</f>
        <v>603220.76</v>
      </c>
      <c r="G29" s="8">
        <f t="shared" si="88"/>
        <v>500272.29</v>
      </c>
      <c r="H29" s="8">
        <f t="shared" si="88"/>
        <v>800317.81999999983</v>
      </c>
      <c r="I29" s="8">
        <f t="shared" si="88"/>
        <v>566377.16999999969</v>
      </c>
      <c r="J29" s="8">
        <f t="shared" si="88"/>
        <v>799163.20999999973</v>
      </c>
      <c r="K29" s="8">
        <f t="shared" si="88"/>
        <v>530473.08999999962</v>
      </c>
      <c r="L29" s="8">
        <f t="shared" si="88"/>
        <v>566153.04999999958</v>
      </c>
      <c r="M29" s="8">
        <f t="shared" si="88"/>
        <v>451968.33999999997</v>
      </c>
      <c r="N29" s="8">
        <f t="shared" ref="N29:O29" si="89">M31</f>
        <v>672755.02999999956</v>
      </c>
      <c r="O29" s="8">
        <f t="shared" si="89"/>
        <v>718971.71999999986</v>
      </c>
      <c r="P29" s="8">
        <f t="shared" ref="P29" si="90">O31</f>
        <v>630926.42999999889</v>
      </c>
      <c r="Q29" s="8">
        <f t="shared" ref="Q29" si="91">P31</f>
        <v>847816.23999999883</v>
      </c>
      <c r="R29" s="8">
        <f t="shared" ref="R29" si="92">Q31</f>
        <v>510905.39999999915</v>
      </c>
      <c r="S29" s="8">
        <f t="shared" ref="S29" si="93">R31</f>
        <v>804365.39999999898</v>
      </c>
      <c r="T29" s="8">
        <f t="shared" ref="T29" si="94">S31</f>
        <v>739446.5499999997</v>
      </c>
      <c r="U29" s="8">
        <f t="shared" ref="U29" si="95">T31</f>
        <v>775038.07999999938</v>
      </c>
      <c r="V29" s="8">
        <f t="shared" ref="V29" si="96">U31</f>
        <v>972136.46999999951</v>
      </c>
      <c r="W29" s="8">
        <f t="shared" ref="W29" si="97">V31</f>
        <v>689702.84999999916</v>
      </c>
      <c r="X29" s="8">
        <f t="shared" ref="X29" si="98">W31</f>
        <v>580551.85999999801</v>
      </c>
      <c r="Y29" s="8">
        <f t="shared" ref="Y29" si="99">X31</f>
        <v>593024.9299999983</v>
      </c>
      <c r="Z29" s="8">
        <f t="shared" ref="Z29" si="100">Y31</f>
        <v>561336.01999999862</v>
      </c>
      <c r="AA29" s="8">
        <f t="shared" ref="AA29" si="101">Z31</f>
        <v>508537.1699999983</v>
      </c>
      <c r="AB29" s="8">
        <f t="shared" ref="AB29" si="102">AA31</f>
        <v>623657.07026127516</v>
      </c>
      <c r="AC29" s="8">
        <f t="shared" ref="AC29" si="103">AB31</f>
        <v>1769980.7899611739</v>
      </c>
      <c r="AD29" s="8">
        <f t="shared" ref="AD29" si="104">AC31</f>
        <v>1878032.8022099547</v>
      </c>
      <c r="AE29" s="8">
        <f t="shared" ref="AE29" si="105">AD31</f>
        <v>2315996.2877661767</v>
      </c>
      <c r="AF29" s="8">
        <f t="shared" ref="AF29" si="106">AE31</f>
        <v>2281576.6485185125</v>
      </c>
      <c r="AG29" s="8">
        <f t="shared" ref="AG29" si="107">AF31</f>
        <v>2275046.7716531735</v>
      </c>
      <c r="AH29" s="8">
        <f t="shared" ref="AH29" si="108">AG31</f>
        <v>2281509.5012163636</v>
      </c>
      <c r="AI29" s="8">
        <f t="shared" ref="AI29" si="109">AH31</f>
        <v>2300580.1972552296</v>
      </c>
      <c r="AJ29" s="8">
        <f t="shared" ref="AJ29" si="110">AI31</f>
        <v>2419108.5872350913</v>
      </c>
      <c r="AK29" s="8">
        <f t="shared" ref="AK29" si="111">AJ31</f>
        <v>2489264.9451681897</v>
      </c>
      <c r="AL29" s="8">
        <f t="shared" ref="AL29" si="112">AK31</f>
        <v>2575705.8258895939</v>
      </c>
      <c r="AM29" s="8">
        <f t="shared" ref="AM29" si="113">AL31</f>
        <v>2676368.4794446304</v>
      </c>
      <c r="AN29" s="8">
        <f t="shared" ref="AN29" si="114">AM31</f>
        <v>2774092.3588559516</v>
      </c>
      <c r="AO29" s="8">
        <f t="shared" ref="AO29" si="115">AN31</f>
        <v>2637340.6514537754</v>
      </c>
      <c r="AP29" s="8">
        <f t="shared" ref="AP29" si="116">AO31</f>
        <v>2770615.8754065204</v>
      </c>
      <c r="AQ29" s="8">
        <f t="shared" ref="AQ29" si="117">AP31</f>
        <v>3240247.6807660502</v>
      </c>
      <c r="AR29" s="8">
        <f t="shared" ref="AR29" si="118">AQ31</f>
        <v>3225324.4587093974</v>
      </c>
      <c r="AS29" s="8">
        <f t="shared" ref="AS29" si="119">AR31</f>
        <v>3245699.1331391116</v>
      </c>
      <c r="AT29" s="8">
        <f t="shared" ref="AT29" si="120">AS31</f>
        <v>3267543.8372573876</v>
      </c>
      <c r="AU29" s="8">
        <f t="shared" ref="AU29" si="121">AT31</f>
        <v>3300889.7214700421</v>
      </c>
      <c r="AV29" s="8">
        <f t="shared" ref="AV29" si="122">AU31</f>
        <v>3370398.2357038655</v>
      </c>
      <c r="AW29" s="8">
        <f t="shared" ref="AW29" si="123">AV31</f>
        <v>3426421.9982871893</v>
      </c>
      <c r="AX29" s="8">
        <f t="shared" ref="AX29" si="124">AW31</f>
        <v>3466199.0943090161</v>
      </c>
      <c r="AY29" s="8">
        <f t="shared" ref="AY29" si="125">AX31</f>
        <v>3520503.1902801911</v>
      </c>
      <c r="AZ29" s="8">
        <f t="shared" ref="AZ29" si="126">AY31</f>
        <v>3640171.3243447007</v>
      </c>
      <c r="BA29" s="8">
        <f t="shared" ref="BA29" si="127">AZ31</f>
        <v>3509643.9069046662</v>
      </c>
      <c r="BB29" s="8">
        <f t="shared" ref="BB29" si="128">BA31</f>
        <v>3623307.3255699179</v>
      </c>
      <c r="BC29" s="8">
        <f t="shared" ref="BC29" si="129">BB31</f>
        <v>4067427.8260348658</v>
      </c>
      <c r="BD29" s="8">
        <f t="shared" ref="BD29" si="130">BC31</f>
        <v>4028371.198440541</v>
      </c>
      <c r="BE29" s="8">
        <f t="shared" ref="BE29" si="131">BD31</f>
        <v>4025875.3003611173</v>
      </c>
      <c r="BF29" s="8">
        <f t="shared" ref="BF29" si="132">BE31</f>
        <v>4025865.3414637093</v>
      </c>
      <c r="BG29" s="8">
        <f t="shared" ref="BG29" si="133">BF31</f>
        <v>4038068.520690728</v>
      </c>
      <c r="BH29" s="8">
        <f t="shared" ref="BH29" si="134">BG31</f>
        <v>4091332.1278199428</v>
      </c>
      <c r="BI29" s="8">
        <f t="shared" ref="BI29" si="135">BH31</f>
        <v>4121155.8788978984</v>
      </c>
      <c r="BJ29" s="8">
        <f t="shared" ref="BJ29" si="136">BI31</f>
        <v>4139554.0141357575</v>
      </c>
      <c r="BK29" s="8">
        <f t="shared" ref="BK29" si="137">BJ31</f>
        <v>4172656.8976204321</v>
      </c>
      <c r="BL29" s="8">
        <f t="shared" ref="BL29" si="138">BK31</f>
        <v>4274466.0551929874</v>
      </c>
      <c r="BM29" s="8">
        <f t="shared" ref="BM29" si="139">BL31</f>
        <v>4153478.292990224</v>
      </c>
      <c r="BN29" s="8">
        <f t="shared" ref="BN29" si="140">BM31</f>
        <v>4272432.935646411</v>
      </c>
      <c r="BO29" s="8">
        <f t="shared" ref="BO29" si="141">BN31</f>
        <v>4718343.4060899466</v>
      </c>
      <c r="BP29" s="8">
        <f t="shared" ref="BP29" si="142">BO31</f>
        <v>4681325.0966205206</v>
      </c>
      <c r="BQ29" s="8">
        <f t="shared" ref="BQ29" si="143">BP31</f>
        <v>4680679.0364915999</v>
      </c>
      <c r="BR29" s="8">
        <f t="shared" ref="BR29" si="144">BQ31</f>
        <v>4682470.652190472</v>
      </c>
      <c r="BS29" s="8">
        <f t="shared" ref="BS29" si="145">BR31</f>
        <v>4695850.3524065437</v>
      </c>
      <c r="BT29" s="8">
        <f t="shared" ref="BT29" si="146">BS31</f>
        <v>4753429.5424295096</v>
      </c>
      <c r="BU29" s="8">
        <f t="shared" ref="BU29" si="147">BT31</f>
        <v>4786732.3165929392</v>
      </c>
      <c r="BV29" s="8">
        <f t="shared" ref="BV29" si="148">BU31</f>
        <v>4808636.5563121634</v>
      </c>
      <c r="BW29" s="8">
        <f t="shared" ref="BW29" si="149">BV31</f>
        <v>4845396.3213863363</v>
      </c>
      <c r="BX29" s="8"/>
      <c r="BY29" s="102">
        <f>P29</f>
        <v>630926.42999999889</v>
      </c>
    </row>
    <row r="30" spans="1:77" ht="6" customHeight="1" x14ac:dyDescent="0.3">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row>
    <row r="31" spans="1:77" ht="15" thickBot="1" x14ac:dyDescent="0.35">
      <c r="A31" s="1" t="s">
        <v>243</v>
      </c>
      <c r="D31" s="54">
        <f t="shared" ref="D31:O31" si="150">SUM(D27:D30)</f>
        <v>358376.95999999996</v>
      </c>
      <c r="E31" s="54">
        <f t="shared" si="150"/>
        <v>603220.76</v>
      </c>
      <c r="F31" s="54">
        <f t="shared" si="150"/>
        <v>500272.29</v>
      </c>
      <c r="G31" s="54">
        <f t="shared" si="150"/>
        <v>800317.81999999983</v>
      </c>
      <c r="H31" s="54">
        <f t="shared" si="150"/>
        <v>566377.16999999969</v>
      </c>
      <c r="I31" s="54">
        <f t="shared" si="150"/>
        <v>799163.20999999973</v>
      </c>
      <c r="J31" s="54">
        <f t="shared" si="150"/>
        <v>530473.08999999962</v>
      </c>
      <c r="K31" s="54">
        <f t="shared" si="150"/>
        <v>566153.04999999958</v>
      </c>
      <c r="L31" s="54">
        <f t="shared" si="150"/>
        <v>451968.33999999997</v>
      </c>
      <c r="M31" s="54">
        <f t="shared" si="150"/>
        <v>672755.02999999956</v>
      </c>
      <c r="N31" s="54">
        <f t="shared" si="150"/>
        <v>718971.71999999986</v>
      </c>
      <c r="O31" s="54">
        <f t="shared" si="150"/>
        <v>630926.42999999889</v>
      </c>
      <c r="P31" s="54">
        <f t="shared" ref="P31:AA31" si="151">SUM(P27:P30)</f>
        <v>847816.23999999883</v>
      </c>
      <c r="Q31" s="54">
        <f t="shared" si="151"/>
        <v>510905.39999999915</v>
      </c>
      <c r="R31" s="54">
        <f t="shared" si="151"/>
        <v>804365.39999999898</v>
      </c>
      <c r="S31" s="54">
        <f t="shared" si="151"/>
        <v>739446.5499999997</v>
      </c>
      <c r="T31" s="54">
        <f t="shared" si="151"/>
        <v>775038.07999999938</v>
      </c>
      <c r="U31" s="54">
        <f t="shared" si="151"/>
        <v>972136.46999999951</v>
      </c>
      <c r="V31" s="54">
        <f t="shared" si="151"/>
        <v>689702.84999999916</v>
      </c>
      <c r="W31" s="54">
        <f t="shared" si="151"/>
        <v>580551.85999999801</v>
      </c>
      <c r="X31" s="54">
        <f t="shared" si="151"/>
        <v>593024.9299999983</v>
      </c>
      <c r="Y31" s="54">
        <f t="shared" si="151"/>
        <v>561336.01999999862</v>
      </c>
      <c r="Z31" s="54">
        <f t="shared" si="151"/>
        <v>508537.1699999983</v>
      </c>
      <c r="AA31" s="54">
        <f t="shared" si="151"/>
        <v>623657.07026127516</v>
      </c>
      <c r="AB31" s="54">
        <f t="shared" ref="AB31:AM31" si="152">SUM(AB27:AB30)</f>
        <v>1769980.7899611739</v>
      </c>
      <c r="AC31" s="54">
        <f t="shared" si="152"/>
        <v>1878032.8022099547</v>
      </c>
      <c r="AD31" s="54">
        <f t="shared" si="152"/>
        <v>2315996.2877661767</v>
      </c>
      <c r="AE31" s="54">
        <f t="shared" si="152"/>
        <v>2281576.6485185125</v>
      </c>
      <c r="AF31" s="54">
        <f t="shared" si="152"/>
        <v>2275046.7716531735</v>
      </c>
      <c r="AG31" s="54">
        <f t="shared" si="152"/>
        <v>2281509.5012163636</v>
      </c>
      <c r="AH31" s="54">
        <f t="shared" si="152"/>
        <v>2300580.1972552296</v>
      </c>
      <c r="AI31" s="54">
        <f t="shared" si="152"/>
        <v>2419108.5872350913</v>
      </c>
      <c r="AJ31" s="54">
        <f t="shared" si="152"/>
        <v>2489264.9451681897</v>
      </c>
      <c r="AK31" s="54">
        <f t="shared" si="152"/>
        <v>2575705.8258895939</v>
      </c>
      <c r="AL31" s="54">
        <f t="shared" si="152"/>
        <v>2676368.4794446304</v>
      </c>
      <c r="AM31" s="54">
        <f t="shared" si="152"/>
        <v>2774092.3588559516</v>
      </c>
      <c r="AN31" s="54">
        <f t="shared" ref="AN31:BW31" si="153">SUM(AN27:AN30)</f>
        <v>2637340.6514537754</v>
      </c>
      <c r="AO31" s="54">
        <f t="shared" si="153"/>
        <v>2770615.8754065204</v>
      </c>
      <c r="AP31" s="54">
        <f t="shared" si="153"/>
        <v>3240247.6807660502</v>
      </c>
      <c r="AQ31" s="54">
        <f t="shared" si="153"/>
        <v>3225324.4587093974</v>
      </c>
      <c r="AR31" s="54">
        <f t="shared" si="153"/>
        <v>3245699.1331391116</v>
      </c>
      <c r="AS31" s="54">
        <f t="shared" si="153"/>
        <v>3267543.8372573876</v>
      </c>
      <c r="AT31" s="54">
        <f t="shared" si="153"/>
        <v>3300889.7214700421</v>
      </c>
      <c r="AU31" s="54">
        <f t="shared" si="153"/>
        <v>3370398.2357038655</v>
      </c>
      <c r="AV31" s="54">
        <f t="shared" si="153"/>
        <v>3426421.9982871893</v>
      </c>
      <c r="AW31" s="54">
        <f t="shared" si="153"/>
        <v>3466199.0943090161</v>
      </c>
      <c r="AX31" s="54">
        <f t="shared" si="153"/>
        <v>3520503.1902801911</v>
      </c>
      <c r="AY31" s="54">
        <f t="shared" si="153"/>
        <v>3640171.3243447007</v>
      </c>
      <c r="AZ31" s="54">
        <f t="shared" si="153"/>
        <v>3509643.9069046662</v>
      </c>
      <c r="BA31" s="54">
        <f t="shared" si="153"/>
        <v>3623307.3255699179</v>
      </c>
      <c r="BB31" s="54">
        <f t="shared" si="153"/>
        <v>4067427.8260348658</v>
      </c>
      <c r="BC31" s="54">
        <f t="shared" si="153"/>
        <v>4028371.198440541</v>
      </c>
      <c r="BD31" s="54">
        <f t="shared" si="153"/>
        <v>4025875.3003611173</v>
      </c>
      <c r="BE31" s="54">
        <f t="shared" si="153"/>
        <v>4025865.3414637093</v>
      </c>
      <c r="BF31" s="54">
        <f t="shared" si="153"/>
        <v>4038068.520690728</v>
      </c>
      <c r="BG31" s="54">
        <f t="shared" si="153"/>
        <v>4091332.1278199428</v>
      </c>
      <c r="BH31" s="54">
        <f t="shared" si="153"/>
        <v>4121155.8788978984</v>
      </c>
      <c r="BI31" s="54">
        <f t="shared" si="153"/>
        <v>4139554.0141357575</v>
      </c>
      <c r="BJ31" s="54">
        <f t="shared" si="153"/>
        <v>4172656.8976204321</v>
      </c>
      <c r="BK31" s="54">
        <f t="shared" si="153"/>
        <v>4274466.0551929874</v>
      </c>
      <c r="BL31" s="54">
        <f t="shared" si="153"/>
        <v>4153478.292990224</v>
      </c>
      <c r="BM31" s="54">
        <f t="shared" si="153"/>
        <v>4272432.935646411</v>
      </c>
      <c r="BN31" s="54">
        <f t="shared" si="153"/>
        <v>4718343.4060899466</v>
      </c>
      <c r="BO31" s="54">
        <f t="shared" si="153"/>
        <v>4681325.0966205206</v>
      </c>
      <c r="BP31" s="54">
        <f t="shared" si="153"/>
        <v>4680679.0364915999</v>
      </c>
      <c r="BQ31" s="54">
        <f t="shared" si="153"/>
        <v>4682470.652190472</v>
      </c>
      <c r="BR31" s="54">
        <f t="shared" si="153"/>
        <v>4695850.3524065437</v>
      </c>
      <c r="BS31" s="54">
        <f t="shared" si="153"/>
        <v>4753429.5424295096</v>
      </c>
      <c r="BT31" s="54">
        <f t="shared" si="153"/>
        <v>4786732.3165929392</v>
      </c>
      <c r="BU31" s="54">
        <f t="shared" si="153"/>
        <v>4808636.5563121634</v>
      </c>
      <c r="BV31" s="54">
        <f t="shared" si="153"/>
        <v>4845396.3213863363</v>
      </c>
      <c r="BW31" s="54">
        <f t="shared" si="153"/>
        <v>4953045.5129041607</v>
      </c>
      <c r="BX31" s="8"/>
      <c r="BY31" s="54">
        <f>SUM(BY27:BY30)</f>
        <v>508537.16999999841</v>
      </c>
    </row>
    <row r="32" spans="1:77" ht="15" thickTop="1" x14ac:dyDescent="0.3">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row>
    <row r="33" spans="1:77" x14ac:dyDescent="0.3">
      <c r="B33" s="2" t="s">
        <v>245</v>
      </c>
      <c r="D33" s="55">
        <f>D31-'Financial Position Detail'!F14</f>
        <v>0</v>
      </c>
      <c r="E33" s="55">
        <f>E31-'Financial Position Detail'!G14</f>
        <v>0</v>
      </c>
      <c r="F33" s="55">
        <f>F31-'Financial Position Detail'!H14</f>
        <v>0</v>
      </c>
      <c r="G33" s="55">
        <f>G31-'Financial Position Detail'!I14</f>
        <v>0</v>
      </c>
      <c r="H33" s="55">
        <f>H31-'Financial Position Detail'!J14</f>
        <v>0</v>
      </c>
      <c r="I33" s="55">
        <f>I31-'Financial Position Detail'!K14</f>
        <v>0</v>
      </c>
      <c r="J33" s="55">
        <f>J31-'Financial Position Detail'!L14</f>
        <v>0</v>
      </c>
      <c r="K33" s="55">
        <f>K31-'Financial Position Detail'!M14</f>
        <v>0</v>
      </c>
      <c r="L33" s="55">
        <f>L31-'Financial Position Detail'!N14</f>
        <v>0</v>
      </c>
      <c r="M33" s="55">
        <f>M31-'Financial Position Detail'!O14</f>
        <v>0</v>
      </c>
      <c r="N33" s="55">
        <f>N31-'Financial Position Detail'!P14</f>
        <v>0</v>
      </c>
      <c r="O33" s="55">
        <f>O31-'Financial Position Detail'!Q14</f>
        <v>-1.1641532182693481E-9</v>
      </c>
      <c r="P33" s="55">
        <f>P31-'Financial Position Detail'!R14</f>
        <v>-3.0000001192092896E-2</v>
      </c>
      <c r="Q33" s="55">
        <f>Q31-'Financial Position Detail'!S14</f>
        <v>2.9999999154824764E-2</v>
      </c>
      <c r="R33" s="55">
        <f>R31-'Financial Position Detail'!T14</f>
        <v>-9.3132257461547852E-10</v>
      </c>
      <c r="S33" s="55">
        <f>S31-'Financial Position Detail'!U14</f>
        <v>0</v>
      </c>
      <c r="T33" s="55">
        <f>T31-'Financial Position Detail'!V14</f>
        <v>0</v>
      </c>
      <c r="U33" s="55">
        <f>U31-'Financial Position Detail'!W14</f>
        <v>0</v>
      </c>
      <c r="V33" s="55">
        <f>V31-'Financial Position Detail'!X14</f>
        <v>-9.3132257461547852E-10</v>
      </c>
      <c r="W33" s="55">
        <f>W31-'Financial Position Detail'!Y14</f>
        <v>-1.9790604710578918E-9</v>
      </c>
      <c r="X33" s="55">
        <f>X31-'Financial Position Detail'!Z14</f>
        <v>-1.7462298274040222E-9</v>
      </c>
      <c r="Y33" s="55">
        <f>Y31-'Financial Position Detail'!AA14</f>
        <v>-1.3969838619232178E-9</v>
      </c>
      <c r="Z33" s="55">
        <f>Z31-'Financial Position Detail'!AB14</f>
        <v>-1.6880221664905548E-9</v>
      </c>
      <c r="AA33" s="55">
        <f>AA31-'Financial Position Detail'!AC14</f>
        <v>0</v>
      </c>
      <c r="AB33" s="55">
        <f>AB31-'Financial Position Detail'!AD14</f>
        <v>0</v>
      </c>
      <c r="AC33" s="55">
        <f>AC31-'Financial Position Detail'!AE14</f>
        <v>0</v>
      </c>
      <c r="AD33" s="55">
        <f>AD31-'Financial Position Detail'!AF14</f>
        <v>0</v>
      </c>
      <c r="AE33" s="55">
        <f>AE31-'Financial Position Detail'!AG14</f>
        <v>0</v>
      </c>
      <c r="AF33" s="55">
        <f>AF31-'Financial Position Detail'!AH14</f>
        <v>0</v>
      </c>
      <c r="AG33" s="55">
        <f>AG31-'Financial Position Detail'!AI14</f>
        <v>0</v>
      </c>
      <c r="AH33" s="55">
        <f>AH31-'Financial Position Detail'!AJ14</f>
        <v>0</v>
      </c>
      <c r="AI33" s="55">
        <f>AI31-'Financial Position Detail'!AK14</f>
        <v>0</v>
      </c>
      <c r="AJ33" s="55">
        <f>AJ31-'Financial Position Detail'!AL14</f>
        <v>0</v>
      </c>
      <c r="AK33" s="55">
        <f>AK31-'Financial Position Detail'!AM14</f>
        <v>0</v>
      </c>
      <c r="AL33" s="55">
        <f>AL31-'Financial Position Detail'!AN14</f>
        <v>0</v>
      </c>
      <c r="AM33" s="55">
        <f>AM31-'Financial Position Detail'!AO14</f>
        <v>0</v>
      </c>
      <c r="AN33" s="55">
        <f>AN31-'Financial Position Detail'!AP14</f>
        <v>0</v>
      </c>
      <c r="AO33" s="55">
        <f>AO31-'Financial Position Detail'!AQ14</f>
        <v>0</v>
      </c>
      <c r="AP33" s="55">
        <f>AP31-'Financial Position Detail'!AR14</f>
        <v>0</v>
      </c>
      <c r="AQ33" s="55">
        <f>AQ31-'Financial Position Detail'!AS14</f>
        <v>0</v>
      </c>
      <c r="AR33" s="55">
        <f>AR31-'Financial Position Detail'!AT14</f>
        <v>0</v>
      </c>
      <c r="AS33" s="55">
        <f>AS31-'Financial Position Detail'!AU14</f>
        <v>0</v>
      </c>
      <c r="AT33" s="55">
        <f>AT31-'Financial Position Detail'!AV14</f>
        <v>0</v>
      </c>
      <c r="AU33" s="55">
        <f>AU31-'Financial Position Detail'!AW14</f>
        <v>0</v>
      </c>
      <c r="AV33" s="55">
        <f>AV31-'Financial Position Detail'!AX14</f>
        <v>0</v>
      </c>
      <c r="AW33" s="55">
        <f>AW31-'Financial Position Detail'!AY14</f>
        <v>0</v>
      </c>
      <c r="AX33" s="55">
        <f>AX31-'Financial Position Detail'!AZ14</f>
        <v>0</v>
      </c>
      <c r="AY33" s="55">
        <f>AY31-'Financial Position Detail'!BA14</f>
        <v>0</v>
      </c>
      <c r="AZ33" s="55">
        <f>AZ31-'Financial Position Detail'!BB14</f>
        <v>0</v>
      </c>
      <c r="BA33" s="55">
        <f>BA31-'Financial Position Detail'!BC14</f>
        <v>0</v>
      </c>
      <c r="BB33" s="55">
        <f>BB31-'Financial Position Detail'!BD14</f>
        <v>0</v>
      </c>
      <c r="BC33" s="55">
        <f>BC31-'Financial Position Detail'!BE14</f>
        <v>0</v>
      </c>
      <c r="BD33" s="55">
        <f>BD31-'Financial Position Detail'!BF14</f>
        <v>0</v>
      </c>
      <c r="BE33" s="55">
        <f>BE31-'Financial Position Detail'!BG14</f>
        <v>0</v>
      </c>
      <c r="BF33" s="55">
        <f>BF31-'Financial Position Detail'!BH14</f>
        <v>0</v>
      </c>
      <c r="BG33" s="55">
        <f>BG31-'Financial Position Detail'!BI14</f>
        <v>0</v>
      </c>
      <c r="BH33" s="55">
        <f>BH31-'Financial Position Detail'!BJ14</f>
        <v>0</v>
      </c>
      <c r="BI33" s="55">
        <f>BI31-'Financial Position Detail'!BK14</f>
        <v>0</v>
      </c>
      <c r="BJ33" s="55">
        <f>BJ31-'Financial Position Detail'!BL14</f>
        <v>0</v>
      </c>
      <c r="BK33" s="55">
        <f>BK31-'Financial Position Detail'!BM14</f>
        <v>0</v>
      </c>
      <c r="BL33" s="55">
        <f>BL31-'Financial Position Detail'!BN14</f>
        <v>0</v>
      </c>
      <c r="BM33" s="55">
        <f>BM31-'Financial Position Detail'!BO14</f>
        <v>0</v>
      </c>
      <c r="BN33" s="55">
        <f>BN31-'Financial Position Detail'!BP14</f>
        <v>0</v>
      </c>
      <c r="BO33" s="55">
        <f>BO31-'Financial Position Detail'!BQ14</f>
        <v>0</v>
      </c>
      <c r="BP33" s="55">
        <f>BP31-'Financial Position Detail'!BR14</f>
        <v>0</v>
      </c>
      <c r="BQ33" s="55">
        <f>BQ31-'Financial Position Detail'!BS14</f>
        <v>0</v>
      </c>
      <c r="BR33" s="55">
        <f>BR31-'Financial Position Detail'!BT14</f>
        <v>0</v>
      </c>
      <c r="BS33" s="55">
        <f>BS31-'Financial Position Detail'!BU14</f>
        <v>0</v>
      </c>
      <c r="BT33" s="55">
        <f>BT31-'Financial Position Detail'!BV14</f>
        <v>0</v>
      </c>
      <c r="BU33" s="55">
        <f>BU31-'Financial Position Detail'!BW14</f>
        <v>0</v>
      </c>
      <c r="BV33" s="55">
        <f>BV31-'Financial Position Detail'!BX14</f>
        <v>0</v>
      </c>
      <c r="BW33" s="55">
        <f>BW31-'Financial Position Detail'!BY14</f>
        <v>0</v>
      </c>
      <c r="BX33" s="8"/>
      <c r="BY33" s="55">
        <f>BY31-SUMIF('Financial Position Detail'!$A$88:$DM$88,1,'Financial Position Detail'!$A$14:$DM$14)</f>
        <v>-1.57160684466362E-9</v>
      </c>
    </row>
    <row r="34" spans="1:77" x14ac:dyDescent="0.3">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row>
    <row r="35" spans="1:77" x14ac:dyDescent="0.3">
      <c r="A35" s="20" t="s">
        <v>131</v>
      </c>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row>
    <row r="36" spans="1:77" x14ac:dyDescent="0.3">
      <c r="A36" t="s">
        <v>121</v>
      </c>
      <c r="D36" s="6">
        <f>IF(D$5=Support!$A$17,1,0)</f>
        <v>0</v>
      </c>
      <c r="E36" s="6">
        <f>IF(E$5=Support!$A$17,1,0)</f>
        <v>0</v>
      </c>
      <c r="F36" s="6">
        <f>IF(F$5=Support!$A$17,1,0)</f>
        <v>0</v>
      </c>
      <c r="G36" s="6">
        <f>IF(G$5=Support!$A$17,1,0)</f>
        <v>0</v>
      </c>
      <c r="H36" s="6">
        <f>IF(H$5=Support!$A$17,1,0)</f>
        <v>0</v>
      </c>
      <c r="I36" s="6">
        <f>IF(I$5=Support!$A$17,1,0)</f>
        <v>0</v>
      </c>
      <c r="J36" s="6">
        <f>IF(J$5=Support!$A$17,1,0)</f>
        <v>0</v>
      </c>
      <c r="K36" s="6">
        <f>IF(K$5=Support!$A$17,1,0)</f>
        <v>0</v>
      </c>
      <c r="L36" s="6">
        <f>IF(L$5=Support!$A$17,1,0)</f>
        <v>0</v>
      </c>
      <c r="M36" s="6">
        <f>IF(M$5=Support!$A$17,1,0)</f>
        <v>0</v>
      </c>
      <c r="N36" s="6">
        <f>IF(N$5=Support!$A$17,1,0)</f>
        <v>0</v>
      </c>
      <c r="O36" s="6">
        <f>IF(O$5=Support!$A$17,1,0)</f>
        <v>0</v>
      </c>
      <c r="P36" s="6">
        <f>IF(P$5=Support!$A$17,1,0)</f>
        <v>0</v>
      </c>
      <c r="Q36" s="6">
        <f>IF(Q$5=Support!$A$17,1,0)</f>
        <v>0</v>
      </c>
      <c r="R36" s="6">
        <f>IF(R$5=Support!$A$17,1,0)</f>
        <v>0</v>
      </c>
      <c r="S36" s="6">
        <f>IF(S$5=Support!$A$17,1,0)</f>
        <v>0</v>
      </c>
      <c r="T36" s="6">
        <f>IF(T$5=Support!$A$17,1,0)</f>
        <v>0</v>
      </c>
      <c r="U36" s="6">
        <f>IF(U$5=Support!$A$17,1,0)</f>
        <v>0</v>
      </c>
      <c r="V36" s="6">
        <f>IF(V$5=Support!$A$17,1,0)</f>
        <v>0</v>
      </c>
      <c r="W36" s="6">
        <f>IF(W$5=Support!$A$17,1,0)</f>
        <v>0</v>
      </c>
      <c r="X36" s="6">
        <f>IF(X$5=Support!$A$17,1,0)</f>
        <v>0</v>
      </c>
      <c r="Y36" s="6">
        <f>IF(Y$5=Support!$A$17,1,0)</f>
        <v>0</v>
      </c>
      <c r="Z36" s="6">
        <f>IF(Z$5=Support!$A$17,1,0)</f>
        <v>1</v>
      </c>
      <c r="AA36" s="6">
        <f>IF(AA$5=Support!$A$17,1,0)</f>
        <v>0</v>
      </c>
      <c r="AB36" s="6">
        <f>IF(AB$5=Support!$A$17,1,0)</f>
        <v>0</v>
      </c>
      <c r="AC36" s="6">
        <f>IF(AC$5=Support!$A$17,1,0)</f>
        <v>0</v>
      </c>
      <c r="AD36" s="6">
        <f>IF(AD$5=Support!$A$17,1,0)</f>
        <v>0</v>
      </c>
      <c r="AE36" s="6">
        <f>IF(AE$5=Support!$A$17,1,0)</f>
        <v>0</v>
      </c>
      <c r="AF36" s="6">
        <f>IF(AF$5=Support!$A$17,1,0)</f>
        <v>0</v>
      </c>
      <c r="AG36" s="6">
        <f>IF(AG$5=Support!$A$17,1,0)</f>
        <v>0</v>
      </c>
      <c r="AH36" s="6">
        <f>IF(AH$5=Support!$A$17,1,0)</f>
        <v>0</v>
      </c>
      <c r="AI36" s="6">
        <f>IF(AI$5=Support!$A$17,1,0)</f>
        <v>0</v>
      </c>
      <c r="AJ36" s="6">
        <f>IF(AJ$5=Support!$A$17,1,0)</f>
        <v>0</v>
      </c>
      <c r="AK36" s="6">
        <f>IF(AK$5=Support!$A$17,1,0)</f>
        <v>0</v>
      </c>
      <c r="AL36" s="6">
        <f>IF(AL$5=Support!$A$17,1,0)</f>
        <v>0</v>
      </c>
      <c r="AM36" s="6">
        <f>IF(AM$5=Support!$A$17,1,0)</f>
        <v>0</v>
      </c>
      <c r="AN36" s="6">
        <f>IF(AN$5=Support!$A$17,1,0)</f>
        <v>0</v>
      </c>
      <c r="AO36" s="6">
        <f>IF(AO$5=Support!$A$17,1,0)</f>
        <v>0</v>
      </c>
      <c r="AP36" s="6">
        <f>IF(AP$5=Support!$A$17,1,0)</f>
        <v>0</v>
      </c>
      <c r="AQ36" s="6">
        <f>IF(AQ$5=Support!$A$17,1,0)</f>
        <v>0</v>
      </c>
      <c r="AR36" s="6">
        <f>IF(AR$5=Support!$A$17,1,0)</f>
        <v>0</v>
      </c>
      <c r="AS36" s="6">
        <f>IF(AS$5=Support!$A$17,1,0)</f>
        <v>0</v>
      </c>
      <c r="AT36" s="6">
        <f>IF(AT$5=Support!$A$17,1,0)</f>
        <v>0</v>
      </c>
      <c r="AU36" s="6">
        <f>IF(AU$5=Support!$A$17,1,0)</f>
        <v>0</v>
      </c>
      <c r="AV36" s="6">
        <f>IF(AV$5=Support!$A$17,1,0)</f>
        <v>0</v>
      </c>
      <c r="AW36" s="6">
        <f>IF(AW$5=Support!$A$17,1,0)</f>
        <v>0</v>
      </c>
      <c r="AX36" s="6">
        <f>IF(AX$5=Support!$A$17,1,0)</f>
        <v>0</v>
      </c>
      <c r="AY36" s="6">
        <f>IF(AY$5=Support!$A$17,1,0)</f>
        <v>0</v>
      </c>
      <c r="AZ36" s="6">
        <f>IF(AZ$5=Support!$A$17,1,0)</f>
        <v>0</v>
      </c>
      <c r="BA36" s="6">
        <f>IF(BA$5=Support!$A$17,1,0)</f>
        <v>0</v>
      </c>
      <c r="BB36" s="6">
        <f>IF(BB$5=Support!$A$17,1,0)</f>
        <v>0</v>
      </c>
      <c r="BC36" s="6">
        <f>IF(BC$5=Support!$A$17,1,0)</f>
        <v>0</v>
      </c>
      <c r="BD36" s="6">
        <f>IF(BD$5=Support!$A$17,1,0)</f>
        <v>0</v>
      </c>
      <c r="BE36" s="6">
        <f>IF(BE$5=Support!$A$17,1,0)</f>
        <v>0</v>
      </c>
      <c r="BF36" s="6">
        <f>IF(BF$5=Support!$A$17,1,0)</f>
        <v>0</v>
      </c>
      <c r="BG36" s="6">
        <f>IF(BG$5=Support!$A$17,1,0)</f>
        <v>0</v>
      </c>
      <c r="BH36" s="6">
        <f>IF(BH$5=Support!$A$17,1,0)</f>
        <v>0</v>
      </c>
      <c r="BI36" s="6">
        <f>IF(BI$5=Support!$A$17,1,0)</f>
        <v>0</v>
      </c>
      <c r="BJ36" s="6">
        <f>IF(BJ$5=Support!$A$17,1,0)</f>
        <v>0</v>
      </c>
      <c r="BK36" s="6">
        <f>IF(BK$5=Support!$A$17,1,0)</f>
        <v>0</v>
      </c>
      <c r="BL36" s="6">
        <f>IF(BL$5=Support!$A$17,1,0)</f>
        <v>0</v>
      </c>
      <c r="BM36" s="6">
        <f>IF(BM$5=Support!$A$17,1,0)</f>
        <v>0</v>
      </c>
      <c r="BN36" s="6">
        <f>IF(BN$5=Support!$A$17,1,0)</f>
        <v>0</v>
      </c>
      <c r="BO36" s="6">
        <f>IF(BO$5=Support!$A$17,1,0)</f>
        <v>0</v>
      </c>
      <c r="BP36" s="6">
        <f>IF(BP$5=Support!$A$17,1,0)</f>
        <v>0</v>
      </c>
      <c r="BQ36" s="6">
        <f>IF(BQ$5=Support!$A$17,1,0)</f>
        <v>0</v>
      </c>
      <c r="BR36" s="6">
        <f>IF(BR$5=Support!$A$17,1,0)</f>
        <v>0</v>
      </c>
      <c r="BS36" s="6">
        <f>IF(BS$5=Support!$A$17,1,0)</f>
        <v>0</v>
      </c>
      <c r="BT36" s="6">
        <f>IF(BT$5=Support!$A$17,1,0)</f>
        <v>0</v>
      </c>
      <c r="BU36" s="6">
        <f>IF(BU$5=Support!$A$17,1,0)</f>
        <v>0</v>
      </c>
      <c r="BV36" s="6">
        <f>IF(BV$5=Support!$A$17,1,0)</f>
        <v>0</v>
      </c>
      <c r="BW36" s="6">
        <f>IF(BW$5=Support!$A$17,1,0)</f>
        <v>0</v>
      </c>
      <c r="BX36" s="8"/>
      <c r="BY36" s="8"/>
    </row>
    <row r="37" spans="1:77" x14ac:dyDescent="0.3">
      <c r="A37" t="s">
        <v>153</v>
      </c>
      <c r="D37" s="6">
        <v>0</v>
      </c>
      <c r="E37" s="6">
        <v>0</v>
      </c>
      <c r="F37" s="6">
        <v>0</v>
      </c>
      <c r="G37" s="6">
        <v>0</v>
      </c>
      <c r="H37" s="6">
        <v>0</v>
      </c>
      <c r="I37" s="6">
        <v>0</v>
      </c>
      <c r="J37" s="6">
        <v>0</v>
      </c>
      <c r="K37" s="6">
        <v>0</v>
      </c>
      <c r="L37" s="6">
        <v>0</v>
      </c>
      <c r="M37" s="6">
        <v>0</v>
      </c>
      <c r="N37" s="6">
        <v>0</v>
      </c>
      <c r="O37" s="6">
        <v>0</v>
      </c>
      <c r="P37" s="6">
        <f>IF(P$5&lt;=Support!$A$17,1,0)</f>
        <v>1</v>
      </c>
      <c r="Q37" s="6">
        <f>IF(Q$5&lt;=Support!$A$17,1,0)</f>
        <v>1</v>
      </c>
      <c r="R37" s="6">
        <f>IF(R$5&lt;=Support!$A$17,1,0)</f>
        <v>1</v>
      </c>
      <c r="S37" s="6">
        <f>IF(S$5&lt;=Support!$A$17,1,0)</f>
        <v>1</v>
      </c>
      <c r="T37" s="6">
        <f>IF(T$5&lt;=Support!$A$17,1,0)</f>
        <v>1</v>
      </c>
      <c r="U37" s="6">
        <f>IF(U$5&lt;=Support!$A$17,1,0)</f>
        <v>1</v>
      </c>
      <c r="V37" s="6">
        <f>IF(V$5&lt;=Support!$A$17,1,0)</f>
        <v>1</v>
      </c>
      <c r="W37" s="6">
        <f>IF(W$5&lt;=Support!$A$17,1,0)</f>
        <v>1</v>
      </c>
      <c r="X37" s="6">
        <f>IF(X$5&lt;=Support!$A$17,1,0)</f>
        <v>1</v>
      </c>
      <c r="Y37" s="6">
        <f>IF(Y$5&lt;=Support!$A$17,1,0)</f>
        <v>1</v>
      </c>
      <c r="Z37" s="6">
        <f>IF(Z$5&lt;=Support!$A$17,1,0)</f>
        <v>1</v>
      </c>
      <c r="AA37" s="6">
        <f>IF(AA$5&lt;=Support!$A$17,1,0)</f>
        <v>0</v>
      </c>
      <c r="AB37" s="6">
        <f>IF(AB$5&lt;=Support!$A$17,1,0)</f>
        <v>0</v>
      </c>
      <c r="AC37" s="6">
        <f>IF(AC$5&lt;=Support!$A$17,1,0)</f>
        <v>0</v>
      </c>
      <c r="AD37" s="6">
        <f>IF(AD$5&lt;=Support!$A$17,1,0)</f>
        <v>0</v>
      </c>
      <c r="AE37" s="6">
        <f>IF(AE$5&lt;=Support!$A$17,1,0)</f>
        <v>0</v>
      </c>
      <c r="AF37" s="6">
        <f>IF(AF$5&lt;=Support!$A$17,1,0)</f>
        <v>0</v>
      </c>
      <c r="AG37" s="6">
        <f>IF(AG$5&lt;=Support!$A$17,1,0)</f>
        <v>0</v>
      </c>
      <c r="AH37" s="6">
        <f>IF(AH$5&lt;=Support!$A$17,1,0)</f>
        <v>0</v>
      </c>
      <c r="AI37" s="6">
        <f>IF(AI$5&lt;=Support!$A$17,1,0)</f>
        <v>0</v>
      </c>
      <c r="AJ37" s="6">
        <f>IF(AJ$5&lt;=Support!$A$17,1,0)</f>
        <v>0</v>
      </c>
      <c r="AK37" s="6">
        <f>IF(AK$5&lt;=Support!$A$17,1,0)</f>
        <v>0</v>
      </c>
      <c r="AL37" s="6">
        <f>IF(AL$5&lt;=Support!$A$17,1,0)</f>
        <v>0</v>
      </c>
      <c r="AM37" s="6">
        <f>IF(AM$5&lt;=Support!$A$17,1,0)</f>
        <v>0</v>
      </c>
      <c r="AN37" s="6">
        <f>IF(AN$5&lt;=Support!$A$17,1,0)</f>
        <v>0</v>
      </c>
      <c r="AO37" s="6">
        <f>IF(AO$5&lt;=Support!$A$17,1,0)</f>
        <v>0</v>
      </c>
      <c r="AP37" s="6">
        <f>IF(AP$5&lt;=Support!$A$17,1,0)</f>
        <v>0</v>
      </c>
      <c r="AQ37" s="6">
        <f>IF(AQ$5&lt;=Support!$A$17,1,0)</f>
        <v>0</v>
      </c>
      <c r="AR37" s="6">
        <f>IF(AR$5&lt;=Support!$A$17,1,0)</f>
        <v>0</v>
      </c>
      <c r="AS37" s="6">
        <f>IF(AS$5&lt;=Support!$A$17,1,0)</f>
        <v>0</v>
      </c>
      <c r="AT37" s="6">
        <f>IF(AT$5&lt;=Support!$A$17,1,0)</f>
        <v>0</v>
      </c>
      <c r="AU37" s="6">
        <f>IF(AU$5&lt;=Support!$A$17,1,0)</f>
        <v>0</v>
      </c>
      <c r="AV37" s="6">
        <f>IF(AV$5&lt;=Support!$A$17,1,0)</f>
        <v>0</v>
      </c>
      <c r="AW37" s="6">
        <f>IF(AW$5&lt;=Support!$A$17,1,0)</f>
        <v>0</v>
      </c>
      <c r="AX37" s="6">
        <f>IF(AX$5&lt;=Support!$A$17,1,0)</f>
        <v>0</v>
      </c>
      <c r="AY37" s="6">
        <f>IF(AY$5&lt;=Support!$A$17,1,0)</f>
        <v>0</v>
      </c>
      <c r="AZ37" s="6">
        <f>IF(AZ$5&lt;=Support!$A$17,1,0)</f>
        <v>0</v>
      </c>
      <c r="BA37" s="6">
        <f>IF(BA$5&lt;=Support!$A$17,1,0)</f>
        <v>0</v>
      </c>
      <c r="BB37" s="6">
        <f>IF(BB$5&lt;=Support!$A$17,1,0)</f>
        <v>0</v>
      </c>
      <c r="BC37" s="6">
        <f>IF(BC$5&lt;=Support!$A$17,1,0)</f>
        <v>0</v>
      </c>
      <c r="BD37" s="6">
        <f>IF(BD$5&lt;=Support!$A$17,1,0)</f>
        <v>0</v>
      </c>
      <c r="BE37" s="6">
        <f>IF(BE$5&lt;=Support!$A$17,1,0)</f>
        <v>0</v>
      </c>
      <c r="BF37" s="6">
        <f>IF(BF$5&lt;=Support!$A$17,1,0)</f>
        <v>0</v>
      </c>
      <c r="BG37" s="6">
        <f>IF(BG$5&lt;=Support!$A$17,1,0)</f>
        <v>0</v>
      </c>
      <c r="BH37" s="6">
        <f>IF(BH$5&lt;=Support!$A$17,1,0)</f>
        <v>0</v>
      </c>
      <c r="BI37" s="6">
        <f>IF(BI$5&lt;=Support!$A$17,1,0)</f>
        <v>0</v>
      </c>
      <c r="BJ37" s="6">
        <f>IF(BJ$5&lt;=Support!$A$17,1,0)</f>
        <v>0</v>
      </c>
      <c r="BK37" s="6">
        <f>IF(BK$5&lt;=Support!$A$17,1,0)</f>
        <v>0</v>
      </c>
      <c r="BL37" s="6">
        <f>IF(BL$5&lt;=Support!$A$17,1,0)</f>
        <v>0</v>
      </c>
      <c r="BM37" s="6">
        <f>IF(BM$5&lt;=Support!$A$17,1,0)</f>
        <v>0</v>
      </c>
      <c r="BN37" s="6">
        <f>IF(BN$5&lt;=Support!$A$17,1,0)</f>
        <v>0</v>
      </c>
      <c r="BO37" s="6">
        <f>IF(BO$5&lt;=Support!$A$17,1,0)</f>
        <v>0</v>
      </c>
      <c r="BP37" s="6">
        <f>IF(BP$5&lt;=Support!$A$17,1,0)</f>
        <v>0</v>
      </c>
      <c r="BQ37" s="6">
        <f>IF(BQ$5&lt;=Support!$A$17,1,0)</f>
        <v>0</v>
      </c>
      <c r="BR37" s="6">
        <f>IF(BR$5&lt;=Support!$A$17,1,0)</f>
        <v>0</v>
      </c>
      <c r="BS37" s="6">
        <f>IF(BS$5&lt;=Support!$A$17,1,0)</f>
        <v>0</v>
      </c>
      <c r="BT37" s="6">
        <f>IF(BT$5&lt;=Support!$A$17,1,0)</f>
        <v>0</v>
      </c>
      <c r="BU37" s="6">
        <f>IF(BU$5&lt;=Support!$A$17,1,0)</f>
        <v>0</v>
      </c>
      <c r="BV37" s="6">
        <f>IF(BV$5&lt;=Support!$A$17,1,0)</f>
        <v>0</v>
      </c>
      <c r="BW37" s="6">
        <f>IF(BW$5&lt;=Support!$A$17,1,0)</f>
        <v>0</v>
      </c>
      <c r="BX37" s="8"/>
      <c r="BY37" s="8"/>
    </row>
    <row r="38" spans="1:77" x14ac:dyDescent="0.3">
      <c r="A38" t="s">
        <v>155</v>
      </c>
      <c r="D38" s="32">
        <f>'DCS Detail'!E3</f>
        <v>2021</v>
      </c>
      <c r="E38" s="32">
        <f>'DCS Detail'!F3</f>
        <v>2021</v>
      </c>
      <c r="F38" s="32">
        <f>'DCS Detail'!G3</f>
        <v>2021</v>
      </c>
      <c r="G38" s="32">
        <f>'DCS Detail'!H3</f>
        <v>2021</v>
      </c>
      <c r="H38" s="32">
        <f>'DCS Detail'!I3</f>
        <v>2021</v>
      </c>
      <c r="I38" s="32">
        <f>'DCS Detail'!J3</f>
        <v>2021</v>
      </c>
      <c r="J38" s="32">
        <f>'DCS Detail'!K3</f>
        <v>2021</v>
      </c>
      <c r="K38" s="32">
        <f>'DCS Detail'!L3</f>
        <v>2021</v>
      </c>
      <c r="L38" s="32">
        <f>'DCS Detail'!M3</f>
        <v>2021</v>
      </c>
      <c r="M38" s="32">
        <f>'DCS Detail'!N3</f>
        <v>2021</v>
      </c>
      <c r="N38" s="32">
        <f>'DCS Detail'!O3</f>
        <v>2021</v>
      </c>
      <c r="O38" s="32">
        <f>'DCS Detail'!P3</f>
        <v>2021</v>
      </c>
      <c r="P38" s="32">
        <f>'DCS Detail'!Q3</f>
        <v>2022</v>
      </c>
      <c r="Q38" s="32">
        <f>'DCS Detail'!R3</f>
        <v>2022</v>
      </c>
      <c r="R38" s="32">
        <f>'DCS Detail'!S3</f>
        <v>2022</v>
      </c>
      <c r="S38" s="32">
        <f>'DCS Detail'!T3</f>
        <v>2022</v>
      </c>
      <c r="T38" s="32">
        <f>'DCS Detail'!U3</f>
        <v>2022</v>
      </c>
      <c r="U38" s="32">
        <f>'DCS Detail'!V3</f>
        <v>2022</v>
      </c>
      <c r="V38" s="32">
        <f>'DCS Detail'!W3</f>
        <v>2022</v>
      </c>
      <c r="W38" s="32">
        <f>'DCS Detail'!X3</f>
        <v>2022</v>
      </c>
      <c r="X38" s="32">
        <f>'DCS Detail'!Y3</f>
        <v>2022</v>
      </c>
      <c r="Y38" s="32">
        <f>'DCS Detail'!Z3</f>
        <v>2022</v>
      </c>
      <c r="Z38" s="32">
        <f>'DCS Detail'!AA3</f>
        <v>2022</v>
      </c>
      <c r="AA38" s="32">
        <f>'DCS Detail'!AB3</f>
        <v>2022</v>
      </c>
      <c r="AB38" s="32">
        <f>'DCS Detail'!AC3</f>
        <v>2023</v>
      </c>
      <c r="AC38" s="32">
        <f>'DCS Detail'!AD3</f>
        <v>2023</v>
      </c>
      <c r="AD38" s="32">
        <f>'DCS Detail'!AE3</f>
        <v>2023</v>
      </c>
      <c r="AE38" s="32">
        <f>'DCS Detail'!AF3</f>
        <v>2023</v>
      </c>
      <c r="AF38" s="32">
        <f>'DCS Detail'!AG3</f>
        <v>2023</v>
      </c>
      <c r="AG38" s="32">
        <f>'DCS Detail'!AH3</f>
        <v>2023</v>
      </c>
      <c r="AH38" s="32">
        <f>'DCS Detail'!AI3</f>
        <v>2023</v>
      </c>
      <c r="AI38" s="32">
        <f>'DCS Detail'!AJ3</f>
        <v>2023</v>
      </c>
      <c r="AJ38" s="32">
        <f>'DCS Detail'!AK3</f>
        <v>2023</v>
      </c>
      <c r="AK38" s="32">
        <f>'DCS Detail'!AL3</f>
        <v>2023</v>
      </c>
      <c r="AL38" s="32">
        <f>'DCS Detail'!AM3</f>
        <v>2023</v>
      </c>
      <c r="AM38" s="32">
        <f>'DCS Detail'!AN3</f>
        <v>2023</v>
      </c>
      <c r="AN38" s="32">
        <f>'DCS Detail'!AO3</f>
        <v>2024</v>
      </c>
      <c r="AO38" s="32">
        <f>'DCS Detail'!AP3</f>
        <v>2024</v>
      </c>
      <c r="AP38" s="32">
        <f>'DCS Detail'!AQ3</f>
        <v>2024</v>
      </c>
      <c r="AQ38" s="32">
        <f>'DCS Detail'!AR3</f>
        <v>2024</v>
      </c>
      <c r="AR38" s="32">
        <f>'DCS Detail'!AS3</f>
        <v>2024</v>
      </c>
      <c r="AS38" s="32">
        <f>'DCS Detail'!AT3</f>
        <v>2024</v>
      </c>
      <c r="AT38" s="32">
        <f>'DCS Detail'!AU3</f>
        <v>2024</v>
      </c>
      <c r="AU38" s="32">
        <f>'DCS Detail'!AV3</f>
        <v>2024</v>
      </c>
      <c r="AV38" s="32">
        <f>'DCS Detail'!AW3</f>
        <v>2024</v>
      </c>
      <c r="AW38" s="32">
        <f>'DCS Detail'!AX3</f>
        <v>2024</v>
      </c>
      <c r="AX38" s="32">
        <f>'DCS Detail'!AY3</f>
        <v>2024</v>
      </c>
      <c r="AY38" s="32">
        <f>'DCS Detail'!AZ3</f>
        <v>2024</v>
      </c>
      <c r="AZ38" s="32">
        <f>'DCS Detail'!BA3</f>
        <v>2025</v>
      </c>
      <c r="BA38" s="32">
        <f>'DCS Detail'!BB3</f>
        <v>2025</v>
      </c>
      <c r="BB38" s="32">
        <f>'DCS Detail'!BC3</f>
        <v>2025</v>
      </c>
      <c r="BC38" s="32">
        <f>'DCS Detail'!BD3</f>
        <v>2025</v>
      </c>
      <c r="BD38" s="32">
        <f>'DCS Detail'!BE3</f>
        <v>2025</v>
      </c>
      <c r="BE38" s="32">
        <f>'DCS Detail'!BF3</f>
        <v>2025</v>
      </c>
      <c r="BF38" s="32">
        <f>'DCS Detail'!BG3</f>
        <v>2025</v>
      </c>
      <c r="BG38" s="32">
        <f>'DCS Detail'!BH3</f>
        <v>2025</v>
      </c>
      <c r="BH38" s="32">
        <f>'DCS Detail'!BI3</f>
        <v>2025</v>
      </c>
      <c r="BI38" s="32">
        <f>'DCS Detail'!BJ3</f>
        <v>2025</v>
      </c>
      <c r="BJ38" s="32">
        <f>'DCS Detail'!BK3</f>
        <v>2025</v>
      </c>
      <c r="BK38" s="32">
        <f>'DCS Detail'!BL3</f>
        <v>2025</v>
      </c>
      <c r="BL38" s="32">
        <f>'DCS Detail'!BM3</f>
        <v>2026</v>
      </c>
      <c r="BM38" s="32">
        <f>'DCS Detail'!BN3</f>
        <v>2026</v>
      </c>
      <c r="BN38" s="32">
        <f>'DCS Detail'!BO3</f>
        <v>2026</v>
      </c>
      <c r="BO38" s="32">
        <f>'DCS Detail'!BP3</f>
        <v>2026</v>
      </c>
      <c r="BP38" s="32">
        <f>'DCS Detail'!BQ3</f>
        <v>2026</v>
      </c>
      <c r="BQ38" s="32">
        <f>'DCS Detail'!BR3</f>
        <v>2026</v>
      </c>
      <c r="BR38" s="32">
        <f>'DCS Detail'!BS3</f>
        <v>2026</v>
      </c>
      <c r="BS38" s="32">
        <f>'DCS Detail'!BT3</f>
        <v>2026</v>
      </c>
      <c r="BT38" s="32">
        <f>'DCS Detail'!BU3</f>
        <v>2026</v>
      </c>
      <c r="BU38" s="32">
        <f>'DCS Detail'!BV3</f>
        <v>2026</v>
      </c>
      <c r="BV38" s="32">
        <f>'DCS Detail'!BW3</f>
        <v>2026</v>
      </c>
      <c r="BW38" s="32">
        <f>'DCS Detail'!BX3</f>
        <v>2026</v>
      </c>
      <c r="BX38" s="8"/>
      <c r="BY38" s="8"/>
    </row>
    <row r="40" spans="1:77" x14ac:dyDescent="0.3">
      <c r="A40" s="1" t="s">
        <v>425</v>
      </c>
      <c r="D40" s="8"/>
    </row>
    <row r="41" spans="1:77" x14ac:dyDescent="0.3">
      <c r="B41" t="s">
        <v>428</v>
      </c>
      <c r="D41" s="8"/>
      <c r="AB41" s="433">
        <f>8900000</f>
        <v>8900000</v>
      </c>
      <c r="AC41" s="433">
        <v>0</v>
      </c>
      <c r="AD41" s="433">
        <v>0</v>
      </c>
      <c r="AE41" s="433">
        <f>7975000*(AE44/854547.13)</f>
        <v>0</v>
      </c>
      <c r="AF41" s="433">
        <f t="shared" ref="AF41:AQ41" si="154">7975000*(AF44/854547.13)</f>
        <v>0</v>
      </c>
      <c r="AG41" s="433">
        <f t="shared" si="154"/>
        <v>726667.14624120761</v>
      </c>
      <c r="AH41" s="433">
        <f t="shared" si="154"/>
        <v>726667.14624120761</v>
      </c>
      <c r="AI41" s="433">
        <f t="shared" si="154"/>
        <v>726667.14624120761</v>
      </c>
      <c r="AJ41" s="433">
        <f t="shared" si="154"/>
        <v>726667.14624120761</v>
      </c>
      <c r="AK41" s="433">
        <f t="shared" si="154"/>
        <v>726667.14624120761</v>
      </c>
      <c r="AL41" s="433">
        <f t="shared" si="154"/>
        <v>726667.14624120761</v>
      </c>
      <c r="AM41" s="433">
        <f t="shared" si="154"/>
        <v>726667.14624120761</v>
      </c>
      <c r="AN41" s="433">
        <f t="shared" si="154"/>
        <v>722082.49407788657</v>
      </c>
      <c r="AO41" s="433">
        <f t="shared" si="154"/>
        <v>722082.49407788657</v>
      </c>
      <c r="AP41" s="433">
        <f t="shared" si="154"/>
        <v>722082.49407788657</v>
      </c>
      <c r="AQ41" s="433">
        <f t="shared" si="154"/>
        <v>722082.49407788657</v>
      </c>
      <c r="AR41" s="433">
        <v>0</v>
      </c>
      <c r="AS41" s="433">
        <v>0</v>
      </c>
      <c r="AT41" s="433">
        <v>0</v>
      </c>
      <c r="AU41" s="433">
        <v>0</v>
      </c>
      <c r="AV41" s="433">
        <v>0</v>
      </c>
      <c r="AW41" s="433">
        <v>0</v>
      </c>
      <c r="AX41" s="433">
        <v>0</v>
      </c>
      <c r="AY41" s="433">
        <v>0</v>
      </c>
      <c r="AZ41" s="433">
        <v>0</v>
      </c>
      <c r="BA41" s="433">
        <v>0</v>
      </c>
      <c r="BB41" s="433">
        <v>0</v>
      </c>
      <c r="BC41" s="433">
        <v>0</v>
      </c>
      <c r="BD41" s="433">
        <v>0</v>
      </c>
      <c r="BE41" s="433">
        <v>0</v>
      </c>
      <c r="BF41" s="433">
        <v>0</v>
      </c>
      <c r="BG41" s="433">
        <v>0</v>
      </c>
      <c r="BH41" s="433">
        <v>0</v>
      </c>
      <c r="BI41" s="433">
        <v>0</v>
      </c>
      <c r="BJ41" s="433">
        <v>0</v>
      </c>
      <c r="BK41" s="433">
        <v>0</v>
      </c>
      <c r="BL41" s="433">
        <v>0</v>
      </c>
      <c r="BM41" s="433">
        <v>0</v>
      </c>
      <c r="BN41" s="433">
        <v>0</v>
      </c>
      <c r="BO41" s="433">
        <v>0</v>
      </c>
      <c r="BP41" s="433">
        <v>0</v>
      </c>
      <c r="BQ41" s="433">
        <v>0</v>
      </c>
      <c r="BR41" s="433">
        <v>0</v>
      </c>
      <c r="BS41" s="433">
        <v>0</v>
      </c>
      <c r="BT41" s="433">
        <v>0</v>
      </c>
      <c r="BU41" s="433">
        <v>0</v>
      </c>
      <c r="BV41" s="433">
        <v>0</v>
      </c>
      <c r="BW41" s="433">
        <v>0</v>
      </c>
    </row>
    <row r="42" spans="1:77" x14ac:dyDescent="0.3">
      <c r="B42" t="s">
        <v>429</v>
      </c>
      <c r="D42" s="8"/>
      <c r="AB42" s="433">
        <v>1444750</v>
      </c>
      <c r="AC42" s="433">
        <v>0</v>
      </c>
      <c r="AD42" s="433">
        <v>0</v>
      </c>
      <c r="AE42" s="433">
        <v>0</v>
      </c>
      <c r="AF42" s="433">
        <v>0</v>
      </c>
      <c r="AG42" s="433">
        <v>0</v>
      </c>
      <c r="AH42" s="433">
        <v>0</v>
      </c>
      <c r="AI42" s="433">
        <v>0</v>
      </c>
      <c r="AJ42" s="433">
        <v>0</v>
      </c>
      <c r="AK42" s="433">
        <v>0</v>
      </c>
      <c r="AL42" s="433">
        <v>0</v>
      </c>
      <c r="AM42" s="433">
        <v>0</v>
      </c>
      <c r="AN42" s="433">
        <v>0</v>
      </c>
      <c r="AO42" s="433">
        <v>0</v>
      </c>
      <c r="AP42" s="433">
        <v>0</v>
      </c>
      <c r="AQ42" s="433">
        <v>0</v>
      </c>
      <c r="AR42" s="433">
        <v>0</v>
      </c>
      <c r="AS42" s="433">
        <v>0</v>
      </c>
      <c r="AT42" s="433">
        <v>0</v>
      </c>
      <c r="AU42" s="433">
        <v>0</v>
      </c>
      <c r="AV42" s="433">
        <v>0</v>
      </c>
      <c r="AW42" s="433">
        <v>0</v>
      </c>
      <c r="AX42" s="433">
        <v>0</v>
      </c>
      <c r="AY42" s="433">
        <v>0</v>
      </c>
      <c r="AZ42" s="433">
        <v>0</v>
      </c>
      <c r="BA42" s="433">
        <v>0</v>
      </c>
      <c r="BB42" s="433">
        <v>0</v>
      </c>
      <c r="BC42" s="433">
        <v>0</v>
      </c>
      <c r="BD42" s="433">
        <v>0</v>
      </c>
      <c r="BE42" s="433">
        <v>0</v>
      </c>
      <c r="BF42" s="433">
        <v>0</v>
      </c>
      <c r="BG42" s="433">
        <v>0</v>
      </c>
      <c r="BH42" s="433">
        <v>0</v>
      </c>
      <c r="BI42" s="433">
        <v>0</v>
      </c>
      <c r="BJ42" s="433">
        <v>0</v>
      </c>
      <c r="BK42" s="433">
        <v>0</v>
      </c>
      <c r="BL42" s="433">
        <v>0</v>
      </c>
      <c r="BM42" s="433">
        <v>0</v>
      </c>
      <c r="BN42" s="433">
        <v>0</v>
      </c>
      <c r="BO42" s="433">
        <v>0</v>
      </c>
      <c r="BP42" s="433">
        <v>0</v>
      </c>
      <c r="BQ42" s="433">
        <v>0</v>
      </c>
      <c r="BR42" s="433">
        <v>0</v>
      </c>
      <c r="BS42" s="433">
        <v>0</v>
      </c>
      <c r="BT42" s="433">
        <v>0</v>
      </c>
      <c r="BU42" s="433">
        <v>0</v>
      </c>
      <c r="BV42" s="433">
        <v>0</v>
      </c>
      <c r="BW42" s="433">
        <v>0</v>
      </c>
    </row>
    <row r="43" spans="1:77" x14ac:dyDescent="0.3">
      <c r="B43" t="s">
        <v>426</v>
      </c>
      <c r="D43" s="8"/>
      <c r="AB43" s="433">
        <f>975702.870000003</f>
        <v>975702.87000000302</v>
      </c>
      <c r="AC43" s="433">
        <v>0</v>
      </c>
      <c r="AD43" s="433">
        <v>0</v>
      </c>
      <c r="AE43" s="433">
        <v>0</v>
      </c>
      <c r="AF43" s="433">
        <v>0</v>
      </c>
      <c r="AG43" s="433">
        <v>0</v>
      </c>
      <c r="AH43" s="433">
        <v>0</v>
      </c>
      <c r="AI43" s="433">
        <v>0</v>
      </c>
      <c r="AJ43" s="433">
        <v>0</v>
      </c>
      <c r="AK43" s="433">
        <v>0</v>
      </c>
      <c r="AL43" s="433">
        <v>0</v>
      </c>
      <c r="AM43" s="433">
        <v>0</v>
      </c>
      <c r="AN43" s="433">
        <v>0</v>
      </c>
      <c r="AO43" s="433">
        <v>0</v>
      </c>
      <c r="AP43" s="433">
        <v>0</v>
      </c>
      <c r="AQ43" s="433">
        <v>0</v>
      </c>
      <c r="AR43" s="433">
        <v>0</v>
      </c>
      <c r="AS43" s="433">
        <v>0</v>
      </c>
      <c r="AT43" s="433">
        <v>0</v>
      </c>
      <c r="AU43" s="433">
        <v>0</v>
      </c>
      <c r="AV43" s="433">
        <v>0</v>
      </c>
      <c r="AW43" s="433">
        <v>0</v>
      </c>
      <c r="AX43" s="433">
        <v>0</v>
      </c>
      <c r="AY43" s="433">
        <v>0</v>
      </c>
      <c r="AZ43" s="433">
        <v>0</v>
      </c>
      <c r="BA43" s="433">
        <v>0</v>
      </c>
      <c r="BB43" s="433">
        <v>0</v>
      </c>
      <c r="BC43" s="433">
        <v>0</v>
      </c>
      <c r="BD43" s="433">
        <v>0</v>
      </c>
      <c r="BE43" s="433">
        <v>0</v>
      </c>
      <c r="BF43" s="433">
        <v>0</v>
      </c>
      <c r="BG43" s="433">
        <v>0</v>
      </c>
      <c r="BH43" s="433">
        <v>0</v>
      </c>
      <c r="BI43" s="433">
        <v>0</v>
      </c>
      <c r="BJ43" s="433">
        <v>0</v>
      </c>
      <c r="BK43" s="433">
        <v>0</v>
      </c>
      <c r="BL43" s="433">
        <v>0</v>
      </c>
      <c r="BM43" s="433">
        <v>0</v>
      </c>
      <c r="BN43" s="433">
        <v>0</v>
      </c>
      <c r="BO43" s="433">
        <v>0</v>
      </c>
      <c r="BP43" s="433">
        <v>0</v>
      </c>
      <c r="BQ43" s="433">
        <v>0</v>
      </c>
      <c r="BR43" s="433">
        <v>0</v>
      </c>
      <c r="BS43" s="433">
        <v>0</v>
      </c>
      <c r="BT43" s="433">
        <v>0</v>
      </c>
      <c r="BU43" s="433">
        <v>0</v>
      </c>
      <c r="BV43" s="433">
        <v>0</v>
      </c>
      <c r="BW43" s="433">
        <v>0</v>
      </c>
    </row>
    <row r="44" spans="1:77" x14ac:dyDescent="0.3">
      <c r="B44" t="s">
        <v>424</v>
      </c>
      <c r="D44" s="8"/>
      <c r="AB44" s="433">
        <v>0</v>
      </c>
      <c r="AC44" s="433">
        <v>0</v>
      </c>
      <c r="AD44" s="433">
        <v>0</v>
      </c>
      <c r="AE44" s="433">
        <v>0</v>
      </c>
      <c r="AF44" s="433">
        <v>0</v>
      </c>
      <c r="AG44" s="433">
        <f t="shared" ref="AG44:AM44" si="155">545053.2/7</f>
        <v>77864.742857142846</v>
      </c>
      <c r="AH44" s="433">
        <f t="shared" si="155"/>
        <v>77864.742857142846</v>
      </c>
      <c r="AI44" s="433">
        <f t="shared" si="155"/>
        <v>77864.742857142846</v>
      </c>
      <c r="AJ44" s="433">
        <f t="shared" si="155"/>
        <v>77864.742857142846</v>
      </c>
      <c r="AK44" s="433">
        <f t="shared" si="155"/>
        <v>77864.742857142846</v>
      </c>
      <c r="AL44" s="433">
        <f t="shared" si="155"/>
        <v>77864.742857142846</v>
      </c>
      <c r="AM44" s="433">
        <f t="shared" si="155"/>
        <v>77864.742857142846</v>
      </c>
      <c r="AN44" s="433">
        <f>309493.93/4</f>
        <v>77373.482499999998</v>
      </c>
      <c r="AO44" s="433">
        <f>309493.93/4</f>
        <v>77373.482499999998</v>
      </c>
      <c r="AP44" s="433">
        <f>309493.93/4</f>
        <v>77373.482499999998</v>
      </c>
      <c r="AQ44" s="433">
        <f>309493.93/4</f>
        <v>77373.482499999998</v>
      </c>
      <c r="AR44" s="433">
        <v>0</v>
      </c>
      <c r="AS44" s="433">
        <v>0</v>
      </c>
      <c r="AT44" s="433">
        <v>0</v>
      </c>
      <c r="AU44" s="433">
        <v>0</v>
      </c>
      <c r="AV44" s="433">
        <v>0</v>
      </c>
      <c r="AW44" s="433">
        <v>0</v>
      </c>
      <c r="AX44" s="433">
        <v>0</v>
      </c>
      <c r="AY44" s="433">
        <v>0</v>
      </c>
      <c r="AZ44" s="433">
        <v>0</v>
      </c>
      <c r="BA44" s="433">
        <v>0</v>
      </c>
      <c r="BB44" s="433">
        <v>0</v>
      </c>
      <c r="BC44" s="433">
        <v>0</v>
      </c>
      <c r="BD44" s="433">
        <v>0</v>
      </c>
      <c r="BE44" s="433">
        <v>0</v>
      </c>
      <c r="BF44" s="433">
        <v>0</v>
      </c>
      <c r="BG44" s="433">
        <v>0</v>
      </c>
      <c r="BH44" s="433">
        <v>0</v>
      </c>
      <c r="BI44" s="433">
        <v>0</v>
      </c>
      <c r="BJ44" s="433">
        <v>0</v>
      </c>
      <c r="BK44" s="433">
        <v>0</v>
      </c>
      <c r="BL44" s="433">
        <v>0</v>
      </c>
      <c r="BM44" s="433">
        <v>0</v>
      </c>
      <c r="BN44" s="433">
        <v>0</v>
      </c>
      <c r="BO44" s="433">
        <v>0</v>
      </c>
      <c r="BP44" s="433">
        <v>0</v>
      </c>
      <c r="BQ44" s="433">
        <v>0</v>
      </c>
      <c r="BR44" s="433">
        <v>0</v>
      </c>
      <c r="BS44" s="433">
        <v>0</v>
      </c>
      <c r="BT44" s="433">
        <v>0</v>
      </c>
      <c r="BU44" s="433">
        <v>0</v>
      </c>
      <c r="BV44" s="433">
        <v>0</v>
      </c>
      <c r="BW44" s="433">
        <v>0</v>
      </c>
    </row>
    <row r="45" spans="1:77" ht="3" customHeight="1" x14ac:dyDescent="0.3">
      <c r="D45" s="8"/>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row>
    <row r="46" spans="1:77" x14ac:dyDescent="0.3">
      <c r="A46" s="1" t="s">
        <v>364</v>
      </c>
      <c r="D46" s="8"/>
      <c r="AB46" s="435">
        <f>SUM(AB41:AB45)</f>
        <v>11320452.870000003</v>
      </c>
      <c r="AC46" s="435">
        <f t="shared" ref="AC46:BW46" si="156">SUM(AC41:AC45)</f>
        <v>0</v>
      </c>
      <c r="AD46" s="435">
        <f t="shared" si="156"/>
        <v>0</v>
      </c>
      <c r="AE46" s="435">
        <f t="shared" si="156"/>
        <v>0</v>
      </c>
      <c r="AF46" s="435">
        <f t="shared" si="156"/>
        <v>0</v>
      </c>
      <c r="AG46" s="435">
        <f t="shared" si="156"/>
        <v>804531.88909835042</v>
      </c>
      <c r="AH46" s="435">
        <f t="shared" si="156"/>
        <v>804531.88909835042</v>
      </c>
      <c r="AI46" s="435">
        <f t="shared" si="156"/>
        <v>804531.88909835042</v>
      </c>
      <c r="AJ46" s="435">
        <f t="shared" si="156"/>
        <v>804531.88909835042</v>
      </c>
      <c r="AK46" s="435">
        <f t="shared" si="156"/>
        <v>804531.88909835042</v>
      </c>
      <c r="AL46" s="435">
        <f t="shared" si="156"/>
        <v>804531.88909835042</v>
      </c>
      <c r="AM46" s="435">
        <f t="shared" si="156"/>
        <v>804531.88909835042</v>
      </c>
      <c r="AN46" s="435">
        <f t="shared" si="156"/>
        <v>799455.97657788661</v>
      </c>
      <c r="AO46" s="435">
        <f t="shared" si="156"/>
        <v>799455.97657788661</v>
      </c>
      <c r="AP46" s="435">
        <f t="shared" si="156"/>
        <v>799455.97657788661</v>
      </c>
      <c r="AQ46" s="435">
        <f t="shared" si="156"/>
        <v>799455.97657788661</v>
      </c>
      <c r="AR46" s="435">
        <f t="shared" si="156"/>
        <v>0</v>
      </c>
      <c r="AS46" s="435">
        <f t="shared" si="156"/>
        <v>0</v>
      </c>
      <c r="AT46" s="435">
        <f t="shared" si="156"/>
        <v>0</v>
      </c>
      <c r="AU46" s="435">
        <f t="shared" si="156"/>
        <v>0</v>
      </c>
      <c r="AV46" s="435">
        <f t="shared" si="156"/>
        <v>0</v>
      </c>
      <c r="AW46" s="435">
        <f t="shared" si="156"/>
        <v>0</v>
      </c>
      <c r="AX46" s="435">
        <f t="shared" si="156"/>
        <v>0</v>
      </c>
      <c r="AY46" s="435">
        <f t="shared" si="156"/>
        <v>0</v>
      </c>
      <c r="AZ46" s="435">
        <f t="shared" si="156"/>
        <v>0</v>
      </c>
      <c r="BA46" s="435">
        <f t="shared" si="156"/>
        <v>0</v>
      </c>
      <c r="BB46" s="435">
        <f t="shared" si="156"/>
        <v>0</v>
      </c>
      <c r="BC46" s="435">
        <f t="shared" si="156"/>
        <v>0</v>
      </c>
      <c r="BD46" s="435">
        <f t="shared" si="156"/>
        <v>0</v>
      </c>
      <c r="BE46" s="435">
        <f t="shared" si="156"/>
        <v>0</v>
      </c>
      <c r="BF46" s="435">
        <f t="shared" si="156"/>
        <v>0</v>
      </c>
      <c r="BG46" s="435">
        <f t="shared" si="156"/>
        <v>0</v>
      </c>
      <c r="BH46" s="435">
        <f t="shared" si="156"/>
        <v>0</v>
      </c>
      <c r="BI46" s="435">
        <f t="shared" si="156"/>
        <v>0</v>
      </c>
      <c r="BJ46" s="435">
        <f t="shared" si="156"/>
        <v>0</v>
      </c>
      <c r="BK46" s="435">
        <f t="shared" si="156"/>
        <v>0</v>
      </c>
      <c r="BL46" s="435">
        <f t="shared" si="156"/>
        <v>0</v>
      </c>
      <c r="BM46" s="435">
        <f t="shared" si="156"/>
        <v>0</v>
      </c>
      <c r="BN46" s="435">
        <f t="shared" si="156"/>
        <v>0</v>
      </c>
      <c r="BO46" s="435">
        <f t="shared" si="156"/>
        <v>0</v>
      </c>
      <c r="BP46" s="435">
        <f t="shared" si="156"/>
        <v>0</v>
      </c>
      <c r="BQ46" s="435">
        <f t="shared" si="156"/>
        <v>0</v>
      </c>
      <c r="BR46" s="435">
        <f t="shared" si="156"/>
        <v>0</v>
      </c>
      <c r="BS46" s="435">
        <f t="shared" si="156"/>
        <v>0</v>
      </c>
      <c r="BT46" s="435">
        <f t="shared" si="156"/>
        <v>0</v>
      </c>
      <c r="BU46" s="435">
        <f t="shared" si="156"/>
        <v>0</v>
      </c>
      <c r="BV46" s="435">
        <f t="shared" si="156"/>
        <v>0</v>
      </c>
      <c r="BW46" s="435">
        <f t="shared" si="156"/>
        <v>0</v>
      </c>
    </row>
    <row r="47" spans="1:77" x14ac:dyDescent="0.3">
      <c r="D47" s="8"/>
    </row>
    <row r="48" spans="1:77" x14ac:dyDescent="0.3">
      <c r="A48" s="1" t="s">
        <v>421</v>
      </c>
      <c r="D48" s="8"/>
    </row>
    <row r="49" spans="2:75" x14ac:dyDescent="0.3">
      <c r="B49" t="s">
        <v>419</v>
      </c>
      <c r="D49" s="8"/>
      <c r="Y49" s="18">
        <v>14103.22</v>
      </c>
      <c r="Z49" s="18">
        <v>14224.31</v>
      </c>
      <c r="AA49" s="18">
        <v>14346.45</v>
      </c>
      <c r="AB49" s="18">
        <v>14469.63</v>
      </c>
      <c r="AC49" s="18">
        <v>14593.87</v>
      </c>
      <c r="AD49" s="18">
        <v>14719.18</v>
      </c>
      <c r="AE49" s="18">
        <v>14845.56</v>
      </c>
      <c r="AF49" s="18">
        <v>14973.03</v>
      </c>
      <c r="AG49" s="18">
        <v>15101.6</v>
      </c>
      <c r="AH49" s="18">
        <v>9761.26</v>
      </c>
      <c r="AI49" s="18">
        <v>9845.08</v>
      </c>
      <c r="AJ49" s="18">
        <v>9929.61</v>
      </c>
      <c r="AK49" s="18">
        <v>10014.870000000001</v>
      </c>
      <c r="AL49" s="18">
        <v>10100.86</v>
      </c>
      <c r="AM49" s="18">
        <v>10187.59</v>
      </c>
      <c r="AN49" s="18">
        <v>10275.06</v>
      </c>
      <c r="AO49" s="18">
        <v>10363.290000000001</v>
      </c>
      <c r="AP49" s="18">
        <v>10452.27</v>
      </c>
      <c r="AQ49" s="18">
        <v>10542.02</v>
      </c>
      <c r="AR49" s="18">
        <v>10632.53</v>
      </c>
      <c r="AS49" s="18">
        <v>10723.83</v>
      </c>
      <c r="AT49" s="18">
        <v>5054.91</v>
      </c>
      <c r="AU49" s="18">
        <v>5098.3100000000004</v>
      </c>
      <c r="AV49" s="18">
        <v>5142.09</v>
      </c>
      <c r="AW49" s="18">
        <v>5186.24</v>
      </c>
      <c r="AX49" s="18">
        <v>5230.7700000000004</v>
      </c>
      <c r="AY49" s="18">
        <v>5275.68</v>
      </c>
      <c r="AZ49" s="18">
        <v>5320.98</v>
      </c>
      <c r="BA49" s="18">
        <v>5366.67</v>
      </c>
      <c r="BB49" s="18">
        <v>5412.75</v>
      </c>
      <c r="BC49" s="18">
        <v>5459.22</v>
      </c>
      <c r="BD49" s="18">
        <v>5506.1</v>
      </c>
      <c r="BE49" s="18">
        <v>5553.38</v>
      </c>
      <c r="BF49" s="18">
        <v>4030.06</v>
      </c>
      <c r="BG49" s="18">
        <v>4064.66</v>
      </c>
      <c r="BH49" s="18">
        <v>4099.5600000000004</v>
      </c>
      <c r="BI49" s="18">
        <v>4134.76</v>
      </c>
      <c r="BJ49" s="18">
        <v>4170.26</v>
      </c>
      <c r="BK49" s="18">
        <v>4206.07</v>
      </c>
      <c r="BL49" s="18">
        <v>4242.1899999999996</v>
      </c>
      <c r="BM49" s="18">
        <v>4278.6099999999997</v>
      </c>
      <c r="BN49" s="18">
        <v>4315.3500000000004</v>
      </c>
      <c r="BO49" s="18">
        <v>4352.3999999999996</v>
      </c>
      <c r="BP49" s="18">
        <v>4389.7700000000004</v>
      </c>
      <c r="BQ49" s="18">
        <v>4427.47</v>
      </c>
      <c r="BR49" s="18">
        <v>2847.48</v>
      </c>
      <c r="BS49" s="18">
        <v>2871.93</v>
      </c>
      <c r="BT49" s="18">
        <v>2896.59</v>
      </c>
      <c r="BU49" s="18">
        <v>2921.46</v>
      </c>
      <c r="BV49" s="18">
        <v>2946.55</v>
      </c>
      <c r="BW49" s="18">
        <v>2971.85</v>
      </c>
    </row>
    <row r="50" spans="2:75" x14ac:dyDescent="0.3">
      <c r="B50" t="s">
        <v>420</v>
      </c>
      <c r="D50" s="8"/>
      <c r="Y50" s="18">
        <v>0</v>
      </c>
      <c r="Z50" s="18">
        <v>0</v>
      </c>
      <c r="AA50" s="18">
        <v>0</v>
      </c>
      <c r="AB50" s="18">
        <v>0</v>
      </c>
      <c r="AC50" s="18">
        <v>0</v>
      </c>
      <c r="AD50" s="18">
        <v>0</v>
      </c>
      <c r="AE50" s="18">
        <v>0</v>
      </c>
      <c r="AF50" s="18">
        <v>0</v>
      </c>
      <c r="AG50" s="18">
        <v>0</v>
      </c>
      <c r="AH50" s="18">
        <v>0</v>
      </c>
      <c r="AI50" s="18">
        <v>0</v>
      </c>
      <c r="AJ50" s="18">
        <v>0</v>
      </c>
      <c r="AK50" s="18">
        <v>0</v>
      </c>
      <c r="AL50" s="18">
        <v>0</v>
      </c>
      <c r="AM50" s="18">
        <v>0</v>
      </c>
      <c r="AN50" s="18">
        <v>0</v>
      </c>
      <c r="AO50" s="18">
        <v>0</v>
      </c>
      <c r="AP50" s="18">
        <v>0</v>
      </c>
      <c r="AQ50" s="18">
        <v>0</v>
      </c>
      <c r="AR50" s="18">
        <v>0</v>
      </c>
      <c r="AS50" s="18">
        <v>0</v>
      </c>
      <c r="AT50" s="18">
        <v>0</v>
      </c>
      <c r="AU50" s="18">
        <v>0</v>
      </c>
      <c r="AV50" s="18">
        <v>0</v>
      </c>
      <c r="AW50" s="18">
        <v>0</v>
      </c>
      <c r="AX50" s="18">
        <v>0</v>
      </c>
      <c r="AY50" s="18">
        <v>0</v>
      </c>
      <c r="AZ50" s="18">
        <v>11250</v>
      </c>
      <c r="BA50" s="18">
        <v>11250</v>
      </c>
      <c r="BB50" s="18">
        <v>11250</v>
      </c>
      <c r="BC50" s="18">
        <v>11250</v>
      </c>
      <c r="BD50" s="18">
        <v>11250</v>
      </c>
      <c r="BE50" s="18">
        <v>11250</v>
      </c>
      <c r="BF50" s="18">
        <v>11250</v>
      </c>
      <c r="BG50" s="18">
        <v>11250</v>
      </c>
      <c r="BH50" s="18">
        <v>11250</v>
      </c>
      <c r="BI50" s="18">
        <v>11250</v>
      </c>
      <c r="BJ50" s="18">
        <v>11250</v>
      </c>
      <c r="BK50" s="18">
        <v>11250</v>
      </c>
      <c r="BL50" s="18">
        <v>11666.666666666666</v>
      </c>
      <c r="BM50" s="18">
        <v>11666.666666666666</v>
      </c>
      <c r="BN50" s="18">
        <v>11666.666666666666</v>
      </c>
      <c r="BO50" s="18">
        <v>11666.666666666666</v>
      </c>
      <c r="BP50" s="18">
        <v>11666.666666666666</v>
      </c>
      <c r="BQ50" s="18">
        <v>11666.666666666666</v>
      </c>
      <c r="BR50" s="18">
        <v>11666.666666666666</v>
      </c>
      <c r="BS50" s="18">
        <v>11666.666666666666</v>
      </c>
      <c r="BT50" s="18">
        <v>11666.666666666666</v>
      </c>
      <c r="BU50" s="18">
        <v>11666.666666666666</v>
      </c>
      <c r="BV50" s="18">
        <v>11666.666666666666</v>
      </c>
      <c r="BW50" s="18">
        <v>11666.666666666666</v>
      </c>
    </row>
    <row r="51" spans="2:75" x14ac:dyDescent="0.3">
      <c r="D51" s="8"/>
    </row>
    <row r="52" spans="2:75" x14ac:dyDescent="0.3">
      <c r="D52" s="8"/>
    </row>
  </sheetData>
  <mergeCells count="1">
    <mergeCell ref="A2:B2"/>
  </mergeCells>
  <printOptions horizontalCentered="1" verticalCentered="1"/>
  <pageMargins left="0.15" right="0.15" top="0.75" bottom="0.75" header="0.3" footer="0.3"/>
  <pageSetup scale="17" orientation="landscape" horizontalDpi="1200" verticalDpi="1200" r:id="rId1"/>
  <headerFooter>
    <oddFooter>&amp;L&amp;"Bodoni MT,Bold"&amp;10&amp;F&amp;C&amp;10&amp;P of &amp;N&amp;R&amp;10&amp;A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87FFC-4FB3-4187-8980-C20EAED7D669}">
  <sheetPr>
    <pageSetUpPr fitToPage="1"/>
  </sheetPr>
  <dimension ref="A1:H17"/>
  <sheetViews>
    <sheetView workbookViewId="0"/>
  </sheetViews>
  <sheetFormatPr defaultRowHeight="14.4" x14ac:dyDescent="0.3"/>
  <cols>
    <col min="1" max="1" width="1.77734375" customWidth="1"/>
    <col min="2" max="2" width="26.88671875" customWidth="1"/>
    <col min="3" max="3" width="1.77734375" customWidth="1"/>
    <col min="4" max="4" width="11" customWidth="1"/>
    <col min="5" max="5" width="1.77734375" customWidth="1"/>
    <col min="6" max="6" width="11" customWidth="1"/>
    <col min="7" max="7" width="1.77734375" customWidth="1"/>
    <col min="8" max="8" width="11" customWidth="1"/>
  </cols>
  <sheetData>
    <row r="1" spans="1:8" ht="15.6" x14ac:dyDescent="0.3">
      <c r="A1" s="12" t="str">
        <f>Support!A13</f>
        <v>Discovery Charter School ("DCS")</v>
      </c>
      <c r="H1" s="114" t="s">
        <v>366</v>
      </c>
    </row>
    <row r="2" spans="1:8" x14ac:dyDescent="0.3">
      <c r="A2" s="2" t="s">
        <v>362</v>
      </c>
    </row>
    <row r="4" spans="1:8" x14ac:dyDescent="0.3">
      <c r="A4" s="129" t="s">
        <v>365</v>
      </c>
      <c r="B4" s="129"/>
      <c r="D4" s="4" t="s">
        <v>401</v>
      </c>
      <c r="E4" s="34"/>
      <c r="F4" s="4" t="s">
        <v>363</v>
      </c>
      <c r="G4" s="34"/>
      <c r="H4" s="4" t="s">
        <v>364</v>
      </c>
    </row>
    <row r="5" spans="1:8" ht="6" customHeight="1" x14ac:dyDescent="0.3"/>
    <row r="6" spans="1:8" x14ac:dyDescent="0.3">
      <c r="B6" t="s">
        <v>352</v>
      </c>
      <c r="D6" s="10">
        <v>79</v>
      </c>
      <c r="E6" s="10"/>
      <c r="F6" s="10">
        <v>2</v>
      </c>
      <c r="G6" s="6"/>
      <c r="H6" s="6">
        <f>SUM(D6:G6)</f>
        <v>81</v>
      </c>
    </row>
    <row r="7" spans="1:8" x14ac:dyDescent="0.3">
      <c r="B7" t="s">
        <v>353</v>
      </c>
      <c r="D7" s="10">
        <v>28</v>
      </c>
      <c r="E7" s="10"/>
      <c r="F7" s="10">
        <v>0</v>
      </c>
      <c r="G7" s="6"/>
      <c r="H7" s="6">
        <f t="shared" ref="H7:H14" si="0">SUM(D7:G7)</f>
        <v>28</v>
      </c>
    </row>
    <row r="8" spans="1:8" x14ac:dyDescent="0.3">
      <c r="B8" t="s">
        <v>354</v>
      </c>
      <c r="D8" s="10">
        <v>28</v>
      </c>
      <c r="E8" s="10"/>
      <c r="F8" s="10">
        <v>0</v>
      </c>
      <c r="G8" s="6"/>
      <c r="H8" s="6">
        <f t="shared" si="0"/>
        <v>28</v>
      </c>
    </row>
    <row r="9" spans="1:8" x14ac:dyDescent="0.3">
      <c r="B9" t="s">
        <v>355</v>
      </c>
      <c r="D9" s="10">
        <v>23</v>
      </c>
      <c r="E9" s="10"/>
      <c r="F9" s="10">
        <v>0</v>
      </c>
      <c r="G9" s="6"/>
      <c r="H9" s="6">
        <f t="shared" si="0"/>
        <v>23</v>
      </c>
    </row>
    <row r="10" spans="1:8" x14ac:dyDescent="0.3">
      <c r="B10" t="s">
        <v>356</v>
      </c>
      <c r="D10" s="10">
        <v>17</v>
      </c>
      <c r="E10" s="10"/>
      <c r="F10" s="10">
        <v>0</v>
      </c>
      <c r="G10" s="6"/>
      <c r="H10" s="6">
        <f t="shared" si="0"/>
        <v>17</v>
      </c>
    </row>
    <row r="11" spans="1:8" x14ac:dyDescent="0.3">
      <c r="B11" t="s">
        <v>357</v>
      </c>
      <c r="D11" s="10">
        <v>24</v>
      </c>
      <c r="E11" s="10"/>
      <c r="F11" s="10">
        <v>0</v>
      </c>
      <c r="G11" s="6"/>
      <c r="H11" s="6">
        <f t="shared" si="0"/>
        <v>24</v>
      </c>
    </row>
    <row r="12" spans="1:8" x14ac:dyDescent="0.3">
      <c r="B12" t="s">
        <v>358</v>
      </c>
      <c r="D12" s="10">
        <v>37</v>
      </c>
      <c r="E12" s="10"/>
      <c r="F12" s="10">
        <v>0</v>
      </c>
      <c r="G12" s="6"/>
      <c r="H12" s="6">
        <f t="shared" si="0"/>
        <v>37</v>
      </c>
    </row>
    <row r="13" spans="1:8" x14ac:dyDescent="0.3">
      <c r="B13" t="s">
        <v>359</v>
      </c>
      <c r="D13" s="10">
        <v>4</v>
      </c>
      <c r="E13" s="10"/>
      <c r="F13" s="10">
        <v>0</v>
      </c>
      <c r="G13" s="6"/>
      <c r="H13" s="6">
        <f t="shared" si="0"/>
        <v>4</v>
      </c>
    </row>
    <row r="14" spans="1:8" x14ac:dyDescent="0.3">
      <c r="B14" t="s">
        <v>360</v>
      </c>
      <c r="D14" s="10">
        <v>0</v>
      </c>
      <c r="E14" s="10"/>
      <c r="F14" s="10">
        <v>0</v>
      </c>
      <c r="G14" s="6"/>
      <c r="H14" s="6">
        <f t="shared" si="0"/>
        <v>0</v>
      </c>
    </row>
    <row r="15" spans="1:8" ht="6" customHeight="1" x14ac:dyDescent="0.3">
      <c r="D15" s="6"/>
      <c r="E15" s="6"/>
      <c r="F15" s="6"/>
      <c r="G15" s="6"/>
      <c r="H15" s="6"/>
    </row>
    <row r="16" spans="1:8" x14ac:dyDescent="0.3">
      <c r="A16" s="1" t="s">
        <v>364</v>
      </c>
      <c r="D16" s="130">
        <f>SUM(D6:D15)</f>
        <v>240</v>
      </c>
      <c r="E16" s="6"/>
      <c r="F16" s="130">
        <f>SUM(F6:F15)</f>
        <v>2</v>
      </c>
      <c r="G16" s="6"/>
      <c r="H16" s="130">
        <f>SUM(H6:H15)</f>
        <v>242</v>
      </c>
    </row>
    <row r="17" spans="4:8" x14ac:dyDescent="0.3">
      <c r="D17" s="6"/>
      <c r="E17" s="6"/>
      <c r="F17" s="6"/>
      <c r="G17" s="6"/>
      <c r="H17" s="6"/>
    </row>
  </sheetData>
  <printOptions horizontalCentered="1" verticalCentered="1"/>
  <pageMargins left="0.15" right="0.15" top="0.75" bottom="0.75" header="0.3" footer="0.3"/>
  <pageSetup orientation="landscape" horizontalDpi="1200" verticalDpi="1200" r:id="rId1"/>
  <headerFooter>
    <oddFooter>&amp;L&amp;"Bodoni MT,Bold"&amp;10&amp;F&amp;C&amp;10&amp;P of &amp;N&amp;R&amp;10&amp;A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AFC3D-313C-4533-922B-0AC8394A35B6}">
  <sheetPr>
    <pageSetUpPr fitToPage="1"/>
  </sheetPr>
  <dimension ref="A1:C69"/>
  <sheetViews>
    <sheetView workbookViewId="0"/>
  </sheetViews>
  <sheetFormatPr defaultRowHeight="14.4" x14ac:dyDescent="0.3"/>
  <cols>
    <col min="1" max="1" width="6.33203125" customWidth="1"/>
    <col min="2" max="2" width="2.77734375" customWidth="1"/>
    <col min="3" max="3" width="107.77734375" customWidth="1"/>
  </cols>
  <sheetData>
    <row r="1" spans="1:3" ht="15.6" x14ac:dyDescent="0.3">
      <c r="A1" s="12" t="str">
        <f>Support!A13</f>
        <v>Discovery Charter School ("DCS")</v>
      </c>
    </row>
    <row r="2" spans="1:3" x14ac:dyDescent="0.3">
      <c r="A2" s="2" t="s">
        <v>262</v>
      </c>
    </row>
    <row r="4" spans="1:3" x14ac:dyDescent="0.3">
      <c r="C4" s="376" t="s">
        <v>392</v>
      </c>
    </row>
    <row r="5" spans="1:3" x14ac:dyDescent="0.3">
      <c r="A5" s="4" t="s">
        <v>265</v>
      </c>
      <c r="C5" s="4" t="s">
        <v>266</v>
      </c>
    </row>
    <row r="6" spans="1:3" x14ac:dyDescent="0.3">
      <c r="A6" s="86">
        <v>1</v>
      </c>
      <c r="C6" s="85" t="s">
        <v>268</v>
      </c>
    </row>
    <row r="7" spans="1:3" x14ac:dyDescent="0.3">
      <c r="A7" s="86">
        <f>A6+1</f>
        <v>2</v>
      </c>
      <c r="C7" s="85" t="s">
        <v>267</v>
      </c>
    </row>
    <row r="8" spans="1:3" x14ac:dyDescent="0.3">
      <c r="A8" s="86">
        <f t="shared" ref="A8:A11" si="0">A7+1</f>
        <v>3</v>
      </c>
      <c r="C8" s="85" t="s">
        <v>390</v>
      </c>
    </row>
    <row r="9" spans="1:3" x14ac:dyDescent="0.3">
      <c r="A9" s="86">
        <f t="shared" si="0"/>
        <v>4</v>
      </c>
      <c r="C9" s="85" t="s">
        <v>270</v>
      </c>
    </row>
    <row r="10" spans="1:3" ht="43.2" x14ac:dyDescent="0.3">
      <c r="A10" s="86">
        <f t="shared" si="0"/>
        <v>5</v>
      </c>
      <c r="C10" s="85" t="s">
        <v>321</v>
      </c>
    </row>
    <row r="11" spans="1:3" ht="28.8" x14ac:dyDescent="0.3">
      <c r="A11" s="86">
        <f t="shared" si="0"/>
        <v>6</v>
      </c>
      <c r="C11" s="85" t="s">
        <v>391</v>
      </c>
    </row>
    <row r="12" spans="1:3" x14ac:dyDescent="0.3">
      <c r="A12" s="86"/>
      <c r="C12" s="85"/>
    </row>
    <row r="13" spans="1:3" x14ac:dyDescent="0.3">
      <c r="A13" s="4" t="s">
        <v>263</v>
      </c>
      <c r="C13" s="4" t="s">
        <v>264</v>
      </c>
    </row>
    <row r="14" spans="1:3" x14ac:dyDescent="0.3">
      <c r="A14" s="86">
        <v>1</v>
      </c>
      <c r="C14" s="85" t="s">
        <v>394</v>
      </c>
    </row>
    <row r="15" spans="1:3" x14ac:dyDescent="0.3">
      <c r="A15" s="86">
        <f t="shared" ref="A15:A21" si="1">A14+1</f>
        <v>2</v>
      </c>
      <c r="C15" s="85" t="s">
        <v>269</v>
      </c>
    </row>
    <row r="16" spans="1:3" ht="28.8" x14ac:dyDescent="0.3">
      <c r="A16" s="86">
        <f t="shared" si="1"/>
        <v>3</v>
      </c>
      <c r="C16" s="85" t="s">
        <v>279</v>
      </c>
    </row>
    <row r="17" spans="1:3" ht="28.8" x14ac:dyDescent="0.3">
      <c r="A17" s="86">
        <f t="shared" si="1"/>
        <v>4</v>
      </c>
      <c r="C17" s="85" t="s">
        <v>274</v>
      </c>
    </row>
    <row r="18" spans="1:3" ht="28.8" x14ac:dyDescent="0.3">
      <c r="A18" s="86">
        <f t="shared" si="1"/>
        <v>5</v>
      </c>
      <c r="C18" s="85" t="s">
        <v>280</v>
      </c>
    </row>
    <row r="19" spans="1:3" x14ac:dyDescent="0.3">
      <c r="A19" s="86">
        <f t="shared" si="1"/>
        <v>6</v>
      </c>
      <c r="C19" s="85" t="s">
        <v>271</v>
      </c>
    </row>
    <row r="20" spans="1:3" x14ac:dyDescent="0.3">
      <c r="A20" s="86">
        <f t="shared" si="1"/>
        <v>7</v>
      </c>
      <c r="C20" s="85" t="s">
        <v>272</v>
      </c>
    </row>
    <row r="21" spans="1:3" x14ac:dyDescent="0.3">
      <c r="A21" s="86">
        <f t="shared" si="1"/>
        <v>8</v>
      </c>
      <c r="C21" s="85" t="s">
        <v>273</v>
      </c>
    </row>
    <row r="22" spans="1:3" x14ac:dyDescent="0.3">
      <c r="A22" s="86"/>
      <c r="C22" s="85"/>
    </row>
    <row r="23" spans="1:3" x14ac:dyDescent="0.3">
      <c r="A23" s="4" t="s">
        <v>275</v>
      </c>
      <c r="C23" s="4" t="s">
        <v>276</v>
      </c>
    </row>
    <row r="24" spans="1:3" ht="28.8" x14ac:dyDescent="0.3">
      <c r="A24" s="86">
        <v>1</v>
      </c>
      <c r="C24" s="85" t="s">
        <v>278</v>
      </c>
    </row>
    <row r="25" spans="1:3" ht="28.8" x14ac:dyDescent="0.3">
      <c r="A25" s="86">
        <f>A24+1</f>
        <v>2</v>
      </c>
      <c r="C25" s="85" t="s">
        <v>277</v>
      </c>
    </row>
    <row r="26" spans="1:3" x14ac:dyDescent="0.3">
      <c r="A26" s="86"/>
      <c r="C26" s="85"/>
    </row>
    <row r="27" spans="1:3" x14ac:dyDescent="0.3">
      <c r="A27" s="86"/>
      <c r="C27" s="85"/>
    </row>
    <row r="28" spans="1:3" x14ac:dyDescent="0.3">
      <c r="A28" s="86"/>
      <c r="C28" s="85"/>
    </row>
    <row r="29" spans="1:3" x14ac:dyDescent="0.3">
      <c r="A29" s="86"/>
      <c r="C29" s="85"/>
    </row>
    <row r="30" spans="1:3" x14ac:dyDescent="0.3">
      <c r="A30" s="86"/>
      <c r="C30" s="85"/>
    </row>
    <row r="31" spans="1:3" x14ac:dyDescent="0.3">
      <c r="A31" s="86"/>
      <c r="C31" s="85"/>
    </row>
    <row r="32" spans="1:3" x14ac:dyDescent="0.3">
      <c r="A32" s="86"/>
      <c r="C32" s="85"/>
    </row>
    <row r="33" spans="1:3" x14ac:dyDescent="0.3">
      <c r="A33" s="86"/>
      <c r="C33" s="85"/>
    </row>
    <row r="34" spans="1:3" x14ac:dyDescent="0.3">
      <c r="A34" s="86"/>
      <c r="C34" s="85"/>
    </row>
    <row r="35" spans="1:3" x14ac:dyDescent="0.3">
      <c r="A35" s="86"/>
      <c r="C35" s="85"/>
    </row>
    <row r="36" spans="1:3" x14ac:dyDescent="0.3">
      <c r="A36" s="86"/>
      <c r="C36" s="85"/>
    </row>
    <row r="37" spans="1:3" x14ac:dyDescent="0.3">
      <c r="A37" s="86"/>
      <c r="C37" s="85"/>
    </row>
    <row r="38" spans="1:3" x14ac:dyDescent="0.3">
      <c r="A38" s="86"/>
      <c r="C38" s="85"/>
    </row>
    <row r="39" spans="1:3" x14ac:dyDescent="0.3">
      <c r="A39" s="86"/>
      <c r="C39" s="85"/>
    </row>
    <row r="40" spans="1:3" x14ac:dyDescent="0.3">
      <c r="A40" s="86"/>
      <c r="C40" s="85"/>
    </row>
    <row r="41" spans="1:3" x14ac:dyDescent="0.3">
      <c r="A41" s="86"/>
      <c r="C41" s="85"/>
    </row>
    <row r="42" spans="1:3" x14ac:dyDescent="0.3">
      <c r="A42" s="86"/>
      <c r="C42" s="85"/>
    </row>
    <row r="43" spans="1:3" x14ac:dyDescent="0.3">
      <c r="A43" s="86"/>
      <c r="C43" s="85"/>
    </row>
    <row r="44" spans="1:3" x14ac:dyDescent="0.3">
      <c r="A44" s="86"/>
      <c r="C44" s="85"/>
    </row>
    <row r="45" spans="1:3" x14ac:dyDescent="0.3">
      <c r="A45" s="86"/>
      <c r="C45" s="85"/>
    </row>
    <row r="46" spans="1:3" x14ac:dyDescent="0.3">
      <c r="A46" s="86"/>
      <c r="C46" s="85"/>
    </row>
    <row r="47" spans="1:3" x14ac:dyDescent="0.3">
      <c r="A47" s="86"/>
      <c r="C47" s="85"/>
    </row>
    <row r="48" spans="1:3" x14ac:dyDescent="0.3">
      <c r="A48" s="86"/>
      <c r="C48" s="85"/>
    </row>
    <row r="49" spans="1:3" x14ac:dyDescent="0.3">
      <c r="A49" s="86"/>
      <c r="C49" s="85"/>
    </row>
    <row r="50" spans="1:3" x14ac:dyDescent="0.3">
      <c r="A50" s="86"/>
      <c r="C50" s="85"/>
    </row>
    <row r="51" spans="1:3" x14ac:dyDescent="0.3">
      <c r="A51" s="86"/>
      <c r="C51" s="85"/>
    </row>
    <row r="52" spans="1:3" x14ac:dyDescent="0.3">
      <c r="A52" s="86"/>
      <c r="C52" s="85"/>
    </row>
    <row r="53" spans="1:3" x14ac:dyDescent="0.3">
      <c r="A53" s="86"/>
      <c r="C53" s="85"/>
    </row>
    <row r="54" spans="1:3" x14ac:dyDescent="0.3">
      <c r="A54" s="86"/>
      <c r="C54" s="85"/>
    </row>
    <row r="55" spans="1:3" x14ac:dyDescent="0.3">
      <c r="A55" s="86"/>
      <c r="C55" s="85"/>
    </row>
    <row r="56" spans="1:3" x14ac:dyDescent="0.3">
      <c r="A56" s="86"/>
      <c r="C56" s="85"/>
    </row>
    <row r="57" spans="1:3" x14ac:dyDescent="0.3">
      <c r="A57" s="86"/>
      <c r="C57" s="85"/>
    </row>
    <row r="58" spans="1:3" x14ac:dyDescent="0.3">
      <c r="A58" s="86"/>
      <c r="C58" s="85"/>
    </row>
    <row r="59" spans="1:3" x14ac:dyDescent="0.3">
      <c r="A59" s="86"/>
      <c r="C59" s="85"/>
    </row>
    <row r="60" spans="1:3" x14ac:dyDescent="0.3">
      <c r="A60" s="86"/>
      <c r="C60" s="85"/>
    </row>
    <row r="61" spans="1:3" x14ac:dyDescent="0.3">
      <c r="A61" s="86"/>
      <c r="C61" s="85"/>
    </row>
    <row r="62" spans="1:3" x14ac:dyDescent="0.3">
      <c r="A62" s="86"/>
      <c r="C62" s="85"/>
    </row>
    <row r="63" spans="1:3" x14ac:dyDescent="0.3">
      <c r="A63" s="86"/>
      <c r="C63" s="85"/>
    </row>
    <row r="64" spans="1:3" x14ac:dyDescent="0.3">
      <c r="A64" s="86"/>
      <c r="C64" s="85"/>
    </row>
    <row r="65" spans="1:3" x14ac:dyDescent="0.3">
      <c r="A65" s="86"/>
      <c r="C65" s="85"/>
    </row>
    <row r="66" spans="1:3" x14ac:dyDescent="0.3">
      <c r="A66" s="86"/>
      <c r="C66" s="85"/>
    </row>
    <row r="67" spans="1:3" x14ac:dyDescent="0.3">
      <c r="A67" s="86"/>
      <c r="C67" s="85"/>
    </row>
    <row r="68" spans="1:3" x14ac:dyDescent="0.3">
      <c r="A68" s="86"/>
      <c r="C68" s="85"/>
    </row>
    <row r="69" spans="1:3" x14ac:dyDescent="0.3">
      <c r="C69" s="85"/>
    </row>
  </sheetData>
  <printOptions horizontalCentered="1" verticalCentered="1"/>
  <pageMargins left="0.15" right="0.15" top="0.75" bottom="0.75" header="0.3" footer="0.3"/>
  <pageSetup orientation="landscape" horizontalDpi="1200" verticalDpi="1200" r:id="rId1"/>
  <headerFooter>
    <oddFooter>&amp;L&amp;"Bodoni MT,Bold"&amp;10&amp;F&amp;C&amp;10&amp;P of &amp;N&amp;R&amp;10&amp;A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07595-5F74-4F3D-B2BC-2A3D368FD757}">
  <sheetPr>
    <pageSetUpPr fitToPage="1"/>
  </sheetPr>
  <dimension ref="A1:AJ103"/>
  <sheetViews>
    <sheetView zoomScaleNormal="100" workbookViewId="0">
      <pane xSplit="3" ySplit="6" topLeftCell="D7" activePane="bottomRight" state="frozen"/>
      <selection pane="topRight"/>
      <selection pane="bottomLeft"/>
      <selection pane="bottomRight" activeCell="D7" sqref="D7"/>
    </sheetView>
  </sheetViews>
  <sheetFormatPr defaultRowHeight="13.8" outlineLevelRow="1" outlineLevelCol="1" x14ac:dyDescent="0.3"/>
  <cols>
    <col min="1" max="1" width="1.33203125" style="222" customWidth="1"/>
    <col min="2" max="2" width="13" style="222" customWidth="1"/>
    <col min="3" max="3" width="1.33203125" style="222" customWidth="1"/>
    <col min="4" max="4" width="10.5546875" style="222" customWidth="1" outlineLevel="1"/>
    <col min="5" max="5" width="0.88671875" style="222" customWidth="1" outlineLevel="1"/>
    <col min="6" max="6" width="9.77734375" style="222" customWidth="1" outlineLevel="1"/>
    <col min="7" max="8" width="0.44140625" style="222" customWidth="1" outlineLevel="1"/>
    <col min="9" max="9" width="11.44140625" style="222" customWidth="1"/>
    <col min="10" max="10" width="0.88671875" style="222" customWidth="1"/>
    <col min="11" max="11" width="11.44140625" style="222" customWidth="1"/>
    <col min="12" max="12" width="0.88671875" style="222" customWidth="1"/>
    <col min="13" max="13" width="6.77734375" style="222" customWidth="1"/>
    <col min="14" max="14" width="1.33203125" style="222" customWidth="1"/>
    <col min="15" max="15" width="9.77734375" style="222" customWidth="1" outlineLevel="1"/>
    <col min="16" max="16" width="0.88671875" style="222" customWidth="1" outlineLevel="1"/>
    <col min="17" max="17" width="8.77734375" style="222" customWidth="1" outlineLevel="1"/>
    <col min="18" max="19" width="0.44140625" style="222" customWidth="1" outlineLevel="1"/>
    <col min="20" max="20" width="10.44140625" style="222" bestFit="1" customWidth="1"/>
    <col min="21" max="21" width="0.88671875" style="222" customWidth="1"/>
    <col min="22" max="22" width="10.44140625" style="222" bestFit="1" customWidth="1"/>
    <col min="23" max="23" width="0.88671875" style="222" customWidth="1"/>
    <col min="24" max="24" width="6.77734375" style="222" customWidth="1"/>
    <col min="25" max="25" width="1.33203125" style="222" customWidth="1"/>
    <col min="26" max="26" width="10.5546875" style="222" customWidth="1" outlineLevel="1"/>
    <col min="27" max="27" width="0.88671875" style="222" customWidth="1" outlineLevel="1"/>
    <col min="28" max="28" width="9.77734375" style="222" customWidth="1" outlineLevel="1"/>
    <col min="29" max="30" width="0.44140625" style="222" customWidth="1" outlineLevel="1"/>
    <col min="31" max="31" width="11.44140625" style="222" customWidth="1"/>
    <col min="32" max="32" width="0.88671875" style="222" customWidth="1"/>
    <col min="33" max="33" width="11.44140625" style="222" customWidth="1"/>
    <col min="34" max="34" width="0.88671875" style="222" customWidth="1"/>
    <col min="35" max="35" width="6.77734375" style="222" customWidth="1"/>
    <col min="36" max="16384" width="8.88671875" style="222"/>
  </cols>
  <sheetData>
    <row r="1" spans="1:35" ht="14.4" x14ac:dyDescent="0.3">
      <c r="A1" s="1" t="str">
        <f>Support!A13</f>
        <v>Discovery Charter School ("DCS")</v>
      </c>
      <c r="B1" s="220"/>
      <c r="C1" s="220"/>
      <c r="D1" s="220"/>
      <c r="E1" s="220"/>
      <c r="F1" s="220"/>
      <c r="G1" s="220"/>
      <c r="H1" s="220"/>
      <c r="I1" s="220"/>
      <c r="J1" s="5"/>
      <c r="K1" s="220"/>
      <c r="L1" s="220"/>
      <c r="M1" s="220"/>
      <c r="N1" s="220"/>
      <c r="O1" s="220"/>
      <c r="P1" s="220"/>
      <c r="Q1" s="220"/>
      <c r="R1" s="220"/>
      <c r="S1" s="220"/>
      <c r="T1" s="220"/>
      <c r="U1" s="220"/>
      <c r="V1" s="220"/>
      <c r="W1" s="220"/>
      <c r="X1" s="220"/>
      <c r="Y1" s="220"/>
      <c r="Z1" s="220"/>
      <c r="AA1" s="220"/>
      <c r="AB1" s="220"/>
      <c r="AC1" s="220"/>
      <c r="AD1" s="220"/>
      <c r="AE1" s="5" t="s">
        <v>224</v>
      </c>
      <c r="AF1" s="450">
        <f>Support!$A$17</f>
        <v>44712</v>
      </c>
      <c r="AG1" s="450"/>
      <c r="AH1" s="450"/>
      <c r="AI1" s="450"/>
    </row>
    <row r="2" spans="1:35" ht="14.4" x14ac:dyDescent="0.3">
      <c r="A2" s="444">
        <f>Support!A19</f>
        <v>2022</v>
      </c>
      <c r="B2" s="444"/>
      <c r="C2" s="444"/>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114" t="str">
        <f>Cover!$A$15</f>
        <v>(Bond Scenario)</v>
      </c>
      <c r="AH2" s="220"/>
      <c r="AI2" s="220"/>
    </row>
    <row r="3" spans="1:35" ht="6" customHeight="1" thickBot="1" x14ac:dyDescent="0.35"/>
    <row r="4" spans="1:35" x14ac:dyDescent="0.3">
      <c r="D4" s="445" t="s">
        <v>311</v>
      </c>
      <c r="E4" s="446"/>
      <c r="F4" s="446"/>
      <c r="G4" s="446"/>
      <c r="H4" s="446"/>
      <c r="I4" s="446"/>
      <c r="J4" s="446"/>
      <c r="K4" s="446"/>
      <c r="L4" s="446"/>
      <c r="M4" s="447"/>
      <c r="O4" s="445" t="s">
        <v>134</v>
      </c>
      <c r="P4" s="446"/>
      <c r="Q4" s="446"/>
      <c r="R4" s="446"/>
      <c r="S4" s="446"/>
      <c r="T4" s="446"/>
      <c r="U4" s="446"/>
      <c r="V4" s="446"/>
      <c r="W4" s="446"/>
      <c r="X4" s="447"/>
      <c r="Z4" s="445" t="s">
        <v>145</v>
      </c>
      <c r="AA4" s="446"/>
      <c r="AB4" s="446"/>
      <c r="AC4" s="446"/>
      <c r="AD4" s="446"/>
      <c r="AE4" s="446"/>
      <c r="AF4" s="446"/>
      <c r="AG4" s="446"/>
      <c r="AH4" s="446"/>
      <c r="AI4" s="447"/>
    </row>
    <row r="5" spans="1:35" ht="14.4" thickBot="1" x14ac:dyDescent="0.35">
      <c r="D5" s="448" t="s">
        <v>121</v>
      </c>
      <c r="E5" s="449"/>
      <c r="F5" s="449"/>
      <c r="G5" s="246"/>
      <c r="H5" s="247"/>
      <c r="I5" s="449" t="s">
        <v>122</v>
      </c>
      <c r="J5" s="449"/>
      <c r="K5" s="449"/>
      <c r="L5" s="248"/>
      <c r="M5" s="249"/>
      <c r="O5" s="448" t="s">
        <v>121</v>
      </c>
      <c r="P5" s="449"/>
      <c r="Q5" s="449"/>
      <c r="R5" s="250"/>
      <c r="S5" s="247"/>
      <c r="T5" s="449" t="s">
        <v>122</v>
      </c>
      <c r="U5" s="449"/>
      <c r="V5" s="449"/>
      <c r="W5" s="449"/>
      <c r="X5" s="451"/>
      <c r="Z5" s="448" t="s">
        <v>121</v>
      </c>
      <c r="AA5" s="449"/>
      <c r="AB5" s="449"/>
      <c r="AC5" s="246"/>
      <c r="AD5" s="247"/>
      <c r="AE5" s="449" t="s">
        <v>122</v>
      </c>
      <c r="AF5" s="449"/>
      <c r="AG5" s="449"/>
      <c r="AH5" s="449"/>
      <c r="AI5" s="451"/>
    </row>
    <row r="6" spans="1:35" x14ac:dyDescent="0.3">
      <c r="A6" s="251" t="s">
        <v>261</v>
      </c>
      <c r="B6" s="252"/>
      <c r="D6" s="253" t="s">
        <v>132</v>
      </c>
      <c r="E6" s="254"/>
      <c r="F6" s="255" t="s">
        <v>133</v>
      </c>
      <c r="G6" s="250"/>
      <c r="H6" s="247"/>
      <c r="I6" s="255" t="s">
        <v>132</v>
      </c>
      <c r="J6" s="254"/>
      <c r="K6" s="255" t="s">
        <v>133</v>
      </c>
      <c r="L6" s="255"/>
      <c r="M6" s="256" t="s">
        <v>156</v>
      </c>
      <c r="O6" s="253" t="s">
        <v>132</v>
      </c>
      <c r="P6" s="254"/>
      <c r="Q6" s="255" t="s">
        <v>133</v>
      </c>
      <c r="R6" s="250"/>
      <c r="S6" s="247"/>
      <c r="T6" s="255" t="s">
        <v>132</v>
      </c>
      <c r="U6" s="254"/>
      <c r="V6" s="255" t="s">
        <v>133</v>
      </c>
      <c r="W6" s="254"/>
      <c r="X6" s="256" t="s">
        <v>156</v>
      </c>
      <c r="Z6" s="253" t="s">
        <v>132</v>
      </c>
      <c r="AA6" s="254"/>
      <c r="AB6" s="255" t="s">
        <v>133</v>
      </c>
      <c r="AC6" s="250"/>
      <c r="AD6" s="247"/>
      <c r="AE6" s="255" t="s">
        <v>132</v>
      </c>
      <c r="AF6" s="254"/>
      <c r="AG6" s="255" t="s">
        <v>133</v>
      </c>
      <c r="AH6" s="255"/>
      <c r="AI6" s="256" t="s">
        <v>156</v>
      </c>
    </row>
    <row r="7" spans="1:35" ht="6" customHeight="1" x14ac:dyDescent="0.3">
      <c r="A7" s="257"/>
      <c r="B7" s="258"/>
      <c r="D7" s="257" t="s">
        <v>248</v>
      </c>
      <c r="E7" s="226"/>
      <c r="F7" s="226"/>
      <c r="G7" s="250"/>
      <c r="H7" s="247"/>
      <c r="I7" s="226"/>
      <c r="J7" s="226"/>
      <c r="K7" s="226"/>
      <c r="L7" s="226"/>
      <c r="M7" s="258"/>
      <c r="O7" s="257"/>
      <c r="P7" s="226"/>
      <c r="Q7" s="226"/>
      <c r="R7" s="250"/>
      <c r="S7" s="247"/>
      <c r="T7" s="226"/>
      <c r="U7" s="226"/>
      <c r="V7" s="226"/>
      <c r="W7" s="226"/>
      <c r="X7" s="258"/>
      <c r="Z7" s="257"/>
      <c r="AA7" s="226"/>
      <c r="AB7" s="226"/>
      <c r="AC7" s="250"/>
      <c r="AD7" s="247"/>
      <c r="AE7" s="226"/>
      <c r="AF7" s="226"/>
      <c r="AG7" s="226"/>
      <c r="AH7" s="226"/>
      <c r="AI7" s="258"/>
    </row>
    <row r="8" spans="1:35" x14ac:dyDescent="0.3">
      <c r="A8" s="259" t="s">
        <v>287</v>
      </c>
      <c r="B8" s="260"/>
      <c r="C8" s="229"/>
      <c r="D8" s="261">
        <f>VLOOKUP($A8,'Hillpointe Detail'!$A$7:$CA$20,'Hillpointe Detail'!$BZ$251,0)</f>
        <v>349</v>
      </c>
      <c r="E8" s="230"/>
      <c r="F8" s="230">
        <f>VLOOKUP($A8,'Hillpointe Detail'!$A$221:$CA$250,'Hillpointe Detail'!$BZ$251,0)</f>
        <v>384</v>
      </c>
      <c r="G8" s="262"/>
      <c r="H8" s="263"/>
      <c r="I8" s="230">
        <f>VLOOKUP($A8,'Hillpointe Detail'!$A$7:$CA$20,'Hillpointe Detail'!$CA$251,0)</f>
        <v>349</v>
      </c>
      <c r="J8" s="230"/>
      <c r="K8" s="230">
        <f>VLOOKUP($A8,'Hillpointe Detail'!$A$221:$CA$250,'Hillpointe Detail'!$CA$251,0)</f>
        <v>384</v>
      </c>
      <c r="L8" s="230"/>
      <c r="M8" s="264">
        <f>IF(AND(K8&lt;0,I8&gt;0),"NM",IF(ISERROR(I8/K8-1),0,IF(OR(I8/K8-1&gt;2,I8/K8-1&lt;-2),"NM",I8/K8-1)))</f>
        <v>-9.114583333333337E-2</v>
      </c>
      <c r="N8" s="175"/>
      <c r="O8" s="261">
        <f>VLOOKUP($A8,'Sandhill Detail'!$A$7:$CA$20,'Sandhill Detail'!$CA$251,0)</f>
        <v>94</v>
      </c>
      <c r="P8" s="230"/>
      <c r="Q8" s="230">
        <f>VLOOKUP($A8,'Sandhill Detail'!$A$221:$CA$250,'Sandhill Detail'!$BZ$251,0)</f>
        <v>116</v>
      </c>
      <c r="R8" s="262"/>
      <c r="S8" s="263"/>
      <c r="T8" s="230">
        <f>VLOOKUP($A8,'Sandhill Detail'!$A$7:$CA$20,'Sandhill Detail'!$CA$251,0)</f>
        <v>94</v>
      </c>
      <c r="U8" s="230"/>
      <c r="V8" s="230">
        <f>VLOOKUP($A8,'Sandhill Detail'!$A$221:$CA$250,'Sandhill Detail'!$CA$251,0)</f>
        <v>116</v>
      </c>
      <c r="W8" s="230"/>
      <c r="X8" s="264">
        <f>IF(AND(V8&lt;0,T8&gt;0),"NM",IF(ISERROR(T8/V8-1),0,IF(OR(T8/V8-1&gt;2,T8/V8-1&lt;-2),"NM",T8/V8-1)))</f>
        <v>-0.18965517241379315</v>
      </c>
      <c r="Y8" s="175"/>
      <c r="Z8" s="261">
        <f>D8+O8</f>
        <v>443</v>
      </c>
      <c r="AA8" s="230"/>
      <c r="AB8" s="230">
        <f>F8+Q8</f>
        <v>500</v>
      </c>
      <c r="AC8" s="262"/>
      <c r="AD8" s="263"/>
      <c r="AE8" s="230">
        <f>I8+T8</f>
        <v>443</v>
      </c>
      <c r="AF8" s="230"/>
      <c r="AG8" s="230">
        <f>K8+V8</f>
        <v>500</v>
      </c>
      <c r="AH8" s="230"/>
      <c r="AI8" s="264">
        <f>IF(AND(AG8&lt;0,AE8&gt;0),"NM",IF(ISERROR(AE8/AG8-1),0,IF(OR(AE8/AG8-1&gt;2,AE8/AG8-1&lt;-2),"NM",AE8/AG8-1)))</f>
        <v>-0.11399999999999999</v>
      </c>
    </row>
    <row r="9" spans="1:35" x14ac:dyDescent="0.3">
      <c r="A9" s="265"/>
      <c r="B9" s="266" t="s">
        <v>402</v>
      </c>
      <c r="C9" s="233"/>
      <c r="D9" s="267">
        <f>VLOOKUP($B9,'Hillpointe Detail'!$A$7:$CA$20,'Hillpointe Detail'!$BZ$251,0)</f>
        <v>448</v>
      </c>
      <c r="E9" s="234"/>
      <c r="F9" s="186">
        <f>VLOOKUP($B9,'Hillpointe Detail'!$A$221:$CA$250,'Hillpointe Detail'!$BZ$251,0)</f>
        <v>448</v>
      </c>
      <c r="G9" s="268"/>
      <c r="H9" s="269"/>
      <c r="I9" s="234">
        <f>VLOOKUP($B9,'Hillpointe Detail'!$A$7:$CA$20,'Hillpointe Detail'!$BZ$251,0)</f>
        <v>448</v>
      </c>
      <c r="J9" s="234"/>
      <c r="K9" s="186">
        <f>VLOOKUP($B9,'Hillpointe Detail'!$A$221:$CA$250,'Hillpointe Detail'!$CA$251,0)</f>
        <v>448</v>
      </c>
      <c r="L9" s="234"/>
      <c r="M9" s="270">
        <f>IF(AND(K9&lt;0,I9&gt;0),"NM",IF(ISERROR(I9/K9-1),0,IF(OR(I9/K9-1&gt;2,I9/K9-1&lt;-2),"NM",I9/K9-1)))</f>
        <v>0</v>
      </c>
      <c r="N9" s="178"/>
      <c r="O9" s="267">
        <f>VLOOKUP($B9,'Sandhill Detail'!$A$7:$CA$20,'Sandhill Detail'!$BZ$251,0)</f>
        <v>196</v>
      </c>
      <c r="P9" s="234"/>
      <c r="Q9" s="186">
        <f>VLOOKUP($B9,'Sandhill Detail'!$A$221:$CA$250,'Sandhill Detail'!$BZ$251,0)</f>
        <v>196</v>
      </c>
      <c r="R9" s="268"/>
      <c r="S9" s="269"/>
      <c r="T9" s="234">
        <f>VLOOKUP($B9,'Sandhill Detail'!$A$7:$CA$20,'Sandhill Detail'!$BZ$251,0)</f>
        <v>196</v>
      </c>
      <c r="U9" s="234"/>
      <c r="V9" s="186">
        <f>VLOOKUP($B9,'Sandhill Detail'!$A$221:$CA$250,'Sandhill Detail'!$CA$251,0)</f>
        <v>196</v>
      </c>
      <c r="W9" s="234"/>
      <c r="X9" s="270">
        <f>IF(AND(V9&lt;0,T9&gt;0),"NM",IF(ISERROR(T9/V9-1),0,IF(OR(T9/V9-1&gt;2,T9/V9-1&lt;-2),"NM",T9/V9-1)))</f>
        <v>0</v>
      </c>
      <c r="Y9" s="178"/>
      <c r="Z9" s="267">
        <f>D9+O9</f>
        <v>644</v>
      </c>
      <c r="AA9" s="234"/>
      <c r="AB9" s="186">
        <f>F9+Q9</f>
        <v>644</v>
      </c>
      <c r="AC9" s="268"/>
      <c r="AD9" s="269"/>
      <c r="AE9" s="234">
        <f>I9+T9</f>
        <v>644</v>
      </c>
      <c r="AF9" s="234"/>
      <c r="AG9" s="186">
        <f>K9+V9</f>
        <v>644</v>
      </c>
      <c r="AH9" s="186"/>
      <c r="AI9" s="270">
        <f>IF(AND(AG9&lt;0,AE9&gt;0),"NM",IF(ISERROR(AE9/AG9-1),0,IF(OR(AE9/AG9-1&gt;2,AE9/AG9-1&lt;-2),"NM",AE9/AG9-1)))</f>
        <v>0</v>
      </c>
    </row>
    <row r="10" spans="1:35" ht="3" customHeight="1" x14ac:dyDescent="0.3">
      <c r="A10" s="265"/>
      <c r="B10" s="266"/>
      <c r="C10" s="233"/>
      <c r="D10" s="271"/>
      <c r="E10" s="234"/>
      <c r="F10" s="236"/>
      <c r="G10" s="268"/>
      <c r="H10" s="269"/>
      <c r="I10" s="236"/>
      <c r="J10" s="234"/>
      <c r="K10" s="236"/>
      <c r="L10" s="234"/>
      <c r="M10" s="272"/>
      <c r="N10" s="178"/>
      <c r="O10" s="271"/>
      <c r="P10" s="234"/>
      <c r="Q10" s="235"/>
      <c r="R10" s="268"/>
      <c r="S10" s="269"/>
      <c r="T10" s="236"/>
      <c r="U10" s="234"/>
      <c r="V10" s="235"/>
      <c r="W10" s="234"/>
      <c r="X10" s="272"/>
      <c r="Y10" s="178"/>
      <c r="Z10" s="271"/>
      <c r="AA10" s="234"/>
      <c r="AB10" s="235"/>
      <c r="AC10" s="268"/>
      <c r="AD10" s="269"/>
      <c r="AE10" s="236"/>
      <c r="AF10" s="234"/>
      <c r="AG10" s="235"/>
      <c r="AH10" s="186"/>
      <c r="AI10" s="272"/>
    </row>
    <row r="11" spans="1:35" x14ac:dyDescent="0.3">
      <c r="A11" s="259" t="s">
        <v>157</v>
      </c>
      <c r="B11" s="260"/>
      <c r="C11" s="229"/>
      <c r="D11" s="261">
        <f>D9-D8</f>
        <v>99</v>
      </c>
      <c r="E11" s="230"/>
      <c r="F11" s="230">
        <f>F9-F8</f>
        <v>64</v>
      </c>
      <c r="G11" s="262"/>
      <c r="H11" s="263"/>
      <c r="I11" s="230">
        <f>I9-I8</f>
        <v>99</v>
      </c>
      <c r="J11" s="230"/>
      <c r="K11" s="230">
        <f>K9-K8</f>
        <v>64</v>
      </c>
      <c r="L11" s="230"/>
      <c r="M11" s="264">
        <f>IF(AND(K11&lt;0,I11&gt;0),"NM",IF(ISERROR(I11/K11-1),0,IF(OR(I11/K11-1&gt;2,I11/K11-1&lt;-2),"NM",I11/K11-1)))</f>
        <v>0.546875</v>
      </c>
      <c r="N11" s="175"/>
      <c r="O11" s="261">
        <f>O9-O8</f>
        <v>102</v>
      </c>
      <c r="P11" s="230"/>
      <c r="Q11" s="230">
        <f>Q9-Q8</f>
        <v>80</v>
      </c>
      <c r="R11" s="262"/>
      <c r="S11" s="263"/>
      <c r="T11" s="230">
        <f>T9-T8</f>
        <v>102</v>
      </c>
      <c r="U11" s="230"/>
      <c r="V11" s="230">
        <f>V9-V8</f>
        <v>80</v>
      </c>
      <c r="W11" s="230"/>
      <c r="X11" s="264">
        <f>IF(AND(V11&lt;0,T11&gt;0),"NM",IF(ISERROR(T11/V11-1),0,IF(OR(T11/V11-1&gt;2,T11/V11-1&lt;-2),"NM",T11/V11-1)))</f>
        <v>0.27499999999999991</v>
      </c>
      <c r="Y11" s="175"/>
      <c r="Z11" s="261">
        <f>Z9-Z8</f>
        <v>201</v>
      </c>
      <c r="AA11" s="230"/>
      <c r="AB11" s="230">
        <f>AB9-AB8</f>
        <v>144</v>
      </c>
      <c r="AC11" s="262"/>
      <c r="AD11" s="263"/>
      <c r="AE11" s="230">
        <f>AE9-AE8</f>
        <v>201</v>
      </c>
      <c r="AF11" s="230"/>
      <c r="AG11" s="230">
        <f>AG9-AG8</f>
        <v>144</v>
      </c>
      <c r="AH11" s="230"/>
      <c r="AI11" s="264">
        <f>IF(AND(AG11&lt;0,AE11&gt;0),"NM",IF(ISERROR(AE11/AG11-1),0,IF(OR(AE11/AG11-1&gt;2,AE11/AG11-1&lt;-2),"NM",AE11/AG11-1)))</f>
        <v>0.39583333333333326</v>
      </c>
    </row>
    <row r="12" spans="1:35" x14ac:dyDescent="0.3">
      <c r="A12" s="265"/>
      <c r="B12" s="273" t="s">
        <v>158</v>
      </c>
      <c r="C12" s="233"/>
      <c r="D12" s="274">
        <f>D8/D9</f>
        <v>0.7790178571428571</v>
      </c>
      <c r="E12" s="234"/>
      <c r="F12" s="238">
        <f>F8/F9</f>
        <v>0.8571428571428571</v>
      </c>
      <c r="G12" s="268"/>
      <c r="H12" s="269"/>
      <c r="I12" s="238">
        <f>I8/I9</f>
        <v>0.7790178571428571</v>
      </c>
      <c r="J12" s="234"/>
      <c r="K12" s="238">
        <f>K8/K9</f>
        <v>0.8571428571428571</v>
      </c>
      <c r="L12" s="234"/>
      <c r="M12" s="275"/>
      <c r="N12" s="178"/>
      <c r="O12" s="274">
        <f>O8/O9</f>
        <v>0.47959183673469385</v>
      </c>
      <c r="P12" s="234"/>
      <c r="Q12" s="238">
        <f>Q8/Q9</f>
        <v>0.59183673469387754</v>
      </c>
      <c r="R12" s="268"/>
      <c r="S12" s="269"/>
      <c r="T12" s="238">
        <f>T8/T9</f>
        <v>0.47959183673469385</v>
      </c>
      <c r="U12" s="234"/>
      <c r="V12" s="238">
        <f>V8/V9</f>
        <v>0.59183673469387754</v>
      </c>
      <c r="W12" s="234"/>
      <c r="X12" s="275"/>
      <c r="Y12" s="178"/>
      <c r="Z12" s="274">
        <f>Z8/Z9</f>
        <v>0.68788819875776397</v>
      </c>
      <c r="AA12" s="234"/>
      <c r="AB12" s="238">
        <f>AB8/AB9</f>
        <v>0.77639751552795033</v>
      </c>
      <c r="AC12" s="268"/>
      <c r="AD12" s="269"/>
      <c r="AE12" s="238">
        <f>AE8/AE9</f>
        <v>0.68788819875776397</v>
      </c>
      <c r="AF12" s="234"/>
      <c r="AG12" s="238">
        <f>AG8/AG9</f>
        <v>0.77639751552795033</v>
      </c>
      <c r="AH12" s="234"/>
      <c r="AI12" s="275"/>
    </row>
    <row r="13" spans="1:35" ht="6" customHeight="1" x14ac:dyDescent="0.3">
      <c r="A13" s="257"/>
      <c r="B13" s="258"/>
      <c r="D13" s="257"/>
      <c r="E13" s="226"/>
      <c r="F13" s="226"/>
      <c r="G13" s="250"/>
      <c r="H13" s="247"/>
      <c r="I13" s="226"/>
      <c r="J13" s="226"/>
      <c r="K13" s="226"/>
      <c r="L13" s="226"/>
      <c r="M13" s="258"/>
      <c r="O13" s="257"/>
      <c r="P13" s="226"/>
      <c r="Q13" s="226"/>
      <c r="R13" s="250"/>
      <c r="S13" s="247"/>
      <c r="T13" s="226"/>
      <c r="U13" s="226"/>
      <c r="V13" s="226"/>
      <c r="W13" s="226"/>
      <c r="X13" s="258"/>
      <c r="Z13" s="257"/>
      <c r="AA13" s="226"/>
      <c r="AB13" s="226"/>
      <c r="AC13" s="250"/>
      <c r="AD13" s="247"/>
      <c r="AE13" s="226"/>
      <c r="AF13" s="226"/>
      <c r="AG13" s="226"/>
      <c r="AH13" s="226"/>
      <c r="AI13" s="258"/>
    </row>
    <row r="14" spans="1:35" x14ac:dyDescent="0.3">
      <c r="A14" s="259" t="s">
        <v>123</v>
      </c>
      <c r="B14" s="260"/>
      <c r="C14" s="229"/>
      <c r="D14" s="276"/>
      <c r="E14" s="228"/>
      <c r="F14" s="228"/>
      <c r="G14" s="277"/>
      <c r="H14" s="278"/>
      <c r="I14" s="228"/>
      <c r="J14" s="228"/>
      <c r="K14" s="228"/>
      <c r="L14" s="228"/>
      <c r="M14" s="260"/>
      <c r="N14" s="229"/>
      <c r="O14" s="276"/>
      <c r="P14" s="228"/>
      <c r="Q14" s="228"/>
      <c r="R14" s="277"/>
      <c r="S14" s="278"/>
      <c r="T14" s="228"/>
      <c r="U14" s="228"/>
      <c r="V14" s="228"/>
      <c r="W14" s="228"/>
      <c r="X14" s="260"/>
      <c r="Y14" s="229"/>
      <c r="Z14" s="276"/>
      <c r="AA14" s="228"/>
      <c r="AB14" s="228"/>
      <c r="AC14" s="277"/>
      <c r="AD14" s="278"/>
      <c r="AE14" s="228"/>
      <c r="AF14" s="228"/>
      <c r="AG14" s="228"/>
      <c r="AH14" s="228"/>
      <c r="AI14" s="260"/>
    </row>
    <row r="15" spans="1:35" x14ac:dyDescent="0.3">
      <c r="A15" s="257"/>
      <c r="B15" s="258" t="s">
        <v>125</v>
      </c>
      <c r="D15" s="279">
        <f>VLOOKUP($B15,'Hillpointe Detail'!$A$186:$CA$212,'Hillpointe Detail'!$BZ$251,0)</f>
        <v>214379.51</v>
      </c>
      <c r="E15" s="239"/>
      <c r="F15" s="239">
        <f>VLOOKUP($B15,'Hillpointe Detail'!$A$221:$CA$250,'Hillpointe Detail'!$BZ$251,0)</f>
        <v>254144</v>
      </c>
      <c r="G15" s="280"/>
      <c r="H15" s="281"/>
      <c r="I15" s="239">
        <f>VLOOKUP($B15,'Hillpointe Detail'!$A$186:$CA$212,'Hillpointe Detail'!$CA$251,0)</f>
        <v>2292149.35</v>
      </c>
      <c r="J15" s="239"/>
      <c r="K15" s="239">
        <f>VLOOKUP($B15,'Hillpointe Detail'!$A$221:$CA$250,'Hillpointe Detail'!$CA$251,0)</f>
        <v>2748768</v>
      </c>
      <c r="L15" s="239"/>
      <c r="M15" s="270">
        <f>IF(AND(K15&lt;0,I15&gt;0),"NM",IF(ISERROR(I15/K15-1),0,IF(OR(I15/K15-1&gt;2,I15/K15-1&lt;-2),"NM",I15/K15-1)))</f>
        <v>-0.16611756612416906</v>
      </c>
      <c r="O15" s="279">
        <f>VLOOKUP($B15,'Sandhill Detail'!$A$186:$CA$212,'Sandhill Detail'!$BZ$251,0)</f>
        <v>60466.01</v>
      </c>
      <c r="P15" s="226"/>
      <c r="Q15" s="239">
        <f>VLOOKUP($B15,'Sandhill Detail'!$A$221:$CA$250,'Sandhill Detail'!$BZ$251,0)</f>
        <v>70528</v>
      </c>
      <c r="R15" s="250"/>
      <c r="S15" s="247"/>
      <c r="T15" s="239">
        <f>VLOOKUP($B15,'Sandhill Detail'!$A$186:$CA$212,'Sandhill Detail'!$CA$251,0)</f>
        <v>646503.65</v>
      </c>
      <c r="U15" s="226"/>
      <c r="V15" s="239">
        <f>VLOOKUP($B15,'Sandhill Detail'!$A$221:$CA$250,'Sandhill Detail'!$CA$251,0)</f>
        <v>775200</v>
      </c>
      <c r="W15" s="226"/>
      <c r="X15" s="270">
        <f>IF(AND(V15&lt;0,T15&gt;0),"NM",IF(ISERROR(T15/V15-1),0,IF(OR(T15/V15-1&gt;2,T15/V15-1&lt;-2),"NM",T15/V15-1)))</f>
        <v>-0.16601696336429306</v>
      </c>
      <c r="Z15" s="279">
        <f>D15+O15</f>
        <v>274845.52</v>
      </c>
      <c r="AA15" s="239"/>
      <c r="AB15" s="239">
        <f>F15+Q15</f>
        <v>324672</v>
      </c>
      <c r="AC15" s="280"/>
      <c r="AD15" s="281"/>
      <c r="AE15" s="239">
        <f>I15+T15</f>
        <v>2938653</v>
      </c>
      <c r="AF15" s="239"/>
      <c r="AG15" s="239">
        <f>K15+V15</f>
        <v>3523968</v>
      </c>
      <c r="AH15" s="239"/>
      <c r="AI15" s="270">
        <f>IF(AND(AG15&lt;0,AE15&gt;0),"NM",IF(ISERROR(AE15/AG15-1),0,IF(OR(AE15/AG15-1&gt;2,AE15/AG15-1&lt;-2),"NM",AE15/AG15-1)))</f>
        <v>-0.16609543559986928</v>
      </c>
    </row>
    <row r="16" spans="1:35" x14ac:dyDescent="0.3">
      <c r="A16" s="276"/>
      <c r="B16" s="260" t="s">
        <v>126</v>
      </c>
      <c r="C16" s="229"/>
      <c r="D16" s="261">
        <f>VLOOKUP($B16,'Hillpointe Detail'!$A$186:$CA$212,'Hillpointe Detail'!$BZ$251,0)</f>
        <v>520.07000000000005</v>
      </c>
      <c r="E16" s="230"/>
      <c r="F16" s="230">
        <f>VLOOKUP($B16,'Hillpointe Detail'!$A$221:$CA$250,'Hillpointe Detail'!$BZ$251,0)</f>
        <v>8584.2100000000009</v>
      </c>
      <c r="G16" s="262"/>
      <c r="H16" s="263"/>
      <c r="I16" s="230">
        <f>VLOOKUP($B16,'Hillpointe Detail'!$A$186:$CA$212,'Hillpointe Detail'!$CA$251,0)</f>
        <v>704744.43</v>
      </c>
      <c r="J16" s="230"/>
      <c r="K16" s="230">
        <f>VLOOKUP($B16,'Hillpointe Detail'!$A$221:$CA$250,'Hillpointe Detail'!$CA$251,0)</f>
        <v>422923.28090909094</v>
      </c>
      <c r="L16" s="230"/>
      <c r="M16" s="264">
        <f>IF(AND(K16&lt;0,I16&gt;0),"NM",IF(ISERROR(I16/K16-1),0,IF(OR(I16/K16-1&gt;2,I16/K16-1&lt;-2),"NM",I16/K16-1)))</f>
        <v>0.66636470918584334</v>
      </c>
      <c r="N16" s="175"/>
      <c r="O16" s="261">
        <f>VLOOKUP($B16,'Sandhill Detail'!$A$186:$CA$212,'Sandhill Detail'!$BZ$251,0)</f>
        <v>0</v>
      </c>
      <c r="P16" s="230"/>
      <c r="Q16" s="230">
        <f>VLOOKUP($B16,'Sandhill Detail'!$A$221:$CA$250,'Sandhill Detail'!$BZ$251,0)</f>
        <v>2421.1900000000005</v>
      </c>
      <c r="R16" s="262"/>
      <c r="S16" s="263"/>
      <c r="T16" s="230">
        <f>VLOOKUP($B16,'Sandhill Detail'!$A$186:$CA$212,'Sandhill Detail'!$CA$251,0)</f>
        <v>198887.38</v>
      </c>
      <c r="U16" s="230"/>
      <c r="V16" s="230">
        <f>VLOOKUP($B16,'Sandhill Detail'!$A$221:$CA$250,'Sandhill Detail'!$CA$251,0)</f>
        <v>119741.84909090909</v>
      </c>
      <c r="W16" s="230"/>
      <c r="X16" s="264">
        <f>IF(AND(V16&lt;0,T16&gt;0),"NM",IF(ISERROR(T16/V16-1),0,IF(OR(T16/V16-1&gt;2,T16/V16-1&lt;-2),"NM",T16/V16-1)))</f>
        <v>0.66096800333359562</v>
      </c>
      <c r="Y16" s="175"/>
      <c r="Z16" s="261">
        <f>D16+O16</f>
        <v>520.07000000000005</v>
      </c>
      <c r="AA16" s="230"/>
      <c r="AB16" s="230">
        <f>F16+Q16</f>
        <v>11005.400000000001</v>
      </c>
      <c r="AC16" s="262"/>
      <c r="AD16" s="263"/>
      <c r="AE16" s="230">
        <f>I16+T16</f>
        <v>903631.81</v>
      </c>
      <c r="AF16" s="230"/>
      <c r="AG16" s="230">
        <f>K16+V16</f>
        <v>542665.13</v>
      </c>
      <c r="AH16" s="230"/>
      <c r="AI16" s="264">
        <f>IF(AND(AG16&lt;0,AE16&gt;0),"NM",IF(ISERROR(AE16/AG16-1),0,IF(OR(AE16/AG16-1&gt;2,AE16/AG16-1&lt;-2),"NM",AE16/AG16-1)))</f>
        <v>0.66517389831183737</v>
      </c>
    </row>
    <row r="17" spans="1:35" x14ac:dyDescent="0.3">
      <c r="A17" s="257"/>
      <c r="B17" s="258" t="s">
        <v>256</v>
      </c>
      <c r="D17" s="282">
        <f>VLOOKUP($B17,'Hillpointe Detail'!$A$186:$CA$212,'Hillpointe Detail'!$BZ$251,0)</f>
        <v>16119.01</v>
      </c>
      <c r="E17" s="186"/>
      <c r="F17" s="186">
        <f>VLOOKUP($B17,'Hillpointe Detail'!$A$221:$CA$250,'Hillpointe Detail'!$BZ$251,0)</f>
        <v>15114.606199999995</v>
      </c>
      <c r="G17" s="283"/>
      <c r="H17" s="284"/>
      <c r="I17" s="186">
        <f>VLOOKUP($B17,'Hillpointe Detail'!$A$186:$CA$212,'Hillpointe Detail'!$CA$251,0)</f>
        <v>64476.04</v>
      </c>
      <c r="J17" s="186"/>
      <c r="K17" s="186">
        <f>VLOOKUP($B17,'Hillpointe Detail'!$A$221:$CA$250,'Hillpointe Detail'!$CA$251,0)</f>
        <v>60043.706199999993</v>
      </c>
      <c r="L17" s="186"/>
      <c r="M17" s="270">
        <f>IF(AND(K17&lt;0,I17&gt;0),"NM",IF(ISERROR(I17/K17-1),0,IF(OR(I17/K17-1&gt;2,I17/K17-1&lt;-2),"NM",I17/K17-1)))</f>
        <v>7.3818457928568115E-2</v>
      </c>
      <c r="N17" s="166"/>
      <c r="O17" s="282">
        <f>VLOOKUP($B17,'Sandhill Detail'!$A$186:$CA$212,'Sandhill Detail'!$BZ$251,0)</f>
        <v>4546.3900000000003</v>
      </c>
      <c r="P17" s="186"/>
      <c r="Q17" s="186">
        <f>VLOOKUP($B17,'Sandhill Detail'!$A$221:$CA$250,'Sandhill Detail'!$BZ$251,0)</f>
        <v>4263.0838000000003</v>
      </c>
      <c r="R17" s="283"/>
      <c r="S17" s="284"/>
      <c r="T17" s="186">
        <f>VLOOKUP($B17,'Sandhill Detail'!$A$186:$CA$212,'Sandhill Detail'!$CA$251,0)</f>
        <v>18185.560000000001</v>
      </c>
      <c r="U17" s="186"/>
      <c r="V17" s="186">
        <f>VLOOKUP($B17,'Sandhill Detail'!$A$221:$CA$250,'Sandhill Detail'!$CA$251,0)</f>
        <v>16935.3838</v>
      </c>
      <c r="W17" s="186"/>
      <c r="X17" s="270">
        <f>IF(AND(V17&lt;0,T17&gt;0),"NM",IF(ISERROR(T17/V17-1),0,IF(OR(T17/V17-1&gt;2,T17/V17-1&lt;-2),"NM",T17/V17-1)))</f>
        <v>7.3820364201016897E-2</v>
      </c>
      <c r="Y17" s="166"/>
      <c r="Z17" s="282">
        <f>D17+O17</f>
        <v>20665.400000000001</v>
      </c>
      <c r="AA17" s="186"/>
      <c r="AB17" s="186">
        <f>F17+Q17</f>
        <v>19377.689999999995</v>
      </c>
      <c r="AC17" s="283"/>
      <c r="AD17" s="284"/>
      <c r="AE17" s="186">
        <f>I17+T17</f>
        <v>82661.600000000006</v>
      </c>
      <c r="AF17" s="186"/>
      <c r="AG17" s="186">
        <f>K17+V17</f>
        <v>76979.09</v>
      </c>
      <c r="AH17" s="186"/>
      <c r="AI17" s="270">
        <f>IF(AND(AG17&lt;0,AE17&gt;0),"NM",IF(ISERROR(AE17/AG17-1),0,IF(OR(AE17/AG17-1&gt;2,AE17/AG17-1&lt;-2),"NM",AE17/AG17-1)))</f>
        <v>7.3818877308110764E-2</v>
      </c>
    </row>
    <row r="18" spans="1:35" x14ac:dyDescent="0.3">
      <c r="A18" s="276"/>
      <c r="B18" s="260" t="s">
        <v>127</v>
      </c>
      <c r="C18" s="229"/>
      <c r="D18" s="261">
        <f>VLOOKUP($B18,'Hillpointe Detail'!$A$186:$CA$212,'Hillpointe Detail'!$BZ$251,0)</f>
        <v>2829.68</v>
      </c>
      <c r="E18" s="230"/>
      <c r="F18" s="230">
        <f>VLOOKUP($B18,'Hillpointe Detail'!$A$221:$CA$250,'Hillpointe Detail'!$BZ$251,0)</f>
        <v>1263.4228571428571</v>
      </c>
      <c r="G18" s="262"/>
      <c r="H18" s="263"/>
      <c r="I18" s="230">
        <f>VLOOKUP($B18,'Hillpointe Detail'!$A$186:$CA$212,'Hillpointe Detail'!$CA$251,0)</f>
        <v>32825.659999999996</v>
      </c>
      <c r="J18" s="230"/>
      <c r="K18" s="230">
        <f>VLOOKUP($B18,'Hillpointe Detail'!$A$221:$CA$250,'Hillpointe Detail'!$CA$251,0)</f>
        <v>15988.228571428572</v>
      </c>
      <c r="L18" s="230"/>
      <c r="M18" s="264">
        <f>IF(AND(K18&lt;0,I18&gt;0),"NM",IF(ISERROR(I18/K18-1),0,IF(OR(I18/K18-1&gt;2,I18/K18-1&lt;-2),"NM",I18/K18-1)))</f>
        <v>1.0531142554879658</v>
      </c>
      <c r="N18" s="175"/>
      <c r="O18" s="261">
        <f>VLOOKUP($B18,'Sandhill Detail'!$A$186:$CA$212,'Sandhill Detail'!$BZ$251,0)</f>
        <v>498.72</v>
      </c>
      <c r="P18" s="230"/>
      <c r="Q18" s="230">
        <f>VLOOKUP($B18,'Sandhill Detail'!$A$221:$CA$250,'Sandhill Detail'!$BZ$251,0)</f>
        <v>601.34</v>
      </c>
      <c r="R18" s="262"/>
      <c r="S18" s="263"/>
      <c r="T18" s="230">
        <f>VLOOKUP($B18,'Sandhill Detail'!$A$186:$CA$212,'Sandhill Detail'!$CA$251,0)</f>
        <v>7283.9500000000007</v>
      </c>
      <c r="U18" s="230"/>
      <c r="V18" s="230">
        <f>VLOOKUP($B18,'Sandhill Detail'!$A$221:$CA$250,'Sandhill Detail'!$CA$251,0)</f>
        <v>7412.06</v>
      </c>
      <c r="W18" s="230"/>
      <c r="X18" s="264">
        <f>IF(AND(V18&lt;0,T18&gt;0),"NM",IF(ISERROR(T18/V18-1),0,IF(OR(T18/V18-1&gt;2,T18/V18-1&lt;-2),"NM",T18/V18-1)))</f>
        <v>-1.7283993923416618E-2</v>
      </c>
      <c r="Y18" s="175"/>
      <c r="Z18" s="261">
        <f>D18+O18</f>
        <v>3328.3999999999996</v>
      </c>
      <c r="AA18" s="230"/>
      <c r="AB18" s="230">
        <f>F18+Q18</f>
        <v>1864.7628571428572</v>
      </c>
      <c r="AC18" s="262"/>
      <c r="AD18" s="263"/>
      <c r="AE18" s="230">
        <f>I18+T18</f>
        <v>40109.61</v>
      </c>
      <c r="AF18" s="230"/>
      <c r="AG18" s="230">
        <f>K18+V18</f>
        <v>23400.288571428573</v>
      </c>
      <c r="AH18" s="230"/>
      <c r="AI18" s="264">
        <f>IF(AND(AG18&lt;0,AE18&gt;0),"NM",IF(ISERROR(AE18/AG18-1),0,IF(OR(AE18/AG18-1&gt;2,AE18/AG18-1&lt;-2),"NM",AE18/AG18-1)))</f>
        <v>0.71406475939673997</v>
      </c>
    </row>
    <row r="19" spans="1:35" x14ac:dyDescent="0.3">
      <c r="A19" s="257"/>
      <c r="B19" s="258" t="s">
        <v>124</v>
      </c>
      <c r="D19" s="282">
        <f>VLOOKUP($B19,'Hillpointe Detail'!$A$186:$CA$212,'Hillpointe Detail'!$BZ$251,0)</f>
        <v>652.04</v>
      </c>
      <c r="E19" s="186"/>
      <c r="F19" s="186">
        <f>VLOOKUP($B19,'Hillpointe Detail'!$A$221:$CA$250,'Hillpointe Detail'!$BZ$251,0)</f>
        <v>190.21946428571428</v>
      </c>
      <c r="G19" s="283"/>
      <c r="H19" s="284"/>
      <c r="I19" s="186">
        <f>VLOOKUP($B19,'Hillpointe Detail'!$A$186:$CA$212,'Hillpointe Detail'!$CA$251,0)</f>
        <v>23512.570000000003</v>
      </c>
      <c r="J19" s="186"/>
      <c r="K19" s="186">
        <f>VLOOKUP($B19,'Hillpointe Detail'!$A$221:$CA$250,'Hillpointe Detail'!$CA$251,0)</f>
        <v>4672.3683928571427</v>
      </c>
      <c r="L19" s="186"/>
      <c r="M19" s="270" t="str">
        <f>IF(AND(K19&lt;0,I19&gt;0),"NM",IF(ISERROR(I19/K19-1),0,IF(OR(I19/K19-1&gt;2,I19/K19-1&lt;-2),"NM",I19/K19-1)))</f>
        <v>NM</v>
      </c>
      <c r="N19" s="166"/>
      <c r="O19" s="282">
        <f>VLOOKUP($B19,'Sandhill Detail'!$A$186:$CA$212,'Sandhill Detail'!$BZ$251,0)</f>
        <v>689.05</v>
      </c>
      <c r="P19" s="186"/>
      <c r="Q19" s="186">
        <f>VLOOKUP($B19,'Sandhill Detail'!$A$221:$CA$250,'Sandhill Detail'!$BZ$251,0)</f>
        <v>3.6112500000000001</v>
      </c>
      <c r="R19" s="283"/>
      <c r="S19" s="284"/>
      <c r="T19" s="186">
        <f>VLOOKUP($B19,'Sandhill Detail'!$A$186:$CA$212,'Sandhill Detail'!$CA$251,0)</f>
        <v>4380.920000000001</v>
      </c>
      <c r="U19" s="186"/>
      <c r="V19" s="186">
        <f>VLOOKUP($B19,'Sandhill Detail'!$A$221:$CA$250,'Sandhill Detail'!$CA$251,0)</f>
        <v>1041.8637499999998</v>
      </c>
      <c r="W19" s="186"/>
      <c r="X19" s="270" t="str">
        <f>IF(AND(V19&lt;0,T19&gt;0),"NM",IF(ISERROR(T19/V19-1),0,IF(OR(T19/V19-1&gt;2,T19/V19-1&lt;-2),"NM",T19/V19-1)))</f>
        <v>NM</v>
      </c>
      <c r="Y19" s="166"/>
      <c r="Z19" s="282">
        <f>D19+O19</f>
        <v>1341.09</v>
      </c>
      <c r="AA19" s="186"/>
      <c r="AB19" s="186">
        <f>F19+Q19</f>
        <v>193.83071428571429</v>
      </c>
      <c r="AC19" s="283"/>
      <c r="AD19" s="284"/>
      <c r="AE19" s="186">
        <f>I19+T19</f>
        <v>27893.490000000005</v>
      </c>
      <c r="AF19" s="186"/>
      <c r="AG19" s="186">
        <f>K19+V19</f>
        <v>5714.2321428571422</v>
      </c>
      <c r="AH19" s="186"/>
      <c r="AI19" s="270" t="str">
        <f>IF(AND(AG19&lt;0,AE19&gt;0),"NM",IF(ISERROR(AE19/AG19-1),0,IF(OR(AE19/AG19-1&gt;2,AE19/AG19-1&lt;-2),"NM",AE19/AG19-1)))</f>
        <v>NM</v>
      </c>
    </row>
    <row r="20" spans="1:35" ht="3" customHeight="1" x14ac:dyDescent="0.3">
      <c r="A20" s="257"/>
      <c r="B20" s="258"/>
      <c r="D20" s="285"/>
      <c r="E20" s="186"/>
      <c r="F20" s="235"/>
      <c r="G20" s="283"/>
      <c r="H20" s="284"/>
      <c r="I20" s="235"/>
      <c r="J20" s="186"/>
      <c r="K20" s="235"/>
      <c r="L20" s="186"/>
      <c r="M20" s="272"/>
      <c r="N20" s="166"/>
      <c r="O20" s="285"/>
      <c r="P20" s="186"/>
      <c r="Q20" s="235"/>
      <c r="R20" s="283"/>
      <c r="S20" s="284"/>
      <c r="T20" s="235"/>
      <c r="U20" s="186"/>
      <c r="V20" s="235"/>
      <c r="W20" s="186"/>
      <c r="X20" s="272"/>
      <c r="Y20" s="166"/>
      <c r="Z20" s="285"/>
      <c r="AA20" s="186"/>
      <c r="AB20" s="235"/>
      <c r="AC20" s="283"/>
      <c r="AD20" s="284"/>
      <c r="AE20" s="235"/>
      <c r="AF20" s="186"/>
      <c r="AG20" s="235"/>
      <c r="AH20" s="186"/>
      <c r="AI20" s="272"/>
    </row>
    <row r="21" spans="1:35" x14ac:dyDescent="0.3">
      <c r="A21" s="259" t="s">
        <v>128</v>
      </c>
      <c r="B21" s="260"/>
      <c r="C21" s="229"/>
      <c r="D21" s="261">
        <f>SUM(D15:D20)</f>
        <v>234500.31000000003</v>
      </c>
      <c r="E21" s="230"/>
      <c r="F21" s="230">
        <f>SUM(F15:F20)</f>
        <v>279296.45852142858</v>
      </c>
      <c r="G21" s="262"/>
      <c r="H21" s="263"/>
      <c r="I21" s="230">
        <f>SUM(I15:I20)</f>
        <v>3117708.0500000003</v>
      </c>
      <c r="J21" s="230"/>
      <c r="K21" s="230">
        <f>SUM(K15:K20)</f>
        <v>3252395.5840733764</v>
      </c>
      <c r="L21" s="230"/>
      <c r="M21" s="264">
        <f>IF(AND(K21&lt;0,I21&gt;0),"NM",IF(ISERROR(I21/K21-1),0,IF(OR(I21/K21-1&gt;2,I21/K21-1&lt;-2),"NM",I21/K21-1)))</f>
        <v>-4.1411793427873933E-2</v>
      </c>
      <c r="N21" s="175"/>
      <c r="O21" s="261">
        <f>SUM(O15:O20)</f>
        <v>66200.17</v>
      </c>
      <c r="P21" s="230"/>
      <c r="Q21" s="230">
        <f>SUM(Q15:Q20)</f>
        <v>77817.225049999994</v>
      </c>
      <c r="R21" s="262"/>
      <c r="S21" s="263"/>
      <c r="T21" s="230">
        <f>SUM(T15:T20)</f>
        <v>875241.46000000008</v>
      </c>
      <c r="U21" s="230"/>
      <c r="V21" s="230">
        <f>SUM(V15:V20)</f>
        <v>920331.15664090915</v>
      </c>
      <c r="W21" s="230"/>
      <c r="X21" s="264">
        <f>IF(AND(V21&lt;0,T21&gt;0),"NM",IF(ISERROR(T21/V21-1),0,IF(OR(T21/V21-1&gt;2,T21/V21-1&lt;-2),"NM",T21/V21-1)))</f>
        <v>-4.8992904690394967E-2</v>
      </c>
      <c r="Y21" s="175"/>
      <c r="Z21" s="261">
        <f>SUM(Z15:Z20)</f>
        <v>300700.4800000001</v>
      </c>
      <c r="AA21" s="230"/>
      <c r="AB21" s="230">
        <f>SUM(AB15:AB20)</f>
        <v>357113.68357142858</v>
      </c>
      <c r="AC21" s="262"/>
      <c r="AD21" s="263"/>
      <c r="AE21" s="230">
        <f>SUM(AE15:AE20)</f>
        <v>3992949.5100000002</v>
      </c>
      <c r="AF21" s="230"/>
      <c r="AG21" s="230">
        <f>SUM(AG15:AG20)</f>
        <v>4172726.7407142855</v>
      </c>
      <c r="AH21" s="230"/>
      <c r="AI21" s="264">
        <f>IF(AND(AG21&lt;0,AE21&gt;0),"NM",IF(ISERROR(AE21/AG21-1),0,IF(OR(AE21/AG21-1&gt;2,AE21/AG21-1&lt;-2),"NM",AE21/AG21-1)))</f>
        <v>-4.3083873420264096E-2</v>
      </c>
    </row>
    <row r="22" spans="1:35" ht="12" customHeight="1" x14ac:dyDescent="0.3">
      <c r="A22" s="257"/>
      <c r="B22" s="258"/>
      <c r="D22" s="282"/>
      <c r="E22" s="186"/>
      <c r="F22" s="186"/>
      <c r="G22" s="283"/>
      <c r="H22" s="284"/>
      <c r="I22" s="186"/>
      <c r="J22" s="186"/>
      <c r="K22" s="186"/>
      <c r="L22" s="186"/>
      <c r="M22" s="286"/>
      <c r="N22" s="166"/>
      <c r="O22" s="282"/>
      <c r="P22" s="186"/>
      <c r="Q22" s="186"/>
      <c r="R22" s="283"/>
      <c r="S22" s="284"/>
      <c r="T22" s="186"/>
      <c r="U22" s="186"/>
      <c r="V22" s="186"/>
      <c r="W22" s="186"/>
      <c r="X22" s="286"/>
      <c r="Y22" s="166"/>
      <c r="Z22" s="282"/>
      <c r="AA22" s="186"/>
      <c r="AB22" s="186"/>
      <c r="AC22" s="283"/>
      <c r="AD22" s="284"/>
      <c r="AE22" s="186"/>
      <c r="AF22" s="186"/>
      <c r="AG22" s="186"/>
      <c r="AH22" s="186"/>
      <c r="AI22" s="286"/>
    </row>
    <row r="23" spans="1:35" x14ac:dyDescent="0.3">
      <c r="A23" s="259" t="s">
        <v>18</v>
      </c>
      <c r="B23" s="260"/>
      <c r="C23" s="229"/>
      <c r="D23" s="261"/>
      <c r="E23" s="230"/>
      <c r="F23" s="230"/>
      <c r="G23" s="262"/>
      <c r="H23" s="263"/>
      <c r="I23" s="230"/>
      <c r="J23" s="230"/>
      <c r="K23" s="230"/>
      <c r="L23" s="230"/>
      <c r="M23" s="287"/>
      <c r="N23" s="175"/>
      <c r="O23" s="261"/>
      <c r="P23" s="230"/>
      <c r="Q23" s="230"/>
      <c r="R23" s="262"/>
      <c r="S23" s="263"/>
      <c r="T23" s="230"/>
      <c r="U23" s="230"/>
      <c r="V23" s="230"/>
      <c r="W23" s="230"/>
      <c r="X23" s="287"/>
      <c r="Y23" s="175"/>
      <c r="Z23" s="261"/>
      <c r="AA23" s="230"/>
      <c r="AB23" s="230"/>
      <c r="AC23" s="262"/>
      <c r="AD23" s="263"/>
      <c r="AE23" s="230"/>
      <c r="AF23" s="230"/>
      <c r="AG23" s="230"/>
      <c r="AH23" s="230"/>
      <c r="AI23" s="287"/>
    </row>
    <row r="24" spans="1:35" x14ac:dyDescent="0.3">
      <c r="A24" s="257"/>
      <c r="B24" s="258" t="s">
        <v>135</v>
      </c>
      <c r="D24" s="282">
        <f>VLOOKUP($B24,'Hillpointe Detail'!$A$186:$CA$212,'Hillpointe Detail'!$BZ$251,0)</f>
        <v>136424.00999999998</v>
      </c>
      <c r="E24" s="186"/>
      <c r="F24" s="186">
        <f>VLOOKUP($B24,'Hillpointe Detail'!$A$221:$CA$250,'Hillpointe Detail'!$BZ$251,0)</f>
        <v>115485.66316666665</v>
      </c>
      <c r="G24" s="283"/>
      <c r="H24" s="284"/>
      <c r="I24" s="186">
        <f>VLOOKUP($B24,'Hillpointe Detail'!$A$186:$CA$212,'Hillpointe Detail'!$CA$251,0)</f>
        <v>1230671.24</v>
      </c>
      <c r="J24" s="186"/>
      <c r="K24" s="186">
        <f>VLOOKUP($B24,'Hillpointe Detail'!$A$221:$CA$250,'Hillpointe Detail'!$CA$251,0)</f>
        <v>1157742.6316666666</v>
      </c>
      <c r="L24" s="186"/>
      <c r="M24" s="270">
        <f t="shared" ref="M24:M42" si="0">IF(AND(K24&lt;0,I24&gt;0),"NM",IF(ISERROR(I24/K24-1),0,IF(OR(I24/K24-1&gt;2,I24/K24-1&lt;-2),"NM",I24/K24-1)))</f>
        <v>6.2992072969055846E-2</v>
      </c>
      <c r="N24" s="166"/>
      <c r="O24" s="282">
        <f>VLOOKUP($B24,'Sandhill Detail'!$A$186:$CA$212,'Sandhill Detail'!$BZ$251,0)</f>
        <v>38478.57</v>
      </c>
      <c r="P24" s="186"/>
      <c r="Q24" s="186">
        <f>VLOOKUP($B24,'Sandhill Detail'!$A$221:$CA$250,'Sandhill Detail'!$BZ$251,0)</f>
        <v>42583.929166666669</v>
      </c>
      <c r="R24" s="283"/>
      <c r="S24" s="284"/>
      <c r="T24" s="186">
        <f>VLOOKUP($B24,'Sandhill Detail'!$A$186:$CA$212,'Sandhill Detail'!$CA$251,0)</f>
        <v>347112.36</v>
      </c>
      <c r="U24" s="186"/>
      <c r="V24" s="186">
        <f>VLOOKUP($B24,'Sandhill Detail'!$A$221:$CA$250,'Sandhill Detail'!$CA$251,0)</f>
        <v>426653.29166666674</v>
      </c>
      <c r="W24" s="186"/>
      <c r="X24" s="270">
        <f t="shared" ref="X24:X44" si="1">IF(AND(V24&lt;0,T24&gt;0),"NM",IF(ISERROR(T24/V24-1),0,IF(OR(T24/V24-1&gt;2,T24/V24-1&lt;-2),"NM",T24/V24-1)))</f>
        <v>-0.18642990273425586</v>
      </c>
      <c r="Y24" s="166"/>
      <c r="Z24" s="282">
        <f t="shared" ref="Z24:Z38" si="2">D24+O24</f>
        <v>174902.58</v>
      </c>
      <c r="AA24" s="186"/>
      <c r="AB24" s="186">
        <f t="shared" ref="AB24:AB38" si="3">F24+Q24</f>
        <v>158069.59233333333</v>
      </c>
      <c r="AC24" s="283"/>
      <c r="AD24" s="284"/>
      <c r="AE24" s="186">
        <f t="shared" ref="AE24:AE38" si="4">I24+T24</f>
        <v>1577783.6</v>
      </c>
      <c r="AF24" s="186"/>
      <c r="AG24" s="186">
        <f t="shared" ref="AG24:AG38" si="5">K24+V24</f>
        <v>1584395.9233333333</v>
      </c>
      <c r="AH24" s="186"/>
      <c r="AI24" s="270">
        <f t="shared" ref="AI24:AI44" si="6">IF(AND(AG24&lt;0,AE24&gt;0),"NM",IF(ISERROR(AE24/AG24-1),0,IF(OR(AE24/AG24-1&gt;2,AE24/AG24-1&lt;-2),"NM",AE24/AG24-1)))</f>
        <v>-4.1734033999670794E-3</v>
      </c>
    </row>
    <row r="25" spans="1:35" x14ac:dyDescent="0.3">
      <c r="A25" s="276"/>
      <c r="B25" s="260" t="s">
        <v>136</v>
      </c>
      <c r="C25" s="229"/>
      <c r="D25" s="261">
        <f>VLOOKUP($B25,'Hillpointe Detail'!$A$186:$CA$212,'Hillpointe Detail'!$BZ$251,0)</f>
        <v>32898.32</v>
      </c>
      <c r="E25" s="230"/>
      <c r="F25" s="230">
        <f>VLOOKUP($B25,'Hillpointe Detail'!$A$221:$CA$250,'Hillpointe Detail'!$BZ$251,0)</f>
        <v>36824.511449999984</v>
      </c>
      <c r="G25" s="262"/>
      <c r="H25" s="263"/>
      <c r="I25" s="230">
        <f>VLOOKUP($B25,'Hillpointe Detail'!$A$186:$CA$212,'Hillpointe Detail'!$CA$251,0)</f>
        <v>331008.43999999994</v>
      </c>
      <c r="J25" s="230"/>
      <c r="K25" s="230">
        <f>VLOOKUP($B25,'Hillpointe Detail'!$A$221:$CA$250,'Hillpointe Detail'!$CA$251,0)</f>
        <v>372998.64601666655</v>
      </c>
      <c r="L25" s="230"/>
      <c r="M25" s="264">
        <f t="shared" si="0"/>
        <v>-0.11257468750916155</v>
      </c>
      <c r="N25" s="175"/>
      <c r="O25" s="261">
        <f>VLOOKUP($B25,'Sandhill Detail'!$A$186:$CA$212,'Sandhill Detail'!$BZ$251,0)</f>
        <v>9278.9699999999975</v>
      </c>
      <c r="P25" s="230"/>
      <c r="Q25" s="230">
        <f>VLOOKUP($B25,'Sandhill Detail'!$A$221:$CA$250,'Sandhill Detail'!$BZ$251,0)</f>
        <v>9436.1543333333339</v>
      </c>
      <c r="R25" s="262"/>
      <c r="S25" s="263"/>
      <c r="T25" s="230">
        <f>VLOOKUP($B25,'Sandhill Detail'!$A$186:$CA$212,'Sandhill Detail'!$CA$251,0)</f>
        <v>93361.26999999999</v>
      </c>
      <c r="U25" s="230"/>
      <c r="V25" s="230">
        <f>VLOOKUP($B25,'Sandhill Detail'!$A$221:$CA$250,'Sandhill Detail'!$CA$251,0)</f>
        <v>95730.073466666698</v>
      </c>
      <c r="W25" s="230"/>
      <c r="X25" s="264">
        <f t="shared" si="1"/>
        <v>-2.4744611394156402E-2</v>
      </c>
      <c r="Y25" s="175"/>
      <c r="Z25" s="261">
        <f t="shared" si="2"/>
        <v>42177.289999999994</v>
      </c>
      <c r="AA25" s="230"/>
      <c r="AB25" s="230">
        <f t="shared" si="3"/>
        <v>46260.665783333316</v>
      </c>
      <c r="AC25" s="262"/>
      <c r="AD25" s="263"/>
      <c r="AE25" s="230">
        <f t="shared" si="4"/>
        <v>424369.70999999996</v>
      </c>
      <c r="AF25" s="230"/>
      <c r="AG25" s="230">
        <f t="shared" si="5"/>
        <v>468728.71948333323</v>
      </c>
      <c r="AH25" s="230"/>
      <c r="AI25" s="264">
        <f t="shared" si="6"/>
        <v>-9.4636849929377043E-2</v>
      </c>
    </row>
    <row r="26" spans="1:35" x14ac:dyDescent="0.3">
      <c r="A26" s="257"/>
      <c r="B26" s="258" t="s">
        <v>137</v>
      </c>
      <c r="D26" s="282">
        <f>VLOOKUP($B26,'Hillpointe Detail'!$A$186:$CA$212,'Hillpointe Detail'!$BZ$251,0)</f>
        <v>0</v>
      </c>
      <c r="E26" s="186"/>
      <c r="F26" s="186">
        <f>VLOOKUP($B26,'Hillpointe Detail'!$A$221:$CA$250,'Hillpointe Detail'!$BZ$251,0)</f>
        <v>52937.22</v>
      </c>
      <c r="G26" s="283"/>
      <c r="H26" s="284"/>
      <c r="I26" s="186">
        <f>VLOOKUP($B26,'Hillpointe Detail'!$A$186:$CA$212,'Hillpointe Detail'!$CA$251,0)</f>
        <v>24067</v>
      </c>
      <c r="J26" s="186"/>
      <c r="K26" s="186">
        <f>VLOOKUP($B26,'Hillpointe Detail'!$A$221:$CA$250,'Hillpointe Detail'!$CA$251,0)</f>
        <v>582309.41999999981</v>
      </c>
      <c r="L26" s="186"/>
      <c r="M26" s="270">
        <f t="shared" si="0"/>
        <v>-0.95866973953469614</v>
      </c>
      <c r="N26" s="166"/>
      <c r="O26" s="282">
        <f>VLOOKUP($B26,'Sandhill Detail'!$A$186:$CA$212,'Sandhill Detail'!$BZ$251,0)</f>
        <v>8331</v>
      </c>
      <c r="P26" s="186"/>
      <c r="Q26" s="186">
        <f>VLOOKUP($B26,'Sandhill Detail'!$A$221:$CA$250,'Sandhill Detail'!$BZ$251,0)</f>
        <v>8331</v>
      </c>
      <c r="R26" s="283"/>
      <c r="S26" s="284"/>
      <c r="T26" s="186">
        <f>VLOOKUP($B26,'Sandhill Detail'!$A$186:$CA$212,'Sandhill Detail'!$CA$251,0)</f>
        <v>91641</v>
      </c>
      <c r="U26" s="186"/>
      <c r="V26" s="186">
        <f>VLOOKUP($B26,'Sandhill Detail'!$A$221:$CA$250,'Sandhill Detail'!$CA$251,0)</f>
        <v>91641</v>
      </c>
      <c r="W26" s="186"/>
      <c r="X26" s="270">
        <f t="shared" si="1"/>
        <v>0</v>
      </c>
      <c r="Y26" s="166"/>
      <c r="Z26" s="282">
        <f t="shared" si="2"/>
        <v>8331</v>
      </c>
      <c r="AA26" s="186"/>
      <c r="AB26" s="186">
        <f t="shared" si="3"/>
        <v>61268.22</v>
      </c>
      <c r="AC26" s="283"/>
      <c r="AD26" s="284"/>
      <c r="AE26" s="186">
        <f t="shared" si="4"/>
        <v>115708</v>
      </c>
      <c r="AF26" s="186"/>
      <c r="AG26" s="186">
        <f t="shared" si="5"/>
        <v>673950.41999999981</v>
      </c>
      <c r="AH26" s="186"/>
      <c r="AI26" s="270">
        <f t="shared" si="6"/>
        <v>-0.8283137801145668</v>
      </c>
    </row>
    <row r="27" spans="1:35" x14ac:dyDescent="0.3">
      <c r="A27" s="276"/>
      <c r="B27" s="260" t="s">
        <v>138</v>
      </c>
      <c r="C27" s="229"/>
      <c r="D27" s="261">
        <f>VLOOKUP($B27,'Hillpointe Detail'!$A$186:$CA$212,'Hillpointe Detail'!$BZ$251,0)</f>
        <v>7570.0399999999991</v>
      </c>
      <c r="E27" s="230"/>
      <c r="F27" s="230">
        <f>VLOOKUP($B27,'Hillpointe Detail'!$A$221:$CA$250,'Hillpointe Detail'!$BZ$251,0)</f>
        <v>5303.5046766666665</v>
      </c>
      <c r="G27" s="262"/>
      <c r="H27" s="263"/>
      <c r="I27" s="230">
        <f>VLOOKUP($B27,'Hillpointe Detail'!$A$186:$CA$212,'Hillpointe Detail'!$CA$251,0)</f>
        <v>80841.919999999998</v>
      </c>
      <c r="J27" s="230"/>
      <c r="K27" s="230">
        <f>VLOOKUP($B27,'Hillpointe Detail'!$A$221:$CA$250,'Hillpointe Detail'!$CA$251,0)</f>
        <v>51807.30152999999</v>
      </c>
      <c r="L27" s="230"/>
      <c r="M27" s="264">
        <f t="shared" si="0"/>
        <v>0.56043487331968</v>
      </c>
      <c r="N27" s="175"/>
      <c r="O27" s="261">
        <f>VLOOKUP($B27,'Sandhill Detail'!$A$186:$CA$212,'Sandhill Detail'!$BZ$251,0)</f>
        <v>744.42</v>
      </c>
      <c r="P27" s="230"/>
      <c r="Q27" s="230">
        <f>VLOOKUP($B27,'Sandhill Detail'!$A$221:$CA$250,'Sandhill Detail'!$BZ$251,0)</f>
        <v>2160.7048166666668</v>
      </c>
      <c r="R27" s="262"/>
      <c r="S27" s="263"/>
      <c r="T27" s="230">
        <f>VLOOKUP($B27,'Sandhill Detail'!$A$186:$CA$212,'Sandhill Detail'!$CA$251,0)</f>
        <v>13369.539999999999</v>
      </c>
      <c r="U27" s="230"/>
      <c r="V27" s="230">
        <f>VLOOKUP($B27,'Sandhill Detail'!$A$221:$CA$250,'Sandhill Detail'!$CA$251,0)</f>
        <v>19647.265450000003</v>
      </c>
      <c r="W27" s="230"/>
      <c r="X27" s="264">
        <f t="shared" si="1"/>
        <v>-0.31952158767214101</v>
      </c>
      <c r="Y27" s="175"/>
      <c r="Z27" s="261">
        <f t="shared" si="2"/>
        <v>8314.4599999999991</v>
      </c>
      <c r="AA27" s="230"/>
      <c r="AB27" s="230">
        <f t="shared" si="3"/>
        <v>7464.2094933333337</v>
      </c>
      <c r="AC27" s="262"/>
      <c r="AD27" s="263"/>
      <c r="AE27" s="230">
        <f t="shared" si="4"/>
        <v>94211.459999999992</v>
      </c>
      <c r="AF27" s="230"/>
      <c r="AG27" s="230">
        <f t="shared" si="5"/>
        <v>71454.566979999989</v>
      </c>
      <c r="AH27" s="230"/>
      <c r="AI27" s="264">
        <f t="shared" si="6"/>
        <v>0.31848059517832672</v>
      </c>
    </row>
    <row r="28" spans="1:35" x14ac:dyDescent="0.3">
      <c r="A28" s="257"/>
      <c r="B28" s="258" t="s">
        <v>139</v>
      </c>
      <c r="D28" s="282">
        <f>VLOOKUP($B28,'Hillpointe Detail'!$A$186:$CA$212,'Hillpointe Detail'!$BZ$251,0)</f>
        <v>2021.78</v>
      </c>
      <c r="E28" s="186"/>
      <c r="F28" s="186">
        <f>VLOOKUP($B28,'Hillpointe Detail'!$A$221:$CA$250,'Hillpointe Detail'!$BZ$251,0)</f>
        <v>2590.3246833333337</v>
      </c>
      <c r="G28" s="283"/>
      <c r="H28" s="284"/>
      <c r="I28" s="186">
        <f>VLOOKUP($B28,'Hillpointe Detail'!$A$186:$CA$212,'Hillpointe Detail'!$CA$251,0)</f>
        <v>31315.51</v>
      </c>
      <c r="J28" s="186"/>
      <c r="K28" s="186">
        <f>VLOOKUP($B28,'Hillpointe Detail'!$A$221:$CA$250,'Hillpointe Detail'!$CA$251,0)</f>
        <v>34319.460950000001</v>
      </c>
      <c r="L28" s="186"/>
      <c r="M28" s="270">
        <f t="shared" si="0"/>
        <v>-8.7529083116324458E-2</v>
      </c>
      <c r="N28" s="166"/>
      <c r="O28" s="282">
        <f>VLOOKUP($B28,'Sandhill Detail'!$A$186:$CA$212,'Sandhill Detail'!$BZ$251,0)</f>
        <v>128.03</v>
      </c>
      <c r="P28" s="186"/>
      <c r="Q28" s="186">
        <f>VLOOKUP($B28,'Sandhill Detail'!$A$221:$CA$250,'Sandhill Detail'!$BZ$251,0)</f>
        <v>367.65506666666664</v>
      </c>
      <c r="R28" s="283"/>
      <c r="S28" s="284"/>
      <c r="T28" s="186">
        <f>VLOOKUP($B28,'Sandhill Detail'!$A$186:$CA$212,'Sandhill Detail'!$CA$251,0)</f>
        <v>4104.53</v>
      </c>
      <c r="U28" s="186"/>
      <c r="V28" s="186">
        <f>VLOOKUP($B28,'Sandhill Detail'!$A$221:$CA$250,'Sandhill Detail'!$CA$251,0)</f>
        <v>3430.4356000000002</v>
      </c>
      <c r="W28" s="186"/>
      <c r="X28" s="270">
        <f t="shared" si="1"/>
        <v>0.19650402415366708</v>
      </c>
      <c r="Y28" s="166"/>
      <c r="Z28" s="282">
        <f t="shared" si="2"/>
        <v>2149.81</v>
      </c>
      <c r="AA28" s="186"/>
      <c r="AB28" s="186">
        <f t="shared" si="3"/>
        <v>2957.9797500000004</v>
      </c>
      <c r="AC28" s="283"/>
      <c r="AD28" s="284"/>
      <c r="AE28" s="186">
        <f t="shared" si="4"/>
        <v>35420.04</v>
      </c>
      <c r="AF28" s="186"/>
      <c r="AG28" s="186">
        <f t="shared" si="5"/>
        <v>37749.896549999998</v>
      </c>
      <c r="AH28" s="186"/>
      <c r="AI28" s="270">
        <f t="shared" si="6"/>
        <v>-6.1718223437091657E-2</v>
      </c>
    </row>
    <row r="29" spans="1:35" x14ac:dyDescent="0.3">
      <c r="A29" s="276"/>
      <c r="B29" s="260" t="s">
        <v>140</v>
      </c>
      <c r="C29" s="229"/>
      <c r="D29" s="261">
        <f>VLOOKUP($B29,'Hillpointe Detail'!$A$186:$CA$212,'Hillpointe Detail'!$BZ$251,0)</f>
        <v>1427.5000000000007</v>
      </c>
      <c r="E29" s="230"/>
      <c r="F29" s="230">
        <f>VLOOKUP($B29,'Hillpointe Detail'!$A$221:$CA$250,'Hillpointe Detail'!$BZ$251,0)</f>
        <v>1823.0004333333334</v>
      </c>
      <c r="G29" s="262"/>
      <c r="H29" s="263"/>
      <c r="I29" s="230">
        <f>VLOOKUP($B29,'Hillpointe Detail'!$A$186:$CA$212,'Hillpointe Detail'!$CA$251,0)</f>
        <v>24909.450000000004</v>
      </c>
      <c r="J29" s="230"/>
      <c r="K29" s="230">
        <f>VLOOKUP($B29,'Hillpointe Detail'!$A$221:$CA$250,'Hillpointe Detail'!$CA$251,0)</f>
        <v>16164.644899999999</v>
      </c>
      <c r="L29" s="230"/>
      <c r="M29" s="264">
        <f t="shared" si="0"/>
        <v>0.54098343354266976</v>
      </c>
      <c r="N29" s="175"/>
      <c r="O29" s="261">
        <f>VLOOKUP($B29,'Sandhill Detail'!$A$186:$CA$212,'Sandhill Detail'!$BZ$251,0)</f>
        <v>212.46999999999989</v>
      </c>
      <c r="P29" s="230"/>
      <c r="Q29" s="230">
        <f>VLOOKUP($B29,'Sandhill Detail'!$A$221:$CA$250,'Sandhill Detail'!$BZ$251,0)</f>
        <v>600.53463333333343</v>
      </c>
      <c r="R29" s="262"/>
      <c r="S29" s="263"/>
      <c r="T29" s="230">
        <f>VLOOKUP($B29,'Sandhill Detail'!$A$186:$CA$212,'Sandhill Detail'!$CA$251,0)</f>
        <v>4349.03</v>
      </c>
      <c r="U29" s="230"/>
      <c r="V29" s="230">
        <f>VLOOKUP($B29,'Sandhill Detail'!$A$221:$CA$250,'Sandhill Detail'!$CA$251,0)</f>
        <v>5845.4354000000012</v>
      </c>
      <c r="W29" s="230"/>
      <c r="X29" s="264">
        <f t="shared" si="1"/>
        <v>-0.25599554140996938</v>
      </c>
      <c r="Y29" s="175"/>
      <c r="Z29" s="261">
        <f t="shared" si="2"/>
        <v>1639.9700000000005</v>
      </c>
      <c r="AA29" s="230"/>
      <c r="AB29" s="230">
        <f t="shared" si="3"/>
        <v>2423.5350666666668</v>
      </c>
      <c r="AC29" s="262"/>
      <c r="AD29" s="263"/>
      <c r="AE29" s="230">
        <f t="shared" si="4"/>
        <v>29258.480000000003</v>
      </c>
      <c r="AF29" s="230"/>
      <c r="AG29" s="230">
        <f t="shared" si="5"/>
        <v>22010.080300000001</v>
      </c>
      <c r="AH29" s="230"/>
      <c r="AI29" s="264">
        <f t="shared" si="6"/>
        <v>0.3293218198754142</v>
      </c>
    </row>
    <row r="30" spans="1:35" x14ac:dyDescent="0.3">
      <c r="A30" s="257"/>
      <c r="B30" s="258" t="s">
        <v>141</v>
      </c>
      <c r="D30" s="282">
        <f>VLOOKUP($B30,'Hillpointe Detail'!$A$186:$CA$212,'Hillpointe Detail'!$BZ$251,0)</f>
        <v>7796.8600000000006</v>
      </c>
      <c r="E30" s="186"/>
      <c r="F30" s="186">
        <f>VLOOKUP($B30,'Hillpointe Detail'!$A$221:$CA$250,'Hillpointe Detail'!$BZ$251,0)</f>
        <v>1779.1042857142859</v>
      </c>
      <c r="G30" s="283"/>
      <c r="H30" s="284"/>
      <c r="I30" s="186">
        <f>VLOOKUP($B30,'Hillpointe Detail'!$A$186:$CA$212,'Hillpointe Detail'!$CA$251,0)</f>
        <v>165575.25</v>
      </c>
      <c r="J30" s="186"/>
      <c r="K30" s="186">
        <f>VLOOKUP($B30,'Hillpointe Detail'!$A$221:$CA$250,'Hillpointe Detail'!$CA$251,0)</f>
        <v>69509.742757142871</v>
      </c>
      <c r="L30" s="186"/>
      <c r="M30" s="270">
        <f t="shared" si="0"/>
        <v>1.3820437744748433</v>
      </c>
      <c r="N30" s="166"/>
      <c r="O30" s="282">
        <f>VLOOKUP($B30,'Sandhill Detail'!$A$186:$CA$212,'Sandhill Detail'!$BZ$251,0)</f>
        <v>1368.75</v>
      </c>
      <c r="P30" s="186"/>
      <c r="Q30" s="186">
        <f>VLOOKUP($B30,'Sandhill Detail'!$A$221:$CA$250,'Sandhill Detail'!$BZ$251,0)</f>
        <v>100.95912857142858</v>
      </c>
      <c r="R30" s="283"/>
      <c r="S30" s="284"/>
      <c r="T30" s="186">
        <f>VLOOKUP($B30,'Sandhill Detail'!$A$186:$CA$212,'Sandhill Detail'!$CA$251,0)</f>
        <v>37496.569999999992</v>
      </c>
      <c r="U30" s="186"/>
      <c r="V30" s="186">
        <f>VLOOKUP($B30,'Sandhill Detail'!$A$221:$CA$250,'Sandhill Detail'!$CA$251,0)</f>
        <v>14760.359085714286</v>
      </c>
      <c r="W30" s="186"/>
      <c r="X30" s="270">
        <f t="shared" si="1"/>
        <v>1.5403562191309286</v>
      </c>
      <c r="Y30" s="166"/>
      <c r="Z30" s="282">
        <f t="shared" si="2"/>
        <v>9165.61</v>
      </c>
      <c r="AA30" s="186"/>
      <c r="AB30" s="186">
        <f t="shared" si="3"/>
        <v>1880.0634142857145</v>
      </c>
      <c r="AC30" s="283"/>
      <c r="AD30" s="284"/>
      <c r="AE30" s="186">
        <f t="shared" si="4"/>
        <v>203071.82</v>
      </c>
      <c r="AF30" s="186"/>
      <c r="AG30" s="186">
        <f t="shared" si="5"/>
        <v>84270.101842857155</v>
      </c>
      <c r="AH30" s="186"/>
      <c r="AI30" s="270">
        <f t="shared" si="6"/>
        <v>1.4097730459455073</v>
      </c>
    </row>
    <row r="31" spans="1:35" x14ac:dyDescent="0.3">
      <c r="A31" s="276"/>
      <c r="B31" s="260" t="s">
        <v>142</v>
      </c>
      <c r="C31" s="229"/>
      <c r="D31" s="261">
        <f>VLOOKUP($B31,'Hillpointe Detail'!$A$186:$CA$212,'Hillpointe Detail'!$BZ$251,0)</f>
        <v>17040.79</v>
      </c>
      <c r="E31" s="230"/>
      <c r="F31" s="230">
        <f>VLOOKUP($B31,'Hillpointe Detail'!$A$221:$CA$250,'Hillpointe Detail'!$BZ$251,0)</f>
        <v>19792.3976</v>
      </c>
      <c r="G31" s="262"/>
      <c r="H31" s="263"/>
      <c r="I31" s="230">
        <f>VLOOKUP($B31,'Hillpointe Detail'!$A$186:$CA$212,'Hillpointe Detail'!$CA$251,0)</f>
        <v>207352.72000000003</v>
      </c>
      <c r="J31" s="230"/>
      <c r="K31" s="230">
        <f>VLOOKUP($B31,'Hillpointe Detail'!$A$221:$CA$250,'Hillpointe Detail'!$CA$251,0)</f>
        <v>217716.37359999999</v>
      </c>
      <c r="L31" s="230"/>
      <c r="M31" s="264">
        <f t="shared" si="0"/>
        <v>-4.7601626963714838E-2</v>
      </c>
      <c r="N31" s="175"/>
      <c r="O31" s="261">
        <f>VLOOKUP($B31,'Sandhill Detail'!$A$186:$CA$212,'Sandhill Detail'!$BZ$251,0)</f>
        <v>5022.8599999999997</v>
      </c>
      <c r="P31" s="230"/>
      <c r="Q31" s="230">
        <f>VLOOKUP($B31,'Sandhill Detail'!$A$221:$CA$250,'Sandhill Detail'!$BZ$251,0)</f>
        <v>5589.2469333333329</v>
      </c>
      <c r="R31" s="262"/>
      <c r="S31" s="263"/>
      <c r="T31" s="230">
        <f>VLOOKUP($B31,'Sandhill Detail'!$A$186:$CA$212,'Sandhill Detail'!$CA$251,0)</f>
        <v>59350.099999999991</v>
      </c>
      <c r="U31" s="230"/>
      <c r="V31" s="230">
        <f>VLOOKUP($B31,'Sandhill Detail'!$A$221:$CA$250,'Sandhill Detail'!$CA$251,0)</f>
        <v>61481.716266666677</v>
      </c>
      <c r="W31" s="230"/>
      <c r="X31" s="264">
        <f t="shared" si="1"/>
        <v>-3.4670734587518015E-2</v>
      </c>
      <c r="Y31" s="175"/>
      <c r="Z31" s="261">
        <f t="shared" si="2"/>
        <v>22063.65</v>
      </c>
      <c r="AA31" s="230"/>
      <c r="AB31" s="230">
        <f t="shared" si="3"/>
        <v>25381.644533333332</v>
      </c>
      <c r="AC31" s="262"/>
      <c r="AD31" s="263"/>
      <c r="AE31" s="230">
        <f t="shared" si="4"/>
        <v>266702.82</v>
      </c>
      <c r="AF31" s="230"/>
      <c r="AG31" s="230">
        <f t="shared" si="5"/>
        <v>279198.08986666665</v>
      </c>
      <c r="AH31" s="230"/>
      <c r="AI31" s="264">
        <f t="shared" si="6"/>
        <v>-4.4754138083945572E-2</v>
      </c>
    </row>
    <row r="32" spans="1:35" x14ac:dyDescent="0.3">
      <c r="A32" s="257"/>
      <c r="B32" s="258" t="s">
        <v>257</v>
      </c>
      <c r="D32" s="282">
        <f>VLOOKUP($B32,'Hillpointe Detail'!$A$186:$CA$212,'Hillpointe Detail'!$BZ$251,0)</f>
        <v>1186.68</v>
      </c>
      <c r="E32" s="186"/>
      <c r="F32" s="186">
        <f>VLOOKUP($B32,'Hillpointe Detail'!$A$221:$CA$250,'Hillpointe Detail'!$BZ$251,0)</f>
        <v>451.62581666666665</v>
      </c>
      <c r="G32" s="283"/>
      <c r="H32" s="284"/>
      <c r="I32" s="186">
        <f>VLOOKUP($B32,'Hillpointe Detail'!$A$186:$CA$212,'Hillpointe Detail'!$CA$251,0)</f>
        <v>23250.23</v>
      </c>
      <c r="J32" s="186"/>
      <c r="K32" s="186">
        <f>VLOOKUP($B32,'Hillpointe Detail'!$A$221:$CA$250,'Hillpointe Detail'!$CA$251,0)</f>
        <v>11648.68715</v>
      </c>
      <c r="L32" s="186"/>
      <c r="M32" s="270">
        <f t="shared" si="0"/>
        <v>0.99595282288957354</v>
      </c>
      <c r="N32" s="166"/>
      <c r="O32" s="282">
        <f>VLOOKUP($B32,'Sandhill Detail'!$A$186:$CA$212,'Sandhill Detail'!$BZ$251,0)</f>
        <v>0</v>
      </c>
      <c r="P32" s="186"/>
      <c r="Q32" s="186">
        <f>VLOOKUP($B32,'Sandhill Detail'!$A$221:$CA$250,'Sandhill Detail'!$BZ$251,0)</f>
        <v>586.22051666666664</v>
      </c>
      <c r="R32" s="283"/>
      <c r="S32" s="284"/>
      <c r="T32" s="186">
        <f>VLOOKUP($B32,'Sandhill Detail'!$A$186:$CA$212,'Sandhill Detail'!$CA$251,0)</f>
        <v>3904.48</v>
      </c>
      <c r="U32" s="186"/>
      <c r="V32" s="186">
        <f>VLOOKUP($B32,'Sandhill Detail'!$A$221:$CA$250,'Sandhill Detail'!$CA$251,0)</f>
        <v>6162.9450499999984</v>
      </c>
      <c r="W32" s="186"/>
      <c r="X32" s="270">
        <f t="shared" si="1"/>
        <v>-0.3664587355034099</v>
      </c>
      <c r="Y32" s="166"/>
      <c r="Z32" s="282">
        <f t="shared" si="2"/>
        <v>1186.68</v>
      </c>
      <c r="AA32" s="186"/>
      <c r="AB32" s="186">
        <f t="shared" si="3"/>
        <v>1037.8463333333334</v>
      </c>
      <c r="AC32" s="283"/>
      <c r="AD32" s="284"/>
      <c r="AE32" s="186">
        <f t="shared" si="4"/>
        <v>27154.71</v>
      </c>
      <c r="AF32" s="186"/>
      <c r="AG32" s="186">
        <f t="shared" si="5"/>
        <v>17811.6322</v>
      </c>
      <c r="AH32" s="186"/>
      <c r="AI32" s="270">
        <f t="shared" si="6"/>
        <v>0.52454922126676284</v>
      </c>
    </row>
    <row r="33" spans="1:35" x14ac:dyDescent="0.3">
      <c r="A33" s="276"/>
      <c r="B33" s="260" t="s">
        <v>258</v>
      </c>
      <c r="C33" s="229"/>
      <c r="D33" s="261">
        <f>VLOOKUP($B33,'Hillpointe Detail'!$A$186:$CA$212,'Hillpointe Detail'!$BZ$251,0)</f>
        <v>42071.69</v>
      </c>
      <c r="E33" s="230"/>
      <c r="F33" s="230">
        <f>VLOOKUP($B33,'Hillpointe Detail'!$A$221:$CA$250,'Hillpointe Detail'!$BZ$251,0)</f>
        <v>10646.406950000001</v>
      </c>
      <c r="G33" s="262"/>
      <c r="H33" s="263"/>
      <c r="I33" s="230">
        <f>VLOOKUP($B33,'Hillpointe Detail'!$A$186:$CA$212,'Hillpointe Detail'!$CA$251,0)</f>
        <v>254203.96</v>
      </c>
      <c r="J33" s="230"/>
      <c r="K33" s="230">
        <f>VLOOKUP($B33,'Hillpointe Detail'!$A$221:$CA$250,'Hillpointe Detail'!$CA$251,0)</f>
        <v>106896.43605000002</v>
      </c>
      <c r="L33" s="230"/>
      <c r="M33" s="264">
        <f t="shared" si="0"/>
        <v>1.3780396184686454</v>
      </c>
      <c r="N33" s="175"/>
      <c r="O33" s="261">
        <f>VLOOKUP($B33,'Sandhill Detail'!$A$186:$CA$212,'Sandhill Detail'!$BZ$251,0)</f>
        <v>3521.64</v>
      </c>
      <c r="P33" s="230"/>
      <c r="Q33" s="230">
        <f>VLOOKUP($B33,'Sandhill Detail'!$A$221:$CA$250,'Sandhill Detail'!$BZ$251,0)</f>
        <v>2072.2506333333336</v>
      </c>
      <c r="R33" s="262"/>
      <c r="S33" s="263"/>
      <c r="T33" s="230">
        <f>VLOOKUP($B33,'Sandhill Detail'!$A$186:$CA$212,'Sandhill Detail'!$CA$251,0)</f>
        <v>50132.49</v>
      </c>
      <c r="U33" s="230"/>
      <c r="V33" s="230">
        <f>VLOOKUP($B33,'Sandhill Detail'!$A$221:$CA$250,'Sandhill Detail'!$CA$251,0)</f>
        <v>21817.9048</v>
      </c>
      <c r="W33" s="230"/>
      <c r="X33" s="264">
        <f t="shared" si="1"/>
        <v>1.2977682989981694</v>
      </c>
      <c r="Y33" s="175"/>
      <c r="Z33" s="261">
        <f t="shared" si="2"/>
        <v>45593.33</v>
      </c>
      <c r="AA33" s="230"/>
      <c r="AB33" s="230">
        <f t="shared" si="3"/>
        <v>12718.657583333334</v>
      </c>
      <c r="AC33" s="262"/>
      <c r="AD33" s="263"/>
      <c r="AE33" s="230">
        <f t="shared" si="4"/>
        <v>304336.45</v>
      </c>
      <c r="AF33" s="230"/>
      <c r="AG33" s="230">
        <f t="shared" si="5"/>
        <v>128714.34085000002</v>
      </c>
      <c r="AH33" s="230"/>
      <c r="AI33" s="264">
        <f t="shared" si="6"/>
        <v>1.3644331159234615</v>
      </c>
    </row>
    <row r="34" spans="1:35" x14ac:dyDescent="0.3">
      <c r="A34" s="257"/>
      <c r="B34" s="258" t="s">
        <v>259</v>
      </c>
      <c r="D34" s="282">
        <f>VLOOKUP($B34,'Hillpointe Detail'!$A$186:$CA$212,'Hillpointe Detail'!$BZ$251,0)</f>
        <v>2816.58</v>
      </c>
      <c r="E34" s="186"/>
      <c r="F34" s="186">
        <f>VLOOKUP($B34,'Hillpointe Detail'!$A$221:$CA$250,'Hillpointe Detail'!$BZ$251,0)</f>
        <v>1128.5705095238095</v>
      </c>
      <c r="G34" s="283"/>
      <c r="H34" s="284"/>
      <c r="I34" s="186">
        <f>VLOOKUP($B34,'Hillpointe Detail'!$A$186:$CA$212,'Hillpointe Detail'!$CA$251,0)</f>
        <v>35538.78</v>
      </c>
      <c r="J34" s="186"/>
      <c r="K34" s="186">
        <f>VLOOKUP($B34,'Hillpointe Detail'!$A$221:$CA$250,'Hillpointe Detail'!$CA$251,0)</f>
        <v>11224.53682857143</v>
      </c>
      <c r="L34" s="186"/>
      <c r="M34" s="270" t="str">
        <f t="shared" si="0"/>
        <v>NM</v>
      </c>
      <c r="N34" s="166"/>
      <c r="O34" s="282">
        <f>VLOOKUP($B34,'Sandhill Detail'!$A$186:$CA$212,'Sandhill Detail'!$BZ$251,0)</f>
        <v>0</v>
      </c>
      <c r="P34" s="186"/>
      <c r="Q34" s="186">
        <f>VLOOKUP($B34,'Sandhill Detail'!$A$221:$CA$250,'Sandhill Detail'!$BZ$251,0)</f>
        <v>115.22536428571428</v>
      </c>
      <c r="R34" s="283"/>
      <c r="S34" s="284"/>
      <c r="T34" s="186">
        <f>VLOOKUP($B34,'Sandhill Detail'!$A$186:$CA$212,'Sandhill Detail'!$CA$251,0)</f>
        <v>2798.62</v>
      </c>
      <c r="U34" s="186"/>
      <c r="V34" s="186">
        <f>VLOOKUP($B34,'Sandhill Detail'!$A$221:$CA$250,'Sandhill Detail'!$CA$251,0)</f>
        <v>1073.8139928571429</v>
      </c>
      <c r="W34" s="186"/>
      <c r="X34" s="270">
        <f t="shared" si="1"/>
        <v>1.6062428117122889</v>
      </c>
      <c r="Y34" s="166"/>
      <c r="Z34" s="282">
        <f t="shared" si="2"/>
        <v>2816.58</v>
      </c>
      <c r="AA34" s="186"/>
      <c r="AB34" s="186">
        <f t="shared" si="3"/>
        <v>1243.7958738095238</v>
      </c>
      <c r="AC34" s="283"/>
      <c r="AD34" s="284"/>
      <c r="AE34" s="186">
        <f t="shared" si="4"/>
        <v>38337.4</v>
      </c>
      <c r="AF34" s="186"/>
      <c r="AG34" s="186">
        <f t="shared" si="5"/>
        <v>12298.350821428574</v>
      </c>
      <c r="AH34" s="186"/>
      <c r="AI34" s="270" t="str">
        <f t="shared" si="6"/>
        <v>NM</v>
      </c>
    </row>
    <row r="35" spans="1:35" x14ac:dyDescent="0.3">
      <c r="A35" s="276"/>
      <c r="B35" s="260" t="s">
        <v>143</v>
      </c>
      <c r="C35" s="229"/>
      <c r="D35" s="261">
        <f>VLOOKUP($B35,'Hillpointe Detail'!$A$186:$CA$212,'Hillpointe Detail'!$BZ$251,0)</f>
        <v>0</v>
      </c>
      <c r="E35" s="230"/>
      <c r="F35" s="230">
        <f>VLOOKUP($B35,'Hillpointe Detail'!$A$221:$CA$250,'Hillpointe Detail'!$BZ$251,0)</f>
        <v>0</v>
      </c>
      <c r="G35" s="262"/>
      <c r="H35" s="263"/>
      <c r="I35" s="230">
        <f>VLOOKUP($B35,'Hillpointe Detail'!$A$186:$CA$212,'Hillpointe Detail'!$CA$251,0)</f>
        <v>0</v>
      </c>
      <c r="J35" s="230"/>
      <c r="K35" s="230">
        <f>VLOOKUP($B35,'Hillpointe Detail'!$A$221:$CA$250,'Hillpointe Detail'!$CA$251,0)</f>
        <v>0</v>
      </c>
      <c r="L35" s="230"/>
      <c r="M35" s="264">
        <f t="shared" si="0"/>
        <v>0</v>
      </c>
      <c r="N35" s="175"/>
      <c r="O35" s="261">
        <f>VLOOKUP($B35,'Sandhill Detail'!$A$186:$CA$212,'Sandhill Detail'!$BZ$251,0)</f>
        <v>0</v>
      </c>
      <c r="P35" s="230"/>
      <c r="Q35" s="230">
        <f>VLOOKUP($B35,'Sandhill Detail'!$A$221:$CA$250,'Sandhill Detail'!$BZ$251,0)</f>
        <v>0</v>
      </c>
      <c r="R35" s="262"/>
      <c r="S35" s="263"/>
      <c r="T35" s="230">
        <f>VLOOKUP($B35,'Sandhill Detail'!$A$186:$CA$212,'Sandhill Detail'!$CA$251,0)</f>
        <v>0</v>
      </c>
      <c r="U35" s="230"/>
      <c r="V35" s="230">
        <f>VLOOKUP($B35,'Sandhill Detail'!$A$221:$CA$250,'Sandhill Detail'!$CA$251,0)</f>
        <v>0</v>
      </c>
      <c r="W35" s="230"/>
      <c r="X35" s="264">
        <f t="shared" si="1"/>
        <v>0</v>
      </c>
      <c r="Y35" s="175"/>
      <c r="Z35" s="261">
        <f t="shared" si="2"/>
        <v>0</v>
      </c>
      <c r="AA35" s="230"/>
      <c r="AB35" s="230">
        <f t="shared" si="3"/>
        <v>0</v>
      </c>
      <c r="AC35" s="262"/>
      <c r="AD35" s="263"/>
      <c r="AE35" s="230">
        <f t="shared" si="4"/>
        <v>0</v>
      </c>
      <c r="AF35" s="230"/>
      <c r="AG35" s="230">
        <f t="shared" si="5"/>
        <v>0</v>
      </c>
      <c r="AH35" s="230"/>
      <c r="AI35" s="264">
        <f t="shared" si="6"/>
        <v>0</v>
      </c>
    </row>
    <row r="36" spans="1:35" x14ac:dyDescent="0.3">
      <c r="A36" s="257"/>
      <c r="B36" s="258" t="s">
        <v>159</v>
      </c>
      <c r="D36" s="282">
        <f>VLOOKUP($B36,'Hillpointe Detail'!$A$186:$CA$212,'Hillpointe Detail'!$BZ$251,0)</f>
        <v>21528.799999999999</v>
      </c>
      <c r="E36" s="186"/>
      <c r="F36" s="186">
        <f>VLOOKUP($B36,'Hillpointe Detail'!$A$221:$CA$250,'Hillpointe Detail'!$BZ$251,0)</f>
        <v>221.01</v>
      </c>
      <c r="G36" s="283"/>
      <c r="H36" s="284"/>
      <c r="I36" s="186">
        <f>VLOOKUP($B36,'Hillpointe Detail'!$A$186:$CA$212,'Hillpointe Detail'!$CA$251,0)</f>
        <v>257031.89000000004</v>
      </c>
      <c r="J36" s="186"/>
      <c r="K36" s="186">
        <f>VLOOKUP($B36,'Hillpointe Detail'!$A$221:$CA$250,'Hillpointe Detail'!$CA$251,0)</f>
        <v>2431.1099999999997</v>
      </c>
      <c r="L36" s="186"/>
      <c r="M36" s="270" t="str">
        <f t="shared" ref="M36" si="7">IF(AND(K36&lt;0,I36&gt;0),"NM",IF(ISERROR(I36/K36-1),0,IF(OR(I36/K36-1&gt;2,I36/K36-1&lt;-2),"NM",I36/K36-1)))</f>
        <v>NM</v>
      </c>
      <c r="N36" s="166"/>
      <c r="O36" s="282">
        <f>VLOOKUP($B36,'Sandhill Detail'!$A$186:$CA$212,'Sandhill Detail'!$BZ$251,0)</f>
        <v>302.52</v>
      </c>
      <c r="P36" s="186"/>
      <c r="Q36" s="186">
        <f>VLOOKUP($B36,'Sandhill Detail'!$A$221:$CA$250,'Sandhill Detail'!$BZ$251,0)</f>
        <v>62.329999999999991</v>
      </c>
      <c r="R36" s="283"/>
      <c r="S36" s="284"/>
      <c r="T36" s="186">
        <f>VLOOKUP($B36,'Sandhill Detail'!$A$186:$CA$212,'Sandhill Detail'!$CA$251,0)</f>
        <v>3327.72</v>
      </c>
      <c r="U36" s="186"/>
      <c r="V36" s="186">
        <f>VLOOKUP($B36,'Sandhill Detail'!$A$221:$CA$250,'Sandhill Detail'!$CA$251,0)</f>
        <v>685.63000000000011</v>
      </c>
      <c r="W36" s="186"/>
      <c r="X36" s="270" t="str">
        <f t="shared" ref="X36" si="8">IF(AND(V36&lt;0,T36&gt;0),"NM",IF(ISERROR(T36/V36-1),0,IF(OR(T36/V36-1&gt;2,T36/V36-1&lt;-2),"NM",T36/V36-1)))</f>
        <v>NM</v>
      </c>
      <c r="Y36" s="166"/>
      <c r="Z36" s="282">
        <f t="shared" si="2"/>
        <v>21831.32</v>
      </c>
      <c r="AA36" s="186"/>
      <c r="AB36" s="186">
        <f t="shared" si="3"/>
        <v>283.33999999999997</v>
      </c>
      <c r="AC36" s="283"/>
      <c r="AD36" s="284"/>
      <c r="AE36" s="186">
        <f t="shared" si="4"/>
        <v>260359.61000000004</v>
      </c>
      <c r="AF36" s="186"/>
      <c r="AG36" s="186">
        <f t="shared" si="5"/>
        <v>3116.74</v>
      </c>
      <c r="AH36" s="186"/>
      <c r="AI36" s="270" t="str">
        <f t="shared" ref="AI36" si="9">IF(AND(AG36&lt;0,AE36&gt;0),"NM",IF(ISERROR(AE36/AG36-1),0,IF(OR(AE36/AG36-1&gt;2,AE36/AG36-1&lt;-2),"NM",AE36/AG36-1)))</f>
        <v>NM</v>
      </c>
    </row>
    <row r="37" spans="1:35" x14ac:dyDescent="0.3">
      <c r="A37" s="276"/>
      <c r="B37" s="260" t="s">
        <v>346</v>
      </c>
      <c r="C37" s="229"/>
      <c r="D37" s="261">
        <f>VLOOKUP($B37,'Hillpointe Detail'!$A$186:$CA$212,'Hillpointe Detail'!$BZ$251,0)</f>
        <v>55349.31</v>
      </c>
      <c r="E37" s="230"/>
      <c r="F37" s="230">
        <f>VLOOKUP($B37,'Hillpointe Detail'!$A$221:$CA$250,'Hillpointe Detail'!$BZ$251,0)</f>
        <v>0</v>
      </c>
      <c r="G37" s="262"/>
      <c r="H37" s="263"/>
      <c r="I37" s="230">
        <f>VLOOKUP($B37,'Hillpointe Detail'!$A$186:$CA$212,'Hillpointe Detail'!$CA$251,0)</f>
        <v>601434.65000000014</v>
      </c>
      <c r="J37" s="230"/>
      <c r="K37" s="230">
        <f>VLOOKUP($B37,'Hillpointe Detail'!$A$221:$CA$250,'Hillpointe Detail'!$CA$251,0)</f>
        <v>0</v>
      </c>
      <c r="L37" s="230"/>
      <c r="M37" s="264">
        <f t="shared" ref="M37" si="10">IF(AND(K37&lt;0,I37&gt;0),"NM",IF(ISERROR(I37/K37-1),0,IF(OR(I37/K37-1&gt;2,I37/K37-1&lt;-2),"NM",I37/K37-1)))</f>
        <v>0</v>
      </c>
      <c r="N37" s="175"/>
      <c r="O37" s="261">
        <f>VLOOKUP($B37,'Sandhill Detail'!$A$186:$CA$212,'Sandhill Detail'!$BZ$251,0)</f>
        <v>0</v>
      </c>
      <c r="P37" s="230"/>
      <c r="Q37" s="230">
        <f>VLOOKUP($B37,'Sandhill Detail'!$A$221:$CA$250,'Sandhill Detail'!$BZ$251,0)</f>
        <v>0</v>
      </c>
      <c r="R37" s="262"/>
      <c r="S37" s="263"/>
      <c r="T37" s="230">
        <f>VLOOKUP($B37,'Sandhill Detail'!$A$186:$CA$212,'Sandhill Detail'!$CA$251,0)</f>
        <v>0</v>
      </c>
      <c r="U37" s="230"/>
      <c r="V37" s="230">
        <f>VLOOKUP($B37,'Sandhill Detail'!$A$221:$CA$250,'Sandhill Detail'!$CA$251,0)</f>
        <v>0</v>
      </c>
      <c r="W37" s="230"/>
      <c r="X37" s="264">
        <f t="shared" ref="X37" si="11">IF(AND(V37&lt;0,T37&gt;0),"NM",IF(ISERROR(T37/V37-1),0,IF(OR(T37/V37-1&gt;2,T37/V37-1&lt;-2),"NM",T37/V37-1)))</f>
        <v>0</v>
      </c>
      <c r="Y37" s="175"/>
      <c r="Z37" s="261">
        <f t="shared" ref="Z37" si="12">D37+O37</f>
        <v>55349.31</v>
      </c>
      <c r="AA37" s="230"/>
      <c r="AB37" s="230">
        <f t="shared" ref="AB37" si="13">F37+Q37</f>
        <v>0</v>
      </c>
      <c r="AC37" s="262"/>
      <c r="AD37" s="263"/>
      <c r="AE37" s="230">
        <f t="shared" ref="AE37" si="14">I37+T37</f>
        <v>601434.65000000014</v>
      </c>
      <c r="AF37" s="230"/>
      <c r="AG37" s="230">
        <f t="shared" ref="AG37" si="15">K37+V37</f>
        <v>0</v>
      </c>
      <c r="AH37" s="230"/>
      <c r="AI37" s="264">
        <f t="shared" ref="AI37" si="16">IF(AND(AG37&lt;0,AE37&gt;0),"NM",IF(ISERROR(AE37/AG37-1),0,IF(OR(AE37/AG37-1&gt;2,AE37/AG37-1&lt;-2),"NM",AE37/AG37-1)))</f>
        <v>0</v>
      </c>
    </row>
    <row r="38" spans="1:35" x14ac:dyDescent="0.3">
      <c r="A38" s="257"/>
      <c r="B38" s="258" t="s">
        <v>146</v>
      </c>
      <c r="D38" s="282">
        <f>VLOOKUP($B38,'Hillpointe Detail'!$A$186:$CA$212,'Hillpointe Detail'!$BZ$251,0)</f>
        <v>3111.08</v>
      </c>
      <c r="E38" s="186"/>
      <c r="F38" s="186">
        <f>VLOOKUP($B38,'Hillpointe Detail'!$A$221:$CA$250,'Hillpointe Detail'!$BZ$251,0)</f>
        <v>4643.1939666666667</v>
      </c>
      <c r="G38" s="283"/>
      <c r="H38" s="284"/>
      <c r="I38" s="186">
        <f>VLOOKUP($B38,'Hillpointe Detail'!$A$186:$CA$212,'Hillpointe Detail'!$CA$251,0)</f>
        <v>18216.900000000001</v>
      </c>
      <c r="J38" s="186"/>
      <c r="K38" s="186">
        <f>VLOOKUP($B38,'Hillpointe Detail'!$A$221:$CA$250,'Hillpointe Detail'!$CA$251,0)</f>
        <v>45935.940699999999</v>
      </c>
      <c r="L38" s="186"/>
      <c r="M38" s="270">
        <f t="shared" si="0"/>
        <v>-0.60342817144049476</v>
      </c>
      <c r="N38" s="166"/>
      <c r="O38" s="282">
        <f>VLOOKUP($B38,'Sandhill Detail'!$A$186:$CA$212,'Sandhill Detail'!$BZ$251,0)</f>
        <v>602.75</v>
      </c>
      <c r="P38" s="186"/>
      <c r="Q38" s="186">
        <f>VLOOKUP($B38,'Sandhill Detail'!$A$221:$CA$250,'Sandhill Detail'!$BZ$251,0)</f>
        <v>1297.1821333333332</v>
      </c>
      <c r="R38" s="283"/>
      <c r="S38" s="284"/>
      <c r="T38" s="186">
        <f>VLOOKUP($B38,'Sandhill Detail'!$A$186:$CA$212,'Sandhill Detail'!$CA$251,0)</f>
        <v>3452.4900000000002</v>
      </c>
      <c r="U38" s="186"/>
      <c r="V38" s="186">
        <f>VLOOKUP($B38,'Sandhill Detail'!$A$221:$CA$250,'Sandhill Detail'!$CA$251,0)</f>
        <v>12837.104200000002</v>
      </c>
      <c r="W38" s="186"/>
      <c r="X38" s="270">
        <f t="shared" si="1"/>
        <v>-0.73105383066065632</v>
      </c>
      <c r="Y38" s="166"/>
      <c r="Z38" s="282">
        <f t="shared" si="2"/>
        <v>3713.83</v>
      </c>
      <c r="AA38" s="186"/>
      <c r="AB38" s="186">
        <f t="shared" si="3"/>
        <v>5940.3760999999995</v>
      </c>
      <c r="AC38" s="283"/>
      <c r="AD38" s="284"/>
      <c r="AE38" s="186">
        <f t="shared" si="4"/>
        <v>21669.390000000003</v>
      </c>
      <c r="AF38" s="186"/>
      <c r="AG38" s="186">
        <f t="shared" si="5"/>
        <v>58773.044900000001</v>
      </c>
      <c r="AH38" s="186"/>
      <c r="AI38" s="270">
        <f t="shared" si="6"/>
        <v>-0.63130394151145974</v>
      </c>
    </row>
    <row r="39" spans="1:35" ht="3" customHeight="1" x14ac:dyDescent="0.3">
      <c r="A39" s="257"/>
      <c r="B39" s="258"/>
      <c r="D39" s="285"/>
      <c r="E39" s="186"/>
      <c r="F39" s="235"/>
      <c r="G39" s="283"/>
      <c r="H39" s="284"/>
      <c r="I39" s="235"/>
      <c r="J39" s="186"/>
      <c r="K39" s="235"/>
      <c r="L39" s="186"/>
      <c r="M39" s="272"/>
      <c r="N39" s="166"/>
      <c r="O39" s="285"/>
      <c r="P39" s="186"/>
      <c r="Q39" s="235"/>
      <c r="R39" s="283"/>
      <c r="S39" s="284"/>
      <c r="T39" s="235"/>
      <c r="U39" s="186"/>
      <c r="V39" s="235"/>
      <c r="W39" s="186"/>
      <c r="X39" s="272"/>
      <c r="Y39" s="166"/>
      <c r="Z39" s="285"/>
      <c r="AA39" s="186"/>
      <c r="AB39" s="235"/>
      <c r="AC39" s="283"/>
      <c r="AD39" s="284"/>
      <c r="AE39" s="235"/>
      <c r="AF39" s="186"/>
      <c r="AG39" s="235"/>
      <c r="AH39" s="186"/>
      <c r="AI39" s="272"/>
    </row>
    <row r="40" spans="1:35" x14ac:dyDescent="0.3">
      <c r="A40" s="259" t="s">
        <v>116</v>
      </c>
      <c r="B40" s="260"/>
      <c r="C40" s="229"/>
      <c r="D40" s="261">
        <f>SUM(D24:D39)</f>
        <v>331243.44</v>
      </c>
      <c r="E40" s="230"/>
      <c r="F40" s="230">
        <f>SUM(F24:F39)</f>
        <v>253626.53353857141</v>
      </c>
      <c r="G40" s="262"/>
      <c r="H40" s="263"/>
      <c r="I40" s="230">
        <f>SUM(I24:I39)</f>
        <v>3285417.94</v>
      </c>
      <c r="J40" s="230"/>
      <c r="K40" s="230">
        <f>SUM(K24:K39)</f>
        <v>2680704.932149048</v>
      </c>
      <c r="L40" s="230"/>
      <c r="M40" s="264">
        <f t="shared" si="0"/>
        <v>0.22557984677790333</v>
      </c>
      <c r="N40" s="175"/>
      <c r="O40" s="261">
        <f>SUM(O24:O39)</f>
        <v>67991.98</v>
      </c>
      <c r="P40" s="230"/>
      <c r="Q40" s="230">
        <f>SUM(Q24:Q39)</f>
        <v>73303.392726190476</v>
      </c>
      <c r="R40" s="262"/>
      <c r="S40" s="263"/>
      <c r="T40" s="230">
        <f>SUM(T24:T39)</f>
        <v>714400.2</v>
      </c>
      <c r="U40" s="230"/>
      <c r="V40" s="230">
        <f>SUM(V24:V39)</f>
        <v>761766.97497857152</v>
      </c>
      <c r="W40" s="230"/>
      <c r="X40" s="264">
        <f t="shared" si="1"/>
        <v>-6.2180137147457737E-2</v>
      </c>
      <c r="Y40" s="175"/>
      <c r="Z40" s="261">
        <f>SUM(Z24:Z39)</f>
        <v>399235.42000000004</v>
      </c>
      <c r="AA40" s="230"/>
      <c r="AB40" s="230">
        <f>SUM(AB24:AB39)</f>
        <v>326929.92626476195</v>
      </c>
      <c r="AC40" s="262"/>
      <c r="AD40" s="263"/>
      <c r="AE40" s="230">
        <f>SUM(AE24:AE39)</f>
        <v>3999818.14</v>
      </c>
      <c r="AF40" s="230"/>
      <c r="AG40" s="230">
        <f>SUM(AG24:AG39)</f>
        <v>3442471.9071276188</v>
      </c>
      <c r="AH40" s="230"/>
      <c r="AI40" s="264">
        <f t="shared" si="6"/>
        <v>0.16190291392600731</v>
      </c>
    </row>
    <row r="41" spans="1:35" ht="6" customHeight="1" x14ac:dyDescent="0.3">
      <c r="A41" s="257"/>
      <c r="B41" s="258"/>
      <c r="D41" s="282"/>
      <c r="E41" s="186"/>
      <c r="F41" s="186"/>
      <c r="G41" s="283"/>
      <c r="H41" s="284"/>
      <c r="I41" s="186"/>
      <c r="J41" s="186"/>
      <c r="K41" s="186"/>
      <c r="L41" s="186"/>
      <c r="M41" s="286"/>
      <c r="N41" s="166"/>
      <c r="O41" s="282"/>
      <c r="P41" s="186"/>
      <c r="Q41" s="186"/>
      <c r="R41" s="283"/>
      <c r="S41" s="284"/>
      <c r="T41" s="186"/>
      <c r="U41" s="186"/>
      <c r="V41" s="186"/>
      <c r="W41" s="186"/>
      <c r="X41" s="286"/>
      <c r="Y41" s="166"/>
      <c r="Z41" s="282"/>
      <c r="AA41" s="186"/>
      <c r="AB41" s="186"/>
      <c r="AC41" s="283"/>
      <c r="AD41" s="284"/>
      <c r="AE41" s="186"/>
      <c r="AF41" s="186"/>
      <c r="AG41" s="186"/>
      <c r="AH41" s="186"/>
      <c r="AI41" s="286"/>
    </row>
    <row r="42" spans="1:35" x14ac:dyDescent="0.3">
      <c r="A42" s="265" t="s">
        <v>144</v>
      </c>
      <c r="B42" s="266"/>
      <c r="C42" s="233"/>
      <c r="D42" s="288">
        <f>D21-D40</f>
        <v>-96743.129999999976</v>
      </c>
      <c r="E42" s="234"/>
      <c r="F42" s="289">
        <f>F21-F40</f>
        <v>25669.924982857163</v>
      </c>
      <c r="G42" s="268"/>
      <c r="H42" s="269"/>
      <c r="I42" s="289">
        <f>I21-I40</f>
        <v>-167709.88999999966</v>
      </c>
      <c r="J42" s="234"/>
      <c r="K42" s="289">
        <f>K21-K40</f>
        <v>571690.65192432841</v>
      </c>
      <c r="L42" s="234"/>
      <c r="M42" s="290">
        <f t="shared" si="0"/>
        <v>-1.2933577616416903</v>
      </c>
      <c r="N42" s="233"/>
      <c r="O42" s="291">
        <f>O21-O40</f>
        <v>-1791.8099999999977</v>
      </c>
      <c r="P42" s="292"/>
      <c r="Q42" s="293">
        <f>Q21-Q40</f>
        <v>4513.8323238095181</v>
      </c>
      <c r="R42" s="294"/>
      <c r="S42" s="295"/>
      <c r="T42" s="293">
        <f>T21-T40</f>
        <v>160841.26000000013</v>
      </c>
      <c r="U42" s="292"/>
      <c r="V42" s="293">
        <f>V21-V40</f>
        <v>158564.18166233762</v>
      </c>
      <c r="W42" s="292"/>
      <c r="X42" s="290">
        <f t="shared" si="1"/>
        <v>1.4360609778263367E-2</v>
      </c>
      <c r="Y42" s="233"/>
      <c r="Z42" s="291">
        <f>Z21-Z40</f>
        <v>-98534.939999999944</v>
      </c>
      <c r="AA42" s="292"/>
      <c r="AB42" s="293">
        <f>AB21-AB40</f>
        <v>30183.757306666637</v>
      </c>
      <c r="AC42" s="268"/>
      <c r="AD42" s="269"/>
      <c r="AE42" s="293">
        <f>AE21-AE40</f>
        <v>-6868.6299999998882</v>
      </c>
      <c r="AF42" s="292"/>
      <c r="AG42" s="293">
        <f>AG21-AG40</f>
        <v>730254.83358666673</v>
      </c>
      <c r="AH42" s="296"/>
      <c r="AI42" s="290">
        <f t="shared" si="6"/>
        <v>-1.009405798748725</v>
      </c>
    </row>
    <row r="43" spans="1:35" ht="6" customHeight="1" x14ac:dyDescent="0.3">
      <c r="A43" s="297"/>
      <c r="B43" s="258"/>
      <c r="D43" s="279"/>
      <c r="E43" s="186"/>
      <c r="F43" s="239"/>
      <c r="G43" s="283"/>
      <c r="H43" s="284"/>
      <c r="I43" s="239"/>
      <c r="J43" s="186"/>
      <c r="K43" s="239"/>
      <c r="L43" s="239"/>
      <c r="M43" s="270"/>
      <c r="O43" s="279"/>
      <c r="P43" s="226"/>
      <c r="Q43" s="239"/>
      <c r="R43" s="250"/>
      <c r="S43" s="247"/>
      <c r="T43" s="239"/>
      <c r="U43" s="226"/>
      <c r="V43" s="239"/>
      <c r="W43" s="226"/>
      <c r="X43" s="270"/>
      <c r="Z43" s="279"/>
      <c r="AA43" s="226"/>
      <c r="AB43" s="239"/>
      <c r="AC43" s="283"/>
      <c r="AD43" s="284"/>
      <c r="AE43" s="239"/>
      <c r="AF43" s="226"/>
      <c r="AG43" s="239"/>
      <c r="AH43" s="239"/>
      <c r="AI43" s="270"/>
    </row>
    <row r="44" spans="1:35" ht="14.4" thickBot="1" x14ac:dyDescent="0.35">
      <c r="A44" s="259" t="s">
        <v>384</v>
      </c>
      <c r="B44" s="260"/>
      <c r="C44" s="229"/>
      <c r="D44" s="298">
        <f>VLOOKUP($A44,'Hillpointe Detail'!$A$176:$CJ$183,'Hillpointe Detail'!$BZ$251,0)</f>
        <v>-19865.01999999992</v>
      </c>
      <c r="E44" s="230"/>
      <c r="F44" s="243">
        <f>F42+F37+F36</f>
        <v>25890.934982857161</v>
      </c>
      <c r="G44" s="262"/>
      <c r="H44" s="263"/>
      <c r="I44" s="299">
        <f>VLOOKUP($A44,'Hillpointe Detail'!$A$176:$CJ$183,'Hillpointe Detail'!$CA$251,0)</f>
        <v>690756.65000000095</v>
      </c>
      <c r="J44" s="230"/>
      <c r="K44" s="299">
        <f>K42+K37+K36</f>
        <v>574121.7619243284</v>
      </c>
      <c r="L44" s="230"/>
      <c r="M44" s="300">
        <f t="shared" ref="M44" si="17">IF(AND(K44&lt;0,I44&gt;0),"NM",IF(ISERROR(I44/K44-1),0,IF(OR(I44/K44-1&gt;2,I44/K44-1&lt;-2),"NM",I44/K44-1)))</f>
        <v>0.20315357439985959</v>
      </c>
      <c r="N44" s="175"/>
      <c r="O44" s="301">
        <f>VLOOKUP($A44,'Sandhill Detail'!$A$176:$CK$184,'Sandhill Detail'!$BZ$251,0)</f>
        <v>-1489.2900000000268</v>
      </c>
      <c r="P44" s="230"/>
      <c r="Q44" s="299">
        <f>Q42+Q37+Q36</f>
        <v>4576.1623238095181</v>
      </c>
      <c r="R44" s="262"/>
      <c r="S44" s="263"/>
      <c r="T44" s="299">
        <f>VLOOKUP($A44,'Sandhill Detail'!$A$176:$CK$184,'Sandhill Detail'!$CA$251,0)</f>
        <v>164168.98000000024</v>
      </c>
      <c r="U44" s="230"/>
      <c r="V44" s="299">
        <f>V42+V37+V36</f>
        <v>159249.81166233763</v>
      </c>
      <c r="W44" s="230"/>
      <c r="X44" s="300">
        <f t="shared" si="1"/>
        <v>3.0889633628533808E-2</v>
      </c>
      <c r="Y44" s="175"/>
      <c r="Z44" s="301">
        <f t="shared" ref="Z44" si="18">D44+O44</f>
        <v>-21354.309999999947</v>
      </c>
      <c r="AA44" s="230"/>
      <c r="AB44" s="299">
        <f t="shared" ref="AB44" si="19">F44+Q44</f>
        <v>30467.097306666677</v>
      </c>
      <c r="AC44" s="262"/>
      <c r="AD44" s="263"/>
      <c r="AE44" s="299">
        <f t="shared" ref="AE44" si="20">I44+T44</f>
        <v>854925.63000000117</v>
      </c>
      <c r="AF44" s="230"/>
      <c r="AG44" s="299">
        <f t="shared" ref="AG44" si="21">K44+V44</f>
        <v>733371.57358666603</v>
      </c>
      <c r="AH44" s="230"/>
      <c r="AI44" s="300">
        <f t="shared" si="6"/>
        <v>0.16574688846863328</v>
      </c>
    </row>
    <row r="45" spans="1:35" ht="6" customHeight="1" thickTop="1" thickBot="1" x14ac:dyDescent="0.35">
      <c r="A45" s="302"/>
      <c r="B45" s="303"/>
      <c r="D45" s="304"/>
      <c r="E45" s="305"/>
      <c r="F45" s="305"/>
      <c r="G45" s="305"/>
      <c r="H45" s="305"/>
      <c r="I45" s="305"/>
      <c r="J45" s="305"/>
      <c r="K45" s="305"/>
      <c r="L45" s="305"/>
      <c r="M45" s="306"/>
      <c r="O45" s="302"/>
      <c r="P45" s="307"/>
      <c r="Q45" s="307"/>
      <c r="R45" s="307"/>
      <c r="S45" s="307"/>
      <c r="T45" s="307"/>
      <c r="U45" s="307"/>
      <c r="V45" s="307"/>
      <c r="W45" s="307"/>
      <c r="X45" s="306"/>
      <c r="Z45" s="302"/>
      <c r="AA45" s="307"/>
      <c r="AB45" s="307"/>
      <c r="AC45" s="307"/>
      <c r="AD45" s="307"/>
      <c r="AE45" s="305"/>
      <c r="AF45" s="307"/>
      <c r="AG45" s="307"/>
      <c r="AH45" s="307"/>
      <c r="AI45" s="306"/>
    </row>
    <row r="46" spans="1:35" ht="9" customHeight="1" thickBot="1" x14ac:dyDescent="0.35">
      <c r="D46" s="186"/>
      <c r="E46" s="186"/>
      <c r="F46" s="186"/>
      <c r="G46" s="186"/>
      <c r="H46" s="186"/>
      <c r="I46" s="186"/>
      <c r="J46" s="186"/>
      <c r="K46" s="186"/>
      <c r="L46" s="186"/>
      <c r="M46" s="186"/>
      <c r="O46" s="226"/>
      <c r="P46" s="226"/>
      <c r="Q46" s="226"/>
      <c r="R46" s="226"/>
      <c r="S46" s="226"/>
      <c r="T46" s="226"/>
      <c r="U46" s="226"/>
      <c r="V46" s="226"/>
      <c r="W46" s="226"/>
      <c r="X46" s="186"/>
      <c r="Z46" s="226"/>
      <c r="AA46" s="226"/>
      <c r="AB46" s="226"/>
      <c r="AC46" s="226"/>
      <c r="AD46" s="226"/>
      <c r="AE46" s="186"/>
      <c r="AF46" s="226"/>
      <c r="AG46" s="226"/>
      <c r="AH46" s="226"/>
      <c r="AI46" s="186"/>
    </row>
    <row r="47" spans="1:35" ht="6" customHeight="1" x14ac:dyDescent="0.3">
      <c r="A47" s="308"/>
      <c r="B47" s="309"/>
      <c r="D47" s="310"/>
      <c r="E47" s="311"/>
      <c r="F47" s="311"/>
      <c r="G47" s="311"/>
      <c r="H47" s="311"/>
      <c r="I47" s="311"/>
      <c r="J47" s="311"/>
      <c r="K47" s="311"/>
      <c r="L47" s="311"/>
      <c r="M47" s="312"/>
      <c r="O47" s="308"/>
      <c r="P47" s="313"/>
      <c r="Q47" s="313"/>
      <c r="R47" s="313"/>
      <c r="S47" s="313"/>
      <c r="T47" s="313"/>
      <c r="U47" s="313"/>
      <c r="V47" s="313"/>
      <c r="W47" s="313"/>
      <c r="X47" s="309"/>
      <c r="Z47" s="308"/>
      <c r="AA47" s="313"/>
      <c r="AB47" s="313"/>
      <c r="AC47" s="313"/>
      <c r="AD47" s="313"/>
      <c r="AE47" s="313"/>
      <c r="AF47" s="313"/>
      <c r="AG47" s="313"/>
      <c r="AH47" s="313"/>
      <c r="AI47" s="309"/>
    </row>
    <row r="48" spans="1:35" x14ac:dyDescent="0.3">
      <c r="A48" s="314" t="s">
        <v>286</v>
      </c>
      <c r="B48" s="315"/>
      <c r="C48" s="233"/>
      <c r="D48" s="267"/>
      <c r="E48" s="234"/>
      <c r="F48" s="234"/>
      <c r="G48" s="268"/>
      <c r="H48" s="269"/>
      <c r="I48" s="234"/>
      <c r="J48" s="234"/>
      <c r="K48" s="234"/>
      <c r="L48" s="234"/>
      <c r="M48" s="275"/>
      <c r="N48" s="233"/>
      <c r="O48" s="316"/>
      <c r="P48" s="232"/>
      <c r="Q48" s="232"/>
      <c r="R48" s="268"/>
      <c r="S48" s="269"/>
      <c r="T48" s="232"/>
      <c r="U48" s="232"/>
      <c r="V48" s="232"/>
      <c r="W48" s="232"/>
      <c r="X48" s="266"/>
      <c r="Y48" s="233"/>
      <c r="Z48" s="316"/>
      <c r="AA48" s="232"/>
      <c r="AB48" s="232"/>
      <c r="AC48" s="268"/>
      <c r="AD48" s="269"/>
      <c r="AE48" s="232"/>
      <c r="AF48" s="232"/>
      <c r="AG48" s="232"/>
      <c r="AH48" s="232"/>
      <c r="AI48" s="266"/>
    </row>
    <row r="49" spans="1:36" ht="6" customHeight="1" x14ac:dyDescent="0.3">
      <c r="A49" s="317"/>
      <c r="B49" s="318"/>
      <c r="C49" s="319"/>
      <c r="D49" s="320"/>
      <c r="E49" s="321"/>
      <c r="F49" s="321"/>
      <c r="G49" s="322"/>
      <c r="H49" s="323"/>
      <c r="I49" s="321"/>
      <c r="J49" s="321"/>
      <c r="K49" s="321"/>
      <c r="L49" s="321"/>
      <c r="M49" s="324"/>
      <c r="N49" s="319"/>
      <c r="O49" s="325"/>
      <c r="P49" s="326"/>
      <c r="Q49" s="326"/>
      <c r="R49" s="322"/>
      <c r="S49" s="323"/>
      <c r="T49" s="326"/>
      <c r="U49" s="326"/>
      <c r="V49" s="326"/>
      <c r="W49" s="326"/>
      <c r="X49" s="327"/>
      <c r="Y49" s="319"/>
      <c r="Z49" s="325"/>
      <c r="AA49" s="326"/>
      <c r="AB49" s="326"/>
      <c r="AC49" s="322"/>
      <c r="AD49" s="323"/>
      <c r="AE49" s="326"/>
      <c r="AF49" s="326"/>
      <c r="AG49" s="326"/>
      <c r="AH49" s="326"/>
      <c r="AI49" s="327"/>
    </row>
    <row r="50" spans="1:36" x14ac:dyDescent="0.3">
      <c r="A50" s="317"/>
      <c r="B50" s="318" t="s">
        <v>292</v>
      </c>
      <c r="C50" s="328"/>
      <c r="D50" s="329">
        <f>D42/D21</f>
        <v>-0.41255011560539073</v>
      </c>
      <c r="E50" s="330"/>
      <c r="F50" s="331">
        <f>F42/F21</f>
        <v>9.1909239088642722E-2</v>
      </c>
      <c r="G50" s="332"/>
      <c r="H50" s="333"/>
      <c r="I50" s="331">
        <f>I42/I21</f>
        <v>-5.3792685944407032E-2</v>
      </c>
      <c r="J50" s="330"/>
      <c r="K50" s="331">
        <f>K42/K21</f>
        <v>0.17577525154806958</v>
      </c>
      <c r="L50" s="330"/>
      <c r="M50" s="270">
        <f t="shared" ref="M50:M52" si="22">IF(AND(K50&lt;0,I50&gt;0),"NM",IF(ISERROR(I50/K50-1),0,IF(OR(I50/K50-1&gt;2,I50/K50-1&lt;-2),"NM",I50/K50-1)))</f>
        <v>-1.3060310565375368</v>
      </c>
      <c r="N50" s="328"/>
      <c r="O50" s="329">
        <f>O42/O21</f>
        <v>-2.7066546807961334E-2</v>
      </c>
      <c r="P50" s="334"/>
      <c r="Q50" s="331">
        <f>Q42/Q21</f>
        <v>5.8005567802106028E-2</v>
      </c>
      <c r="R50" s="332"/>
      <c r="S50" s="333"/>
      <c r="T50" s="331">
        <f>T42/T21</f>
        <v>0.18376787132547412</v>
      </c>
      <c r="U50" s="334"/>
      <c r="V50" s="331">
        <f>V42/V21</f>
        <v>0.17229035496426806</v>
      </c>
      <c r="W50" s="334"/>
      <c r="X50" s="270">
        <f t="shared" ref="X50:X52" si="23">IF(AND(V50&lt;0,T50&gt;0),"NM",IF(ISERROR(T50/V50-1),0,IF(OR(T50/V50-1&gt;2,T50/V50-1&lt;-2),"NM",T50/V50-1)))</f>
        <v>6.6617288957274701E-2</v>
      </c>
      <c r="Y50" s="328"/>
      <c r="Z50" s="329">
        <f>Z42/Z21</f>
        <v>-0.32768467812222951</v>
      </c>
      <c r="AA50" s="334"/>
      <c r="AB50" s="331">
        <f>AB42/AB21</f>
        <v>8.4521424675762652E-2</v>
      </c>
      <c r="AC50" s="332"/>
      <c r="AD50" s="333"/>
      <c r="AE50" s="331">
        <f>AE42/AE21</f>
        <v>-1.720189544795894E-3</v>
      </c>
      <c r="AF50" s="334"/>
      <c r="AG50" s="331">
        <f>AG42/AG21</f>
        <v>0.17500662731191979</v>
      </c>
      <c r="AH50" s="334"/>
      <c r="AI50" s="270">
        <f t="shared" ref="AI50:AI52" si="24">IF(AND(AG50&lt;0,AE50&gt;0),"NM",IF(ISERROR(AE50/AG50-1),0,IF(OR(AE50/AG50-1&gt;2,AE50/AG50-1&lt;-2),"NM",AE50/AG50-1)))</f>
        <v>-1.0098292823032922</v>
      </c>
      <c r="AJ50" s="233"/>
    </row>
    <row r="51" spans="1:36" x14ac:dyDescent="0.3">
      <c r="A51" s="335"/>
      <c r="B51" s="336" t="s">
        <v>282</v>
      </c>
      <c r="C51" s="337"/>
      <c r="D51" s="338">
        <f>D15/D8</f>
        <v>614.2679369627507</v>
      </c>
      <c r="E51" s="339"/>
      <c r="F51" s="340">
        <f>F15/F8</f>
        <v>661.83333333333337</v>
      </c>
      <c r="G51" s="341"/>
      <c r="H51" s="342"/>
      <c r="I51" s="340">
        <f>I15/I8</f>
        <v>6567.7631805157598</v>
      </c>
      <c r="J51" s="339"/>
      <c r="K51" s="340">
        <f>K15/K8</f>
        <v>7158.25</v>
      </c>
      <c r="L51" s="339"/>
      <c r="M51" s="264">
        <f t="shared" si="22"/>
        <v>-8.2490387941779098E-2</v>
      </c>
      <c r="N51" s="343"/>
      <c r="O51" s="338">
        <f>O15/O8</f>
        <v>643.25542553191497</v>
      </c>
      <c r="P51" s="344"/>
      <c r="Q51" s="340">
        <f>Q15/Q8</f>
        <v>608</v>
      </c>
      <c r="R51" s="341"/>
      <c r="S51" s="342"/>
      <c r="T51" s="340">
        <f>T15/T8</f>
        <v>6877.6984042553195</v>
      </c>
      <c r="U51" s="344"/>
      <c r="V51" s="340">
        <f>V15/V8</f>
        <v>6682.7586206896549</v>
      </c>
      <c r="W51" s="344"/>
      <c r="X51" s="264">
        <f t="shared" si="23"/>
        <v>2.9170555848319291E-2</v>
      </c>
      <c r="Y51" s="343"/>
      <c r="Z51" s="338">
        <f>Z15/Z8</f>
        <v>620.41878103837473</v>
      </c>
      <c r="AA51" s="344"/>
      <c r="AB51" s="340">
        <f>AB15/AB8</f>
        <v>649.34400000000005</v>
      </c>
      <c r="AC51" s="341"/>
      <c r="AD51" s="342"/>
      <c r="AE51" s="340">
        <f>AE15/AE8</f>
        <v>6633.5282167042888</v>
      </c>
      <c r="AF51" s="344"/>
      <c r="AG51" s="340">
        <f>AG15/AG8</f>
        <v>7047.9359999999997</v>
      </c>
      <c r="AH51" s="345"/>
      <c r="AI51" s="264">
        <f t="shared" si="24"/>
        <v>-5.8798460044999112E-2</v>
      </c>
      <c r="AJ51" s="233"/>
    </row>
    <row r="52" spans="1:36" x14ac:dyDescent="0.3">
      <c r="A52" s="346"/>
      <c r="B52" s="318" t="s">
        <v>283</v>
      </c>
      <c r="C52" s="328"/>
      <c r="D52" s="347">
        <f>D21/D8</f>
        <v>671.92065902578804</v>
      </c>
      <c r="E52" s="330"/>
      <c r="F52" s="348">
        <f>F21/F8</f>
        <v>727.33452739955362</v>
      </c>
      <c r="G52" s="332"/>
      <c r="H52" s="333"/>
      <c r="I52" s="348">
        <f>I21/I8</f>
        <v>8933.260888252149</v>
      </c>
      <c r="J52" s="330"/>
      <c r="K52" s="348">
        <f>K21/K8</f>
        <v>8469.7801668577504</v>
      </c>
      <c r="L52" s="330"/>
      <c r="M52" s="270">
        <f t="shared" si="22"/>
        <v>5.4721694337239057E-2</v>
      </c>
      <c r="N52" s="328"/>
      <c r="O52" s="347">
        <f>O21/O8</f>
        <v>704.25712765957439</v>
      </c>
      <c r="P52" s="334"/>
      <c r="Q52" s="348">
        <f>Q21/Q8</f>
        <v>670.83814698275853</v>
      </c>
      <c r="R52" s="332"/>
      <c r="S52" s="333"/>
      <c r="T52" s="348">
        <f>T21/T8</f>
        <v>9311.0793617021282</v>
      </c>
      <c r="U52" s="334"/>
      <c r="V52" s="348">
        <f>V21/V8</f>
        <v>7933.889281387148</v>
      </c>
      <c r="W52" s="334"/>
      <c r="X52" s="270">
        <f t="shared" si="23"/>
        <v>0.17358322399908688</v>
      </c>
      <c r="Y52" s="328"/>
      <c r="Z52" s="347">
        <f>Z21/Z8</f>
        <v>678.78212189616272</v>
      </c>
      <c r="AA52" s="334"/>
      <c r="AB52" s="348">
        <f>AB21/AB8</f>
        <v>714.22736714285713</v>
      </c>
      <c r="AC52" s="332"/>
      <c r="AD52" s="333"/>
      <c r="AE52" s="348">
        <f>AE21/AE8</f>
        <v>9013.4300451467279</v>
      </c>
      <c r="AF52" s="334"/>
      <c r="AG52" s="348">
        <f>AG21/AG8</f>
        <v>8345.4534814285707</v>
      </c>
      <c r="AH52" s="334"/>
      <c r="AI52" s="270">
        <f t="shared" si="24"/>
        <v>8.0040774920695279E-2</v>
      </c>
      <c r="AJ52" s="233"/>
    </row>
    <row r="53" spans="1:36" hidden="1" outlineLevel="1" x14ac:dyDescent="0.3">
      <c r="A53" s="335"/>
      <c r="B53" s="336" t="s">
        <v>284</v>
      </c>
      <c r="C53" s="337"/>
      <c r="D53" s="349" t="e">
        <f>VLOOKUP($B53,'Hillpointe Detail'!$A$264:$CA$265,'Hillpointe Detail'!$BZ$251,0)</f>
        <v>#N/A</v>
      </c>
      <c r="E53" s="350"/>
      <c r="F53" s="351">
        <f>VLOOKUP($B53,'Hillpointe Detail'!$A$221:$CA$250,'Hillpointe Detail'!$BZ$251,0)</f>
        <v>30</v>
      </c>
      <c r="G53" s="352"/>
      <c r="H53" s="353"/>
      <c r="I53" s="351" t="e">
        <f>VLOOKUP($B53,'Hillpointe Detail'!$A$264:$CA$265,'Hillpointe Detail'!$CA$251,0)</f>
        <v>#N/A</v>
      </c>
      <c r="J53" s="350"/>
      <c r="K53" s="351">
        <f>VLOOKUP($B53,'Hillpointe Detail'!$A$221:$CA$250,'Hillpointe Detail'!$CA$251,0)</f>
        <v>29.818181818181817</v>
      </c>
      <c r="L53" s="350"/>
      <c r="M53" s="264" t="e">
        <f t="shared" ref="M53:M56" si="25">IF(AND(K53&lt;0,I53&gt;0),"NM",IF(ISERROR(I53/K53-1),0,IF(OR(I53/K53-1&gt;2,I53/K53-1&lt;-2),"NM",I53/K53-1)))</f>
        <v>#N/A</v>
      </c>
      <c r="N53" s="354"/>
      <c r="O53" s="349" t="e">
        <f>VLOOKUP($B53,'Sandhill Detail'!$A$264:$CA$265,'Sandhill Detail'!$BZ$251,0)</f>
        <v>#N/A</v>
      </c>
      <c r="P53" s="350"/>
      <c r="Q53" s="351">
        <f>VLOOKUP($B53,'Sandhill Detail'!$A$221:$CA$250,'Sandhill Detail'!$BZ$251,0)</f>
        <v>30</v>
      </c>
      <c r="R53" s="352"/>
      <c r="S53" s="353"/>
      <c r="T53" s="351" t="e">
        <f>VLOOKUP($B53,'Sandhill Detail'!$A$264:$CA$265,'Sandhill Detail'!$CA$251,0)</f>
        <v>#N/A</v>
      </c>
      <c r="U53" s="350"/>
      <c r="V53" s="351">
        <f>VLOOKUP($B53,'Sandhill Detail'!$A$221:$CA$250,'Sandhill Detail'!$CA$251,0)</f>
        <v>28.181818181818183</v>
      </c>
      <c r="W53" s="350"/>
      <c r="X53" s="264" t="e">
        <f t="shared" ref="X53:X56" si="26">IF(AND(V53&lt;0,T53&gt;0),"NM",IF(ISERROR(T53/V53-1),0,IF(OR(T53/V53-1&gt;2,T53/V53-1&lt;-2),"NM",T53/V53-1)))</f>
        <v>#N/A</v>
      </c>
      <c r="Y53" s="354"/>
      <c r="Z53" s="261" t="e">
        <f>D53+O53</f>
        <v>#N/A</v>
      </c>
      <c r="AA53" s="230"/>
      <c r="AB53" s="230">
        <f>F53+Q53</f>
        <v>60</v>
      </c>
      <c r="AC53" s="262"/>
      <c r="AD53" s="263"/>
      <c r="AE53" s="230" t="e">
        <f t="shared" ref="AE53" si="27">I53+T53</f>
        <v>#N/A</v>
      </c>
      <c r="AF53" s="230"/>
      <c r="AG53" s="230">
        <f t="shared" ref="AG53" si="28">K53+V53</f>
        <v>58</v>
      </c>
      <c r="AH53" s="230"/>
      <c r="AI53" s="264" t="e">
        <f t="shared" ref="AI53:AI56" si="29">IF(AND(AG53&lt;0,AE53&gt;0),"NM",IF(ISERROR(AE53/AG53-1),0,IF(OR(AE53/AG53-1&gt;2,AE53/AG53-1&lt;-2),"NM",AE53/AG53-1)))</f>
        <v>#N/A</v>
      </c>
      <c r="AJ53" s="233"/>
    </row>
    <row r="54" spans="1:36" hidden="1" outlineLevel="1" x14ac:dyDescent="0.3">
      <c r="A54" s="346"/>
      <c r="B54" s="318" t="s">
        <v>307</v>
      </c>
      <c r="C54" s="328"/>
      <c r="D54" s="347" t="e">
        <f>(D24+D25+D35)/D53</f>
        <v>#N/A</v>
      </c>
      <c r="E54" s="348"/>
      <c r="F54" s="348">
        <f>(F24+F25+F35)/F53</f>
        <v>5077.0058205555542</v>
      </c>
      <c r="G54" s="355"/>
      <c r="H54" s="356"/>
      <c r="I54" s="348" t="e">
        <f>(I24+I25+I35)/I53</f>
        <v>#N/A</v>
      </c>
      <c r="J54" s="348"/>
      <c r="K54" s="348">
        <f>(K24+K25+K35)/K53</f>
        <v>51335.835532063</v>
      </c>
      <c r="L54" s="330"/>
      <c r="M54" s="270" t="e">
        <f t="shared" si="25"/>
        <v>#N/A</v>
      </c>
      <c r="N54" s="328"/>
      <c r="O54" s="347" t="e">
        <f>(O24+O25+O35)/O53</f>
        <v>#N/A</v>
      </c>
      <c r="P54" s="348"/>
      <c r="Q54" s="348">
        <f>(Q24+Q25+Q35)/Q53</f>
        <v>1734.0027833333334</v>
      </c>
      <c r="R54" s="355"/>
      <c r="S54" s="356"/>
      <c r="T54" s="348" t="e">
        <f>(T24+T25+T35)/T53</f>
        <v>#N/A</v>
      </c>
      <c r="U54" s="348"/>
      <c r="V54" s="348">
        <f>(V24+V25+V35)/V53</f>
        <v>18536.183924086024</v>
      </c>
      <c r="W54" s="334"/>
      <c r="X54" s="270" t="e">
        <f t="shared" si="26"/>
        <v>#N/A</v>
      </c>
      <c r="Y54" s="328"/>
      <c r="Z54" s="347" t="e">
        <f>(Z24+Z25+Z35)/Z53</f>
        <v>#N/A</v>
      </c>
      <c r="AA54" s="348"/>
      <c r="AB54" s="348">
        <f>(AB24+AB25+AB35)/AB53</f>
        <v>3405.5043019444438</v>
      </c>
      <c r="AC54" s="355"/>
      <c r="AD54" s="356"/>
      <c r="AE54" s="348" t="e">
        <f>(AE24+AE25+AE35)/AE53</f>
        <v>#N/A</v>
      </c>
      <c r="AF54" s="348"/>
      <c r="AG54" s="348">
        <f>(AG24+AG25+AG35)/AG53</f>
        <v>35398.700738218387</v>
      </c>
      <c r="AH54" s="334"/>
      <c r="AI54" s="270" t="e">
        <f t="shared" si="29"/>
        <v>#N/A</v>
      </c>
      <c r="AJ54" s="233"/>
    </row>
    <row r="55" spans="1:36" collapsed="1" x14ac:dyDescent="0.3">
      <c r="A55" s="335"/>
      <c r="B55" s="336" t="s">
        <v>285</v>
      </c>
      <c r="C55" s="337"/>
      <c r="D55" s="338">
        <f>D40/D8</f>
        <v>949.12160458452718</v>
      </c>
      <c r="E55" s="340"/>
      <c r="F55" s="340">
        <f>F40/F8</f>
        <v>660.48576442336309</v>
      </c>
      <c r="G55" s="357"/>
      <c r="H55" s="358"/>
      <c r="I55" s="340">
        <f>I40/I8</f>
        <v>9413.8049856733523</v>
      </c>
      <c r="J55" s="340"/>
      <c r="K55" s="340">
        <f>K40/K8</f>
        <v>6981.0024274714788</v>
      </c>
      <c r="L55" s="340"/>
      <c r="M55" s="264">
        <f t="shared" si="25"/>
        <v>0.34848900046623177</v>
      </c>
      <c r="N55" s="359"/>
      <c r="O55" s="338">
        <f>O40/O8</f>
        <v>723.31893617021274</v>
      </c>
      <c r="P55" s="340"/>
      <c r="Q55" s="340">
        <f>Q40/Q8</f>
        <v>631.92579936371101</v>
      </c>
      <c r="R55" s="357"/>
      <c r="S55" s="358"/>
      <c r="T55" s="340">
        <f>T40/T8</f>
        <v>7600.0021276595744</v>
      </c>
      <c r="U55" s="340"/>
      <c r="V55" s="340">
        <f>V40/V8</f>
        <v>6566.9566808497548</v>
      </c>
      <c r="W55" s="340"/>
      <c r="X55" s="264">
        <f t="shared" si="26"/>
        <v>0.15730961798824361</v>
      </c>
      <c r="Y55" s="359"/>
      <c r="Z55" s="338">
        <f>Z40/Z8</f>
        <v>901.20862302483079</v>
      </c>
      <c r="AA55" s="340"/>
      <c r="AB55" s="340">
        <f>AB40/AB8</f>
        <v>653.85985252952389</v>
      </c>
      <c r="AC55" s="357"/>
      <c r="AD55" s="358"/>
      <c r="AE55" s="340">
        <f>AE40/AE8</f>
        <v>9028.9348532731383</v>
      </c>
      <c r="AF55" s="340"/>
      <c r="AG55" s="340">
        <f>AG40/AG8</f>
        <v>6884.9438142552372</v>
      </c>
      <c r="AH55" s="340"/>
      <c r="AI55" s="264">
        <f t="shared" si="29"/>
        <v>0.31140283738827024</v>
      </c>
      <c r="AJ55" s="233"/>
    </row>
    <row r="56" spans="1:36" x14ac:dyDescent="0.3">
      <c r="A56" s="346"/>
      <c r="B56" s="318" t="s">
        <v>293</v>
      </c>
      <c r="C56" s="328"/>
      <c r="D56" s="347">
        <f>D42/D8</f>
        <v>-277.20094555873919</v>
      </c>
      <c r="E56" s="348"/>
      <c r="F56" s="348">
        <f>F42/F8</f>
        <v>66.848762976190528</v>
      </c>
      <c r="G56" s="355"/>
      <c r="H56" s="356"/>
      <c r="I56" s="348">
        <f>I42/I8</f>
        <v>-480.54409742120248</v>
      </c>
      <c r="J56" s="348"/>
      <c r="K56" s="348">
        <f>K42/K8</f>
        <v>1488.7777393862718</v>
      </c>
      <c r="L56" s="348"/>
      <c r="M56" s="270">
        <f t="shared" si="25"/>
        <v>-1.3227775944710862</v>
      </c>
      <c r="N56" s="360"/>
      <c r="O56" s="347">
        <f>O42/O8</f>
        <v>-19.061808510638272</v>
      </c>
      <c r="P56" s="348"/>
      <c r="Q56" s="348">
        <f>Q42/Q8</f>
        <v>38.912347619047573</v>
      </c>
      <c r="R56" s="355"/>
      <c r="S56" s="356"/>
      <c r="T56" s="348">
        <f>T42/T8</f>
        <v>1711.0772340425544</v>
      </c>
      <c r="U56" s="348"/>
      <c r="V56" s="348">
        <f>V42/V8</f>
        <v>1366.9326005373932</v>
      </c>
      <c r="W56" s="348"/>
      <c r="X56" s="270">
        <f t="shared" si="26"/>
        <v>0.2517641567476443</v>
      </c>
      <c r="Y56" s="360"/>
      <c r="Z56" s="347">
        <f>Z42/Z8</f>
        <v>-222.42650112866804</v>
      </c>
      <c r="AA56" s="348"/>
      <c r="AB56" s="348">
        <f>AB42/AB8</f>
        <v>60.367514613333277</v>
      </c>
      <c r="AC56" s="355"/>
      <c r="AD56" s="356"/>
      <c r="AE56" s="348">
        <f>AE42/AE8</f>
        <v>-15.504808126410582</v>
      </c>
      <c r="AF56" s="348"/>
      <c r="AG56" s="348">
        <f>AG42/AG8</f>
        <v>1460.5096671733334</v>
      </c>
      <c r="AH56" s="348"/>
      <c r="AI56" s="270">
        <f t="shared" si="29"/>
        <v>-1.0106160256757619</v>
      </c>
      <c r="AJ56" s="233"/>
    </row>
    <row r="57" spans="1:36" ht="6" customHeight="1" x14ac:dyDescent="0.3">
      <c r="A57" s="346"/>
      <c r="B57" s="318"/>
      <c r="C57" s="328"/>
      <c r="D57" s="347"/>
      <c r="E57" s="330"/>
      <c r="F57" s="330"/>
      <c r="G57" s="332"/>
      <c r="H57" s="333"/>
      <c r="I57" s="348"/>
      <c r="J57" s="330"/>
      <c r="K57" s="330"/>
      <c r="L57" s="330"/>
      <c r="M57" s="361"/>
      <c r="N57" s="328"/>
      <c r="O57" s="347"/>
      <c r="P57" s="334"/>
      <c r="Q57" s="334"/>
      <c r="R57" s="332"/>
      <c r="S57" s="333"/>
      <c r="T57" s="348"/>
      <c r="U57" s="334"/>
      <c r="V57" s="334"/>
      <c r="W57" s="334"/>
      <c r="X57" s="318"/>
      <c r="Y57" s="328"/>
      <c r="Z57" s="347"/>
      <c r="AA57" s="334"/>
      <c r="AB57" s="334"/>
      <c r="AC57" s="332"/>
      <c r="AD57" s="333"/>
      <c r="AE57" s="348"/>
      <c r="AF57" s="334"/>
      <c r="AG57" s="334"/>
      <c r="AH57" s="334"/>
      <c r="AI57" s="318"/>
      <c r="AJ57" s="233"/>
    </row>
    <row r="58" spans="1:36" ht="6" customHeight="1" thickBot="1" x14ac:dyDescent="0.35">
      <c r="A58" s="362"/>
      <c r="B58" s="363"/>
      <c r="C58" s="328"/>
      <c r="D58" s="364"/>
      <c r="E58" s="365"/>
      <c r="F58" s="365"/>
      <c r="G58" s="365"/>
      <c r="H58" s="365"/>
      <c r="I58" s="365"/>
      <c r="J58" s="365"/>
      <c r="K58" s="365"/>
      <c r="L58" s="365"/>
      <c r="M58" s="366"/>
      <c r="N58" s="328"/>
      <c r="O58" s="362"/>
      <c r="P58" s="367"/>
      <c r="Q58" s="367"/>
      <c r="R58" s="367"/>
      <c r="S58" s="367"/>
      <c r="T58" s="367"/>
      <c r="U58" s="367"/>
      <c r="V58" s="367"/>
      <c r="W58" s="367"/>
      <c r="X58" s="363"/>
      <c r="Y58" s="328"/>
      <c r="Z58" s="362"/>
      <c r="AA58" s="367"/>
      <c r="AB58" s="367"/>
      <c r="AC58" s="367"/>
      <c r="AD58" s="367"/>
      <c r="AE58" s="367"/>
      <c r="AF58" s="367"/>
      <c r="AG58" s="367"/>
      <c r="AH58" s="367"/>
      <c r="AI58" s="363"/>
      <c r="AJ58" s="233"/>
    </row>
    <row r="59" spans="1:36" x14ac:dyDescent="0.3">
      <c r="D59" s="166"/>
      <c r="E59" s="166"/>
      <c r="F59" s="166"/>
      <c r="G59" s="166"/>
      <c r="H59" s="166"/>
      <c r="I59" s="166"/>
      <c r="J59" s="166"/>
      <c r="K59" s="166"/>
      <c r="L59" s="166"/>
      <c r="M59" s="166"/>
    </row>
    <row r="60" spans="1:36" x14ac:dyDescent="0.3">
      <c r="A60" s="156" t="s">
        <v>221</v>
      </c>
      <c r="D60" s="166"/>
      <c r="E60" s="166"/>
      <c r="F60" s="166"/>
      <c r="G60" s="166"/>
      <c r="H60" s="166"/>
      <c r="I60" s="166"/>
      <c r="J60" s="166"/>
      <c r="K60" s="166"/>
      <c r="L60" s="166"/>
      <c r="M60" s="166"/>
    </row>
    <row r="61" spans="1:36" x14ac:dyDescent="0.3">
      <c r="B61" s="222" t="s">
        <v>144</v>
      </c>
      <c r="D61" s="166">
        <f>D42-'Hillpointe Detail'!$BZ$173</f>
        <v>0</v>
      </c>
      <c r="E61" s="166"/>
      <c r="F61" s="166">
        <f>F42-'Hillpointe Detail'!$BZ$249</f>
        <v>0</v>
      </c>
      <c r="G61" s="166"/>
      <c r="H61" s="166"/>
      <c r="I61" s="166">
        <f>I42-'Hillpointe Detail'!$CA$173</f>
        <v>-4.6566128730773926E-10</v>
      </c>
      <c r="J61" s="166"/>
      <c r="K61" s="166">
        <f>K42-'Hillpointe Detail'!$CA$249</f>
        <v>0</v>
      </c>
      <c r="L61" s="166"/>
      <c r="M61" s="166"/>
      <c r="O61" s="166">
        <f>O42-'Sandhill Detail'!$BZ$173</f>
        <v>2.9103830456733704E-11</v>
      </c>
      <c r="P61" s="166"/>
      <c r="Q61" s="166">
        <f>Q42-'Sandhill Detail'!$BZ$249</f>
        <v>0</v>
      </c>
      <c r="R61" s="166"/>
      <c r="S61" s="166"/>
      <c r="T61" s="166">
        <f>T42-'Sandhill Detail'!$CA$173</f>
        <v>0</v>
      </c>
      <c r="U61" s="166"/>
      <c r="V61" s="166">
        <f>V42-'Sandhill Detail'!$CA$249</f>
        <v>0</v>
      </c>
      <c r="Z61" s="244">
        <f>Z42-'Hillpointe Detail'!BZ173-'Sandhill Detail'!BZ173</f>
        <v>0</v>
      </c>
      <c r="AB61" s="244">
        <f>AB42-'Hillpointe Detail'!BZ249-'Sandhill Detail'!BZ249</f>
        <v>-4.3655745685100555E-11</v>
      </c>
      <c r="AE61" s="244">
        <f>AE42-'Hillpointe Detail'!CA173-'Sandhill Detail'!CA173</f>
        <v>-9.3132257461547852E-10</v>
      </c>
      <c r="AG61" s="244">
        <f>AG42-'Hillpointe Detail'!CA249-'Sandhill Detail'!CA249</f>
        <v>6.9849193096160889E-10</v>
      </c>
    </row>
    <row r="62" spans="1:36" x14ac:dyDescent="0.3">
      <c r="D62" s="166"/>
      <c r="E62" s="166"/>
      <c r="F62" s="166"/>
      <c r="G62" s="166"/>
      <c r="H62" s="166"/>
      <c r="I62" s="166"/>
      <c r="J62" s="166"/>
      <c r="K62" s="166"/>
      <c r="L62" s="166"/>
      <c r="M62" s="166"/>
    </row>
    <row r="63" spans="1:36" x14ac:dyDescent="0.3">
      <c r="D63" s="166"/>
      <c r="E63" s="166"/>
      <c r="F63" s="166"/>
      <c r="G63" s="166"/>
      <c r="H63" s="166"/>
      <c r="I63" s="166"/>
      <c r="J63" s="166"/>
      <c r="K63" s="166"/>
      <c r="L63" s="166"/>
      <c r="M63" s="166"/>
    </row>
    <row r="64" spans="1:36" x14ac:dyDescent="0.3">
      <c r="D64" s="166"/>
      <c r="E64" s="166"/>
      <c r="F64" s="166"/>
      <c r="G64" s="166"/>
      <c r="H64" s="166"/>
      <c r="I64" s="166"/>
      <c r="J64" s="166"/>
      <c r="K64" s="166"/>
      <c r="L64" s="166"/>
      <c r="M64" s="166"/>
    </row>
    <row r="65" spans="4:13" x14ac:dyDescent="0.3">
      <c r="D65" s="166"/>
      <c r="E65" s="166"/>
      <c r="F65" s="166"/>
      <c r="G65" s="166"/>
      <c r="H65" s="166"/>
      <c r="I65" s="166"/>
      <c r="J65" s="166"/>
      <c r="K65" s="166"/>
      <c r="L65" s="166"/>
      <c r="M65" s="166"/>
    </row>
    <row r="66" spans="4:13" x14ac:dyDescent="0.3">
      <c r="D66" s="166"/>
      <c r="E66" s="166"/>
      <c r="F66" s="166"/>
      <c r="G66" s="166"/>
      <c r="H66" s="166"/>
      <c r="I66" s="166"/>
      <c r="J66" s="166"/>
      <c r="K66" s="166"/>
      <c r="L66" s="166"/>
      <c r="M66" s="166"/>
    </row>
    <row r="67" spans="4:13" x14ac:dyDescent="0.3">
      <c r="D67" s="166"/>
      <c r="E67" s="166"/>
      <c r="F67" s="166"/>
      <c r="G67" s="166"/>
      <c r="H67" s="166"/>
      <c r="I67" s="166"/>
      <c r="J67" s="166"/>
      <c r="K67" s="166"/>
      <c r="L67" s="166"/>
      <c r="M67" s="166"/>
    </row>
    <row r="68" spans="4:13" x14ac:dyDescent="0.3">
      <c r="D68" s="166"/>
      <c r="E68" s="166"/>
      <c r="F68" s="166"/>
      <c r="G68" s="166"/>
      <c r="H68" s="166"/>
      <c r="I68" s="166"/>
      <c r="J68" s="166"/>
      <c r="K68" s="166"/>
      <c r="L68" s="166"/>
      <c r="M68" s="166"/>
    </row>
    <row r="69" spans="4:13" x14ac:dyDescent="0.3">
      <c r="D69" s="166"/>
      <c r="E69" s="166"/>
      <c r="F69" s="166"/>
      <c r="G69" s="166"/>
      <c r="H69" s="166"/>
      <c r="I69" s="166"/>
      <c r="J69" s="166"/>
      <c r="K69" s="166"/>
      <c r="L69" s="166"/>
      <c r="M69" s="166"/>
    </row>
    <row r="70" spans="4:13" x14ac:dyDescent="0.3">
      <c r="D70" s="166"/>
      <c r="E70" s="166"/>
      <c r="F70" s="166"/>
      <c r="G70" s="166"/>
      <c r="H70" s="166"/>
      <c r="I70" s="166"/>
      <c r="J70" s="166"/>
      <c r="K70" s="166"/>
      <c r="L70" s="166"/>
      <c r="M70" s="166"/>
    </row>
    <row r="71" spans="4:13" x14ac:dyDescent="0.3">
      <c r="D71" s="166"/>
      <c r="E71" s="166"/>
      <c r="F71" s="166"/>
      <c r="G71" s="166"/>
      <c r="H71" s="166"/>
      <c r="I71" s="166"/>
      <c r="J71" s="166"/>
      <c r="K71" s="166"/>
      <c r="L71" s="166"/>
      <c r="M71" s="166"/>
    </row>
    <row r="72" spans="4:13" x14ac:dyDescent="0.3">
      <c r="D72" s="166"/>
      <c r="E72" s="166"/>
      <c r="F72" s="166"/>
      <c r="G72" s="166"/>
      <c r="H72" s="166"/>
      <c r="I72" s="166"/>
      <c r="J72" s="166"/>
      <c r="K72" s="166"/>
      <c r="L72" s="166"/>
      <c r="M72" s="166"/>
    </row>
    <row r="73" spans="4:13" x14ac:dyDescent="0.3">
      <c r="D73" s="166"/>
      <c r="E73" s="166"/>
      <c r="F73" s="166"/>
      <c r="G73" s="166"/>
      <c r="H73" s="166"/>
      <c r="I73" s="166"/>
      <c r="J73" s="166"/>
      <c r="K73" s="166"/>
      <c r="L73" s="166"/>
      <c r="M73" s="166"/>
    </row>
    <row r="74" spans="4:13" x14ac:dyDescent="0.3">
      <c r="D74" s="166"/>
      <c r="E74" s="166"/>
      <c r="F74" s="166"/>
      <c r="G74" s="166"/>
      <c r="H74" s="166"/>
      <c r="I74" s="166"/>
      <c r="J74" s="166"/>
      <c r="K74" s="166"/>
      <c r="L74" s="166"/>
      <c r="M74" s="166"/>
    </row>
    <row r="75" spans="4:13" x14ac:dyDescent="0.3">
      <c r="D75" s="166"/>
      <c r="E75" s="166"/>
      <c r="F75" s="166"/>
      <c r="G75" s="166"/>
      <c r="H75" s="166"/>
      <c r="I75" s="166"/>
      <c r="J75" s="166"/>
      <c r="K75" s="166"/>
      <c r="L75" s="166"/>
      <c r="M75" s="166"/>
    </row>
    <row r="76" spans="4:13" x14ac:dyDescent="0.3">
      <c r="D76" s="166"/>
      <c r="E76" s="166"/>
      <c r="F76" s="166"/>
      <c r="G76" s="166"/>
      <c r="H76" s="166"/>
      <c r="I76" s="166"/>
      <c r="J76" s="166"/>
      <c r="K76" s="166"/>
      <c r="L76" s="166"/>
      <c r="M76" s="166"/>
    </row>
    <row r="77" spans="4:13" x14ac:dyDescent="0.3">
      <c r="D77" s="166"/>
      <c r="E77" s="166"/>
      <c r="F77" s="166"/>
      <c r="G77" s="166"/>
      <c r="H77" s="166"/>
      <c r="I77" s="166"/>
      <c r="J77" s="166"/>
      <c r="K77" s="166"/>
      <c r="L77" s="166"/>
      <c r="M77" s="166"/>
    </row>
    <row r="78" spans="4:13" x14ac:dyDescent="0.3">
      <c r="D78" s="166"/>
      <c r="E78" s="166"/>
      <c r="F78" s="166"/>
      <c r="G78" s="166"/>
      <c r="H78" s="166"/>
      <c r="I78" s="166"/>
      <c r="J78" s="166"/>
      <c r="K78" s="166"/>
      <c r="L78" s="166"/>
      <c r="M78" s="166"/>
    </row>
    <row r="79" spans="4:13" x14ac:dyDescent="0.3">
      <c r="D79" s="166"/>
      <c r="E79" s="166"/>
      <c r="F79" s="166"/>
      <c r="G79" s="166"/>
      <c r="H79" s="166"/>
      <c r="I79" s="166"/>
      <c r="J79" s="166"/>
      <c r="K79" s="166"/>
      <c r="L79" s="166"/>
      <c r="M79" s="166"/>
    </row>
    <row r="80" spans="4:13" x14ac:dyDescent="0.3">
      <c r="D80" s="166"/>
      <c r="E80" s="166"/>
      <c r="F80" s="166"/>
      <c r="G80" s="166"/>
      <c r="H80" s="166"/>
      <c r="I80" s="166"/>
      <c r="J80" s="166"/>
      <c r="K80" s="166"/>
      <c r="L80" s="166"/>
      <c r="M80" s="166"/>
    </row>
    <row r="81" spans="4:13" x14ac:dyDescent="0.3">
      <c r="D81" s="166"/>
      <c r="E81" s="166"/>
      <c r="F81" s="166"/>
      <c r="G81" s="166"/>
      <c r="H81" s="166"/>
      <c r="I81" s="166"/>
      <c r="J81" s="166"/>
      <c r="K81" s="166"/>
      <c r="L81" s="166"/>
      <c r="M81" s="166"/>
    </row>
    <row r="82" spans="4:13" x14ac:dyDescent="0.3">
      <c r="D82" s="166"/>
      <c r="E82" s="166"/>
      <c r="F82" s="166"/>
      <c r="G82" s="166"/>
      <c r="H82" s="166"/>
      <c r="I82" s="166"/>
      <c r="J82" s="166"/>
      <c r="K82" s="166"/>
      <c r="L82" s="166"/>
      <c r="M82" s="166"/>
    </row>
    <row r="83" spans="4:13" x14ac:dyDescent="0.3">
      <c r="D83" s="166"/>
      <c r="E83" s="166"/>
      <c r="F83" s="166"/>
      <c r="G83" s="166"/>
      <c r="H83" s="166"/>
      <c r="I83" s="166"/>
      <c r="J83" s="166"/>
      <c r="K83" s="166"/>
      <c r="L83" s="166"/>
      <c r="M83" s="166"/>
    </row>
    <row r="84" spans="4:13" x14ac:dyDescent="0.3">
      <c r="D84" s="166"/>
      <c r="E84" s="166"/>
      <c r="F84" s="166"/>
      <c r="G84" s="166"/>
      <c r="H84" s="166"/>
      <c r="I84" s="166"/>
      <c r="J84" s="166"/>
      <c r="K84" s="166"/>
      <c r="L84" s="166"/>
      <c r="M84" s="166"/>
    </row>
    <row r="85" spans="4:13" x14ac:dyDescent="0.3">
      <c r="D85" s="166"/>
      <c r="E85" s="166"/>
      <c r="F85" s="166"/>
      <c r="G85" s="166"/>
      <c r="H85" s="166"/>
      <c r="I85" s="166"/>
      <c r="J85" s="166"/>
      <c r="K85" s="166"/>
      <c r="L85" s="166"/>
      <c r="M85" s="166"/>
    </row>
    <row r="86" spans="4:13" x14ac:dyDescent="0.3">
      <c r="D86" s="166"/>
      <c r="E86" s="166"/>
      <c r="F86" s="166"/>
      <c r="G86" s="166"/>
      <c r="H86" s="166"/>
      <c r="I86" s="166"/>
      <c r="J86" s="166"/>
      <c r="K86" s="166"/>
      <c r="L86" s="166"/>
      <c r="M86" s="166"/>
    </row>
    <row r="87" spans="4:13" x14ac:dyDescent="0.3">
      <c r="D87" s="166"/>
      <c r="E87" s="166"/>
      <c r="F87" s="166"/>
      <c r="G87" s="166"/>
      <c r="H87" s="166"/>
      <c r="I87" s="166"/>
      <c r="J87" s="166"/>
      <c r="K87" s="166"/>
      <c r="L87" s="166"/>
      <c r="M87" s="166"/>
    </row>
    <row r="88" spans="4:13" x14ac:dyDescent="0.3">
      <c r="D88" s="166"/>
      <c r="E88" s="166"/>
      <c r="F88" s="166"/>
      <c r="G88" s="166"/>
      <c r="H88" s="166"/>
      <c r="I88" s="166"/>
      <c r="J88" s="166"/>
      <c r="K88" s="166"/>
      <c r="L88" s="166"/>
      <c r="M88" s="166"/>
    </row>
    <row r="89" spans="4:13" x14ac:dyDescent="0.3">
      <c r="D89" s="166"/>
      <c r="E89" s="166"/>
      <c r="F89" s="166"/>
      <c r="G89" s="166"/>
      <c r="H89" s="166"/>
      <c r="I89" s="166"/>
      <c r="J89" s="166"/>
      <c r="K89" s="166"/>
      <c r="L89" s="166"/>
      <c r="M89" s="166"/>
    </row>
    <row r="90" spans="4:13" x14ac:dyDescent="0.3">
      <c r="D90" s="166"/>
      <c r="E90" s="166"/>
      <c r="F90" s="166"/>
      <c r="G90" s="166"/>
      <c r="H90" s="166"/>
      <c r="I90" s="166"/>
      <c r="J90" s="166"/>
      <c r="K90" s="166"/>
      <c r="L90" s="166"/>
      <c r="M90" s="166"/>
    </row>
    <row r="91" spans="4:13" x14ac:dyDescent="0.3">
      <c r="D91" s="166"/>
      <c r="E91" s="166"/>
      <c r="F91" s="166"/>
      <c r="G91" s="166"/>
      <c r="H91" s="166"/>
      <c r="I91" s="166"/>
      <c r="J91" s="166"/>
      <c r="K91" s="166"/>
      <c r="L91" s="166"/>
      <c r="M91" s="166"/>
    </row>
    <row r="92" spans="4:13" x14ac:dyDescent="0.3">
      <c r="D92" s="166"/>
      <c r="E92" s="166"/>
      <c r="F92" s="166"/>
      <c r="G92" s="166"/>
      <c r="H92" s="166"/>
      <c r="I92" s="166"/>
      <c r="J92" s="166"/>
      <c r="K92" s="166"/>
      <c r="L92" s="166"/>
      <c r="M92" s="166"/>
    </row>
    <row r="93" spans="4:13" x14ac:dyDescent="0.3">
      <c r="D93" s="166"/>
      <c r="E93" s="166"/>
      <c r="F93" s="166"/>
      <c r="G93" s="166"/>
      <c r="H93" s="166"/>
      <c r="I93" s="166"/>
      <c r="J93" s="166"/>
      <c r="K93" s="166"/>
      <c r="L93" s="166"/>
      <c r="M93" s="166"/>
    </row>
    <row r="94" spans="4:13" x14ac:dyDescent="0.3">
      <c r="D94" s="166"/>
      <c r="E94" s="166"/>
      <c r="F94" s="166"/>
      <c r="G94" s="166"/>
      <c r="H94" s="166"/>
      <c r="I94" s="166"/>
      <c r="J94" s="166"/>
      <c r="K94" s="166"/>
      <c r="L94" s="166"/>
      <c r="M94" s="166"/>
    </row>
    <row r="95" spans="4:13" x14ac:dyDescent="0.3">
      <c r="D95" s="166"/>
      <c r="E95" s="166"/>
      <c r="F95" s="166"/>
      <c r="G95" s="166"/>
      <c r="H95" s="166"/>
      <c r="I95" s="166"/>
      <c r="J95" s="166"/>
      <c r="K95" s="166"/>
      <c r="L95" s="166"/>
      <c r="M95" s="166"/>
    </row>
    <row r="96" spans="4:13" x14ac:dyDescent="0.3">
      <c r="D96" s="166"/>
      <c r="E96" s="166"/>
      <c r="F96" s="166"/>
      <c r="G96" s="166"/>
      <c r="H96" s="166"/>
      <c r="I96" s="166"/>
      <c r="J96" s="166"/>
      <c r="K96" s="166"/>
      <c r="L96" s="166"/>
      <c r="M96" s="166"/>
    </row>
    <row r="97" spans="4:13" x14ac:dyDescent="0.3">
      <c r="D97" s="166"/>
      <c r="E97" s="166"/>
      <c r="F97" s="166"/>
      <c r="G97" s="166"/>
      <c r="H97" s="166"/>
      <c r="I97" s="166"/>
      <c r="J97" s="166"/>
      <c r="K97" s="166"/>
      <c r="L97" s="166"/>
      <c r="M97" s="166"/>
    </row>
    <row r="98" spans="4:13" x14ac:dyDescent="0.3">
      <c r="D98" s="166"/>
      <c r="E98" s="166"/>
      <c r="F98" s="166"/>
      <c r="G98" s="166"/>
      <c r="H98" s="166"/>
      <c r="I98" s="166"/>
      <c r="J98" s="166"/>
      <c r="K98" s="166"/>
      <c r="L98" s="166"/>
      <c r="M98" s="166"/>
    </row>
    <row r="99" spans="4:13" x14ac:dyDescent="0.3">
      <c r="D99" s="166"/>
      <c r="E99" s="166"/>
      <c r="F99" s="166"/>
      <c r="G99" s="166"/>
      <c r="H99" s="166"/>
      <c r="I99" s="166"/>
      <c r="J99" s="166"/>
      <c r="K99" s="166"/>
      <c r="L99" s="166"/>
      <c r="M99" s="166"/>
    </row>
    <row r="100" spans="4:13" x14ac:dyDescent="0.3">
      <c r="D100" s="166"/>
      <c r="E100" s="166"/>
      <c r="F100" s="166"/>
      <c r="G100" s="166"/>
      <c r="H100" s="166"/>
      <c r="I100" s="166"/>
      <c r="J100" s="166"/>
      <c r="K100" s="166"/>
      <c r="L100" s="166"/>
      <c r="M100" s="166"/>
    </row>
    <row r="101" spans="4:13" x14ac:dyDescent="0.3">
      <c r="D101" s="166"/>
      <c r="E101" s="166"/>
      <c r="F101" s="166"/>
      <c r="G101" s="166"/>
      <c r="H101" s="166"/>
      <c r="I101" s="166"/>
      <c r="J101" s="166"/>
      <c r="K101" s="166"/>
      <c r="L101" s="166"/>
      <c r="M101" s="166"/>
    </row>
    <row r="102" spans="4:13" x14ac:dyDescent="0.3">
      <c r="D102" s="166"/>
      <c r="E102" s="166"/>
      <c r="F102" s="166"/>
      <c r="G102" s="166"/>
      <c r="H102" s="166"/>
      <c r="I102" s="166"/>
      <c r="J102" s="166"/>
      <c r="K102" s="166"/>
      <c r="L102" s="166"/>
      <c r="M102" s="166"/>
    </row>
    <row r="103" spans="4:13" x14ac:dyDescent="0.3">
      <c r="D103" s="166"/>
      <c r="E103" s="166"/>
      <c r="F103" s="166"/>
      <c r="G103" s="166"/>
      <c r="H103" s="166"/>
      <c r="I103" s="166"/>
      <c r="J103" s="166"/>
      <c r="K103" s="166"/>
      <c r="L103" s="166"/>
      <c r="M103" s="166"/>
    </row>
  </sheetData>
  <mergeCells count="11">
    <mergeCell ref="A2:C2"/>
    <mergeCell ref="D4:M4"/>
    <mergeCell ref="D5:F5"/>
    <mergeCell ref="AF1:AI1"/>
    <mergeCell ref="AE5:AI5"/>
    <mergeCell ref="Z4:AI4"/>
    <mergeCell ref="Z5:AB5"/>
    <mergeCell ref="I5:K5"/>
    <mergeCell ref="O4:X4"/>
    <mergeCell ref="O5:Q5"/>
    <mergeCell ref="T5:X5"/>
  </mergeCells>
  <printOptions horizontalCentered="1" verticalCentered="1"/>
  <pageMargins left="0.15" right="0.15" top="0.25" bottom="0.3" header="0.15" footer="0.15"/>
  <pageSetup scale="80" orientation="landscape" horizontalDpi="1200" verticalDpi="1200" r:id="rId1"/>
  <headerFooter>
    <oddFooter>&amp;L&amp;"Bodoni MT,Bold"&amp;10&amp;F&amp;C&amp;10&amp;P of &amp;N&amp;R&amp;10&amp;A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DAD3B-4769-46F6-82A2-886F265B7521}">
  <sheetPr>
    <pageSetUpPr fitToPage="1"/>
  </sheetPr>
  <dimension ref="A1:AD55"/>
  <sheetViews>
    <sheetView zoomScaleNormal="100" workbookViewId="0">
      <pane xSplit="3" ySplit="5" topLeftCell="D6" activePane="bottomRight" state="frozen"/>
      <selection pane="topRight"/>
      <selection pane="bottomLeft"/>
      <selection pane="bottomRight" activeCell="D6" sqref="D6"/>
    </sheetView>
  </sheetViews>
  <sheetFormatPr defaultRowHeight="13.8" x14ac:dyDescent="0.3"/>
  <cols>
    <col min="1" max="1" width="0.77734375" style="222" customWidth="1"/>
    <col min="2" max="2" width="14.88671875" style="222" customWidth="1"/>
    <col min="3" max="3" width="0.77734375" style="222" customWidth="1"/>
    <col min="4" max="4" width="11.5546875" style="222" customWidth="1"/>
    <col min="5" max="5" width="0.77734375" style="222" customWidth="1"/>
    <col min="6" max="6" width="11.5546875" style="222" customWidth="1"/>
    <col min="7" max="7" width="0.77734375" style="222" customWidth="1"/>
    <col min="8" max="8" width="11.5546875" style="222" customWidth="1"/>
    <col min="9" max="9" width="0.77734375" style="222" customWidth="1"/>
    <col min="10" max="10" width="11.5546875" style="222" customWidth="1"/>
    <col min="11" max="11" width="0.77734375" style="222" customWidth="1"/>
    <col min="12" max="12" width="11.5546875" style="222" customWidth="1"/>
    <col min="13" max="13" width="0.77734375" style="222" customWidth="1"/>
    <col min="14" max="14" width="11.5546875" style="222" customWidth="1"/>
    <col min="15" max="15" width="0.77734375" style="222" customWidth="1"/>
    <col min="16" max="16" width="11.5546875" style="222" customWidth="1"/>
    <col min="17" max="17" width="0.77734375" style="222" customWidth="1"/>
    <col min="18" max="18" width="11.5546875" style="222" customWidth="1"/>
    <col min="19" max="19" width="1.33203125" style="222" customWidth="1"/>
    <col min="20" max="20" width="13" style="222" customWidth="1"/>
    <col min="21" max="21" width="1.33203125" style="222" customWidth="1"/>
    <col min="22" max="22" width="13" style="222" customWidth="1"/>
    <col min="23" max="23" width="1.33203125" style="222" customWidth="1"/>
    <col min="24" max="24" width="13" style="222" customWidth="1"/>
    <col min="25" max="25" width="1.33203125" style="222" customWidth="1"/>
    <col min="26" max="26" width="13" style="222" customWidth="1"/>
    <col min="27" max="27" width="1.33203125" style="222" customWidth="1"/>
    <col min="28" max="28" width="13" style="222" customWidth="1"/>
    <col min="29" max="29" width="1.33203125" style="222" customWidth="1"/>
    <col min="30" max="30" width="12.88671875" style="222" customWidth="1"/>
    <col min="31" max="16384" width="8.88671875" style="222"/>
  </cols>
  <sheetData>
    <row r="1" spans="1:30" ht="14.4" x14ac:dyDescent="0.3">
      <c r="A1" s="1" t="str">
        <f>Support!A13</f>
        <v>Discovery Charter School ("DCS")</v>
      </c>
      <c r="B1" s="220"/>
      <c r="C1" s="220"/>
      <c r="D1" s="220"/>
      <c r="E1" s="220"/>
      <c r="F1" s="220"/>
      <c r="G1" s="220"/>
      <c r="H1" s="220"/>
      <c r="I1" s="220"/>
      <c r="J1" s="220"/>
      <c r="K1" s="220"/>
      <c r="L1" s="220"/>
      <c r="M1" s="220"/>
      <c r="N1" s="220"/>
      <c r="Q1" s="5" t="s">
        <v>224</v>
      </c>
      <c r="R1" s="431">
        <f>Support!$A$17</f>
        <v>44712</v>
      </c>
    </row>
    <row r="2" spans="1:30" ht="14.4" x14ac:dyDescent="0.3">
      <c r="A2" s="444">
        <f>Support!A19</f>
        <v>2022</v>
      </c>
      <c r="B2" s="444"/>
      <c r="C2" s="220"/>
      <c r="D2" s="220"/>
      <c r="E2" s="220"/>
      <c r="F2" s="220"/>
      <c r="G2" s="220"/>
      <c r="H2" s="220"/>
      <c r="I2" s="220"/>
      <c r="J2" s="220"/>
      <c r="K2" s="220"/>
      <c r="L2" s="220"/>
      <c r="M2" s="220"/>
      <c r="N2" s="220"/>
      <c r="O2" s="220"/>
      <c r="Q2" s="220"/>
      <c r="R2" s="114" t="str">
        <f>Cover!$A$15</f>
        <v>(Bond Scenario)</v>
      </c>
    </row>
    <row r="4" spans="1:30" x14ac:dyDescent="0.3">
      <c r="D4" s="159" t="s">
        <v>220</v>
      </c>
      <c r="E4" s="160"/>
      <c r="F4" s="159" t="s">
        <v>220</v>
      </c>
      <c r="G4" s="160"/>
      <c r="H4" s="159" t="s">
        <v>220</v>
      </c>
      <c r="J4" s="159" t="str">
        <f>IF(J5&lt;=Support!$A$17,"Actual","Forecast")</f>
        <v>Forecast</v>
      </c>
      <c r="L4" s="159" t="str">
        <f>IF(L5&lt;=Support!$A$17,"Actual","Forecast")</f>
        <v>Forecast</v>
      </c>
      <c r="N4" s="159" t="str">
        <f>IF(N5&lt;=Support!$A$17,"Actual","Forecast")</f>
        <v>Forecast</v>
      </c>
      <c r="P4" s="159" t="str">
        <f>IF(P5&lt;=Support!$A$17,"Actual","Forecast")</f>
        <v>Forecast</v>
      </c>
      <c r="R4" s="159" t="str">
        <f>IF(R5&lt;=Support!$A$17,"Actual","Forecast")</f>
        <v>Forecast</v>
      </c>
    </row>
    <row r="5" spans="1:30" x14ac:dyDescent="0.3">
      <c r="A5" s="223" t="s">
        <v>397</v>
      </c>
      <c r="B5" s="224"/>
      <c r="D5" s="164">
        <v>43646</v>
      </c>
      <c r="E5" s="225"/>
      <c r="F5" s="164">
        <f>EOMONTH(D5,12)</f>
        <v>44012</v>
      </c>
      <c r="G5" s="225"/>
      <c r="H5" s="164">
        <f>EOMONTH(F5,12)</f>
        <v>44377</v>
      </c>
      <c r="J5" s="164">
        <f>EOMONTH(H5,12)</f>
        <v>44742</v>
      </c>
      <c r="L5" s="164">
        <f>EOMONTH(J5,12)</f>
        <v>45107</v>
      </c>
      <c r="N5" s="164">
        <f>EOMONTH(L5,12)</f>
        <v>45473</v>
      </c>
      <c r="P5" s="164">
        <f>EOMONTH(N5,12)</f>
        <v>45838</v>
      </c>
      <c r="R5" s="164">
        <f>EOMONTH(P5,12)</f>
        <v>46203</v>
      </c>
    </row>
    <row r="6" spans="1:30" ht="6" customHeight="1" x14ac:dyDescent="0.3">
      <c r="A6" s="226"/>
      <c r="B6" s="226"/>
    </row>
    <row r="7" spans="1:30" x14ac:dyDescent="0.3">
      <c r="A7" s="227" t="s">
        <v>287</v>
      </c>
      <c r="B7" s="228"/>
      <c r="C7" s="229"/>
      <c r="D7" s="230">
        <f>SUMIF('DCS Detail'!$C$4:$CA$4,D$5,'DCS Detail'!$C$19:$CA$19)</f>
        <v>360</v>
      </c>
      <c r="E7" s="229"/>
      <c r="F7" s="230">
        <f>SUMIF('DCS Detail'!$C$4:$CA$4,F$5,'DCS Detail'!$C$19:$CA$19)</f>
        <v>375</v>
      </c>
      <c r="G7" s="229"/>
      <c r="H7" s="230">
        <f>SUMIF('DCS Detail'!$C$4:$CA$4,H$5,'DCS Detail'!$C$19:$CA$19)</f>
        <v>449</v>
      </c>
      <c r="I7" s="229"/>
      <c r="J7" s="230">
        <f>SUMIF('DCS Detail'!$C$4:$CA$4,J$5,'DCS Detail'!$C$19:$CA$19)</f>
        <v>443</v>
      </c>
      <c r="K7" s="229"/>
      <c r="L7" s="230">
        <f>SUMIF('DCS Detail'!$C$4:$CA$4,L$5,'DCS Detail'!$C$19:$CA$19)</f>
        <v>540</v>
      </c>
      <c r="M7" s="229"/>
      <c r="N7" s="230">
        <f>SUMIF('DCS Detail'!$C$4:$CA$4,N$5,'DCS Detail'!$C$19:$CA$19)</f>
        <v>650</v>
      </c>
      <c r="O7" s="229"/>
      <c r="P7" s="230">
        <f>SUMIF('DCS Detail'!$C$4:$CA$4,P$5,'DCS Detail'!$C$19:$CA$19)</f>
        <v>682</v>
      </c>
      <c r="Q7" s="229"/>
      <c r="R7" s="230">
        <f>SUMIF('DCS Detail'!$C$4:$CA$4,R$5,'DCS Detail'!$C$19:$CA$19)</f>
        <v>692</v>
      </c>
      <c r="T7" s="166"/>
      <c r="U7" s="166"/>
      <c r="V7" s="166"/>
      <c r="W7" s="166"/>
      <c r="X7" s="166"/>
      <c r="Y7" s="166"/>
      <c r="Z7" s="166"/>
      <c r="AA7" s="166"/>
      <c r="AB7" s="166"/>
      <c r="AC7" s="166"/>
    </row>
    <row r="8" spans="1:30" x14ac:dyDescent="0.3">
      <c r="A8" s="231"/>
      <c r="B8" s="232" t="s">
        <v>402</v>
      </c>
      <c r="C8" s="233"/>
      <c r="D8" s="234">
        <f>SUMIF('DCS Detail'!$C$4:$CA$4,D$5,'DCS Detail'!$C$7:$CA$7)</f>
        <v>588</v>
      </c>
      <c r="F8" s="234">
        <f>SUMIF('DCS Detail'!$C$4:$CA$4,F$5,'DCS Detail'!$C$7:$CA$7)</f>
        <v>588</v>
      </c>
      <c r="H8" s="234">
        <f>SUMIF('DCS Detail'!$C$4:$CA$4,H$5,'DCS Detail'!$C$7:$CA$7)</f>
        <v>588</v>
      </c>
      <c r="J8" s="234">
        <f>SUMIF('DCS Detail'!$C$4:$CA$4,J$5,'DCS Detail'!$C$7:$CA$7)</f>
        <v>644</v>
      </c>
      <c r="L8" s="234">
        <f>SUMIF('DCS Detail'!$C$4:$CA$4,L$5,'DCS Detail'!$C$7:$CA$7)</f>
        <v>644</v>
      </c>
      <c r="N8" s="234">
        <f>SUMIF('DCS Detail'!$C$4:$CA$4,N$5,'DCS Detail'!$C$7:$CA$7)</f>
        <v>728</v>
      </c>
      <c r="P8" s="234">
        <f>SUMIF('DCS Detail'!$C$4:$CA$4,P$5,'DCS Detail'!$C$7:$CA$7)</f>
        <v>728</v>
      </c>
      <c r="R8" s="234">
        <f>SUMIF('DCS Detail'!$C$4:$CA$4,R$5,'DCS Detail'!$C$7:$CA$7)</f>
        <v>728</v>
      </c>
      <c r="T8" s="166"/>
      <c r="U8" s="166"/>
      <c r="V8" s="166"/>
      <c r="W8" s="166"/>
      <c r="X8" s="166"/>
      <c r="Y8" s="166"/>
      <c r="Z8" s="166"/>
      <c r="AA8" s="166"/>
      <c r="AB8" s="166"/>
      <c r="AC8" s="166"/>
    </row>
    <row r="9" spans="1:30" ht="3" customHeight="1" x14ac:dyDescent="0.3">
      <c r="A9" s="231"/>
      <c r="B9" s="232"/>
      <c r="C9" s="233"/>
      <c r="D9" s="235"/>
      <c r="F9" s="235"/>
      <c r="H9" s="236"/>
      <c r="J9" s="236"/>
      <c r="L9" s="236"/>
      <c r="N9" s="236"/>
      <c r="P9" s="236"/>
      <c r="R9" s="236"/>
    </row>
    <row r="10" spans="1:30" x14ac:dyDescent="0.3">
      <c r="A10" s="227" t="s">
        <v>157</v>
      </c>
      <c r="B10" s="228"/>
      <c r="C10" s="229"/>
      <c r="D10" s="230">
        <f>D8-D7</f>
        <v>228</v>
      </c>
      <c r="E10" s="229"/>
      <c r="F10" s="230">
        <f>F8-F7</f>
        <v>213</v>
      </c>
      <c r="G10" s="229"/>
      <c r="H10" s="230">
        <f>H8-H7</f>
        <v>139</v>
      </c>
      <c r="I10" s="229"/>
      <c r="J10" s="230">
        <f>J8-J7</f>
        <v>201</v>
      </c>
      <c r="K10" s="229"/>
      <c r="L10" s="230">
        <f>L8-L7</f>
        <v>104</v>
      </c>
      <c r="M10" s="229"/>
      <c r="N10" s="230">
        <f>N8-N7</f>
        <v>78</v>
      </c>
      <c r="O10" s="229"/>
      <c r="P10" s="230">
        <f>P8-P7</f>
        <v>46</v>
      </c>
      <c r="Q10" s="229"/>
      <c r="R10" s="230">
        <f>R8-R7</f>
        <v>36</v>
      </c>
      <c r="T10" s="166"/>
      <c r="U10" s="166"/>
      <c r="V10" s="166"/>
      <c r="W10" s="166"/>
      <c r="X10" s="166"/>
      <c r="Y10" s="166"/>
      <c r="Z10" s="166"/>
      <c r="AA10" s="166"/>
      <c r="AB10" s="166"/>
      <c r="AC10" s="166"/>
    </row>
    <row r="11" spans="1:30" x14ac:dyDescent="0.3">
      <c r="A11" s="231"/>
      <c r="B11" s="237" t="s">
        <v>158</v>
      </c>
      <c r="C11" s="233"/>
      <c r="D11" s="238">
        <f>D7/D8</f>
        <v>0.61224489795918369</v>
      </c>
      <c r="F11" s="238">
        <f>F7/F8</f>
        <v>0.63775510204081631</v>
      </c>
      <c r="H11" s="238">
        <f>H7/H8</f>
        <v>0.76360544217687076</v>
      </c>
      <c r="J11" s="238">
        <f>J7/J8</f>
        <v>0.68788819875776397</v>
      </c>
      <c r="L11" s="238">
        <f>L7/L8</f>
        <v>0.83850931677018636</v>
      </c>
      <c r="N11" s="238">
        <f>N7/N8</f>
        <v>0.8928571428571429</v>
      </c>
      <c r="P11" s="238">
        <f>P7/P8</f>
        <v>0.93681318681318682</v>
      </c>
      <c r="R11" s="238">
        <f>R7/R8</f>
        <v>0.9505494505494505</v>
      </c>
    </row>
    <row r="12" spans="1:30" x14ac:dyDescent="0.3">
      <c r="A12" s="227"/>
      <c r="B12" s="426" t="s">
        <v>414</v>
      </c>
      <c r="C12" s="427"/>
      <c r="D12" s="428" t="s">
        <v>410</v>
      </c>
      <c r="E12" s="427"/>
      <c r="F12" s="429">
        <f>F7/D7-1</f>
        <v>4.1666666666666741E-2</v>
      </c>
      <c r="G12" s="430"/>
      <c r="H12" s="429">
        <f>H7/F7-1</f>
        <v>0.19733333333333336</v>
      </c>
      <c r="I12" s="430"/>
      <c r="J12" s="429">
        <f>J7/H7-1</f>
        <v>-1.3363028953229383E-2</v>
      </c>
      <c r="K12" s="430"/>
      <c r="L12" s="429">
        <f>L7/J7-1</f>
        <v>0.21896162528216712</v>
      </c>
      <c r="M12" s="430"/>
      <c r="N12" s="429">
        <f>N7/L7-1</f>
        <v>0.20370370370370372</v>
      </c>
      <c r="O12" s="430"/>
      <c r="P12" s="429">
        <f>P7/N7-1</f>
        <v>4.9230769230769189E-2</v>
      </c>
      <c r="Q12" s="430"/>
      <c r="R12" s="429">
        <f>R7/P7-1</f>
        <v>1.4662756598240456E-2</v>
      </c>
    </row>
    <row r="13" spans="1:30" ht="6" customHeight="1" x14ac:dyDescent="0.3">
      <c r="A13" s="226"/>
      <c r="B13" s="226"/>
      <c r="D13" s="226"/>
      <c r="F13" s="226"/>
      <c r="H13" s="226"/>
      <c r="J13" s="226"/>
      <c r="L13" s="226"/>
      <c r="N13" s="226"/>
      <c r="P13" s="226"/>
      <c r="R13" s="226"/>
    </row>
    <row r="14" spans="1:30" x14ac:dyDescent="0.3">
      <c r="A14" s="227" t="s">
        <v>123</v>
      </c>
      <c r="B14" s="228"/>
      <c r="C14" s="229"/>
      <c r="D14" s="228"/>
      <c r="E14" s="229"/>
      <c r="F14" s="228"/>
      <c r="G14" s="229"/>
      <c r="H14" s="228"/>
      <c r="I14" s="229"/>
      <c r="J14" s="228"/>
      <c r="K14" s="229"/>
      <c r="L14" s="228"/>
      <c r="M14" s="229"/>
      <c r="N14" s="228"/>
      <c r="O14" s="229"/>
      <c r="P14" s="228"/>
      <c r="Q14" s="229"/>
      <c r="R14" s="228"/>
    </row>
    <row r="15" spans="1:30" x14ac:dyDescent="0.3">
      <c r="A15" s="226"/>
      <c r="B15" s="226" t="s">
        <v>125</v>
      </c>
      <c r="D15" s="239">
        <f>VLOOKUP($B15,'DCS Detail'!$A$185:$CW$212,'DCS Detail'!$CC$251,0)</f>
        <v>2560359.09</v>
      </c>
      <c r="F15" s="239">
        <f>VLOOKUP($B15,'DCS Detail'!$A$185:$CW$212,'DCS Detail'!$CD$251,0)</f>
        <v>2941675.29</v>
      </c>
      <c r="H15" s="239">
        <f>VLOOKUP($B15,'DCS Detail'!$A$185:$CW$212,'DCS Detail'!$CE$251,0)</f>
        <v>3331411.5900000003</v>
      </c>
      <c r="J15" s="239">
        <f>VLOOKUP($B15,'DCS Detail'!$A$185:$CW$212,'DCS Detail'!$CF$251,0)</f>
        <v>3206672.7991666663</v>
      </c>
      <c r="L15" s="239">
        <f>VLOOKUP($B15,'DCS Detail'!$A$185:$CW$212,'DCS Detail'!$CG$251,0)</f>
        <v>3927972.9393441668</v>
      </c>
      <c r="N15" s="239">
        <f>VLOOKUP($B15,'DCS Detail'!$A$185:$CW$212,'DCS Detail'!$CH$251,0)</f>
        <v>4872433.6967130862</v>
      </c>
      <c r="P15" s="239">
        <f>VLOOKUP($B15,'DCS Detail'!$A$185:$CW$212,'DCS Detail'!$CI$251,0)</f>
        <v>5252961.1857249504</v>
      </c>
      <c r="R15" s="239">
        <f>VLOOKUP($B15,'DCS Detail'!$A$185:$CW$212,'DCS Detail'!$CJ$251,0)</f>
        <v>5408240.0696131252</v>
      </c>
      <c r="T15" s="166">
        <f>H15-[1]Activity!H15</f>
        <v>0</v>
      </c>
      <c r="U15" s="166"/>
      <c r="V15" s="166">
        <f>J15-[1]Activity!J15</f>
        <v>6825.7208333332092</v>
      </c>
      <c r="W15" s="166"/>
      <c r="X15" s="166">
        <f>L15-[1]Activity!L15</f>
        <v>0</v>
      </c>
      <c r="Y15" s="166"/>
      <c r="Z15" s="166">
        <f>N15-[1]Activity!N15</f>
        <v>0</v>
      </c>
      <c r="AA15" s="166"/>
      <c r="AB15" s="166">
        <f>P15-[1]Activity!P15</f>
        <v>0</v>
      </c>
      <c r="AC15" s="166"/>
      <c r="AD15" s="166">
        <f>R15-[1]Activity!R15</f>
        <v>0</v>
      </c>
    </row>
    <row r="16" spans="1:30" x14ac:dyDescent="0.3">
      <c r="A16" s="228"/>
      <c r="B16" s="228" t="s">
        <v>126</v>
      </c>
      <c r="C16" s="229"/>
      <c r="D16" s="230">
        <f>VLOOKUP($B16,'DCS Detail'!$A$185:$CW$212,'DCS Detail'!$CC$251,0)</f>
        <v>133124.29</v>
      </c>
      <c r="E16" s="229"/>
      <c r="F16" s="230">
        <f>VLOOKUP($B16,'DCS Detail'!$A$185:$CW$212,'DCS Detail'!$CD$251,0)</f>
        <v>43481.36</v>
      </c>
      <c r="G16" s="229"/>
      <c r="H16" s="230">
        <f>VLOOKUP($B16,'DCS Detail'!$A$185:$CW$212,'DCS Detail'!$CE$251,0)</f>
        <v>532502.76</v>
      </c>
      <c r="I16" s="229"/>
      <c r="J16" s="230">
        <f>VLOOKUP($B16,'DCS Detail'!$A$185:$CW$212,'DCS Detail'!$CF$251,0)</f>
        <v>1014606.8099999999</v>
      </c>
      <c r="K16" s="229"/>
      <c r="L16" s="230">
        <f>VLOOKUP($B16,'DCS Detail'!$A$185:$CW$212,'DCS Detail'!$CG$251,0)</f>
        <v>781276.07000000007</v>
      </c>
      <c r="M16" s="229"/>
      <c r="N16" s="230">
        <f>VLOOKUP($B16,'DCS Detail'!$A$185:$CW$212,'DCS Detail'!$CH$251,0)</f>
        <v>572341.75000000012</v>
      </c>
      <c r="O16" s="229"/>
      <c r="P16" s="230">
        <f>VLOOKUP($B16,'DCS Detail'!$A$185:$CW$212,'DCS Detail'!$CI$251,0)</f>
        <v>573635.67939999979</v>
      </c>
      <c r="Q16" s="229"/>
      <c r="R16" s="230">
        <f>VLOOKUP($B16,'DCS Detail'!$A$185:$CW$212,'DCS Detail'!$CJ$251,0)</f>
        <v>574563.30211749999</v>
      </c>
      <c r="T16" s="166">
        <f>H16-[1]Activity!H16</f>
        <v>0</v>
      </c>
      <c r="U16" s="166"/>
      <c r="V16" s="166">
        <f>J16-[1]Activity!J16</f>
        <v>520.06999999994878</v>
      </c>
      <c r="W16" s="166"/>
      <c r="X16" s="166">
        <f>L16-[1]Activity!L16</f>
        <v>520.07000000006519</v>
      </c>
      <c r="Y16" s="166"/>
      <c r="Z16" s="166">
        <f>N16-[1]Activity!N16</f>
        <v>520.06999999994878</v>
      </c>
      <c r="AA16" s="166"/>
      <c r="AB16" s="166">
        <f>P16-[1]Activity!P16</f>
        <v>520.07000000006519</v>
      </c>
      <c r="AC16" s="166"/>
      <c r="AD16" s="166">
        <f>R16-[1]Activity!R16</f>
        <v>520.07000000006519</v>
      </c>
    </row>
    <row r="17" spans="1:30" x14ac:dyDescent="0.3">
      <c r="A17" s="226"/>
      <c r="B17" s="226" t="s">
        <v>256</v>
      </c>
      <c r="D17" s="186">
        <f>VLOOKUP($B17,'DCS Detail'!$A$185:$CW$212,'DCS Detail'!$CC$251,0)</f>
        <v>75954.34</v>
      </c>
      <c r="F17" s="186">
        <f>VLOOKUP($B17,'DCS Detail'!$A$185:$CW$212,'DCS Detail'!$CD$251,0)</f>
        <v>1891.79</v>
      </c>
      <c r="H17" s="186">
        <f>VLOOKUP($B17,'DCS Detail'!$A$185:$CW$212,'DCS Detail'!$CE$251,0)</f>
        <v>88008.25</v>
      </c>
      <c r="J17" s="186">
        <f>VLOOKUP($B17,'DCS Detail'!$A$185:$CW$212,'DCS Detail'!$CF$251,0)</f>
        <v>92403.05</v>
      </c>
      <c r="L17" s="186">
        <f>VLOOKUP($B17,'DCS Detail'!$A$185:$CW$212,'DCS Detail'!$CG$251,0)</f>
        <v>93632.010565000019</v>
      </c>
      <c r="N17" s="186">
        <f>VLOOKUP($B17,'DCS Detail'!$A$185:$CW$212,'DCS Detail'!$CH$251,0)</f>
        <v>96440.970881950023</v>
      </c>
      <c r="P17" s="186">
        <f>VLOOKUP($B17,'DCS Detail'!$A$185:$CW$212,'DCS Detail'!$CI$251,0)</f>
        <v>98128.687872384136</v>
      </c>
      <c r="R17" s="186">
        <f>VLOOKUP($B17,'DCS Detail'!$A$185:$CW$212,'DCS Detail'!$CJ$251,0)</f>
        <v>99355.296470788933</v>
      </c>
      <c r="T17" s="166">
        <f>H17-[1]Activity!H17</f>
        <v>0</v>
      </c>
      <c r="U17" s="166"/>
      <c r="V17" s="166">
        <f>J17-[1]Activity!J17</f>
        <v>0</v>
      </c>
      <c r="W17" s="166"/>
      <c r="X17" s="166">
        <f>L17-[1]Activity!L17</f>
        <v>0</v>
      </c>
      <c r="Y17" s="166"/>
      <c r="Z17" s="166">
        <f>N17-[1]Activity!N17</f>
        <v>0</v>
      </c>
      <c r="AA17" s="166"/>
      <c r="AB17" s="166">
        <f>P17-[1]Activity!P17</f>
        <v>0</v>
      </c>
      <c r="AC17" s="166"/>
      <c r="AD17" s="166">
        <f>R17-[1]Activity!R17</f>
        <v>0</v>
      </c>
    </row>
    <row r="18" spans="1:30" x14ac:dyDescent="0.3">
      <c r="A18" s="228"/>
      <c r="B18" s="228" t="s">
        <v>127</v>
      </c>
      <c r="C18" s="229"/>
      <c r="D18" s="230">
        <f>VLOOKUP($B18,'DCS Detail'!$A$185:$CW$212,'DCS Detail'!$CC$251,0)</f>
        <v>7185.52</v>
      </c>
      <c r="E18" s="229"/>
      <c r="F18" s="230">
        <f>VLOOKUP($B18,'DCS Detail'!$A$185:$CW$212,'DCS Detail'!$CD$251,0)</f>
        <v>46496.81</v>
      </c>
      <c r="G18" s="229"/>
      <c r="H18" s="230">
        <f>VLOOKUP($B18,'DCS Detail'!$A$185:$CW$212,'DCS Detail'!$CE$251,0)</f>
        <v>30200.5</v>
      </c>
      <c r="I18" s="229"/>
      <c r="J18" s="230">
        <f>VLOOKUP($B18,'DCS Detail'!$A$185:$CW$212,'DCS Detail'!$CF$251,0)</f>
        <v>41070.110000000008</v>
      </c>
      <c r="K18" s="229"/>
      <c r="L18" s="230">
        <f>VLOOKUP($B18,'DCS Detail'!$A$185:$CW$212,'DCS Detail'!$CG$251,0)</f>
        <v>68450.18333333332</v>
      </c>
      <c r="M18" s="229"/>
      <c r="N18" s="230">
        <f>VLOOKUP($B18,'DCS Detail'!$A$185:$CW$212,'DCS Detail'!$CH$251,0)</f>
        <v>82140.220000000016</v>
      </c>
      <c r="O18" s="229"/>
      <c r="P18" s="230">
        <f>VLOOKUP($B18,'DCS Detail'!$A$185:$CW$212,'DCS Detail'!$CI$251,0)</f>
        <v>86247.231</v>
      </c>
      <c r="Q18" s="229"/>
      <c r="R18" s="230">
        <f>VLOOKUP($B18,'DCS Detail'!$A$185:$CW$212,'DCS Detail'!$CJ$251,0)</f>
        <v>90559.592550000016</v>
      </c>
      <c r="T18" s="166">
        <f>H18-[1]Activity!H18</f>
        <v>0</v>
      </c>
      <c r="U18" s="166"/>
      <c r="V18" s="166">
        <f>J18-[1]Activity!J18</f>
        <v>-1723.5999999999985</v>
      </c>
      <c r="W18" s="166"/>
      <c r="X18" s="166">
        <f>L18-[1]Activity!L18</f>
        <v>-2872.6666666666715</v>
      </c>
      <c r="Y18" s="166"/>
      <c r="Z18" s="166">
        <f>N18-[1]Activity!N18</f>
        <v>-3447.1999999999971</v>
      </c>
      <c r="AA18" s="166"/>
      <c r="AB18" s="166">
        <f>P18-[1]Activity!P18</f>
        <v>-3619.5599999999977</v>
      </c>
      <c r="AC18" s="166"/>
      <c r="AD18" s="166">
        <f>R18-[1]Activity!R18</f>
        <v>-3800.5380000000005</v>
      </c>
    </row>
    <row r="19" spans="1:30" x14ac:dyDescent="0.3">
      <c r="A19" s="226"/>
      <c r="B19" s="226" t="s">
        <v>124</v>
      </c>
      <c r="D19" s="186">
        <f>VLOOKUP($B19,'DCS Detail'!$A$185:$CW$212,'DCS Detail'!$CC$251,0)</f>
        <v>77896.460000000006</v>
      </c>
      <c r="F19" s="186">
        <f>VLOOKUP($B19,'DCS Detail'!$A$185:$CW$212,'DCS Detail'!$CD$251,0)</f>
        <v>102198.52</v>
      </c>
      <c r="H19" s="186">
        <f>VLOOKUP($B19,'DCS Detail'!$A$185:$CW$212,'DCS Detail'!$CE$251,0)</f>
        <v>10148.129999999999</v>
      </c>
      <c r="J19" s="186">
        <f>VLOOKUP($B19,'DCS Detail'!$A$185:$CW$212,'DCS Detail'!$CF$251,0)</f>
        <v>28300.05</v>
      </c>
      <c r="L19" s="186">
        <f>VLOOKUP($B19,'DCS Detail'!$A$185:$CW$212,'DCS Detail'!$CG$251,0)</f>
        <v>698398.3600000001</v>
      </c>
      <c r="N19" s="186">
        <f>VLOOKUP($B19,'DCS Detail'!$A$185:$CW$212,'DCS Detail'!$CH$251,0)</f>
        <v>28300.05</v>
      </c>
      <c r="P19" s="186">
        <f>VLOOKUP($B19,'DCS Detail'!$A$185:$CW$212,'DCS Detail'!$CI$251,0)</f>
        <v>28300.05</v>
      </c>
      <c r="R19" s="186">
        <f>VLOOKUP($B19,'DCS Detail'!$A$185:$CW$212,'DCS Detail'!$CJ$251,0)</f>
        <v>28300.05</v>
      </c>
      <c r="T19" s="166">
        <f>H19-[1]Activity!H19</f>
        <v>0</v>
      </c>
      <c r="U19" s="166"/>
      <c r="V19" s="166">
        <f>J19-[1]Activity!J19</f>
        <v>113.13000000000102</v>
      </c>
      <c r="W19" s="166"/>
      <c r="X19" s="166">
        <f>L19-[1]Activity!L19</f>
        <v>-10163.60000000021</v>
      </c>
      <c r="Y19" s="166"/>
      <c r="Z19" s="166">
        <f>N19-[1]Activity!N19</f>
        <v>113.13000000000102</v>
      </c>
      <c r="AA19" s="166"/>
      <c r="AB19" s="166">
        <f>P19-[1]Activity!P19</f>
        <v>113.13000000000102</v>
      </c>
      <c r="AC19" s="166"/>
      <c r="AD19" s="166">
        <f>R19-[1]Activity!R19</f>
        <v>113.13000000000102</v>
      </c>
    </row>
    <row r="20" spans="1:30" ht="3" customHeight="1" x14ac:dyDescent="0.3">
      <c r="A20" s="226"/>
      <c r="B20" s="226"/>
      <c r="D20" s="235"/>
      <c r="F20" s="235"/>
      <c r="H20" s="235"/>
      <c r="J20" s="235"/>
      <c r="L20" s="235"/>
      <c r="N20" s="235"/>
      <c r="P20" s="235"/>
      <c r="R20" s="235"/>
    </row>
    <row r="21" spans="1:30" x14ac:dyDescent="0.3">
      <c r="A21" s="227" t="s">
        <v>128</v>
      </c>
      <c r="B21" s="228"/>
      <c r="C21" s="229"/>
      <c r="D21" s="230">
        <f>SUM(D15:D20)</f>
        <v>2854519.6999999997</v>
      </c>
      <c r="E21" s="229"/>
      <c r="F21" s="230">
        <f>SUM(F15:F20)</f>
        <v>3135743.77</v>
      </c>
      <c r="G21" s="229"/>
      <c r="H21" s="230">
        <f>SUM(H15:H20)</f>
        <v>3992271.2300000004</v>
      </c>
      <c r="I21" s="229"/>
      <c r="J21" s="230">
        <f>SUM(J15:J20)</f>
        <v>4383052.8191666659</v>
      </c>
      <c r="K21" s="229"/>
      <c r="L21" s="230">
        <f>SUM(L15:L20)</f>
        <v>5569729.5632425006</v>
      </c>
      <c r="M21" s="229"/>
      <c r="N21" s="230">
        <f>SUM(N15:N20)</f>
        <v>5651656.6875950359</v>
      </c>
      <c r="O21" s="229"/>
      <c r="P21" s="230">
        <f>SUM(P15:P20)</f>
        <v>6039272.8339973334</v>
      </c>
      <c r="Q21" s="229"/>
      <c r="R21" s="230">
        <f>SUM(R15:R20)</f>
        <v>6201018.3107514149</v>
      </c>
      <c r="T21" s="166">
        <f>H21-[1]Activity!H21</f>
        <v>0</v>
      </c>
      <c r="U21" s="166"/>
      <c r="V21" s="166">
        <f>J21-[1]Activity!J21</f>
        <v>5735.3208333328366</v>
      </c>
      <c r="W21" s="166"/>
      <c r="X21" s="166">
        <f>L21-[1]Activity!L21</f>
        <v>-12516.196666665375</v>
      </c>
      <c r="Y21" s="166"/>
      <c r="Z21" s="166">
        <f>N21-[1]Activity!N21</f>
        <v>-2814</v>
      </c>
      <c r="AA21" s="166"/>
      <c r="AB21" s="166">
        <f>P21-[1]Activity!P21</f>
        <v>-2986.3600000003353</v>
      </c>
      <c r="AC21" s="166"/>
      <c r="AD21" s="166">
        <f>R21-[1]Activity!R21</f>
        <v>-3167.3379999995232</v>
      </c>
    </row>
    <row r="22" spans="1:30" ht="16.2" customHeight="1" x14ac:dyDescent="0.3">
      <c r="A22" s="226"/>
      <c r="B22" s="409" t="s">
        <v>409</v>
      </c>
      <c r="C22" s="410"/>
      <c r="D22" s="411" t="s">
        <v>410</v>
      </c>
      <c r="E22" s="410"/>
      <c r="F22" s="413">
        <f>F21/D21-1</f>
        <v>9.851887517188973E-2</v>
      </c>
      <c r="G22" s="412"/>
      <c r="H22" s="413">
        <f>H21/F21-1</f>
        <v>0.27314969679426349</v>
      </c>
      <c r="I22" s="412"/>
      <c r="J22" s="413">
        <f>J21/H21-1</f>
        <v>9.7884529044552249E-2</v>
      </c>
      <c r="K22" s="412"/>
      <c r="L22" s="413">
        <f>L21/J21-1</f>
        <v>0.27074205879669355</v>
      </c>
      <c r="M22" s="412"/>
      <c r="N22" s="413">
        <f>N21/L21-1</f>
        <v>1.4709354093817018E-2</v>
      </c>
      <c r="O22" s="412"/>
      <c r="P22" s="413">
        <f>P21/N21-1</f>
        <v>6.8584517395241962E-2</v>
      </c>
      <c r="Q22" s="412"/>
      <c r="R22" s="413">
        <f>R21/P21-1</f>
        <v>2.678227680716061E-2</v>
      </c>
      <c r="V22" s="443"/>
      <c r="X22" s="443"/>
      <c r="Z22" s="443"/>
      <c r="AB22" s="443"/>
      <c r="AD22" s="443"/>
    </row>
    <row r="23" spans="1:30" x14ac:dyDescent="0.3">
      <c r="A23" s="227" t="s">
        <v>18</v>
      </c>
      <c r="B23" s="228"/>
      <c r="C23" s="229"/>
      <c r="D23" s="230"/>
      <c r="E23" s="229"/>
      <c r="F23" s="230"/>
      <c r="G23" s="229"/>
      <c r="H23" s="230"/>
      <c r="I23" s="229"/>
      <c r="J23" s="230"/>
      <c r="K23" s="229"/>
      <c r="L23" s="230"/>
      <c r="M23" s="229"/>
      <c r="N23" s="230"/>
      <c r="O23" s="229"/>
      <c r="P23" s="230"/>
      <c r="Q23" s="229"/>
      <c r="R23" s="230"/>
    </row>
    <row r="24" spans="1:30" x14ac:dyDescent="0.3">
      <c r="A24" s="226"/>
      <c r="B24" s="226" t="s">
        <v>135</v>
      </c>
      <c r="D24" s="186">
        <f>VLOOKUP($B24,'DCS Detail'!$A$185:$CW$212,'DCS Detail'!$CC$251,0)</f>
        <v>1521585.5199999998</v>
      </c>
      <c r="F24" s="186">
        <f>VLOOKUP($B24,'DCS Detail'!$A$185:$CW$212,'DCS Detail'!$CD$251,0)</f>
        <v>1529255.1900000004</v>
      </c>
      <c r="H24" s="186">
        <f>VLOOKUP($B24,'DCS Detail'!$A$185:$CW$212,'DCS Detail'!$CE$251,0)</f>
        <v>1538103.76</v>
      </c>
      <c r="J24" s="186">
        <f>VLOOKUP($B24,'DCS Detail'!$A$185:$CW$212,'DCS Detail'!$CF$251,0)</f>
        <v>1893324.2133333334</v>
      </c>
      <c r="L24" s="186">
        <f>VLOOKUP($B24,'DCS Detail'!$A$185:$CW$212,'DCS Detail'!$CG$251,0)</f>
        <v>1921645.8466666671</v>
      </c>
      <c r="N24" s="186">
        <f>VLOOKUP($B24,'DCS Detail'!$A$185:$CW$212,'DCS Detail'!$CH$251,0)</f>
        <v>2116635.2788248062</v>
      </c>
      <c r="P24" s="186">
        <f>VLOOKUP($B24,'DCS Detail'!$A$185:$CW$212,'DCS Detail'!$CI$251,0)</f>
        <v>2216138.6945935506</v>
      </c>
      <c r="R24" s="186">
        <f>VLOOKUP($B24,'DCS Detail'!$A$185:$CW$212,'DCS Detail'!$CJ$251,0)</f>
        <v>2282622.8554313574</v>
      </c>
      <c r="T24" s="166">
        <f>H24-[1]Activity!H24</f>
        <v>0</v>
      </c>
      <c r="U24" s="166"/>
      <c r="V24" s="166">
        <f>J24-[1]Activity!J24</f>
        <v>16926.273333333433</v>
      </c>
      <c r="W24" s="166"/>
      <c r="X24" s="166">
        <f>L24-[1]Activity!L24</f>
        <v>-109.18000000016764</v>
      </c>
      <c r="Y24" s="166"/>
      <c r="Z24" s="166">
        <f>N24-[1]Activity!N24</f>
        <v>-112.45539999986067</v>
      </c>
      <c r="AA24" s="166"/>
      <c r="AB24" s="166">
        <f>P24-[1]Activity!P24</f>
        <v>-115.82906199991703</v>
      </c>
      <c r="AC24" s="166"/>
      <c r="AD24" s="166">
        <f>R24-[1]Activity!R24</f>
        <v>-119.30393385980278</v>
      </c>
    </row>
    <row r="25" spans="1:30" x14ac:dyDescent="0.3">
      <c r="A25" s="228"/>
      <c r="B25" s="228" t="s">
        <v>136</v>
      </c>
      <c r="C25" s="229"/>
      <c r="D25" s="230">
        <f>VLOOKUP($B25,'DCS Detail'!$A$185:$CW$212,'DCS Detail'!$CC$251,0)</f>
        <v>611042.65</v>
      </c>
      <c r="E25" s="229"/>
      <c r="F25" s="230">
        <f>VLOOKUP($B25,'DCS Detail'!$A$185:$CW$212,'DCS Detail'!$CD$251,0)</f>
        <v>695179.38</v>
      </c>
      <c r="G25" s="229"/>
      <c r="H25" s="230">
        <f>VLOOKUP($B25,'DCS Detail'!$A$185:$CW$212,'DCS Detail'!$CE$251,0)</f>
        <v>459078.67999999993</v>
      </c>
      <c r="I25" s="229"/>
      <c r="J25" s="230">
        <f>VLOOKUP($B25,'DCS Detail'!$A$185:$CW$212,'DCS Detail'!$CF$251,0)</f>
        <v>491206.33018383116</v>
      </c>
      <c r="K25" s="229"/>
      <c r="L25" s="230">
        <f>VLOOKUP($B25,'DCS Detail'!$A$185:$CW$212,'DCS Detail'!$CG$251,0)</f>
        <v>419021.53045980056</v>
      </c>
      <c r="M25" s="229"/>
      <c r="N25" s="230">
        <f>VLOOKUP($B25,'DCS Detail'!$A$185:$CW$212,'DCS Detail'!$CH$251,0)</f>
        <v>453779.74305523059</v>
      </c>
      <c r="O25" s="229"/>
      <c r="P25" s="230">
        <f>VLOOKUP($B25,'DCS Detail'!$A$185:$CW$212,'DCS Detail'!$CI$251,0)</f>
        <v>475853.97334755654</v>
      </c>
      <c r="Q25" s="229"/>
      <c r="R25" s="230">
        <f>VLOOKUP($B25,'DCS Detail'!$A$185:$CW$212,'DCS Detail'!$CJ$251,0)</f>
        <v>490129.34829585848</v>
      </c>
      <c r="T25" s="166">
        <f>H25-[1]Activity!H25</f>
        <v>0</v>
      </c>
      <c r="U25" s="166"/>
      <c r="V25" s="166">
        <f>J25-[1]Activity!J25</f>
        <v>9479.325596209208</v>
      </c>
      <c r="W25" s="166"/>
      <c r="X25" s="166">
        <f>L25-[1]Activity!L25</f>
        <v>5257.1187435902539</v>
      </c>
      <c r="Y25" s="166"/>
      <c r="Z25" s="166">
        <f>N25-[1]Activity!N25</f>
        <v>5894.0149265835644</v>
      </c>
      <c r="AA25" s="166"/>
      <c r="AB25" s="166">
        <f>P25-[1]Activity!P25</f>
        <v>6201.6256159822224</v>
      </c>
      <c r="AC25" s="166"/>
      <c r="AD25" s="166">
        <f>R25-[1]Activity!R25</f>
        <v>6387.945212196908</v>
      </c>
    </row>
    <row r="26" spans="1:30" x14ac:dyDescent="0.3">
      <c r="A26" s="226"/>
      <c r="B26" s="226" t="s">
        <v>137</v>
      </c>
      <c r="D26" s="186">
        <f>VLOOKUP($B26,'DCS Detail'!$A$185:$CW$212,'DCS Detail'!$CC$251,0)</f>
        <v>463786.49</v>
      </c>
      <c r="F26" s="186">
        <f>VLOOKUP($B26,'DCS Detail'!$A$185:$CW$212,'DCS Detail'!$CD$251,0)</f>
        <v>420046.59</v>
      </c>
      <c r="H26" s="186">
        <f>VLOOKUP($B26,'DCS Detail'!$A$185:$CW$212,'DCS Detail'!$CE$251,0)</f>
        <v>254662.9599999999</v>
      </c>
      <c r="J26" s="186">
        <f>VLOOKUP($B26,'DCS Detail'!$A$185:$CW$212,'DCS Detail'!$CF$251,0)</f>
        <v>124038.99999999997</v>
      </c>
      <c r="L26" s="186">
        <f>VLOOKUP($B26,'DCS Detail'!$A$185:$CW$212,'DCS Detail'!$CG$251,0)</f>
        <v>102971.15999999997</v>
      </c>
      <c r="N26" s="186">
        <f>VLOOKUP($B26,'DCS Detail'!$A$185:$CW$212,'DCS Detail'!$CH$251,0)</f>
        <v>106060.29480000002</v>
      </c>
      <c r="P26" s="186">
        <f>VLOOKUP($B26,'DCS Detail'!$A$185:$CW$212,'DCS Detail'!$CI$251,0)</f>
        <v>109242.10364400003</v>
      </c>
      <c r="R26" s="186">
        <f>VLOOKUP($B26,'DCS Detail'!$A$185:$CW$212,'DCS Detail'!$CJ$251,0)</f>
        <v>112519.36675332004</v>
      </c>
      <c r="T26" s="166">
        <f>H26-[1]Activity!H26</f>
        <v>0</v>
      </c>
      <c r="U26" s="166"/>
      <c r="V26" s="166">
        <f>J26-[1]Activity!J26</f>
        <v>0</v>
      </c>
      <c r="W26" s="166"/>
      <c r="X26" s="166">
        <f>L26-[1]Activity!L26</f>
        <v>0</v>
      </c>
      <c r="Y26" s="166"/>
      <c r="Z26" s="166">
        <f>N26-[1]Activity!N26</f>
        <v>0</v>
      </c>
      <c r="AA26" s="166"/>
      <c r="AB26" s="166">
        <f>P26-[1]Activity!P26</f>
        <v>0</v>
      </c>
      <c r="AC26" s="166"/>
      <c r="AD26" s="166">
        <f>R26-[1]Activity!R26</f>
        <v>0</v>
      </c>
    </row>
    <row r="27" spans="1:30" x14ac:dyDescent="0.3">
      <c r="A27" s="228"/>
      <c r="B27" s="228" t="s">
        <v>138</v>
      </c>
      <c r="C27" s="229"/>
      <c r="D27" s="230">
        <f>VLOOKUP($B27,'DCS Detail'!$A$185:$CW$212,'DCS Detail'!$CC$251,0)</f>
        <v>101898.61</v>
      </c>
      <c r="E27" s="229"/>
      <c r="F27" s="230">
        <f>VLOOKUP($B27,'DCS Detail'!$A$185:$CW$212,'DCS Detail'!$CD$251,0)</f>
        <v>77986.679999999993</v>
      </c>
      <c r="G27" s="229"/>
      <c r="H27" s="230">
        <f>VLOOKUP($B27,'DCS Detail'!$A$185:$CW$212,'DCS Detail'!$CE$251,0)</f>
        <v>88001.159999999989</v>
      </c>
      <c r="I27" s="229"/>
      <c r="J27" s="230">
        <f>VLOOKUP($B27,'DCS Detail'!$A$185:$CW$212,'DCS Detail'!$CF$251,0)</f>
        <v>106470.31336666668</v>
      </c>
      <c r="K27" s="229"/>
      <c r="L27" s="230">
        <f>VLOOKUP($B27,'DCS Detail'!$A$185:$CW$212,'DCS Detail'!$CG$251,0)</f>
        <v>109195.00486766666</v>
      </c>
      <c r="M27" s="229"/>
      <c r="N27" s="230">
        <f>VLOOKUP($B27,'DCS Detail'!$A$185:$CW$212,'DCS Detail'!$CH$251,0)</f>
        <v>124179.2767041145</v>
      </c>
      <c r="O27" s="229"/>
      <c r="P27" s="230">
        <f>VLOOKUP($B27,'DCS Detail'!$A$185:$CW$212,'DCS Detail'!$CI$251,0)</f>
        <v>127904.65500523796</v>
      </c>
      <c r="Q27" s="229"/>
      <c r="R27" s="230">
        <f>VLOOKUP($B27,'DCS Detail'!$A$185:$CW$212,'DCS Detail'!$CJ$251,0)</f>
        <v>131741.79465539509</v>
      </c>
      <c r="T27" s="166">
        <f>H27-[1]Activity!H27</f>
        <v>0</v>
      </c>
      <c r="U27" s="166"/>
      <c r="V27" s="166">
        <f>J27-[1]Activity!J27</f>
        <v>5401.9605333333457</v>
      </c>
      <c r="W27" s="166"/>
      <c r="X27" s="166">
        <f>L27-[1]Activity!L27</f>
        <v>5564.0193493333354</v>
      </c>
      <c r="Y27" s="166"/>
      <c r="Z27" s="166">
        <f>N27-[1]Activity!N27</f>
        <v>6249.4460779368092</v>
      </c>
      <c r="AA27" s="166"/>
      <c r="AB27" s="166">
        <f>P27-[1]Activity!P27</f>
        <v>6436.9294602749287</v>
      </c>
      <c r="AC27" s="166"/>
      <c r="AD27" s="166">
        <f>R27-[1]Activity!R27</f>
        <v>6630.0373440831754</v>
      </c>
    </row>
    <row r="28" spans="1:30" x14ac:dyDescent="0.3">
      <c r="A28" s="226"/>
      <c r="B28" s="226" t="s">
        <v>139</v>
      </c>
      <c r="D28" s="186">
        <f>VLOOKUP($B28,'DCS Detail'!$A$185:$CW$212,'DCS Detail'!$CC$251,0)</f>
        <v>54850.61</v>
      </c>
      <c r="F28" s="186">
        <f>VLOOKUP($B28,'DCS Detail'!$A$185:$CW$212,'DCS Detail'!$CD$251,0)</f>
        <v>24178.82</v>
      </c>
      <c r="H28" s="186">
        <f>VLOOKUP($B28,'DCS Detail'!$A$185:$CW$212,'DCS Detail'!$CE$251,0)</f>
        <v>37825.859999999993</v>
      </c>
      <c r="J28" s="186">
        <f>VLOOKUP($B28,'DCS Detail'!$A$185:$CW$212,'DCS Detail'!$CF$251,0)</f>
        <v>37823.277199999997</v>
      </c>
      <c r="L28" s="186">
        <f>VLOOKUP($B28,'DCS Detail'!$A$185:$CW$212,'DCS Detail'!$CG$251,0)</f>
        <v>38957.975515999999</v>
      </c>
      <c r="N28" s="186">
        <f>VLOOKUP($B28,'DCS Detail'!$A$185:$CW$212,'DCS Detail'!$CH$251,0)</f>
        <v>46572.635397533042</v>
      </c>
      <c r="P28" s="186">
        <f>VLOOKUP($B28,'DCS Detail'!$A$185:$CW$212,'DCS Detail'!$CI$251,0)</f>
        <v>47969.814459459041</v>
      </c>
      <c r="R28" s="186">
        <f>VLOOKUP($B28,'DCS Detail'!$A$185:$CW$212,'DCS Detail'!$CJ$251,0)</f>
        <v>49408.908893242806</v>
      </c>
      <c r="T28" s="166">
        <f>H28-[1]Activity!H28</f>
        <v>0</v>
      </c>
      <c r="U28" s="166"/>
      <c r="V28" s="166">
        <f>J28-[1]Activity!J28</f>
        <v>502.07779999999912</v>
      </c>
      <c r="W28" s="166"/>
      <c r="X28" s="166">
        <f>L28-[1]Activity!L28</f>
        <v>517.14013399999385</v>
      </c>
      <c r="Y28" s="166"/>
      <c r="Z28" s="166">
        <f>N28-[1]Activity!N28</f>
        <v>604.85044230434141</v>
      </c>
      <c r="AA28" s="166"/>
      <c r="AB28" s="166">
        <f>P28-[1]Activity!P28</f>
        <v>622.99595557347493</v>
      </c>
      <c r="AC28" s="166"/>
      <c r="AD28" s="166">
        <f>R28-[1]Activity!R28</f>
        <v>641.68583424067765</v>
      </c>
    </row>
    <row r="29" spans="1:30" x14ac:dyDescent="0.3">
      <c r="A29" s="228"/>
      <c r="B29" s="228" t="s">
        <v>140</v>
      </c>
      <c r="C29" s="229"/>
      <c r="D29" s="230">
        <f>VLOOKUP($B29,'DCS Detail'!$A$185:$CW$212,'DCS Detail'!$CC$251,0)</f>
        <v>51816.62</v>
      </c>
      <c r="E29" s="229"/>
      <c r="F29" s="230">
        <f>VLOOKUP($B29,'DCS Detail'!$A$185:$CW$212,'DCS Detail'!$CD$251,0)</f>
        <v>30485.71</v>
      </c>
      <c r="G29" s="229"/>
      <c r="H29" s="230">
        <f>VLOOKUP($B29,'DCS Detail'!$A$185:$CW$212,'DCS Detail'!$CE$251,0)</f>
        <v>21671.469999999998</v>
      </c>
      <c r="I29" s="229"/>
      <c r="J29" s="230">
        <f>VLOOKUP($B29,'DCS Detail'!$A$185:$CW$212,'DCS Detail'!$CF$251,0)</f>
        <v>32233.429</v>
      </c>
      <c r="K29" s="229"/>
      <c r="L29" s="230">
        <f>VLOOKUP($B29,'DCS Detail'!$A$185:$CW$212,'DCS Detail'!$CG$251,0)</f>
        <v>33200.43187</v>
      </c>
      <c r="M29" s="229"/>
      <c r="N29" s="230">
        <f>VLOOKUP($B29,'DCS Detail'!$A$185:$CW$212,'DCS Detail'!$CH$251,0)</f>
        <v>37406.450658386086</v>
      </c>
      <c r="O29" s="229"/>
      <c r="P29" s="230">
        <f>VLOOKUP($B29,'DCS Detail'!$A$185:$CW$212,'DCS Detail'!$CI$251,0)</f>
        <v>38528.644178137678</v>
      </c>
      <c r="Q29" s="229"/>
      <c r="R29" s="230">
        <f>VLOOKUP($B29,'DCS Detail'!$A$185:$CW$212,'DCS Detail'!$CJ$251,0)</f>
        <v>39684.503503481807</v>
      </c>
      <c r="T29" s="166">
        <f>H29-[1]Activity!H29</f>
        <v>0</v>
      </c>
      <c r="U29" s="166"/>
      <c r="V29" s="166">
        <f>J29-[1]Activity!J29</f>
        <v>-2165.9314999999951</v>
      </c>
      <c r="W29" s="166"/>
      <c r="X29" s="166">
        <f>L29-[1]Activity!L29</f>
        <v>-2230.9094450000048</v>
      </c>
      <c r="Y29" s="166"/>
      <c r="Z29" s="166">
        <f>N29-[1]Activity!N29</f>
        <v>-2107.5393783934778</v>
      </c>
      <c r="AA29" s="166"/>
      <c r="AB29" s="166">
        <f>P29-[1]Activity!P29</f>
        <v>-2170.7655597452758</v>
      </c>
      <c r="AC29" s="166"/>
      <c r="AD29" s="166">
        <f>R29-[1]Activity!R29</f>
        <v>-2235.8885265376375</v>
      </c>
    </row>
    <row r="30" spans="1:30" x14ac:dyDescent="0.3">
      <c r="A30" s="226"/>
      <c r="B30" s="226" t="s">
        <v>141</v>
      </c>
      <c r="D30" s="186">
        <f>VLOOKUP($B30,'DCS Detail'!$A$185:$CW$212,'DCS Detail'!$CC$251,0)</f>
        <v>57133.460000000006</v>
      </c>
      <c r="F30" s="186">
        <f>VLOOKUP($B30,'DCS Detail'!$A$185:$CW$212,'DCS Detail'!$CD$251,0)</f>
        <v>52113.95</v>
      </c>
      <c r="H30" s="186">
        <f>VLOOKUP($B30,'DCS Detail'!$A$185:$CW$212,'DCS Detail'!$CE$251,0)</f>
        <v>88515.840000000011</v>
      </c>
      <c r="J30" s="186">
        <f>VLOOKUP($B30,'DCS Detail'!$A$185:$CW$212,'DCS Detail'!$CF$251,0)</f>
        <v>204356.55960000001</v>
      </c>
      <c r="L30" s="186">
        <f>VLOOKUP($B30,'DCS Detail'!$A$185:$CW$212,'DCS Detail'!$CG$251,0)</f>
        <v>149973.06718800002</v>
      </c>
      <c r="N30" s="186">
        <f>VLOOKUP($B30,'DCS Detail'!$A$185:$CW$212,'DCS Detail'!$CH$251,0)</f>
        <v>172210.54770843481</v>
      </c>
      <c r="P30" s="186">
        <f>VLOOKUP($B30,'DCS Detail'!$A$185:$CW$212,'DCS Detail'!$CI$251,0)</f>
        <v>177376.86413968782</v>
      </c>
      <c r="R30" s="186">
        <f>VLOOKUP($B30,'DCS Detail'!$A$185:$CW$212,'DCS Detail'!$CJ$251,0)</f>
        <v>182698.17006387847</v>
      </c>
      <c r="T30" s="166">
        <f>H30-[1]Activity!H30</f>
        <v>0</v>
      </c>
      <c r="U30" s="166"/>
      <c r="V30" s="166">
        <f>J30-[1]Activity!J30</f>
        <v>5786.1181999999972</v>
      </c>
      <c r="W30" s="166"/>
      <c r="X30" s="166">
        <f>L30-[1]Activity!L30</f>
        <v>5908.2017460000061</v>
      </c>
      <c r="Y30" s="166"/>
      <c r="Z30" s="166">
        <f>N30-[1]Activity!N30</f>
        <v>6494.6897258217505</v>
      </c>
      <c r="AA30" s="166"/>
      <c r="AB30" s="166">
        <f>P30-[1]Activity!P30</f>
        <v>6689.5304175963684</v>
      </c>
      <c r="AC30" s="166"/>
      <c r="AD30" s="166">
        <f>R30-[1]Activity!R30</f>
        <v>6890.216330124269</v>
      </c>
    </row>
    <row r="31" spans="1:30" x14ac:dyDescent="0.3">
      <c r="A31" s="228"/>
      <c r="B31" s="228" t="s">
        <v>142</v>
      </c>
      <c r="C31" s="229"/>
      <c r="D31" s="230">
        <f>VLOOKUP($B31,'DCS Detail'!$A$185:$CW$212,'DCS Detail'!$CC$251,0)</f>
        <v>37388.080000000002</v>
      </c>
      <c r="E31" s="229"/>
      <c r="F31" s="230">
        <f>VLOOKUP($B31,'DCS Detail'!$A$185:$CW$212,'DCS Detail'!$CD$251,0)</f>
        <v>198290.33000000002</v>
      </c>
      <c r="G31" s="229"/>
      <c r="H31" s="230">
        <f>VLOOKUP($B31,'DCS Detail'!$A$185:$CW$212,'DCS Detail'!$CE$251,0)</f>
        <v>255584.67</v>
      </c>
      <c r="I31" s="229"/>
      <c r="J31" s="230">
        <f>VLOOKUP($B31,'DCS Detail'!$A$185:$CW$212,'DCS Detail'!$CF$251,0)</f>
        <v>286562.47659999999</v>
      </c>
      <c r="K31" s="229"/>
      <c r="L31" s="230">
        <f>VLOOKUP($B31,'DCS Detail'!$A$185:$CW$212,'DCS Detail'!$CG$251,0)</f>
        <v>295159.350898</v>
      </c>
      <c r="M31" s="229"/>
      <c r="N31" s="230">
        <f>VLOOKUP($B31,'DCS Detail'!$A$185:$CW$212,'DCS Detail'!$CH$251,0)</f>
        <v>344667.57328875089</v>
      </c>
      <c r="O31" s="229"/>
      <c r="P31" s="230">
        <f>VLOOKUP($B31,'DCS Detail'!$A$185:$CW$212,'DCS Detail'!$CI$251,0)</f>
        <v>355007.60048741347</v>
      </c>
      <c r="Q31" s="229"/>
      <c r="R31" s="230">
        <f>VLOOKUP($B31,'DCS Detail'!$A$185:$CW$212,'DCS Detail'!$CJ$251,0)</f>
        <v>365657.82850203582</v>
      </c>
      <c r="T31" s="166">
        <f>H31-[1]Activity!H31</f>
        <v>0</v>
      </c>
      <c r="U31" s="166"/>
      <c r="V31" s="166">
        <f>J31-[1]Activity!J31</f>
        <v>3685.7926000000443</v>
      </c>
      <c r="W31" s="166"/>
      <c r="X31" s="166">
        <f>L31-[1]Activity!L31</f>
        <v>3796.3663780000061</v>
      </c>
      <c r="Y31" s="166"/>
      <c r="Z31" s="166">
        <f>N31-[1]Activity!N31</f>
        <v>4432.5629599230597</v>
      </c>
      <c r="AA31" s="166"/>
      <c r="AB31" s="166">
        <f>P31-[1]Activity!P31</f>
        <v>4565.5398487207713</v>
      </c>
      <c r="AC31" s="166"/>
      <c r="AD31" s="166">
        <f>R31-[1]Activity!R31</f>
        <v>4702.5060441823443</v>
      </c>
    </row>
    <row r="32" spans="1:30" x14ac:dyDescent="0.3">
      <c r="A32" s="226"/>
      <c r="B32" s="226" t="s">
        <v>257</v>
      </c>
      <c r="D32" s="186">
        <f>VLOOKUP($B32,'DCS Detail'!$A$185:$CW$212,'DCS Detail'!$CC$251,0)</f>
        <v>29415.200000000004</v>
      </c>
      <c r="F32" s="186">
        <f>VLOOKUP($B32,'DCS Detail'!$A$185:$CW$212,'DCS Detail'!$CD$251,0)</f>
        <v>13710.029999999999</v>
      </c>
      <c r="H32" s="186">
        <f>VLOOKUP($B32,'DCS Detail'!$A$185:$CW$212,'DCS Detail'!$CE$251,0)</f>
        <v>58107.31</v>
      </c>
      <c r="J32" s="186">
        <f>VLOOKUP($B32,'DCS Detail'!$A$185:$CW$212,'DCS Detail'!$CF$251,0)</f>
        <v>27154.71</v>
      </c>
      <c r="L32" s="186">
        <f>VLOOKUP($B32,'DCS Detail'!$A$185:$CW$212,'DCS Detail'!$CG$251,0)</f>
        <v>64521.292399999998</v>
      </c>
      <c r="N32" s="186">
        <f>VLOOKUP($B32,'DCS Detail'!$A$185:$CW$212,'DCS Detail'!$CH$251,0)</f>
        <v>42208.115382826087</v>
      </c>
      <c r="P32" s="186">
        <f>VLOOKUP($B32,'DCS Detail'!$A$185:$CW$212,'DCS Detail'!$CI$251,0)</f>
        <v>43474.358844310875</v>
      </c>
      <c r="R32" s="186">
        <f>VLOOKUP($B32,'DCS Detail'!$A$185:$CW$212,'DCS Detail'!$CJ$251,0)</f>
        <v>44778.589609640192</v>
      </c>
      <c r="T32" s="166">
        <f>H32-[1]Activity!H32</f>
        <v>0</v>
      </c>
      <c r="U32" s="166"/>
      <c r="V32" s="166">
        <f>J32-[1]Activity!J32</f>
        <v>-607.57999999999811</v>
      </c>
      <c r="W32" s="166"/>
      <c r="X32" s="166">
        <f>L32-[1]Activity!L32</f>
        <v>-625.80739999999787</v>
      </c>
      <c r="Y32" s="166"/>
      <c r="Z32" s="166">
        <f>N32-[1]Activity!N32</f>
        <v>-644.58162199999788</v>
      </c>
      <c r="AA32" s="166"/>
      <c r="AB32" s="166">
        <f>P32-[1]Activity!P32</f>
        <v>-663.9190706599984</v>
      </c>
      <c r="AC32" s="166"/>
      <c r="AD32" s="166">
        <f>R32-[1]Activity!R32</f>
        <v>-683.83664277980279</v>
      </c>
    </row>
    <row r="33" spans="1:30" x14ac:dyDescent="0.3">
      <c r="A33" s="228"/>
      <c r="B33" s="228" t="s">
        <v>258</v>
      </c>
      <c r="C33" s="229"/>
      <c r="D33" s="230">
        <f>VLOOKUP($B33,'DCS Detail'!$A$185:$CW$212,'DCS Detail'!$CC$251,0)</f>
        <v>285196.82</v>
      </c>
      <c r="E33" s="229"/>
      <c r="F33" s="230">
        <f>VLOOKUP($B33,'DCS Detail'!$A$185:$CW$212,'DCS Detail'!$CD$251,0)</f>
        <v>93201.51</v>
      </c>
      <c r="G33" s="229"/>
      <c r="H33" s="230">
        <f>VLOOKUP($B33,'DCS Detail'!$A$185:$CW$212,'DCS Detail'!$CE$251,0)</f>
        <v>133250.36000000002</v>
      </c>
      <c r="I33" s="229"/>
      <c r="J33" s="230">
        <f>VLOOKUP($B33,'DCS Detail'!$A$185:$CW$212,'DCS Detail'!$CF$251,0)</f>
        <v>325044.82150000002</v>
      </c>
      <c r="K33" s="229"/>
      <c r="L33" s="230">
        <f>VLOOKUP($B33,'DCS Detail'!$A$185:$CW$212,'DCS Detail'!$CG$251,0)</f>
        <v>199108.15756999998</v>
      </c>
      <c r="M33" s="229"/>
      <c r="N33" s="230">
        <f>VLOOKUP($B33,'DCS Detail'!$A$185:$CW$212,'DCS Detail'!$CH$251,0)</f>
        <v>204331.40229709999</v>
      </c>
      <c r="O33" s="229"/>
      <c r="P33" s="230">
        <f>VLOOKUP($B33,'DCS Detail'!$A$185:$CW$212,'DCS Detail'!$CI$251,0)</f>
        <v>209711.34436601301</v>
      </c>
      <c r="Q33" s="229"/>
      <c r="R33" s="230">
        <f>VLOOKUP($B33,'DCS Detail'!$A$185:$CW$212,'DCS Detail'!$CJ$251,0)</f>
        <v>215252.68469699341</v>
      </c>
      <c r="T33" s="166">
        <f>H33-[1]Activity!H33</f>
        <v>0</v>
      </c>
      <c r="U33" s="166"/>
      <c r="V33" s="166">
        <f>J33-[1]Activity!J33</f>
        <v>12669.467500000028</v>
      </c>
      <c r="W33" s="166"/>
      <c r="X33" s="166">
        <f>L33-[1]Activity!L33</f>
        <v>-7285.0664000000106</v>
      </c>
      <c r="Y33" s="166"/>
      <c r="Z33" s="166">
        <f>N33-[1]Activity!N33</f>
        <v>-7503.6183919999748</v>
      </c>
      <c r="AA33" s="166"/>
      <c r="AB33" s="166">
        <f>P33-[1]Activity!P33</f>
        <v>-7728.7269437600044</v>
      </c>
      <c r="AC33" s="166"/>
      <c r="AD33" s="166">
        <f>R33-[1]Activity!R33</f>
        <v>-7960.5887520727993</v>
      </c>
    </row>
    <row r="34" spans="1:30" x14ac:dyDescent="0.3">
      <c r="A34" s="226"/>
      <c r="B34" s="226" t="s">
        <v>259</v>
      </c>
      <c r="D34" s="186">
        <f>VLOOKUP($B34,'DCS Detail'!$A$185:$CW$212,'DCS Detail'!$CC$251,0)</f>
        <v>6232.21</v>
      </c>
      <c r="F34" s="186">
        <f>VLOOKUP($B34,'DCS Detail'!$A$185:$CW$212,'DCS Detail'!$CD$251,0)</f>
        <v>14964.69</v>
      </c>
      <c r="H34" s="186">
        <f>VLOOKUP($B34,'DCS Detail'!$A$185:$CW$212,'DCS Detail'!$CE$251,0)</f>
        <v>17115.77</v>
      </c>
      <c r="J34" s="186">
        <f>VLOOKUP($B34,'DCS Detail'!$A$185:$CW$212,'DCS Detail'!$CF$251,0)</f>
        <v>40517.034500000002</v>
      </c>
      <c r="L34" s="186">
        <f>VLOOKUP($B34,'DCS Detail'!$A$185:$CW$212,'DCS Detail'!$CG$251,0)</f>
        <v>41732.545534999997</v>
      </c>
      <c r="N34" s="186">
        <f>VLOOKUP($B34,'DCS Detail'!$A$185:$CW$212,'DCS Detail'!$CH$251,0)</f>
        <v>50264.667878869572</v>
      </c>
      <c r="P34" s="186">
        <f>VLOOKUP($B34,'DCS Detail'!$A$185:$CW$212,'DCS Detail'!$CI$251,0)</f>
        <v>51772.607915235661</v>
      </c>
      <c r="R34" s="186">
        <f>VLOOKUP($B34,'DCS Detail'!$A$185:$CW$212,'DCS Detail'!$CJ$251,0)</f>
        <v>53325.786152692737</v>
      </c>
      <c r="T34" s="166">
        <f>H34-[1]Activity!H34</f>
        <v>0</v>
      </c>
      <c r="U34" s="166"/>
      <c r="V34" s="166">
        <f>J34-[1]Activity!J34</f>
        <v>2816.5800000000017</v>
      </c>
      <c r="W34" s="166"/>
      <c r="X34" s="166">
        <f>L34-[1]Activity!L34</f>
        <v>2901.0774000000019</v>
      </c>
      <c r="Y34" s="166"/>
      <c r="Z34" s="166">
        <f>N34-[1]Activity!N34</f>
        <v>3531.7464000000036</v>
      </c>
      <c r="AA34" s="166"/>
      <c r="AB34" s="166">
        <f>P34-[1]Activity!P34</f>
        <v>3637.6987920000029</v>
      </c>
      <c r="AC34" s="166"/>
      <c r="AD34" s="166">
        <f>R34-[1]Activity!R34</f>
        <v>3746.8297557600017</v>
      </c>
    </row>
    <row r="35" spans="1:30" x14ac:dyDescent="0.3">
      <c r="A35" s="228"/>
      <c r="B35" s="228" t="s">
        <v>159</v>
      </c>
      <c r="C35" s="229"/>
      <c r="D35" s="230">
        <f>VLOOKUP($B35,'DCS Detail'!$A$185:$CW$212,'DCS Detail'!$CC$251,0)</f>
        <v>2267</v>
      </c>
      <c r="E35" s="229"/>
      <c r="F35" s="230">
        <f>VLOOKUP($B35,'DCS Detail'!$A$185:$CW$212,'DCS Detail'!$CD$251,0)</f>
        <v>5535</v>
      </c>
      <c r="G35" s="229"/>
      <c r="H35" s="230">
        <f>VLOOKUP($B35,'DCS Detail'!$A$185:$CW$212,'DCS Detail'!$CE$251,0)</f>
        <v>146409.43</v>
      </c>
      <c r="I35" s="229"/>
      <c r="J35" s="230">
        <f>VLOOKUP($B35,'DCS Detail'!$A$185:$CW$212,'DCS Detail'!$CF$251,0)</f>
        <v>284206.92</v>
      </c>
      <c r="K35" s="229"/>
      <c r="L35" s="230">
        <f>VLOOKUP($B35,'DCS Detail'!$A$185:$CW$212,'DCS Detail'!$CG$251,0)</f>
        <v>359815.28593989002</v>
      </c>
      <c r="M35" s="229"/>
      <c r="N35" s="230">
        <f>VLOOKUP($B35,'DCS Detail'!$A$185:$CW$212,'DCS Detail'!$CH$251,0)</f>
        <v>549312.75452507765</v>
      </c>
      <c r="O35" s="229"/>
      <c r="P35" s="230">
        <f>VLOOKUP($B35,'DCS Detail'!$A$185:$CW$212,'DCS Detail'!$CI$251,0)</f>
        <v>563590.69704761845</v>
      </c>
      <c r="Q35" s="229"/>
      <c r="R35" s="230">
        <f>VLOOKUP($B35,'DCS Detail'!$A$185:$CW$212,'DCS Detail'!$CJ$251,0)</f>
        <v>566447.83990476094</v>
      </c>
      <c r="T35" s="166">
        <f>H35-[1]Activity!H35</f>
        <v>0</v>
      </c>
      <c r="U35" s="166"/>
      <c r="V35" s="166">
        <f>J35-[1]Activity!J35</f>
        <v>-2015.9899999999907</v>
      </c>
      <c r="W35" s="166"/>
      <c r="X35" s="166">
        <f>L35-[1]Activity!L35</f>
        <v>0</v>
      </c>
      <c r="Y35" s="166"/>
      <c r="Z35" s="166">
        <f>N35-[1]Activity!N35</f>
        <v>0</v>
      </c>
      <c r="AA35" s="166"/>
      <c r="AB35" s="166">
        <f>P35-[1]Activity!P35</f>
        <v>0</v>
      </c>
      <c r="AC35" s="166"/>
      <c r="AD35" s="166">
        <f>R35-[1]Activity!R35</f>
        <v>0</v>
      </c>
    </row>
    <row r="36" spans="1:30" x14ac:dyDescent="0.3">
      <c r="A36" s="226"/>
      <c r="B36" s="226" t="s">
        <v>346</v>
      </c>
      <c r="D36" s="186">
        <f>VLOOKUP($B36,'DCS Detail'!$A$185:$CW$212,'DCS Detail'!$CC$251,0)</f>
        <v>0</v>
      </c>
      <c r="F36" s="186">
        <f>VLOOKUP($B36,'DCS Detail'!$A$185:$CW$212,'DCS Detail'!$CD$251,0)</f>
        <v>0</v>
      </c>
      <c r="H36" s="186">
        <f>VLOOKUP($B36,'DCS Detail'!$A$185:$CW$212,'DCS Detail'!$CE$251,0)</f>
        <v>267350</v>
      </c>
      <c r="J36" s="186">
        <f>VLOOKUP($B36,'DCS Detail'!$A$185:$CW$212,'DCS Detail'!$CF$251,0)</f>
        <v>656906.10000000009</v>
      </c>
      <c r="L36" s="186">
        <f>VLOOKUP($B36,'DCS Detail'!$A$185:$CW$212,'DCS Detail'!$CG$251,0)</f>
        <v>608254.43999999994</v>
      </c>
      <c r="N36" s="186">
        <f>VLOOKUP($B36,'DCS Detail'!$A$185:$CW$212,'DCS Detail'!$CH$251,0)</f>
        <v>1000256.07</v>
      </c>
      <c r="P36" s="186">
        <f>VLOOKUP($B36,'DCS Detail'!$A$185:$CW$212,'DCS Detail'!$CI$251,0)</f>
        <v>1309750</v>
      </c>
      <c r="R36" s="186">
        <f>VLOOKUP($B36,'DCS Detail'!$A$185:$CW$212,'DCS Detail'!$CJ$251,0)</f>
        <v>1300975</v>
      </c>
      <c r="T36" s="166">
        <f>H36-[1]Activity!H36</f>
        <v>0</v>
      </c>
      <c r="U36" s="166"/>
      <c r="V36" s="166">
        <f>J36-[1]Activity!J36</f>
        <v>0</v>
      </c>
      <c r="W36" s="166"/>
      <c r="X36" s="166">
        <f>L36-[1]Activity!L36</f>
        <v>0</v>
      </c>
      <c r="Y36" s="166"/>
      <c r="Z36" s="166">
        <f>N36-[1]Activity!N36</f>
        <v>0</v>
      </c>
      <c r="AA36" s="166"/>
      <c r="AB36" s="166">
        <f>P36-[1]Activity!P36</f>
        <v>0</v>
      </c>
      <c r="AC36" s="166"/>
      <c r="AD36" s="166">
        <f>R36-[1]Activity!R36</f>
        <v>0</v>
      </c>
    </row>
    <row r="37" spans="1:30" x14ac:dyDescent="0.3">
      <c r="A37" s="228"/>
      <c r="B37" s="228" t="s">
        <v>146</v>
      </c>
      <c r="C37" s="229"/>
      <c r="D37" s="230">
        <f>VLOOKUP($B37,'DCS Detail'!$A$185:$CW$212,'DCS Detail'!$CC$251,0)</f>
        <v>41</v>
      </c>
      <c r="E37" s="229"/>
      <c r="F37" s="230">
        <f>VLOOKUP($B37,'DCS Detail'!$A$185:$CW$212,'DCS Detail'!$CD$251,0)</f>
        <v>10221.060000000001</v>
      </c>
      <c r="G37" s="229"/>
      <c r="H37" s="230">
        <f>VLOOKUP($B37,'DCS Detail'!$A$185:$CW$212,'DCS Detail'!$CE$251,0)</f>
        <v>61896.020000000004</v>
      </c>
      <c r="I37" s="229"/>
      <c r="J37" s="230">
        <f>VLOOKUP($B37,'DCS Detail'!$A$185:$CW$212,'DCS Detail'!$CF$251,0)</f>
        <v>22772.118299999998</v>
      </c>
      <c r="K37" s="229"/>
      <c r="L37" s="230">
        <f>VLOOKUP($B37,'DCS Detail'!$A$185:$CW$212,'DCS Detail'!$CG$251,0)</f>
        <v>23455.281849000003</v>
      </c>
      <c r="M37" s="229"/>
      <c r="N37" s="230">
        <f>VLOOKUP($B37,'DCS Detail'!$A$185:$CW$212,'DCS Detail'!$CH$251,0)</f>
        <v>24158.940304470001</v>
      </c>
      <c r="O37" s="229"/>
      <c r="P37" s="230">
        <f>VLOOKUP($B37,'DCS Detail'!$A$185:$CW$212,'DCS Detail'!$CI$251,0)</f>
        <v>24883.708513604106</v>
      </c>
      <c r="Q37" s="229"/>
      <c r="R37" s="230">
        <f>VLOOKUP($B37,'DCS Detail'!$A$185:$CW$212,'DCS Detail'!$CJ$251,0)</f>
        <v>25630.219769012223</v>
      </c>
      <c r="T37" s="166">
        <f>H37-[1]Activity!H37</f>
        <v>0</v>
      </c>
      <c r="U37" s="166"/>
      <c r="V37" s="166">
        <f>J37-[1]Activity!J37</f>
        <v>2364.5299999999988</v>
      </c>
      <c r="W37" s="166"/>
      <c r="X37" s="166">
        <f>L37-[1]Activity!L37</f>
        <v>2435.4659000000029</v>
      </c>
      <c r="Y37" s="166"/>
      <c r="Z37" s="166">
        <f>N37-[1]Activity!N37</f>
        <v>2508.5298770000009</v>
      </c>
      <c r="AA37" s="166"/>
      <c r="AB37" s="166">
        <f>P37-[1]Activity!P37</f>
        <v>2583.7857733100027</v>
      </c>
      <c r="AC37" s="166"/>
      <c r="AD37" s="166">
        <f>R37-[1]Activity!R37</f>
        <v>2661.2993465092986</v>
      </c>
    </row>
    <row r="38" spans="1:30" ht="6" customHeight="1" x14ac:dyDescent="0.3">
      <c r="A38" s="226"/>
      <c r="B38" s="226"/>
      <c r="D38" s="235"/>
      <c r="F38" s="235"/>
      <c r="H38" s="235"/>
      <c r="J38" s="235"/>
      <c r="L38" s="235"/>
      <c r="N38" s="235"/>
      <c r="P38" s="235"/>
      <c r="R38" s="235"/>
      <c r="U38" s="399"/>
      <c r="W38" s="399"/>
    </row>
    <row r="39" spans="1:30" x14ac:dyDescent="0.3">
      <c r="A39" s="227" t="s">
        <v>116</v>
      </c>
      <c r="B39" s="228"/>
      <c r="C39" s="229"/>
      <c r="D39" s="230">
        <f>SUM(D24:D38)</f>
        <v>3222654.27</v>
      </c>
      <c r="E39" s="229"/>
      <c r="F39" s="230">
        <f>SUM(F24:F38)</f>
        <v>3165168.94</v>
      </c>
      <c r="G39" s="229"/>
      <c r="H39" s="230">
        <f>SUM(H24:H38)</f>
        <v>3427573.29</v>
      </c>
      <c r="I39" s="229"/>
      <c r="J39" s="230">
        <f>SUM(J24:J38)</f>
        <v>4532617.3035838315</v>
      </c>
      <c r="K39" s="229"/>
      <c r="L39" s="230">
        <f>SUM(L24:L38)</f>
        <v>4367011.3707600245</v>
      </c>
      <c r="M39" s="229"/>
      <c r="N39" s="230">
        <f>SUM(N24:N38)</f>
        <v>5272043.7508255998</v>
      </c>
      <c r="O39" s="229"/>
      <c r="P39" s="230">
        <f>SUM(P24:P38)</f>
        <v>5751205.0665418254</v>
      </c>
      <c r="Q39" s="229"/>
      <c r="R39" s="230">
        <f>SUM(R24:R38)</f>
        <v>5860872.8962316699</v>
      </c>
      <c r="T39" s="166">
        <f>H39-[1]Activity!H39</f>
        <v>0</v>
      </c>
      <c r="U39" s="166"/>
      <c r="V39" s="166">
        <f>J39-[1]Activity!J39</f>
        <v>54842.624062877148</v>
      </c>
      <c r="W39" s="166"/>
      <c r="X39" s="166">
        <f>L39-[1]Activity!L39</f>
        <v>16128.42640592251</v>
      </c>
      <c r="Y39" s="166"/>
      <c r="Z39" s="166">
        <f>N39-[1]Activity!N39</f>
        <v>19347.645617176779</v>
      </c>
      <c r="AA39" s="166"/>
      <c r="AB39" s="166">
        <f>P39-[1]Activity!P39</f>
        <v>20058.865227293223</v>
      </c>
      <c r="AC39" s="166"/>
      <c r="AD39" s="166">
        <f>R39-[1]Activity!R39</f>
        <v>20660.902011847124</v>
      </c>
    </row>
    <row r="40" spans="1:30" ht="15.6" customHeight="1" x14ac:dyDescent="0.3">
      <c r="A40" s="226"/>
      <c r="B40" s="409" t="s">
        <v>409</v>
      </c>
      <c r="C40" s="410"/>
      <c r="D40" s="411" t="s">
        <v>410</v>
      </c>
      <c r="E40" s="410"/>
      <c r="F40" s="413">
        <f>F39/D39-1</f>
        <v>-1.7837883056565085E-2</v>
      </c>
      <c r="G40" s="412"/>
      <c r="H40" s="413">
        <f>H39/F39-1</f>
        <v>8.2903742256487556E-2</v>
      </c>
      <c r="I40" s="412"/>
      <c r="J40" s="413">
        <f>J39/H39-1</f>
        <v>0.32239836178202674</v>
      </c>
      <c r="K40" s="412"/>
      <c r="L40" s="413">
        <f>L39/J39-1</f>
        <v>-3.6536491332031629E-2</v>
      </c>
      <c r="M40" s="412"/>
      <c r="N40" s="413">
        <f>N39/L39-1</f>
        <v>0.20724296394677477</v>
      </c>
      <c r="O40" s="412"/>
      <c r="P40" s="413">
        <f>P39/N39-1</f>
        <v>9.0887203969274521E-2</v>
      </c>
      <c r="Q40" s="412"/>
      <c r="R40" s="413">
        <f>R39/P39-1</f>
        <v>1.9068669682437145E-2</v>
      </c>
      <c r="V40" s="443"/>
      <c r="X40" s="443"/>
      <c r="Z40" s="443"/>
      <c r="AB40" s="443"/>
      <c r="AD40" s="443"/>
    </row>
    <row r="41" spans="1:30" x14ac:dyDescent="0.3">
      <c r="A41" s="227" t="s">
        <v>144</v>
      </c>
      <c r="B41" s="228"/>
      <c r="C41" s="229"/>
      <c r="D41" s="240">
        <f>D21-D39</f>
        <v>-368134.5700000003</v>
      </c>
      <c r="E41" s="229"/>
      <c r="F41" s="240">
        <f>F21-F39</f>
        <v>-29425.169999999925</v>
      </c>
      <c r="G41" s="229"/>
      <c r="H41" s="240">
        <f>H21-H39</f>
        <v>564697.94000000041</v>
      </c>
      <c r="I41" s="229"/>
      <c r="J41" s="240">
        <f>J21-J39</f>
        <v>-149564.48441716563</v>
      </c>
      <c r="K41" s="229"/>
      <c r="L41" s="240">
        <f>L21-L39</f>
        <v>1202718.1924824761</v>
      </c>
      <c r="M41" s="229"/>
      <c r="N41" s="240">
        <f>N21-N39</f>
        <v>379612.93676943611</v>
      </c>
      <c r="O41" s="229"/>
      <c r="P41" s="240">
        <f>P21-P39</f>
        <v>288067.767455508</v>
      </c>
      <c r="Q41" s="229"/>
      <c r="R41" s="240">
        <f>R21-R39</f>
        <v>340145.41451974493</v>
      </c>
      <c r="T41" s="166">
        <f>H41-[1]Activity!H41</f>
        <v>0</v>
      </c>
      <c r="U41" s="166"/>
      <c r="V41" s="166">
        <f>J41-[1]Activity!J41</f>
        <v>-49107.303229544312</v>
      </c>
      <c r="W41" s="166"/>
      <c r="X41" s="166">
        <f>L41-[1]Activity!L41</f>
        <v>-28644.623072587885</v>
      </c>
      <c r="Y41" s="166"/>
      <c r="Z41" s="166">
        <f>N41-[1]Activity!N41</f>
        <v>-22161.645617176779</v>
      </c>
      <c r="AA41" s="166"/>
      <c r="AB41" s="166">
        <f>P41-[1]Activity!P41</f>
        <v>-23045.225227293558</v>
      </c>
      <c r="AC41" s="166"/>
      <c r="AD41" s="166">
        <f>R41-[1]Activity!R41</f>
        <v>-23828.240011846647</v>
      </c>
    </row>
    <row r="42" spans="1:30" ht="6" customHeight="1" x14ac:dyDescent="0.3">
      <c r="A42" s="241"/>
      <c r="B42" s="226"/>
      <c r="D42" s="239"/>
      <c r="F42" s="239"/>
      <c r="H42" s="239"/>
      <c r="L42" s="239"/>
      <c r="N42" s="239"/>
      <c r="P42" s="239"/>
      <c r="R42" s="239"/>
    </row>
    <row r="43" spans="1:30" x14ac:dyDescent="0.3">
      <c r="A43" s="241" t="s">
        <v>384</v>
      </c>
      <c r="B43" s="226"/>
      <c r="F43" s="239"/>
      <c r="H43" s="239"/>
      <c r="L43" s="239"/>
      <c r="N43" s="239"/>
      <c r="P43" s="239"/>
      <c r="R43" s="239"/>
    </row>
    <row r="44" spans="1:30" x14ac:dyDescent="0.3">
      <c r="A44" s="227"/>
      <c r="B44" s="228" t="s">
        <v>144</v>
      </c>
      <c r="C44" s="229"/>
      <c r="D44" s="242">
        <f>D41</f>
        <v>-368134.5700000003</v>
      </c>
      <c r="E44" s="229"/>
      <c r="F44" s="242">
        <f>F41</f>
        <v>-29425.169999999925</v>
      </c>
      <c r="G44" s="229"/>
      <c r="H44" s="242">
        <f>H41</f>
        <v>564697.94000000041</v>
      </c>
      <c r="I44" s="229"/>
      <c r="J44" s="242">
        <f>J41</f>
        <v>-149564.48441716563</v>
      </c>
      <c r="K44" s="229"/>
      <c r="L44" s="242">
        <f>L41</f>
        <v>1202718.1924824761</v>
      </c>
      <c r="M44" s="229"/>
      <c r="N44" s="242">
        <f>N41</f>
        <v>379612.93676943611</v>
      </c>
      <c r="O44" s="229"/>
      <c r="P44" s="242">
        <f>P41</f>
        <v>288067.767455508</v>
      </c>
      <c r="Q44" s="229"/>
      <c r="R44" s="242">
        <f>R41</f>
        <v>340145.41451974493</v>
      </c>
      <c r="T44" s="166"/>
      <c r="U44" s="166"/>
      <c r="V44" s="166"/>
      <c r="W44" s="166"/>
      <c r="X44" s="166"/>
      <c r="Y44" s="166"/>
      <c r="Z44" s="166"/>
      <c r="AA44" s="166"/>
      <c r="AB44" s="166"/>
      <c r="AC44" s="166"/>
    </row>
    <row r="45" spans="1:30" x14ac:dyDescent="0.3">
      <c r="A45" s="241"/>
      <c r="B45" s="226" t="s">
        <v>346</v>
      </c>
      <c r="D45" s="186">
        <f>VLOOKUP($B45,'DCS Detail'!$A$213:$CW$220,'DCS Detail'!$CC$251,0)</f>
        <v>0</v>
      </c>
      <c r="E45" s="166"/>
      <c r="F45" s="186">
        <f>VLOOKUP($B45,'DCS Detail'!$A$213:$CW$220,'DCS Detail'!$CD$251,0)</f>
        <v>0</v>
      </c>
      <c r="G45" s="166"/>
      <c r="H45" s="186">
        <f>VLOOKUP($B45,'DCS Detail'!$A$213:$CW$220,'DCS Detail'!$CE$251,0)</f>
        <v>267350</v>
      </c>
      <c r="I45" s="166"/>
      <c r="J45" s="186">
        <f>VLOOKUP($B45,'DCS Detail'!$A$213:$CW$220,'DCS Detail'!$CF$251,0)</f>
        <v>656906.10000000009</v>
      </c>
      <c r="K45" s="166"/>
      <c r="L45" s="186">
        <f>VLOOKUP($B45,'DCS Detail'!$A$213:$CW$220,'DCS Detail'!$CG$251,0)</f>
        <v>608254.43999999994</v>
      </c>
      <c r="M45" s="166"/>
      <c r="N45" s="186">
        <f>VLOOKUP($B45,'DCS Detail'!$A$213:$CW$220,'DCS Detail'!$CH$251,0)</f>
        <v>1000256.07</v>
      </c>
      <c r="O45" s="166"/>
      <c r="P45" s="186">
        <f>VLOOKUP($B45,'DCS Detail'!$A$213:$CW$220,'DCS Detail'!$CI$251,0)</f>
        <v>1309750</v>
      </c>
      <c r="Q45" s="166"/>
      <c r="R45" s="186">
        <f>VLOOKUP($B45,'DCS Detail'!$A$213:$CW$220,'DCS Detail'!$CJ$251,0)</f>
        <v>1300975</v>
      </c>
      <c r="T45" s="166"/>
      <c r="U45" s="166"/>
      <c r="V45" s="166"/>
      <c r="W45" s="166"/>
      <c r="X45" s="166"/>
      <c r="Y45" s="166"/>
      <c r="Z45" s="166"/>
      <c r="AA45" s="166"/>
      <c r="AB45" s="166"/>
      <c r="AC45" s="166"/>
    </row>
    <row r="46" spans="1:30" x14ac:dyDescent="0.3">
      <c r="A46" s="227"/>
      <c r="B46" s="228" t="s">
        <v>159</v>
      </c>
      <c r="C46" s="229"/>
      <c r="D46" s="230">
        <f>VLOOKUP($B46,'DCS Detail'!$A$213:$CW$220,'DCS Detail'!$CC$251,0)</f>
        <v>2267</v>
      </c>
      <c r="E46" s="229"/>
      <c r="F46" s="230">
        <f>VLOOKUP($B46,'DCS Detail'!$A$213:$CW$220,'DCS Detail'!$CD$251,0)</f>
        <v>5535</v>
      </c>
      <c r="G46" s="229"/>
      <c r="H46" s="230">
        <f>VLOOKUP($B46,'DCS Detail'!$A$213:$CW$220,'DCS Detail'!$CE$251,0)</f>
        <v>146409.43</v>
      </c>
      <c r="I46" s="229"/>
      <c r="J46" s="230">
        <f>VLOOKUP($B46,'DCS Detail'!$A$213:$CW$220,'DCS Detail'!$CF$251,0)</f>
        <v>284206.92</v>
      </c>
      <c r="K46" s="229"/>
      <c r="L46" s="230">
        <f>VLOOKUP($B46,'DCS Detail'!$A$213:$CW$220,'DCS Detail'!$CG$251,0)</f>
        <v>359815.28593989002</v>
      </c>
      <c r="M46" s="229"/>
      <c r="N46" s="230">
        <f>VLOOKUP($B46,'DCS Detail'!$A$213:$CW$220,'DCS Detail'!$CH$251,0)</f>
        <v>549312.75452507765</v>
      </c>
      <c r="O46" s="229"/>
      <c r="P46" s="230">
        <f>VLOOKUP($B46,'DCS Detail'!$A$213:$CW$220,'DCS Detail'!$CI$251,0)</f>
        <v>563590.69704761845</v>
      </c>
      <c r="Q46" s="229"/>
      <c r="R46" s="230">
        <f>VLOOKUP($B46,'DCS Detail'!$A$213:$CW$220,'DCS Detail'!$CJ$251,0)</f>
        <v>566447.83990476094</v>
      </c>
      <c r="T46" s="166"/>
      <c r="U46" s="166"/>
      <c r="V46" s="166"/>
      <c r="W46" s="166"/>
      <c r="X46" s="166"/>
      <c r="Y46" s="166"/>
      <c r="Z46" s="166"/>
      <c r="AA46" s="166"/>
      <c r="AB46" s="166"/>
      <c r="AC46" s="166"/>
    </row>
    <row r="47" spans="1:30" x14ac:dyDescent="0.3">
      <c r="A47" s="241"/>
      <c r="B47" s="226" t="s">
        <v>388</v>
      </c>
      <c r="D47" s="186">
        <f>VLOOKUP($B47,'DCS Detail'!$A$213:$CW$220,'DCS Detail'!$CC$251,0)</f>
        <v>144000</v>
      </c>
      <c r="F47" s="186">
        <f>VLOOKUP($B47,'DCS Detail'!$A$213:$CW$220,'DCS Detail'!$CD$251,0)</f>
        <v>0</v>
      </c>
      <c r="H47" s="186">
        <f>VLOOKUP($B47,'DCS Detail'!$A$213:$CW$220,'DCS Detail'!$CE$251,0)</f>
        <v>34606</v>
      </c>
      <c r="J47" s="186">
        <f>VLOOKUP($B47,'DCS Detail'!$A$213:$CW$220,'DCS Detail'!$CF$251,0)</f>
        <v>0</v>
      </c>
      <c r="L47" s="186">
        <f>VLOOKUP($B47,'DCS Detail'!$A$213:$CW$220,'DCS Detail'!$CG$251,0)</f>
        <v>-670098.30999999994</v>
      </c>
      <c r="N47" s="186">
        <f>VLOOKUP($B47,'DCS Detail'!$A$213:$CW$220,'DCS Detail'!$CH$251,0)</f>
        <v>0</v>
      </c>
      <c r="P47" s="186">
        <f>VLOOKUP($B47,'DCS Detail'!$A$213:$CW$220,'DCS Detail'!$CI$251,0)</f>
        <v>0</v>
      </c>
      <c r="R47" s="186">
        <f>VLOOKUP($B47,'DCS Detail'!$A$213:$CW$220,'DCS Detail'!$CJ$251,0)</f>
        <v>0</v>
      </c>
      <c r="T47" s="166"/>
      <c r="U47" s="166"/>
      <c r="V47" s="166"/>
      <c r="W47" s="166"/>
      <c r="X47" s="166"/>
      <c r="Y47" s="166"/>
      <c r="Z47" s="166"/>
      <c r="AA47" s="166"/>
      <c r="AB47" s="166"/>
      <c r="AC47" s="166"/>
    </row>
    <row r="48" spans="1:30" ht="3" customHeight="1" x14ac:dyDescent="0.3">
      <c r="A48" s="241"/>
      <c r="B48" s="226"/>
      <c r="D48" s="239"/>
      <c r="F48" s="239"/>
      <c r="H48" s="239"/>
      <c r="L48" s="239"/>
      <c r="N48" s="239"/>
      <c r="P48" s="239"/>
      <c r="R48" s="239"/>
    </row>
    <row r="49" spans="1:30" ht="14.4" thickBot="1" x14ac:dyDescent="0.35">
      <c r="A49" s="227" t="s">
        <v>384</v>
      </c>
      <c r="B49" s="228"/>
      <c r="C49" s="229"/>
      <c r="D49" s="243">
        <f>SUM(D44:D48)</f>
        <v>-221867.5700000003</v>
      </c>
      <c r="E49" s="229"/>
      <c r="F49" s="243">
        <f>SUM(F44:F48)</f>
        <v>-23890.169999999925</v>
      </c>
      <c r="G49" s="229"/>
      <c r="H49" s="243">
        <f>SUM(H44:H48)</f>
        <v>1013063.3700000003</v>
      </c>
      <c r="I49" s="229"/>
      <c r="J49" s="243">
        <f>SUM(J44:J48)</f>
        <v>791548.53558283439</v>
      </c>
      <c r="K49" s="229"/>
      <c r="L49" s="243">
        <f>SUM(L44:L48)</f>
        <v>1500689.608422366</v>
      </c>
      <c r="M49" s="229"/>
      <c r="N49" s="243">
        <f>SUM(N44:N48)</f>
        <v>1929181.7612945135</v>
      </c>
      <c r="O49" s="229"/>
      <c r="P49" s="243">
        <f>SUM(P44:P48)</f>
        <v>2161408.4645031262</v>
      </c>
      <c r="Q49" s="229"/>
      <c r="R49" s="243">
        <f>SUM(R44:R48)</f>
        <v>2207568.2544245059</v>
      </c>
      <c r="T49" s="166">
        <f>H49-[1]Activity!H49</f>
        <v>0</v>
      </c>
      <c r="U49" s="166"/>
      <c r="V49" s="166">
        <f>J49-[1]Activity!J49</f>
        <v>-51123.293229544302</v>
      </c>
      <c r="W49" s="166"/>
      <c r="X49" s="166">
        <f>L49-[1]Activity!L49</f>
        <v>-18367.893072587904</v>
      </c>
      <c r="Y49" s="166"/>
      <c r="Z49" s="166">
        <f>N49-[1]Activity!N49</f>
        <v>-22161.645617176779</v>
      </c>
      <c r="AA49" s="166"/>
      <c r="AB49" s="166">
        <f>P49-[1]Activity!P49</f>
        <v>-23045.225227293558</v>
      </c>
      <c r="AC49" s="166"/>
      <c r="AD49" s="166">
        <f>R49-[1]Activity!R49</f>
        <v>-23828.240011846647</v>
      </c>
    </row>
    <row r="50" spans="1:30" ht="14.4" thickTop="1" x14ac:dyDescent="0.3">
      <c r="A50" s="241"/>
      <c r="B50" s="409" t="s">
        <v>409</v>
      </c>
      <c r="C50" s="410"/>
      <c r="D50" s="411" t="s">
        <v>410</v>
      </c>
      <c r="E50" s="410"/>
      <c r="F50" s="411" t="s">
        <v>410</v>
      </c>
      <c r="G50" s="412"/>
      <c r="H50" s="411" t="s">
        <v>410</v>
      </c>
      <c r="I50" s="412"/>
      <c r="J50" s="413">
        <f>J49/H49-1</f>
        <v>-0.21865841859149038</v>
      </c>
      <c r="K50" s="412"/>
      <c r="L50" s="413">
        <f>L49/J49-1</f>
        <v>0.89589082786613417</v>
      </c>
      <c r="M50" s="412"/>
      <c r="N50" s="413">
        <f>N49/L49-1</f>
        <v>0.28553016590993097</v>
      </c>
      <c r="O50" s="412"/>
      <c r="P50" s="413">
        <f>P49/N49-1</f>
        <v>0.12037575093638897</v>
      </c>
      <c r="Q50" s="412"/>
      <c r="R50" s="413">
        <f>R49/P49-1</f>
        <v>2.1356347344550164E-2</v>
      </c>
      <c r="S50" s="410"/>
      <c r="V50" s="443"/>
      <c r="X50" s="443"/>
      <c r="Z50" s="443"/>
      <c r="AB50" s="443"/>
      <c r="AD50" s="443"/>
    </row>
    <row r="51" spans="1:30" x14ac:dyDescent="0.3">
      <c r="J51" s="166"/>
      <c r="K51" s="166"/>
      <c r="L51" s="166"/>
      <c r="M51" s="166"/>
      <c r="N51" s="166"/>
      <c r="O51" s="166"/>
      <c r="P51" s="166"/>
      <c r="Q51" s="166"/>
      <c r="R51" s="166"/>
    </row>
    <row r="52" spans="1:30" x14ac:dyDescent="0.3">
      <c r="A52" s="156" t="s">
        <v>221</v>
      </c>
      <c r="F52" s="244"/>
    </row>
    <row r="53" spans="1:30" x14ac:dyDescent="0.3">
      <c r="B53" s="222" t="s">
        <v>144</v>
      </c>
      <c r="D53" s="244">
        <f>D41-'DCS Detail'!CC173</f>
        <v>-1.3969838619232178E-9</v>
      </c>
      <c r="F53" s="244">
        <f>F41-'DCS Detail'!CD173</f>
        <v>9.3132257461547852E-10</v>
      </c>
      <c r="H53" s="244">
        <f>H41-'Hillpointe Detail'!$CE$173-'Sandhill Detail'!$CE$173</f>
        <v>8.149072527885437E-10</v>
      </c>
      <c r="J53" s="244">
        <f>J41-'Hillpointe Detail'!$CF$173-'Sandhill Detail'!$CF$173</f>
        <v>-1.1932570487260818E-9</v>
      </c>
      <c r="L53" s="244">
        <f>L41-'Hillpointe Detail'!$CG$173-'Sandhill Detail'!$CG$173</f>
        <v>0</v>
      </c>
      <c r="N53" s="244">
        <f>N41-'Hillpointe Detail'!$CH$173-'Sandhill Detail'!$CH$173</f>
        <v>-1.5133991837501526E-9</v>
      </c>
      <c r="P53" s="244">
        <f>P41-'Hillpointe Detail'!$CI$173-'Sandhill Detail'!$CI$173</f>
        <v>-1.57160684466362E-9</v>
      </c>
      <c r="R53" s="244">
        <f>R41-'Hillpointe Detail'!$CJ$173-'Sandhill Detail'!$CJ$173</f>
        <v>-1.6298145055770874E-9</v>
      </c>
    </row>
    <row r="54" spans="1:30" x14ac:dyDescent="0.3">
      <c r="B54" s="222" t="s">
        <v>389</v>
      </c>
      <c r="D54" s="244">
        <f>D49-'DCS Detail'!$CC$219</f>
        <v>0</v>
      </c>
      <c r="F54" s="244">
        <f>F49-'DCS Detail'!$CD$219</f>
        <v>0</v>
      </c>
      <c r="H54" s="244">
        <f>H49-'DCS Detail'!$CE$219</f>
        <v>0</v>
      </c>
      <c r="J54" s="244">
        <f>J49-'DCS Detail'!$CF$219</f>
        <v>-1.3969838619232178E-9</v>
      </c>
      <c r="L54" s="244">
        <f>L49-'DCS Detail'!$CG$219</f>
        <v>0</v>
      </c>
      <c r="N54" s="244">
        <f>N49-'DCS Detail'!$CH$219</f>
        <v>0</v>
      </c>
      <c r="P54" s="244">
        <f>P49-'DCS Detail'!$CI$219</f>
        <v>0</v>
      </c>
      <c r="R54" s="244">
        <f>R49-'DCS Detail'!$CJ$219</f>
        <v>0</v>
      </c>
    </row>
    <row r="55" spans="1:30" x14ac:dyDescent="0.3">
      <c r="B55" s="222" t="s">
        <v>310</v>
      </c>
      <c r="D55" s="245">
        <v>2019</v>
      </c>
      <c r="F55" s="245">
        <f>D55+1</f>
        <v>2020</v>
      </c>
      <c r="H55" s="245">
        <f>F55+1</f>
        <v>2021</v>
      </c>
      <c r="J55" s="245">
        <f>H55+1</f>
        <v>2022</v>
      </c>
      <c r="L55" s="245">
        <f>J55+1</f>
        <v>2023</v>
      </c>
      <c r="N55" s="245">
        <f>L55+1</f>
        <v>2024</v>
      </c>
      <c r="P55" s="245">
        <f>N55+1</f>
        <v>2025</v>
      </c>
      <c r="R55" s="245">
        <f>P55+1</f>
        <v>2026</v>
      </c>
    </row>
  </sheetData>
  <mergeCells count="1">
    <mergeCell ref="A2:B2"/>
  </mergeCells>
  <printOptions horizontalCentered="1" verticalCentered="1"/>
  <pageMargins left="0.15" right="0.15" top="0.25" bottom="0.3" header="0.15" footer="0.15"/>
  <pageSetup scale="92" orientation="landscape" horizontalDpi="1200" verticalDpi="1200" r:id="rId1"/>
  <headerFooter>
    <oddFooter>&amp;L&amp;"Bodoni MT,Bold"&amp;10&amp;F&amp;C&amp;10&amp;P of &amp;N&amp;R&amp;10&amp;A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1972F-4B67-4678-8F87-65206DD41FFC}">
  <sheetPr>
    <pageSetUpPr fitToPage="1"/>
  </sheetPr>
  <dimension ref="A1:BI81"/>
  <sheetViews>
    <sheetView zoomScaleNormal="100" workbookViewId="0">
      <pane xSplit="2" ySplit="5" topLeftCell="C6" activePane="bottomRight" state="frozen"/>
      <selection pane="topRight"/>
      <selection pane="bottomLeft"/>
      <selection pane="bottomRight" activeCell="C6" sqref="C6"/>
    </sheetView>
  </sheetViews>
  <sheetFormatPr defaultRowHeight="13.8" outlineLevelRow="1" outlineLevelCol="1" x14ac:dyDescent="0.3"/>
  <cols>
    <col min="1" max="1" width="0.77734375" style="157" customWidth="1"/>
    <col min="2" max="2" width="16.44140625" style="157" customWidth="1"/>
    <col min="3" max="3" width="0.77734375" style="157" customWidth="1"/>
    <col min="4" max="4" width="11" style="157" customWidth="1"/>
    <col min="5" max="5" width="0.77734375" style="157" customWidth="1"/>
    <col min="6" max="6" width="11.6640625" style="157" customWidth="1"/>
    <col min="7" max="7" width="0.77734375" style="157" customWidth="1"/>
    <col min="8" max="8" width="11.6640625" style="157" customWidth="1"/>
    <col min="9" max="9" width="0.77734375" style="157" customWidth="1"/>
    <col min="10" max="10" width="11.6640625" style="157" customWidth="1"/>
    <col min="11" max="11" width="0.77734375" style="157" customWidth="1"/>
    <col min="12" max="12" width="11.6640625" style="157" hidden="1" customWidth="1" outlineLevel="1"/>
    <col min="13" max="13" width="1.33203125" style="157" hidden="1" customWidth="1" outlineLevel="1"/>
    <col min="14" max="14" width="11.6640625" style="157" customWidth="1" collapsed="1"/>
    <col min="15" max="15" width="0.77734375" style="157" customWidth="1"/>
    <col min="16" max="16" width="11.6640625" style="157" customWidth="1"/>
    <col min="17" max="17" width="0.88671875" style="157" customWidth="1"/>
    <col min="18" max="18" width="11.6640625" style="157" customWidth="1"/>
    <col min="19" max="19" width="0.88671875" style="157" customWidth="1"/>
    <col min="20" max="20" width="11.6640625" style="157" customWidth="1"/>
    <col min="21" max="21" width="0.88671875" style="157" customWidth="1"/>
    <col min="22" max="22" width="11.6640625" style="157" customWidth="1"/>
    <col min="23" max="23" width="0.88671875" style="157" customWidth="1"/>
    <col min="24" max="16384" width="8.88671875" style="157"/>
  </cols>
  <sheetData>
    <row r="1" spans="1:61" ht="14.4" x14ac:dyDescent="0.3">
      <c r="A1" s="1" t="str">
        <f>Support!A13</f>
        <v>Discovery Charter School ("DCS")</v>
      </c>
      <c r="B1" s="1"/>
      <c r="C1" s="220"/>
      <c r="D1" s="220"/>
      <c r="E1" s="220"/>
      <c r="F1" s="220"/>
      <c r="G1" s="5"/>
      <c r="H1" s="220"/>
      <c r="I1" s="220"/>
      <c r="J1" s="220"/>
      <c r="K1" s="220"/>
      <c r="L1" s="220"/>
      <c r="M1" s="221"/>
      <c r="N1" s="220"/>
      <c r="O1" s="220"/>
      <c r="P1" s="220"/>
      <c r="Q1" s="220"/>
      <c r="R1" s="220"/>
      <c r="S1" s="5"/>
      <c r="T1" s="222"/>
      <c r="U1" s="5" t="s">
        <v>224</v>
      </c>
      <c r="V1" s="431">
        <f>Support!$A$17</f>
        <v>44712</v>
      </c>
    </row>
    <row r="2" spans="1:61" ht="14.4" x14ac:dyDescent="0.3">
      <c r="A2" s="444">
        <f>Support!A19</f>
        <v>2022</v>
      </c>
      <c r="B2" s="444"/>
      <c r="C2" s="220"/>
      <c r="D2" s="220"/>
      <c r="E2" s="220"/>
      <c r="F2" s="220"/>
      <c r="G2" s="220"/>
      <c r="H2" s="220"/>
      <c r="I2" s="220"/>
      <c r="J2" s="220"/>
      <c r="K2" s="220"/>
      <c r="L2" s="220"/>
      <c r="M2" s="220"/>
      <c r="N2" s="220"/>
      <c r="O2" s="220"/>
      <c r="P2" s="220"/>
      <c r="Q2" s="220"/>
      <c r="R2" s="220"/>
      <c r="S2" s="220"/>
      <c r="T2" s="222"/>
      <c r="U2" s="220"/>
      <c r="V2" s="114" t="str">
        <f>Cover!$A$15</f>
        <v>(Bond Scenario)</v>
      </c>
    </row>
    <row r="3" spans="1:61" ht="9" customHeight="1" x14ac:dyDescent="0.3">
      <c r="A3" s="158"/>
      <c r="B3" s="158"/>
    </row>
    <row r="4" spans="1:61" x14ac:dyDescent="0.3">
      <c r="F4" s="159" t="s">
        <v>220</v>
      </c>
      <c r="G4" s="160"/>
      <c r="H4" s="159" t="s">
        <v>220</v>
      </c>
      <c r="I4" s="160"/>
      <c r="J4" s="159" t="str">
        <f>IF(J5&lt;=Support!$A$17,"Actual","Forecast")</f>
        <v>Actual</v>
      </c>
      <c r="K4" s="160"/>
      <c r="L4" s="159" t="str">
        <f>IF(L5&lt;=Support!$A$17,"Actual","Forecast")</f>
        <v>Actual</v>
      </c>
      <c r="N4" s="159" t="str">
        <f>IF(N5&lt;=Support!$A$17,"Actual","Forecast")</f>
        <v>Forecast</v>
      </c>
      <c r="P4" s="159" t="str">
        <f>IF(P5&lt;=Support!$A$17,"Actual","Forecast")</f>
        <v>Forecast</v>
      </c>
      <c r="R4" s="159" t="str">
        <f>IF(R5&lt;=Support!$A$17,"Actual","Forecast")</f>
        <v>Forecast</v>
      </c>
      <c r="T4" s="159" t="str">
        <f>IF(T5&lt;=Support!$A$17,"Actual","Forecast")</f>
        <v>Forecast</v>
      </c>
      <c r="V4" s="159" t="str">
        <f>IF(V5&lt;=Support!$A$17,"Actual","Forecast")</f>
        <v>Forecast</v>
      </c>
    </row>
    <row r="5" spans="1:61" x14ac:dyDescent="0.3">
      <c r="A5" s="161" t="s">
        <v>223</v>
      </c>
      <c r="B5" s="162"/>
      <c r="C5" s="162"/>
      <c r="D5" s="162"/>
      <c r="E5" s="163"/>
      <c r="F5" s="164">
        <v>43646</v>
      </c>
      <c r="G5" s="165"/>
      <c r="H5" s="164">
        <f>EOMONTH(F5,12)</f>
        <v>44012</v>
      </c>
      <c r="I5" s="165"/>
      <c r="J5" s="164">
        <v>44377</v>
      </c>
      <c r="K5" s="165"/>
      <c r="L5" s="164">
        <f>Support!A17</f>
        <v>44712</v>
      </c>
      <c r="M5" s="163"/>
      <c r="N5" s="164">
        <f>EOMONTH(J5,12)</f>
        <v>44742</v>
      </c>
      <c r="O5" s="163"/>
      <c r="P5" s="164">
        <f>EOMONTH(N5,12)</f>
        <v>45107</v>
      </c>
      <c r="R5" s="164">
        <f>EOMONTH(P5,12)</f>
        <v>45473</v>
      </c>
      <c r="T5" s="164">
        <f>EOMONTH(R5,12)</f>
        <v>45838</v>
      </c>
      <c r="V5" s="164">
        <f>EOMONTH(T5,12)</f>
        <v>46203</v>
      </c>
    </row>
    <row r="6" spans="1:61" ht="9" customHeight="1" x14ac:dyDescent="0.3">
      <c r="C6" s="166"/>
      <c r="D6" s="166"/>
      <c r="E6" s="166"/>
      <c r="F6" s="167"/>
      <c r="G6" s="167"/>
      <c r="H6" s="167"/>
      <c r="I6" s="167"/>
      <c r="J6" s="166"/>
      <c r="K6" s="167"/>
      <c r="L6" s="167"/>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3">
      <c r="A7" s="168" t="s">
        <v>252</v>
      </c>
      <c r="B7" s="169"/>
      <c r="C7" s="170"/>
      <c r="D7" s="170"/>
      <c r="E7" s="170"/>
      <c r="F7" s="170"/>
      <c r="G7" s="170"/>
      <c r="H7" s="170"/>
      <c r="I7" s="170"/>
      <c r="J7" s="170"/>
      <c r="K7" s="170"/>
      <c r="L7" s="170"/>
      <c r="M7" s="170"/>
      <c r="N7" s="170"/>
      <c r="O7" s="170"/>
      <c r="P7" s="170"/>
      <c r="Q7" s="170"/>
      <c r="R7" s="170"/>
      <c r="S7" s="170"/>
      <c r="T7" s="170"/>
      <c r="U7" s="170"/>
      <c r="V7" s="170"/>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3">
      <c r="B8" s="157" t="s">
        <v>213</v>
      </c>
      <c r="C8" s="166"/>
      <c r="D8" s="166"/>
      <c r="E8" s="166"/>
      <c r="F8" s="172">
        <f>SUMIF('Financial Position Detail'!$A$5:$EI$5,F$5,'Financial Position Detail'!$A$14:$EI$14)</f>
        <v>91166.73000000001</v>
      </c>
      <c r="G8" s="173"/>
      <c r="H8" s="172">
        <f>SUMIF('Financial Position Detail'!$A$5:$EI$5,H$5,'Financial Position Detail'!$A$14:$EI$14)</f>
        <v>130780.68</v>
      </c>
      <c r="I8" s="173"/>
      <c r="J8" s="172">
        <f>SUMIF('Financial Position Detail'!$A$5:$EI$5,J$5,'Financial Position Detail'!$A$14:$EI$14)</f>
        <v>630926.43000000005</v>
      </c>
      <c r="K8" s="173"/>
      <c r="L8" s="172">
        <f>SUMIF('Financial Position Detail'!$A$5:$EI$5,L$5,'Financial Position Detail'!$A$14:$EI$14)</f>
        <v>508537.17</v>
      </c>
      <c r="M8" s="166"/>
      <c r="N8" s="172">
        <f>SUMIF('Financial Position Detail'!$A$5:$EI$5,N$5,'Financial Position Detail'!$A$14:$EI$14)</f>
        <v>623657.07026127516</v>
      </c>
      <c r="O8" s="166"/>
      <c r="P8" s="172">
        <f>SUMIF('Financial Position Detail'!$A$5:$EI$5,P$5,'Financial Position Detail'!$A$14:$EI$14)</f>
        <v>2774092.3588559516</v>
      </c>
      <c r="Q8" s="166"/>
      <c r="R8" s="172">
        <f>SUMIF('Financial Position Detail'!$A$5:$EI$5,R$5,'Financial Position Detail'!$A$14:$EI$14)</f>
        <v>3640171.3243447007</v>
      </c>
      <c r="S8" s="166"/>
      <c r="T8" s="172">
        <f>SUMIF('Financial Position Detail'!$A$5:$EI$5,T$5,'Financial Position Detail'!$A$14:$EI$14)</f>
        <v>4274466.0551929874</v>
      </c>
      <c r="U8" s="166"/>
      <c r="V8" s="172">
        <f>SUMIF('Financial Position Detail'!$A$5:$EI$5,V$5,'Financial Position Detail'!$A$14:$EI$14)</f>
        <v>4953045.5129041607</v>
      </c>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3">
      <c r="A9" s="174"/>
      <c r="B9" s="174" t="s">
        <v>214</v>
      </c>
      <c r="C9" s="175"/>
      <c r="D9" s="175"/>
      <c r="E9" s="175"/>
      <c r="F9" s="176">
        <f>SUMIF('Financial Position Detail'!$A$5:$EI$5,F$5,'Financial Position Detail'!$A$18:$EI$18)</f>
        <v>75138.22</v>
      </c>
      <c r="G9" s="176"/>
      <c r="H9" s="176">
        <f>SUMIF('Financial Position Detail'!$A$5:$EI$5,H$5,'Financial Position Detail'!$A$18:$EI$18)</f>
        <v>15408.37</v>
      </c>
      <c r="I9" s="176"/>
      <c r="J9" s="176">
        <f>SUMIF('Financial Position Detail'!$A$5:$EI$5,J$5,'Financial Position Detail'!$A$18:$EI$18)</f>
        <v>111752.72</v>
      </c>
      <c r="K9" s="176"/>
      <c r="L9" s="176">
        <f>SUMIF('Financial Position Detail'!$A$5:$EI$5,L$5,'Financial Position Detail'!$A$18:$EI$18)</f>
        <v>26656.85</v>
      </c>
      <c r="M9" s="175"/>
      <c r="N9" s="176">
        <f>SUMIF('Financial Position Detail'!$A$5:$EI$5,N$5,'Financial Position Detail'!$A$18:$EI$18)</f>
        <v>26656.85</v>
      </c>
      <c r="O9" s="175"/>
      <c r="P9" s="176">
        <f>SUMIF('Financial Position Detail'!$A$5:$EI$5,P$5,'Financial Position Detail'!$A$18:$EI$18)</f>
        <v>26656.85</v>
      </c>
      <c r="Q9" s="175"/>
      <c r="R9" s="176">
        <f>SUMIF('Financial Position Detail'!$A$5:$EI$5,R$5,'Financial Position Detail'!$A$18:$EI$18)</f>
        <v>26656.85</v>
      </c>
      <c r="S9" s="175"/>
      <c r="T9" s="176">
        <f>SUMIF('Financial Position Detail'!$A$5:$EI$5,T$5,'Financial Position Detail'!$A$18:$EI$18)</f>
        <v>26656.85</v>
      </c>
      <c r="U9" s="175"/>
      <c r="V9" s="176">
        <f>SUMIF('Financial Position Detail'!$A$5:$EI$5,V$5,'Financial Position Detail'!$A$18:$EI$18)</f>
        <v>26656.85</v>
      </c>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3">
      <c r="B10" s="157" t="s">
        <v>222</v>
      </c>
      <c r="C10" s="166"/>
      <c r="D10" s="166"/>
      <c r="E10" s="166"/>
      <c r="F10" s="167">
        <f>SUMIF('Financial Position Detail'!$A$5:$EI$5,F$5,'Financial Position Detail'!$A$26:$EI$26)</f>
        <v>0</v>
      </c>
      <c r="G10" s="167"/>
      <c r="H10" s="167">
        <f>SUMIF('Financial Position Detail'!$A$5:$EI$5,H$5,'Financial Position Detail'!$A$26:$EI$26)</f>
        <v>8098</v>
      </c>
      <c r="I10" s="167"/>
      <c r="J10" s="167">
        <f>SUMIF('Financial Position Detail'!$A$5:$EI$5,J$5,'Financial Position Detail'!$A$26:$EI$26)</f>
        <v>54886.990000000005</v>
      </c>
      <c r="K10" s="167"/>
      <c r="L10" s="167">
        <f>SUMIF('Financial Position Detail'!$A$5:$EI$5,L$5,'Financial Position Detail'!$A$26:$EI$26)</f>
        <v>49210.22</v>
      </c>
      <c r="M10" s="166"/>
      <c r="N10" s="167">
        <f>SUMIF('Financial Position Detail'!$A$5:$EI$5,N$5,'Financial Position Detail'!$A$26:$EI$26)</f>
        <v>49210.22</v>
      </c>
      <c r="O10" s="166"/>
      <c r="P10" s="167">
        <f>SUMIF('Financial Position Detail'!$A$5:$EI$5,P$5,'Financial Position Detail'!$A$26:$EI$26)</f>
        <v>49210.22</v>
      </c>
      <c r="Q10" s="166"/>
      <c r="R10" s="167">
        <f>SUMIF('Financial Position Detail'!$A$5:$EI$5,R$5,'Financial Position Detail'!$A$26:$EI$26)</f>
        <v>49210.22</v>
      </c>
      <c r="S10" s="166"/>
      <c r="T10" s="167">
        <f>SUMIF('Financial Position Detail'!$A$5:$EI$5,T$5,'Financial Position Detail'!$A$26:$EI$26)</f>
        <v>49210.22</v>
      </c>
      <c r="U10" s="166"/>
      <c r="V10" s="167">
        <f>SUMIF('Financial Position Detail'!$A$5:$EI$5,V$5,'Financial Position Detail'!$A$26:$EI$26)</f>
        <v>49210.22</v>
      </c>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3">
      <c r="A11" s="174"/>
      <c r="B11" s="174" t="s">
        <v>215</v>
      </c>
      <c r="C11" s="175"/>
      <c r="D11" s="175"/>
      <c r="E11" s="175"/>
      <c r="F11" s="176">
        <f>SUMIF('Financial Position Detail'!$A$5:$EI$5,F$5,'Financial Position Detail'!$A$38:$EI$38)</f>
        <v>14733</v>
      </c>
      <c r="G11" s="176"/>
      <c r="H11" s="176">
        <f>SUMIF('Financial Position Detail'!$A$5:$EI$5,H$5,'Financial Position Detail'!$A$38:$EI$38)</f>
        <v>25501</v>
      </c>
      <c r="I11" s="176"/>
      <c r="J11" s="176">
        <f>SUMIF('Financial Position Detail'!$A$5:$EI$5,J$5,'Financial Position Detail'!$A$38:$EI$38)</f>
        <v>6458971.3200000003</v>
      </c>
      <c r="K11" s="176"/>
      <c r="L11" s="176">
        <f>SUMIF('Financial Position Detail'!$A$5:$EI$5,L$5,'Financial Position Detail'!$A$38:$EI$38)</f>
        <v>6333128.29</v>
      </c>
      <c r="M11" s="175"/>
      <c r="N11" s="176">
        <f>SUMIF('Financial Position Detail'!$A$5:$EI$5,N$5,'Financial Position Detail'!$A$38:$EI$38)</f>
        <v>6309280.9800000004</v>
      </c>
      <c r="O11" s="175"/>
      <c r="P11" s="176">
        <f>SUMIF('Financial Position Detail'!$A$5:$EI$5,P$5,'Financial Position Detail'!$A$38:$EI$38)</f>
        <v>15886810.137748562</v>
      </c>
      <c r="Q11" s="175"/>
      <c r="R11" s="176">
        <f>SUMIF('Financial Position Detail'!$A$5:$EI$5,R$5,'Financial Position Detail'!$A$38:$EI$38)</f>
        <v>18635321.289535023</v>
      </c>
      <c r="S11" s="175"/>
      <c r="T11" s="176">
        <f>SUMIF('Financial Position Detail'!$A$5:$EI$5,T$5,'Financial Position Detail'!$A$38:$EI$38)</f>
        <v>18171730.592487387</v>
      </c>
      <c r="U11" s="175"/>
      <c r="V11" s="176">
        <f>SUMIF('Financial Position Detail'!$A$5:$EI$5,V$5,'Financial Position Detail'!$A$38:$EI$38)</f>
        <v>17705282.752582613</v>
      </c>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3">
      <c r="A12" s="177"/>
      <c r="B12" s="177" t="s">
        <v>295</v>
      </c>
      <c r="C12" s="178"/>
      <c r="D12" s="178"/>
      <c r="E12" s="178"/>
      <c r="F12" s="167">
        <f>SUMIF('Financial Position Detail'!$A$5:$EI$5,F$5,'Financial Position Detail'!$A$40:$EI$40)</f>
        <v>10521.57</v>
      </c>
      <c r="G12" s="167"/>
      <c r="H12" s="167">
        <f>SUMIF('Financial Position Detail'!$A$5:$EI$5,H$5,'Financial Position Detail'!$A$40:$EI$40)</f>
        <v>6000</v>
      </c>
      <c r="I12" s="167"/>
      <c r="J12" s="167">
        <f>SUMIF('Financial Position Detail'!$A$5:$EI$5,J$5,'Financial Position Detail'!$A$40:$EI$40)</f>
        <v>103494.64</v>
      </c>
      <c r="K12" s="167"/>
      <c r="L12" s="167">
        <f>SUMIF('Financial Position Detail'!$A$5:$EI$5,L$5,'Financial Position Detail'!$A$40:$EI$40)</f>
        <v>103494.64</v>
      </c>
      <c r="M12" s="166"/>
      <c r="N12" s="167">
        <f>SUMIF('Financial Position Detail'!$A$5:$EI$5,N$5,'Financial Position Detail'!$A$40:$EI$40)</f>
        <v>103494.64</v>
      </c>
      <c r="O12" s="166"/>
      <c r="P12" s="167">
        <f>SUMIF('Financial Position Detail'!$A$5:$EI$5,P$5,'Financial Position Detail'!$A$40:$EI$40)</f>
        <v>103494.64</v>
      </c>
      <c r="Q12" s="166"/>
      <c r="R12" s="167">
        <f>SUMIF('Financial Position Detail'!$A$5:$EI$5,R$5,'Financial Position Detail'!$A$40:$EI$40)</f>
        <v>103494.64</v>
      </c>
      <c r="S12" s="166"/>
      <c r="T12" s="167">
        <f>SUMIF('Financial Position Detail'!$A$5:$EI$5,T$5,'Financial Position Detail'!$A$40:$EI$40)</f>
        <v>103494.64</v>
      </c>
      <c r="U12" s="166"/>
      <c r="V12" s="167">
        <f>SUMIF('Financial Position Detail'!$A$5:$EI$5,V$5,'Financial Position Detail'!$A$40:$EI$40)</f>
        <v>103494.64</v>
      </c>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3">
      <c r="A13" s="174"/>
      <c r="B13" s="174" t="s">
        <v>296</v>
      </c>
      <c r="C13" s="175"/>
      <c r="D13" s="175"/>
      <c r="E13" s="175"/>
      <c r="F13" s="176">
        <f>SUMIF('Financial Position Detail'!$A$5:$EI$5,F$5,'Financial Position Detail'!$A$41:$EI$41)</f>
        <v>962788</v>
      </c>
      <c r="G13" s="176"/>
      <c r="H13" s="176">
        <f>SUMIF('Financial Position Detail'!$A$5:$EI$5,H$5,'Financial Position Detail'!$A$41:$EI$41)</f>
        <v>1069595</v>
      </c>
      <c r="I13" s="176"/>
      <c r="J13" s="176">
        <f>SUMIF('Financial Position Detail'!$A$5:$EI$5,J$5,'Financial Position Detail'!$A$41:$EI$41)</f>
        <v>824131</v>
      </c>
      <c r="K13" s="176"/>
      <c r="L13" s="176">
        <f>SUMIF('Financial Position Detail'!$A$5:$EI$5,L$5,'Financial Position Detail'!$A$41:$EI$41)</f>
        <v>824131</v>
      </c>
      <c r="M13" s="175"/>
      <c r="N13" s="176">
        <f>SUMIF('Financial Position Detail'!$A$5:$EI$5,N$5,'Financial Position Detail'!$A$41:$EI$41)</f>
        <v>824131</v>
      </c>
      <c r="O13" s="175"/>
      <c r="P13" s="176">
        <f>SUMIF('Financial Position Detail'!$A$5:$EI$5,P$5,'Financial Position Detail'!$A$41:$EI$41)</f>
        <v>824131</v>
      </c>
      <c r="Q13" s="175"/>
      <c r="R13" s="176">
        <f>SUMIF('Financial Position Detail'!$A$5:$EI$5,R$5,'Financial Position Detail'!$A$41:$EI$41)</f>
        <v>824131</v>
      </c>
      <c r="S13" s="175"/>
      <c r="T13" s="176">
        <f>SUMIF('Financial Position Detail'!$A$5:$EI$5,T$5,'Financial Position Detail'!$A$41:$EI$41)</f>
        <v>824131</v>
      </c>
      <c r="U13" s="175"/>
      <c r="V13" s="176">
        <f>SUMIF('Financial Position Detail'!$A$5:$EI$5,V$5,'Financial Position Detail'!$A$41:$EI$41)</f>
        <v>824131</v>
      </c>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ht="6" customHeight="1" x14ac:dyDescent="0.3">
      <c r="C14" s="166"/>
      <c r="D14" s="166"/>
      <c r="E14" s="166"/>
      <c r="F14" s="167"/>
      <c r="G14" s="167"/>
      <c r="H14" s="167"/>
      <c r="I14" s="167"/>
      <c r="J14" s="167"/>
      <c r="K14" s="167"/>
      <c r="L14" s="167"/>
      <c r="M14" s="166"/>
      <c r="N14" s="167"/>
      <c r="O14" s="166"/>
      <c r="P14" s="167"/>
      <c r="Q14" s="166"/>
      <c r="R14" s="167"/>
      <c r="S14" s="166"/>
      <c r="T14" s="167"/>
      <c r="U14" s="166"/>
      <c r="V14" s="167"/>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3">
      <c r="A15" s="168" t="s">
        <v>253</v>
      </c>
      <c r="B15" s="169"/>
      <c r="C15" s="179"/>
      <c r="D15" s="179"/>
      <c r="E15" s="179"/>
      <c r="F15" s="180">
        <f>SUM(F8:F14)</f>
        <v>1154347.52</v>
      </c>
      <c r="G15" s="181"/>
      <c r="H15" s="180">
        <f>SUM(H8:H14)</f>
        <v>1255383.05</v>
      </c>
      <c r="I15" s="181"/>
      <c r="J15" s="180">
        <f>SUM(J8:J14)</f>
        <v>8184163.0999999996</v>
      </c>
      <c r="K15" s="181"/>
      <c r="L15" s="180">
        <f>SUM(L8:L14)</f>
        <v>7845158.1699999999</v>
      </c>
      <c r="M15" s="181"/>
      <c r="N15" s="180">
        <f>SUM(N8:N14)</f>
        <v>7936430.7602612749</v>
      </c>
      <c r="O15" s="181"/>
      <c r="P15" s="180">
        <f>SUM(P8:P14)</f>
        <v>19664395.206604514</v>
      </c>
      <c r="Q15" s="216"/>
      <c r="R15" s="180">
        <f>SUM(R8:R14)</f>
        <v>23278985.323879726</v>
      </c>
      <c r="S15" s="216"/>
      <c r="T15" s="180">
        <f>SUM(T8:T14)</f>
        <v>23449689.357680373</v>
      </c>
      <c r="U15" s="216"/>
      <c r="V15" s="180">
        <f>SUM(V8:V14)</f>
        <v>23661820.975486774</v>
      </c>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3">
      <c r="C16" s="166"/>
      <c r="D16" s="166"/>
      <c r="E16" s="166"/>
      <c r="F16" s="167"/>
      <c r="G16" s="167"/>
      <c r="H16" s="167"/>
      <c r="I16" s="167"/>
      <c r="J16" s="167"/>
      <c r="K16" s="167"/>
      <c r="L16" s="167"/>
      <c r="M16" s="166"/>
      <c r="N16" s="167"/>
      <c r="O16" s="166"/>
      <c r="P16" s="167"/>
      <c r="Q16" s="166"/>
      <c r="R16" s="167"/>
      <c r="S16" s="166"/>
      <c r="T16" s="167"/>
      <c r="U16" s="166"/>
      <c r="V16" s="167"/>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3">
      <c r="A17" s="168" t="s">
        <v>254</v>
      </c>
      <c r="B17" s="169"/>
      <c r="C17" s="170"/>
      <c r="D17" s="170"/>
      <c r="E17" s="170"/>
      <c r="F17" s="171"/>
      <c r="G17" s="171"/>
      <c r="H17" s="171"/>
      <c r="I17" s="171"/>
      <c r="J17" s="171"/>
      <c r="K17" s="171"/>
      <c r="L17" s="171"/>
      <c r="M17" s="171"/>
      <c r="N17" s="171"/>
      <c r="O17" s="171"/>
      <c r="P17" s="171"/>
      <c r="Q17" s="216"/>
      <c r="R17" s="171"/>
      <c r="S17" s="216"/>
      <c r="T17" s="171"/>
      <c r="U17" s="216"/>
      <c r="V17" s="171"/>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3">
      <c r="A18" s="156"/>
      <c r="B18" s="157" t="s">
        <v>317</v>
      </c>
      <c r="C18" s="166"/>
      <c r="D18" s="166"/>
      <c r="E18" s="166"/>
      <c r="F18" s="172">
        <f>SUMIF('Financial Position Detail'!$A$5:$EI$5,F$5,'Financial Position Detail'!$A$61:$EI$61)</f>
        <v>634965.22000000009</v>
      </c>
      <c r="G18" s="173"/>
      <c r="H18" s="172">
        <f>SUMIF('Financial Position Detail'!$A$5:$EI$5,H$5,'Financial Position Detail'!$A$61:$EI$61)</f>
        <v>375760.08</v>
      </c>
      <c r="I18" s="173"/>
      <c r="J18" s="172">
        <f>SUMIF('Financial Position Detail'!$A$5:$EI$5,J$5,'Financial Position Detail'!$A$61:$EI$61)</f>
        <v>652807.34000000008</v>
      </c>
      <c r="K18" s="173"/>
      <c r="L18" s="172">
        <f>SUMIF('Financial Position Detail'!$A$5:$EI$5,L$5,'Financial Position Detail'!$A$61:$EI$61)</f>
        <v>155077.53</v>
      </c>
      <c r="M18" s="166"/>
      <c r="N18" s="172">
        <f>SUMIF('Financial Position Detail'!$A$5:$EI$5,N$5,'Financial Position Detail'!$A$61:$EI$61)</f>
        <v>374699.5246784414</v>
      </c>
      <c r="O18" s="166"/>
      <c r="P18" s="172">
        <f>SUMIF('Financial Position Detail'!$A$5:$EI$5,P$5,'Financial Position Detail'!$A$61:$EI$61)</f>
        <v>407949.64485075069</v>
      </c>
      <c r="Q18" s="166"/>
      <c r="R18" s="172">
        <f>SUMIF('Financial Position Detail'!$A$5:$EI$5,R$5,'Financial Position Detail'!$A$61:$EI$61)</f>
        <v>445102.91904498404</v>
      </c>
      <c r="S18" s="166"/>
      <c r="T18" s="172">
        <f>SUMIF('Financial Position Detail'!$A$5:$EI$5,T$5,'Financial Position Detail'!$A$61:$EI$61)</f>
        <v>462739.18539014267</v>
      </c>
      <c r="U18" s="166"/>
      <c r="V18" s="172">
        <f>SUMIF('Financial Position Detail'!$A$5:$EI$5,V$5,'Financial Position Detail'!$A$61:$EI$61)</f>
        <v>474725.38867680717</v>
      </c>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x14ac:dyDescent="0.3">
      <c r="A19" s="182"/>
      <c r="B19" s="174" t="s">
        <v>318</v>
      </c>
      <c r="C19" s="175"/>
      <c r="D19" s="175"/>
      <c r="E19" s="175"/>
      <c r="F19" s="176">
        <f>SUMIF('Financial Position Detail'!$A$5:$EI$5,F$5,'Financial Position Detail'!$A$63:$EI$63)</f>
        <v>4718.16</v>
      </c>
      <c r="G19" s="176"/>
      <c r="H19" s="176">
        <f>SUMIF('Financial Position Detail'!$A$5:$EI$5,H$5,'Financial Position Detail'!$A$63:$EI$63)</f>
        <v>0</v>
      </c>
      <c r="I19" s="176"/>
      <c r="J19" s="176">
        <f>SUMIF('Financial Position Detail'!$A$5:$EI$5,J$5,'Financial Position Detail'!$A$63:$EI$63)</f>
        <v>0</v>
      </c>
      <c r="K19" s="176"/>
      <c r="L19" s="176">
        <f>SUMIF('Financial Position Detail'!$A$5:$EI$5,L$5,'Financial Position Detail'!$A$63:$EI$63)</f>
        <v>0</v>
      </c>
      <c r="M19" s="175"/>
      <c r="N19" s="176">
        <f>SUMIF('Financial Position Detail'!$A$5:$EI$5,N$5,'Financial Position Detail'!$A$63:$EI$63)</f>
        <v>0</v>
      </c>
      <c r="O19" s="175"/>
      <c r="P19" s="176">
        <f>SUMIF('Financial Position Detail'!$A$5:$EI$5,P$5,'Financial Position Detail'!$A$63:$EI$63)</f>
        <v>0</v>
      </c>
      <c r="Q19" s="175"/>
      <c r="R19" s="176">
        <f>SUMIF('Financial Position Detail'!$A$5:$EI$5,R$5,'Financial Position Detail'!$A$63:$EI$63)</f>
        <v>0</v>
      </c>
      <c r="S19" s="175"/>
      <c r="T19" s="176">
        <f>SUMIF('Financial Position Detail'!$A$5:$EI$5,T$5,'Financial Position Detail'!$A$63:$EI$63)</f>
        <v>0</v>
      </c>
      <c r="U19" s="175"/>
      <c r="V19" s="176">
        <f>SUMIF('Financial Position Detail'!$A$5:$EI$5,V$5,'Financial Position Detail'!$A$63:$EI$63)</f>
        <v>0</v>
      </c>
      <c r="W19" s="166"/>
      <c r="X19" s="166"/>
      <c r="Y19" s="166"/>
      <c r="Z19" s="166"/>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x14ac:dyDescent="0.3">
      <c r="A20" s="156"/>
      <c r="B20" s="157" t="s">
        <v>216</v>
      </c>
      <c r="C20" s="166"/>
      <c r="D20" s="166"/>
      <c r="E20" s="166"/>
      <c r="F20" s="167">
        <f>SUMIF('Financial Position Detail'!$A$5:$EI$5,F$5,'Financial Position Detail'!$A$64:$EI$64)</f>
        <v>233184</v>
      </c>
      <c r="G20" s="167"/>
      <c r="H20" s="167">
        <f>SUMIF('Financial Position Detail'!$A$5:$EI$5,H$5,'Financial Position Detail'!$A$64:$EI$64)</f>
        <v>307712</v>
      </c>
      <c r="I20" s="167"/>
      <c r="J20" s="167">
        <f>SUMIF('Financial Position Detail'!$A$5:$EI$5,J$5,'Financial Position Detail'!$A$64:$EI$64)</f>
        <v>730410</v>
      </c>
      <c r="K20" s="167"/>
      <c r="L20" s="167">
        <f>SUMIF('Financial Position Detail'!$A$5:$EI$5,L$5,'Financial Position Detail'!$A$64:$EI$64)</f>
        <v>730410</v>
      </c>
      <c r="M20" s="166"/>
      <c r="N20" s="167">
        <f>SUMIF('Financial Position Detail'!$A$5:$EI$5,N$5,'Financial Position Detail'!$A$64:$EI$64)</f>
        <v>730410</v>
      </c>
      <c r="O20" s="166"/>
      <c r="P20" s="167">
        <f>SUMIF('Financial Position Detail'!$A$5:$EI$5,P$5,'Financial Position Detail'!$A$64:$EI$64)</f>
        <v>730410</v>
      </c>
      <c r="Q20" s="166"/>
      <c r="R20" s="167">
        <f>SUMIF('Financial Position Detail'!$A$5:$EI$5,R$5,'Financial Position Detail'!$A$64:$EI$64)</f>
        <v>730410</v>
      </c>
      <c r="S20" s="166"/>
      <c r="T20" s="167">
        <f>SUMIF('Financial Position Detail'!$A$5:$EI$5,T$5,'Financial Position Detail'!$A$64:$EI$64)</f>
        <v>730410</v>
      </c>
      <c r="U20" s="166"/>
      <c r="V20" s="167">
        <f>SUMIF('Financial Position Detail'!$A$5:$EI$5,V$5,'Financial Position Detail'!$A$64:$EI$64)</f>
        <v>730410</v>
      </c>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3">
      <c r="A21" s="182"/>
      <c r="B21" s="174" t="s">
        <v>217</v>
      </c>
      <c r="C21" s="175"/>
      <c r="D21" s="175"/>
      <c r="E21" s="175"/>
      <c r="F21" s="176">
        <f>SUMIF('Financial Position Detail'!$A$5:$EI$5,F$5,'Financial Position Detail'!$A$65:$EI$65)</f>
        <v>2623690</v>
      </c>
      <c r="G21" s="176"/>
      <c r="H21" s="176">
        <f>SUMIF('Financial Position Detail'!$A$5:$EI$5,H$5,'Financial Position Detail'!$A$65:$EI$65)</f>
        <v>2943546</v>
      </c>
      <c r="I21" s="176"/>
      <c r="J21" s="176">
        <f>SUMIF('Financial Position Detail'!$A$5:$EI$5,J$5,'Financial Position Detail'!$A$65:$EI$65)</f>
        <v>2324990</v>
      </c>
      <c r="K21" s="176"/>
      <c r="L21" s="176">
        <f>SUMIF('Financial Position Detail'!$A$5:$EI$5,L$5,'Financial Position Detail'!$A$65:$EI$65)</f>
        <v>2324990</v>
      </c>
      <c r="M21" s="175"/>
      <c r="N21" s="176">
        <f>SUMIF('Financial Position Detail'!$A$5:$EI$5,N$5,'Financial Position Detail'!$A$65:$EI$65)</f>
        <v>2324990</v>
      </c>
      <c r="O21" s="175"/>
      <c r="P21" s="176">
        <f>SUMIF('Financial Position Detail'!$A$5:$EI$5,P$5,'Financial Position Detail'!$A$65:$EI$65)</f>
        <v>2324990</v>
      </c>
      <c r="Q21" s="175"/>
      <c r="R21" s="176">
        <f>SUMIF('Financial Position Detail'!$A$5:$EI$5,R$5,'Financial Position Detail'!$A$65:$EI$65)</f>
        <v>2324990</v>
      </c>
      <c r="S21" s="175"/>
      <c r="T21" s="176">
        <f>SUMIF('Financial Position Detail'!$A$5:$EI$5,T$5,'Financial Position Detail'!$A$65:$EI$65)</f>
        <v>2324990</v>
      </c>
      <c r="U21" s="175"/>
      <c r="V21" s="176">
        <f>SUMIF('Financial Position Detail'!$A$5:$EI$5,V$5,'Financial Position Detail'!$A$65:$EI$65)</f>
        <v>2324990</v>
      </c>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3">
      <c r="A22" s="183"/>
      <c r="B22" s="177" t="s">
        <v>418</v>
      </c>
      <c r="C22" s="178"/>
      <c r="D22" s="178"/>
      <c r="E22" s="178"/>
      <c r="F22" s="167">
        <f>SUMIF('Financial Position Detail'!$A$5:$EI$5,F$5,'Financial Position Detail'!$A$66:$EI$66)</f>
        <v>0</v>
      </c>
      <c r="G22" s="184"/>
      <c r="H22" s="167">
        <f>SUMIF('Financial Position Detail'!$A$5:$EI$5,H$5,'Financial Position Detail'!$A$66:$EI$66)</f>
        <v>0</v>
      </c>
      <c r="I22" s="184"/>
      <c r="J22" s="167">
        <f>SUMIF('Financial Position Detail'!$A$5:$EI$5,J$5,'Financial Position Detail'!$A$66:$EI$66)</f>
        <v>0</v>
      </c>
      <c r="K22" s="184"/>
      <c r="L22" s="167">
        <f>SUMIF('Financial Position Detail'!$A$5:$EI$5,L$5,'Financial Position Detail'!$A$66:$EI$66)</f>
        <v>0</v>
      </c>
      <c r="M22" s="178"/>
      <c r="N22" s="167">
        <f>SUMIF('Financial Position Detail'!$A$5:$EI$5,N$5,'Financial Position Detail'!$A$66:$EI$66)</f>
        <v>0</v>
      </c>
      <c r="O22" s="178"/>
      <c r="P22" s="167">
        <f>SUMIF('Financial Position Detail'!$A$5:$EI$5,P$5,'Financial Position Detail'!$A$66:$EI$66)</f>
        <v>16952176.093688454</v>
      </c>
      <c r="Q22" s="178"/>
      <c r="R22" s="167">
        <f>SUMIF('Financial Position Detail'!$A$5:$EI$5,R$5,'Financial Position Detail'!$A$66:$EI$66)</f>
        <v>20149999.999999996</v>
      </c>
      <c r="S22" s="166"/>
      <c r="T22" s="167">
        <f>SUMIF('Financial Position Detail'!$A$5:$EI$5,T$5,'Financial Position Detail'!$A$66:$EI$66)</f>
        <v>20014999.999999996</v>
      </c>
      <c r="U22" s="166"/>
      <c r="V22" s="167">
        <f>SUMIF('Financial Position Detail'!$A$5:$EI$5,V$5,'Financial Position Detail'!$A$66:$EI$66)</f>
        <v>19874999.999999981</v>
      </c>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x14ac:dyDescent="0.3">
      <c r="A23" s="182"/>
      <c r="B23" s="174" t="s">
        <v>382</v>
      </c>
      <c r="C23" s="175"/>
      <c r="D23" s="175"/>
      <c r="E23" s="175"/>
      <c r="F23" s="176">
        <f>SUMIF('Financial Position Detail'!$A$5:$EI$5,F$5,'Financial Position Detail'!$A$67:$EI$67)</f>
        <v>0</v>
      </c>
      <c r="G23" s="176"/>
      <c r="H23" s="176">
        <f>SUMIF('Financial Position Detail'!$A$5:$EI$5,H$5,'Financial Position Detail'!$A$67:$EI$67)</f>
        <v>0</v>
      </c>
      <c r="I23" s="176"/>
      <c r="J23" s="176">
        <f>SUMIF('Financial Position Detail'!$A$5:$EI$5,J$5,'Financial Position Detail'!$A$67:$EI$67)</f>
        <v>6280240</v>
      </c>
      <c r="K23" s="176"/>
      <c r="L23" s="176">
        <f>SUMIF('Financial Position Detail'!$A$5:$EI$5,L$5,'Financial Position Detail'!$A$67:$EI$67)</f>
        <v>6445833.5099999998</v>
      </c>
      <c r="M23" s="175"/>
      <c r="N23" s="176">
        <f>SUMIF('Financial Position Detail'!$A$5:$EI$5,N$5,'Financial Position Detail'!$A$67:$EI$67)</f>
        <v>6460179.96</v>
      </c>
      <c r="O23" s="175"/>
      <c r="P23" s="176">
        <f>SUMIF('Financial Position Detail'!$A$5:$EI$5,P$5,'Financial Position Detail'!$A$67:$EI$67)</f>
        <v>0</v>
      </c>
      <c r="Q23" s="175"/>
      <c r="R23" s="176">
        <f>SUMIF('Financial Position Detail'!$A$5:$EI$5,R$5,'Financial Position Detail'!$A$67:$EI$67)</f>
        <v>0</v>
      </c>
      <c r="S23" s="175"/>
      <c r="T23" s="176">
        <f>SUMIF('Financial Position Detail'!$A$5:$EI$5,T$5,'Financial Position Detail'!$A$67:$EI$67)</f>
        <v>0</v>
      </c>
      <c r="U23" s="175"/>
      <c r="V23" s="176">
        <f>SUMIF('Financial Position Detail'!$A$5:$EI$5,V$5,'Financial Position Detail'!$A$67:$EI$67)</f>
        <v>0</v>
      </c>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ht="6" customHeight="1" x14ac:dyDescent="0.3">
      <c r="A24" s="156"/>
      <c r="C24" s="166"/>
      <c r="D24" s="166"/>
      <c r="E24" s="166"/>
      <c r="F24" s="185"/>
      <c r="G24" s="167"/>
      <c r="H24" s="185"/>
      <c r="I24" s="167"/>
      <c r="J24" s="185"/>
      <c r="K24" s="167"/>
      <c r="L24" s="185"/>
      <c r="M24" s="166"/>
      <c r="N24" s="185"/>
      <c r="O24" s="166"/>
      <c r="P24" s="185"/>
      <c r="Q24" s="166"/>
      <c r="R24" s="185"/>
      <c r="S24" s="166"/>
      <c r="T24" s="185"/>
      <c r="U24" s="166"/>
      <c r="V24" s="185"/>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3">
      <c r="A25" s="182" t="s">
        <v>219</v>
      </c>
      <c r="B25" s="174"/>
      <c r="C25" s="218"/>
      <c r="D25" s="218"/>
      <c r="E25" s="218"/>
      <c r="F25" s="219">
        <f>SUM(F18:F24)</f>
        <v>3496557.38</v>
      </c>
      <c r="G25" s="219"/>
      <c r="H25" s="219">
        <f>SUM(H18:H24)</f>
        <v>3627018.08</v>
      </c>
      <c r="I25" s="219"/>
      <c r="J25" s="219">
        <f>SUM(J18:J24)</f>
        <v>9988447.3399999999</v>
      </c>
      <c r="K25" s="219"/>
      <c r="L25" s="219">
        <f>SUM(L18:L24)</f>
        <v>9656311.0399999991</v>
      </c>
      <c r="M25" s="175"/>
      <c r="N25" s="219">
        <f>SUM(N18:N24)</f>
        <v>9890279.4846784417</v>
      </c>
      <c r="O25" s="175"/>
      <c r="P25" s="219">
        <f>SUM(P18:P24)</f>
        <v>20415525.738539204</v>
      </c>
      <c r="Q25" s="175"/>
      <c r="R25" s="219">
        <f>SUM(R18:R24)</f>
        <v>23650502.919044979</v>
      </c>
      <c r="S25" s="175"/>
      <c r="T25" s="219">
        <f>SUM(T18:T24)</f>
        <v>23533139.185390137</v>
      </c>
      <c r="U25" s="175"/>
      <c r="V25" s="219">
        <f>SUM(V18:V24)</f>
        <v>23405125.388676789</v>
      </c>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ht="3" customHeight="1" x14ac:dyDescent="0.3">
      <c r="A26" s="156"/>
      <c r="C26" s="166"/>
      <c r="D26" s="166"/>
      <c r="E26" s="166"/>
      <c r="F26" s="167"/>
      <c r="G26" s="167"/>
      <c r="H26" s="167"/>
      <c r="I26" s="167"/>
      <c r="J26" s="167"/>
      <c r="K26" s="167"/>
      <c r="L26" s="167"/>
      <c r="M26" s="166"/>
      <c r="N26" s="167"/>
      <c r="O26" s="166"/>
      <c r="P26" s="167"/>
      <c r="Q26" s="166"/>
      <c r="R26" s="167"/>
      <c r="S26" s="166"/>
      <c r="T26" s="167"/>
      <c r="U26" s="166"/>
      <c r="V26" s="167"/>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x14ac:dyDescent="0.3">
      <c r="A27" s="183"/>
      <c r="B27" s="177" t="s">
        <v>218</v>
      </c>
      <c r="C27" s="178"/>
      <c r="D27" s="178"/>
      <c r="E27" s="178"/>
      <c r="F27" s="184">
        <f>SUMIF('Financial Position Detail'!$A$5:$EI$5,F$5,'Financial Position Detail'!$A$73:$EI$73)</f>
        <v>-2342209.86</v>
      </c>
      <c r="G27" s="184"/>
      <c r="H27" s="184">
        <f>SUMIF('Financial Position Detail'!$A$5:$EI$5,H$5,'Financial Position Detail'!$A$73:$EI$73)</f>
        <v>-2371635.0299999998</v>
      </c>
      <c r="I27" s="184"/>
      <c r="J27" s="184">
        <f>SUMIF('Financial Position Detail'!$A$5:$EI$5,J$5,'Financial Position Detail'!$A$73:$EI$73)</f>
        <v>-1804284.2399999998</v>
      </c>
      <c r="K27" s="184"/>
      <c r="L27" s="184">
        <f>SUMIF('Financial Position Detail'!$A$5:$EI$5,L$5,'Financial Position Detail'!$A$73:$EI$73)</f>
        <v>-1811152.8699999999</v>
      </c>
      <c r="M27" s="178"/>
      <c r="N27" s="184">
        <f>SUMIF('Financial Position Detail'!$A$5:$EI$5,N$5,'Financial Position Detail'!$A$73:$EI$73)</f>
        <v>-1953848.7244171645</v>
      </c>
      <c r="O27" s="178"/>
      <c r="P27" s="184">
        <f>SUMIF('Financial Position Detail'!$A$5:$EI$5,P$5,'Financial Position Detail'!$A$73:$EI$73)</f>
        <v>-751130.53193468833</v>
      </c>
      <c r="Q27" s="178"/>
      <c r="R27" s="184">
        <f>SUMIF('Financial Position Detail'!$A$5:$EI$5,R$5,'Financial Position Detail'!$A$73:$EI$73)</f>
        <v>-371517.59516525082</v>
      </c>
      <c r="S27" s="178"/>
      <c r="T27" s="184">
        <f>SUMIF('Financial Position Detail'!$A$5:$EI$5,T$5,'Financial Position Detail'!$A$73:$EI$73)</f>
        <v>-83449.827709740959</v>
      </c>
      <c r="U27" s="178"/>
      <c r="V27" s="184">
        <f>SUMIF('Financial Position Detail'!$A$5:$EI$5,V$5,'Financial Position Detail'!$A$73:$EI$73)</f>
        <v>256695.58681000606</v>
      </c>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ht="3" customHeight="1" x14ac:dyDescent="0.3">
      <c r="A28" s="156"/>
      <c r="C28" s="166"/>
      <c r="D28" s="166"/>
      <c r="E28" s="166"/>
      <c r="F28" s="167"/>
      <c r="G28" s="167"/>
      <c r="H28" s="167"/>
      <c r="I28" s="167"/>
      <c r="J28" s="167"/>
      <c r="K28" s="167"/>
      <c r="L28" s="167"/>
      <c r="M28" s="166"/>
      <c r="N28" s="167"/>
      <c r="O28" s="166"/>
      <c r="P28" s="167"/>
      <c r="Q28" s="166"/>
      <c r="R28" s="167"/>
      <c r="S28" s="166"/>
      <c r="T28" s="167"/>
      <c r="U28" s="166"/>
      <c r="V28" s="167"/>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3">
      <c r="A29" s="168" t="s">
        <v>255</v>
      </c>
      <c r="B29" s="169"/>
      <c r="C29" s="179"/>
      <c r="D29" s="179"/>
      <c r="E29" s="179"/>
      <c r="F29" s="180">
        <f>F25+F27</f>
        <v>1154347.52</v>
      </c>
      <c r="G29" s="181"/>
      <c r="H29" s="180">
        <f>H25+H27</f>
        <v>1255383.0500000003</v>
      </c>
      <c r="I29" s="181"/>
      <c r="J29" s="180">
        <f>J25+J27</f>
        <v>8184163.0999999996</v>
      </c>
      <c r="K29" s="181"/>
      <c r="L29" s="180">
        <f>L25+L27</f>
        <v>7845158.169999999</v>
      </c>
      <c r="M29" s="181"/>
      <c r="N29" s="180">
        <f>N25+N27</f>
        <v>7936430.7602612767</v>
      </c>
      <c r="O29" s="181"/>
      <c r="P29" s="180">
        <f>P25+P27</f>
        <v>19664395.206604514</v>
      </c>
      <c r="Q29" s="217"/>
      <c r="R29" s="180">
        <f>R25+R27</f>
        <v>23278985.323879726</v>
      </c>
      <c r="S29" s="216"/>
      <c r="T29" s="180">
        <f>T25+T27</f>
        <v>23449689.357680395</v>
      </c>
      <c r="U29" s="216"/>
      <c r="V29" s="180">
        <f>V25+V27</f>
        <v>23661820.975486796</v>
      </c>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3">
      <c r="C30" s="166"/>
      <c r="D30" s="166"/>
      <c r="E30" s="166"/>
      <c r="F30" s="167"/>
      <c r="G30" s="167"/>
      <c r="H30" s="167"/>
      <c r="I30" s="167"/>
      <c r="J30" s="167"/>
      <c r="K30" s="167"/>
      <c r="L30" s="167"/>
      <c r="M30" s="166"/>
      <c r="N30" s="167"/>
      <c r="O30" s="166"/>
      <c r="P30" s="167"/>
      <c r="Q30" s="166"/>
      <c r="R30" s="167"/>
      <c r="S30" s="166"/>
      <c r="T30" s="167"/>
      <c r="U30" s="166"/>
      <c r="V30" s="167"/>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hidden="1" outlineLevel="1" x14ac:dyDescent="0.3">
      <c r="A31" s="187" t="s">
        <v>281</v>
      </c>
      <c r="B31" s="188"/>
      <c r="C31" s="189"/>
      <c r="D31" s="190" t="s">
        <v>301</v>
      </c>
      <c r="E31" s="189"/>
      <c r="F31" s="191"/>
      <c r="G31" s="181"/>
      <c r="H31" s="191"/>
      <c r="I31" s="181"/>
      <c r="J31" s="181"/>
      <c r="K31" s="181"/>
      <c r="L31" s="191"/>
      <c r="M31" s="191"/>
      <c r="N31" s="191"/>
      <c r="O31" s="191"/>
      <c r="P31" s="191"/>
      <c r="Q31" s="166"/>
      <c r="R31" s="191"/>
      <c r="S31" s="166"/>
      <c r="T31" s="191"/>
      <c r="U31" s="166"/>
      <c r="V31" s="191"/>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hidden="1" outlineLevel="1" x14ac:dyDescent="0.3">
      <c r="B32" s="157" t="s">
        <v>288</v>
      </c>
      <c r="C32" s="166"/>
      <c r="D32" s="192" t="s">
        <v>304</v>
      </c>
      <c r="E32" s="166"/>
      <c r="F32" s="192">
        <f>SUM(F8:F10)/SUM(F18)</f>
        <v>0.26191190440320494</v>
      </c>
      <c r="G32" s="167"/>
      <c r="H32" s="192">
        <f>SUM(H8:H10)/SUM(H18)</f>
        <v>0.4105998966148825</v>
      </c>
      <c r="I32" s="167"/>
      <c r="J32" s="167"/>
      <c r="K32" s="167"/>
      <c r="L32" s="192">
        <f>SUM(L8:L10)/SUM(L18)</f>
        <v>3.7684649736167453</v>
      </c>
      <c r="M32" s="166"/>
      <c r="N32" s="192">
        <f>SUM(N8:N10)/SUM(N18)</f>
        <v>1.8668935885669746</v>
      </c>
      <c r="O32" s="166"/>
      <c r="P32" s="192">
        <f>SUM(P8:P10)/SUM(P18)</f>
        <v>6.9860568941017611</v>
      </c>
      <c r="Q32" s="166"/>
      <c r="R32" s="192">
        <f>SUM(R8:R10)/SUM(R18)</f>
        <v>8.3487171962786917</v>
      </c>
      <c r="S32" s="166"/>
      <c r="T32" s="192">
        <f>SUM(T8:T10)/SUM(T18)</f>
        <v>9.4012637410967326</v>
      </c>
      <c r="U32" s="166"/>
      <c r="V32" s="192">
        <f>SUM(V8:V10)/SUM(V18)</f>
        <v>10.593308685092977</v>
      </c>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hidden="1" outlineLevel="1" x14ac:dyDescent="0.3">
      <c r="A33" s="174"/>
      <c r="B33" s="174" t="s">
        <v>289</v>
      </c>
      <c r="C33" s="175"/>
      <c r="D33" s="193" t="s">
        <v>305</v>
      </c>
      <c r="E33" s="175"/>
      <c r="F33" s="176" t="str">
        <f>CONCATENATE(ROUND(10.4,1)," days")</f>
        <v>10.4 days</v>
      </c>
      <c r="G33" s="176"/>
      <c r="H33" s="194" t="str">
        <f>CONCATENATE(ROUND(H$8/((Activity!F39-Activity!F35)/_xlfn.DAYS($H$5,$F$5)),1)," days")</f>
        <v>15.1 days</v>
      </c>
      <c r="I33" s="176"/>
      <c r="J33" s="176"/>
      <c r="K33" s="176"/>
      <c r="L33" s="194" t="str">
        <f>CONCATENATE(ROUND(L$8/((Activity!H39-Activity!H35)/_xlfn.DAYS($L$5,$H$5)),1)," days")</f>
        <v>108.5 days</v>
      </c>
      <c r="M33" s="175"/>
      <c r="N33" s="195" t="str">
        <f>CONCATENATE(ROUND(N$8/((Dashboard!AE$40-Dashboard!AE$36)/_xlfn.DAYS($N$5,$L$5)),1)," days")</f>
        <v>5 days</v>
      </c>
      <c r="O33" s="175"/>
      <c r="P33" s="194" t="str">
        <f>CONCATENATE(ROUND(P$8/((Activity!J39-Activity!J35)/_xlfn.DAYS($P$5,$L$5)),1)," days")</f>
        <v>257.9 days</v>
      </c>
      <c r="Q33" s="166"/>
      <c r="R33" s="194" t="str">
        <f>CONCATENATE(ROUND(R$8/((Activity!L39-Activity!L35)/_xlfn.DAYS($P$5,$L$5)),1)," days")</f>
        <v>358.8 days</v>
      </c>
      <c r="S33" s="166"/>
      <c r="T33" s="194" t="str">
        <f>CONCATENATE(ROUND(T$8/((Activity!N39-Activity!N35)/_xlfn.DAYS($P$5,$L$5)),1)," days")</f>
        <v>357.5 days</v>
      </c>
      <c r="U33" s="166"/>
      <c r="V33" s="194" t="str">
        <f>CONCATENATE(ROUND(V$8/((Activity!P39-Activity!P35)/_xlfn.DAYS($P$5,$L$5)),1)," days")</f>
        <v>377.1 days</v>
      </c>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hidden="1" outlineLevel="1" x14ac:dyDescent="0.3">
      <c r="B34" s="196" t="s">
        <v>290</v>
      </c>
      <c r="C34" s="166"/>
      <c r="D34" s="197" t="s">
        <v>305</v>
      </c>
      <c r="E34" s="166"/>
      <c r="F34" s="167" t="str">
        <f>CONCATENATE(ROUND(18.9,1)," days")</f>
        <v>18.9 days</v>
      </c>
      <c r="G34" s="167"/>
      <c r="H34" s="198" t="str">
        <f>CONCATENATE(ROUND((H$8+H9)/((Activity!F39-Activity!F35)/_xlfn.DAYS($H$5,$F$5)),1)," days")</f>
        <v>16.9 days</v>
      </c>
      <c r="I34" s="167"/>
      <c r="J34" s="167"/>
      <c r="K34" s="167"/>
      <c r="L34" s="198" t="str">
        <f>CONCATENATE(ROUND((L$8+L9)/((Activity!H39-Activity!H35)/_xlfn.DAYS($L$5,$H$5)),1)," days")</f>
        <v>114.2 days</v>
      </c>
      <c r="M34" s="166"/>
      <c r="N34" s="199" t="str">
        <f>CONCATENATE(ROUND((N$8+N9)/((Dashboard!AE$40-Dashboard!AE$36)/_xlfn.DAYS($N$5,$L$5)),1)," days")</f>
        <v>5.2 days</v>
      </c>
      <c r="O34" s="166"/>
      <c r="P34" s="198" t="str">
        <f>CONCATENATE(ROUND((P$8+P9)/((Activity!J39-Activity!J35)/_xlfn.DAYS($P$5,$L$5)),1)," days")</f>
        <v>260.4 days</v>
      </c>
      <c r="Q34" s="166"/>
      <c r="R34" s="198" t="str">
        <f>CONCATENATE(ROUND((R$8+R9)/((Activity!L39-Activity!L35)/_xlfn.DAYS($P$5,$L$5)),1)," days")</f>
        <v>361.4 days</v>
      </c>
      <c r="S34" s="166"/>
      <c r="T34" s="198" t="str">
        <f>CONCATENATE(ROUND((T$8+T9)/((Activity!N39-Activity!N35)/_xlfn.DAYS($P$5,$L$5)),1)," days")</f>
        <v>359.7 days</v>
      </c>
      <c r="U34" s="166"/>
      <c r="V34" s="198" t="str">
        <f>CONCATENATE(ROUND((V$8+V9)/((Activity!P39-Activity!P35)/_xlfn.DAYS($P$5,$L$5)),1)," days")</f>
        <v>379.2 days</v>
      </c>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hidden="1" outlineLevel="1" x14ac:dyDescent="0.3">
      <c r="A35" s="174"/>
      <c r="B35" s="174" t="s">
        <v>291</v>
      </c>
      <c r="C35" s="175"/>
      <c r="D35" s="193" t="s">
        <v>306</v>
      </c>
      <c r="E35" s="175"/>
      <c r="F35" s="200">
        <v>0.80208333333333337</v>
      </c>
      <c r="G35" s="200"/>
      <c r="H35" s="200">
        <v>0.86744186046511629</v>
      </c>
      <c r="I35" s="200"/>
      <c r="J35" s="200"/>
      <c r="K35" s="200"/>
      <c r="L35" s="200">
        <v>1.069047619047619</v>
      </c>
      <c r="M35" s="175"/>
      <c r="N35" s="201">
        <f>Dashboard!$AE$8/Dashboard!$AG$8</f>
        <v>0.88600000000000001</v>
      </c>
      <c r="O35" s="175"/>
      <c r="P35" s="200">
        <f>Activity!L7/Activity!L7</f>
        <v>1</v>
      </c>
      <c r="Q35" s="166"/>
      <c r="R35" s="200">
        <f>Activity!N7/Activity!N7</f>
        <v>1</v>
      </c>
      <c r="S35" s="166"/>
      <c r="T35" s="200">
        <f>Activity!P7/Activity!P7</f>
        <v>1</v>
      </c>
      <c r="U35" s="166"/>
      <c r="V35" s="200">
        <f>Activity!R7/Activity!R7</f>
        <v>1</v>
      </c>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hidden="1" outlineLevel="1" x14ac:dyDescent="0.3">
      <c r="B36" s="157" t="s">
        <v>302</v>
      </c>
      <c r="D36" s="202" t="s">
        <v>303</v>
      </c>
      <c r="F36" s="203" t="s">
        <v>299</v>
      </c>
      <c r="H36" s="203" t="s">
        <v>299</v>
      </c>
      <c r="L36" s="204">
        <f>(Activity!H41-12773)/SUM(Activity!D21:H21)</f>
        <v>5.5289057998466104E-2</v>
      </c>
      <c r="M36" s="178"/>
      <c r="N36" s="205">
        <f>(273891+Dashboard!$AE$42+Activity!$H$41)/(Dashboard!$AE$21+SUM(Activity!F21:H21))</f>
        <v>7.4788505012502782E-2</v>
      </c>
      <c r="O36" s="178"/>
      <c r="P36" s="206">
        <f>(273891+Activity!H41+Activity!J41)/SUM(Activity!$F$21:$J$21)</f>
        <v>5.985756199225626E-2</v>
      </c>
      <c r="Q36" s="178"/>
      <c r="R36" s="206">
        <f>(273891+Activity!J41+Activity!L41)/SUM(Activity!$F$21:$J$21)</f>
        <v>0.11528424025577332</v>
      </c>
      <c r="S36" s="166"/>
      <c r="T36" s="206">
        <f>(273891+Activity!L41+Activity!N41)/SUM(Activity!$F$21:$J$21)</f>
        <v>0.16125542464107312</v>
      </c>
      <c r="U36" s="166"/>
      <c r="V36" s="206">
        <f>(273891+Activity!N41+Activity!P41)/SUM(Activity!$F$21:$J$21)</f>
        <v>8.1797077301305351E-2</v>
      </c>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hidden="1" outlineLevel="1" x14ac:dyDescent="0.3">
      <c r="A37" s="174"/>
      <c r="B37" s="174" t="s">
        <v>294</v>
      </c>
      <c r="C37" s="175"/>
      <c r="D37" s="193" t="s">
        <v>300</v>
      </c>
      <c r="E37" s="175"/>
      <c r="F37" s="200">
        <f>(F$25-F$21-F$20)/(F$15-F$13)</f>
        <v>3.3393452854757615</v>
      </c>
      <c r="G37" s="200">
        <v>2.0215762429564412</v>
      </c>
      <c r="H37" s="200">
        <f>(H$25-H$21-H$20)/(H$15-H$13)</f>
        <v>2.0225201782353599</v>
      </c>
      <c r="I37" s="200"/>
      <c r="J37" s="200"/>
      <c r="K37" s="200"/>
      <c r="L37" s="200">
        <f>(L$25-L$21-L$20)/(L$15-L$13)</f>
        <v>0.94016315279406604</v>
      </c>
      <c r="M37" s="175"/>
      <c r="N37" s="200">
        <f>(N$25-N$21-N$20)/(N$15-N$13)</f>
        <v>0.96099429369767708</v>
      </c>
      <c r="O37" s="175"/>
      <c r="P37" s="200">
        <f>(P$25-P$21-P$20)/(P$15-P$13)</f>
        <v>0.9214374887828567</v>
      </c>
      <c r="Q37" s="166"/>
      <c r="R37" s="200">
        <f>(R$25-R$21-R$20)/(R$15-R$13)</f>
        <v>0.91717820218245705</v>
      </c>
      <c r="S37" s="166"/>
      <c r="T37" s="200">
        <f>(T$25-T$21-T$20)/(T$15-T$13)</f>
        <v>0.90507110859603845</v>
      </c>
      <c r="U37" s="166"/>
      <c r="V37" s="200">
        <f>(V$25-V$21-V$20)/(V$15-V$13)</f>
        <v>0.89105883346868775</v>
      </c>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ht="15" hidden="1" outlineLevel="1" x14ac:dyDescent="0.4">
      <c r="A38" s="177"/>
      <c r="B38" s="177" t="s">
        <v>297</v>
      </c>
      <c r="C38" s="178"/>
      <c r="D38" s="207" t="s">
        <v>387</v>
      </c>
      <c r="E38" s="178"/>
      <c r="F38" s="208" t="s">
        <v>299</v>
      </c>
      <c r="G38" s="208"/>
      <c r="H38" s="209">
        <v>-185363</v>
      </c>
      <c r="I38" s="208"/>
      <c r="J38" s="208"/>
      <c r="K38" s="208"/>
      <c r="L38" s="210">
        <f>L8-F8</f>
        <v>417370.43999999994</v>
      </c>
      <c r="M38" s="178"/>
      <c r="N38" s="210">
        <f>N8-H8</f>
        <v>492876.39026127517</v>
      </c>
      <c r="O38" s="178"/>
      <c r="P38" s="210">
        <f>P8-H8</f>
        <v>2643311.6788559514</v>
      </c>
      <c r="Q38" s="166"/>
      <c r="R38" s="210">
        <f>R8-J8</f>
        <v>3009244.8943447005</v>
      </c>
      <c r="S38" s="166"/>
      <c r="T38" s="210">
        <f>T8-L8</f>
        <v>3765928.8851929875</v>
      </c>
      <c r="U38" s="166"/>
      <c r="V38" s="210">
        <f>V8-N8</f>
        <v>4329388.4426428853</v>
      </c>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hidden="1" outlineLevel="1" x14ac:dyDescent="0.3">
      <c r="A39" s="174"/>
      <c r="B39" s="174" t="s">
        <v>298</v>
      </c>
      <c r="C39" s="175"/>
      <c r="D39" s="211" t="s">
        <v>304</v>
      </c>
      <c r="E39" s="175"/>
      <c r="F39" s="211">
        <v>0.22</v>
      </c>
      <c r="G39" s="200"/>
      <c r="H39" s="211">
        <v>1.88</v>
      </c>
      <c r="I39" s="200"/>
      <c r="J39" s="200"/>
      <c r="K39" s="200"/>
      <c r="L39" s="211">
        <f>(Activity!H41+Activity!H35+Activity!H26)/Activity!H26</f>
        <v>3.7923470692400678</v>
      </c>
      <c r="M39" s="175"/>
      <c r="N39" s="212">
        <f>(Activity!H41+Activity!H35+Activity!H26)/Activity!H26</f>
        <v>3.7923470692400678</v>
      </c>
      <c r="O39" s="175"/>
      <c r="P39" s="211">
        <f>(Activity!L41+Activity!L35+Activity!L26)/Activity!L26</f>
        <v>16.174476799352036</v>
      </c>
      <c r="Q39" s="166"/>
      <c r="R39" s="211">
        <f>(Activity!N41+Activity!N35+Activity!N26)/Activity!N26</f>
        <v>9.7584679360566291</v>
      </c>
      <c r="S39" s="166"/>
      <c r="T39" s="211">
        <f>(Activity!P41+Activity!P35+Activity!P26)/Activity!P26</f>
        <v>8.796064302080131</v>
      </c>
      <c r="U39" s="166"/>
      <c r="V39" s="211">
        <f>(Activity!R41+Activity!R35+Activity!R26)/Activity!R26</f>
        <v>9.0572196643450766</v>
      </c>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hidden="1" outlineLevel="1" x14ac:dyDescent="0.3">
      <c r="C40" s="166"/>
      <c r="D40" s="192"/>
      <c r="E40" s="166"/>
      <c r="F40" s="203"/>
      <c r="G40" s="203"/>
      <c r="H40" s="192"/>
      <c r="I40" s="203"/>
      <c r="J40" s="203"/>
      <c r="K40" s="203"/>
      <c r="L40" s="192"/>
      <c r="M40" s="166"/>
      <c r="N40" s="192"/>
      <c r="O40" s="166"/>
      <c r="P40" s="192"/>
      <c r="Q40" s="166"/>
      <c r="R40" s="192"/>
      <c r="S40" s="166"/>
      <c r="T40" s="192"/>
      <c r="U40" s="166"/>
      <c r="V40" s="192"/>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collapsed="1" x14ac:dyDescent="0.3">
      <c r="A41" s="156" t="s">
        <v>221</v>
      </c>
      <c r="C41" s="166"/>
      <c r="D41" s="166"/>
      <c r="E41" s="166"/>
      <c r="F41" s="167"/>
      <c r="G41" s="167"/>
      <c r="H41" s="167"/>
      <c r="I41" s="167"/>
      <c r="J41" s="167"/>
      <c r="K41" s="167"/>
      <c r="L41" s="167"/>
      <c r="M41" s="166"/>
      <c r="N41" s="167"/>
      <c r="O41" s="166"/>
      <c r="P41" s="167"/>
      <c r="Q41" s="166"/>
      <c r="R41" s="167"/>
      <c r="S41" s="166"/>
      <c r="T41" s="167"/>
      <c r="U41" s="166"/>
      <c r="V41" s="167"/>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3">
      <c r="C42" s="166"/>
      <c r="D42" s="166"/>
      <c r="E42" s="166"/>
      <c r="F42" s="167">
        <f>F15-F29</f>
        <v>0</v>
      </c>
      <c r="G42" s="167"/>
      <c r="H42" s="167">
        <f>H15-H29</f>
        <v>0</v>
      </c>
      <c r="I42" s="167"/>
      <c r="J42" s="167">
        <f>J15-J29</f>
        <v>0</v>
      </c>
      <c r="K42" s="167"/>
      <c r="L42" s="167">
        <f>L15-L29</f>
        <v>0</v>
      </c>
      <c r="M42" s="166"/>
      <c r="N42" s="167">
        <f>N15-N29</f>
        <v>0</v>
      </c>
      <c r="O42" s="166"/>
      <c r="P42" s="167">
        <f>P15-P29</f>
        <v>0</v>
      </c>
      <c r="Q42" s="166"/>
      <c r="R42" s="167">
        <f>R15-R29</f>
        <v>0</v>
      </c>
      <c r="S42" s="166"/>
      <c r="T42" s="167">
        <f>T15-T29</f>
        <v>0</v>
      </c>
      <c r="U42" s="166"/>
      <c r="V42" s="167">
        <f>V15-V29</f>
        <v>0</v>
      </c>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3">
      <c r="C43" s="166"/>
      <c r="D43" s="166"/>
      <c r="E43" s="166"/>
      <c r="F43" s="167">
        <f>F29-SUMIF('Financial Position Detail'!$C$5:$EI$5,F$5,'Financial Position Detail'!$C$74:$EI$74)</f>
        <v>0</v>
      </c>
      <c r="G43" s="167"/>
      <c r="H43" s="167">
        <f>H29-SUMIF('Financial Position Detail'!$C$5:$EI$5,H$5,'Financial Position Detail'!$C$74:$EI$74)</f>
        <v>0</v>
      </c>
      <c r="I43" s="167"/>
      <c r="J43" s="167">
        <f>J29-SUMIF('Financial Position Detail'!$C$5:$EI$5,J$5,'Financial Position Detail'!$C$74:$EI$74)</f>
        <v>0</v>
      </c>
      <c r="K43" s="167"/>
      <c r="L43" s="167">
        <f>L29-SUMIF('Financial Position Detail'!$C$5:$EI$5,L$5,'Financial Position Detail'!$C$74:$EI$74)</f>
        <v>0</v>
      </c>
      <c r="M43" s="166"/>
      <c r="N43" s="167">
        <f>N29-SUMIF('Financial Position Detail'!$C$5:$EI$5,N$5,'Financial Position Detail'!$C$74:$EI$74)</f>
        <v>0</v>
      </c>
      <c r="O43" s="166"/>
      <c r="P43" s="167">
        <f>P29-SUMIF('Financial Position Detail'!$C$5:$EI$5,P$5,'Financial Position Detail'!$C$74:$EI$74)</f>
        <v>0</v>
      </c>
      <c r="Q43" s="166"/>
      <c r="R43" s="167">
        <f>R29-SUMIF('Financial Position Detail'!$C$5:$EI$5,R$5,'Financial Position Detail'!$C$74:$EI$74)</f>
        <v>0</v>
      </c>
      <c r="S43" s="166"/>
      <c r="T43" s="167">
        <f>T29-SUMIF('Financial Position Detail'!$C$5:$EI$5,T$5,'Financial Position Detail'!$C$74:$EI$74)</f>
        <v>0</v>
      </c>
      <c r="U43" s="166"/>
      <c r="V43" s="167">
        <f>V29-SUMIF('Financial Position Detail'!$C$5:$EI$5,V$5,'Financial Position Detail'!$C$74:$EI$74)</f>
        <v>0</v>
      </c>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3">
      <c r="F44" s="165"/>
      <c r="G44" s="165"/>
      <c r="H44" s="165"/>
      <c r="I44" s="165"/>
      <c r="J44" s="165"/>
      <c r="K44" s="165"/>
      <c r="L44" s="165"/>
    </row>
    <row r="45" spans="1:61" x14ac:dyDescent="0.3">
      <c r="F45" s="165"/>
      <c r="G45" s="165"/>
      <c r="H45" s="165"/>
      <c r="I45" s="165"/>
      <c r="J45" s="165"/>
      <c r="K45" s="165"/>
      <c r="L45" s="165"/>
    </row>
    <row r="46" spans="1:61" x14ac:dyDescent="0.3">
      <c r="F46" s="165"/>
      <c r="G46" s="165"/>
      <c r="H46" s="165"/>
      <c r="I46" s="165"/>
      <c r="J46" s="165"/>
      <c r="K46" s="165"/>
      <c r="L46" s="165"/>
    </row>
    <row r="47" spans="1:61" x14ac:dyDescent="0.3">
      <c r="F47" s="165"/>
      <c r="G47" s="165"/>
      <c r="H47" s="165"/>
      <c r="I47" s="165"/>
      <c r="J47" s="165"/>
      <c r="K47" s="165"/>
      <c r="L47" s="165"/>
    </row>
    <row r="48" spans="1:61" x14ac:dyDescent="0.3">
      <c r="F48" s="165"/>
      <c r="G48" s="165"/>
      <c r="H48" s="165"/>
      <c r="I48" s="165"/>
      <c r="J48" s="165"/>
      <c r="K48" s="165"/>
      <c r="L48" s="165"/>
    </row>
    <row r="49" spans="6:12" x14ac:dyDescent="0.3">
      <c r="F49" s="165"/>
      <c r="G49" s="165"/>
      <c r="H49" s="165"/>
      <c r="I49" s="165"/>
      <c r="J49" s="165"/>
      <c r="K49" s="165"/>
      <c r="L49" s="165"/>
    </row>
    <row r="50" spans="6:12" x14ac:dyDescent="0.3">
      <c r="F50" s="165"/>
      <c r="G50" s="165"/>
      <c r="H50" s="165"/>
      <c r="I50" s="165"/>
      <c r="J50" s="165"/>
      <c r="K50" s="165"/>
      <c r="L50" s="165"/>
    </row>
    <row r="51" spans="6:12" x14ac:dyDescent="0.3">
      <c r="F51" s="165"/>
      <c r="G51" s="165"/>
      <c r="H51" s="165"/>
      <c r="I51" s="165"/>
      <c r="J51" s="165"/>
      <c r="K51" s="165"/>
      <c r="L51" s="165"/>
    </row>
    <row r="52" spans="6:12" x14ac:dyDescent="0.3">
      <c r="F52" s="165"/>
      <c r="G52" s="165"/>
      <c r="H52" s="165"/>
      <c r="I52" s="165"/>
      <c r="J52" s="165"/>
      <c r="K52" s="165"/>
      <c r="L52" s="165"/>
    </row>
    <row r="53" spans="6:12" x14ac:dyDescent="0.3">
      <c r="F53" s="165"/>
      <c r="G53" s="165"/>
      <c r="H53" s="165"/>
      <c r="I53" s="165"/>
      <c r="J53" s="165"/>
      <c r="K53" s="165"/>
      <c r="L53" s="165"/>
    </row>
    <row r="54" spans="6:12" x14ac:dyDescent="0.3">
      <c r="F54" s="165"/>
      <c r="G54" s="165"/>
      <c r="H54" s="165"/>
      <c r="I54" s="165"/>
      <c r="J54" s="165"/>
      <c r="K54" s="165"/>
      <c r="L54" s="165"/>
    </row>
    <row r="55" spans="6:12" x14ac:dyDescent="0.3">
      <c r="F55" s="165"/>
      <c r="G55" s="165"/>
      <c r="H55" s="165"/>
      <c r="I55" s="165"/>
      <c r="J55" s="165"/>
      <c r="K55" s="165"/>
      <c r="L55" s="165"/>
    </row>
    <row r="56" spans="6:12" x14ac:dyDescent="0.3">
      <c r="F56" s="165"/>
      <c r="G56" s="165"/>
      <c r="H56" s="165"/>
      <c r="I56" s="165"/>
      <c r="J56" s="165"/>
      <c r="K56" s="165"/>
      <c r="L56" s="165"/>
    </row>
    <row r="57" spans="6:12" x14ac:dyDescent="0.3">
      <c r="F57" s="165"/>
      <c r="G57" s="165"/>
      <c r="H57" s="165"/>
      <c r="I57" s="165"/>
      <c r="J57" s="165"/>
      <c r="K57" s="165"/>
      <c r="L57" s="165"/>
    </row>
    <row r="58" spans="6:12" x14ac:dyDescent="0.3">
      <c r="F58" s="165"/>
      <c r="G58" s="165"/>
      <c r="H58" s="165"/>
      <c r="I58" s="165"/>
      <c r="J58" s="165"/>
      <c r="K58" s="165"/>
      <c r="L58" s="165"/>
    </row>
    <row r="59" spans="6:12" x14ac:dyDescent="0.3">
      <c r="F59" s="165"/>
      <c r="G59" s="165"/>
      <c r="H59" s="165"/>
      <c r="I59" s="165"/>
      <c r="J59" s="165"/>
      <c r="K59" s="165"/>
      <c r="L59" s="165"/>
    </row>
    <row r="60" spans="6:12" x14ac:dyDescent="0.3">
      <c r="F60" s="165"/>
      <c r="G60" s="165"/>
      <c r="H60" s="165"/>
      <c r="I60" s="165"/>
      <c r="J60" s="165"/>
      <c r="K60" s="165"/>
      <c r="L60" s="165"/>
    </row>
    <row r="61" spans="6:12" x14ac:dyDescent="0.3">
      <c r="F61" s="165"/>
      <c r="G61" s="165"/>
      <c r="H61" s="165"/>
      <c r="I61" s="165"/>
      <c r="J61" s="165"/>
      <c r="K61" s="165"/>
      <c r="L61" s="165"/>
    </row>
    <row r="62" spans="6:12" x14ac:dyDescent="0.3">
      <c r="F62" s="165"/>
      <c r="G62" s="165"/>
      <c r="H62" s="165"/>
      <c r="I62" s="165"/>
      <c r="J62" s="165"/>
      <c r="K62" s="165"/>
      <c r="L62" s="165"/>
    </row>
    <row r="63" spans="6:12" x14ac:dyDescent="0.3">
      <c r="F63" s="165"/>
      <c r="G63" s="165"/>
      <c r="H63" s="165"/>
      <c r="I63" s="165"/>
      <c r="J63" s="165"/>
      <c r="K63" s="165"/>
      <c r="L63" s="165"/>
    </row>
    <row r="64" spans="6:12" x14ac:dyDescent="0.3">
      <c r="F64" s="165"/>
      <c r="G64" s="165"/>
      <c r="H64" s="165"/>
      <c r="I64" s="165"/>
      <c r="J64" s="165"/>
      <c r="K64" s="165"/>
      <c r="L64" s="165"/>
    </row>
    <row r="65" spans="1:12" x14ac:dyDescent="0.3">
      <c r="F65" s="165"/>
      <c r="G65" s="165"/>
      <c r="H65" s="165"/>
      <c r="I65" s="165"/>
      <c r="J65" s="165"/>
      <c r="K65" s="165"/>
      <c r="L65" s="165"/>
    </row>
    <row r="66" spans="1:12" x14ac:dyDescent="0.3">
      <c r="F66" s="165"/>
      <c r="G66" s="165"/>
      <c r="H66" s="165"/>
      <c r="I66" s="165"/>
      <c r="J66" s="165"/>
      <c r="K66" s="165"/>
      <c r="L66" s="165"/>
    </row>
    <row r="67" spans="1:12" x14ac:dyDescent="0.3">
      <c r="F67" s="165"/>
      <c r="G67" s="165"/>
      <c r="H67" s="165"/>
      <c r="I67" s="165"/>
      <c r="J67" s="165"/>
      <c r="K67" s="165"/>
      <c r="L67" s="165"/>
    </row>
    <row r="68" spans="1:12" x14ac:dyDescent="0.3">
      <c r="F68" s="165"/>
      <c r="G68" s="165"/>
      <c r="H68" s="165"/>
      <c r="I68" s="165"/>
      <c r="J68" s="165"/>
      <c r="K68" s="165"/>
      <c r="L68" s="165"/>
    </row>
    <row r="69" spans="1:12" x14ac:dyDescent="0.3">
      <c r="F69" s="165"/>
      <c r="G69" s="165"/>
      <c r="H69" s="165"/>
      <c r="I69" s="165"/>
      <c r="J69" s="165"/>
      <c r="K69" s="165"/>
      <c r="L69" s="165"/>
    </row>
    <row r="70" spans="1:12" x14ac:dyDescent="0.3">
      <c r="F70" s="165"/>
      <c r="G70" s="165"/>
      <c r="H70" s="165"/>
      <c r="I70" s="165"/>
      <c r="J70" s="165"/>
      <c r="K70" s="165"/>
      <c r="L70" s="165"/>
    </row>
    <row r="71" spans="1:12" x14ac:dyDescent="0.3">
      <c r="F71" s="165"/>
      <c r="G71" s="165"/>
      <c r="H71" s="165"/>
      <c r="I71" s="165"/>
      <c r="J71" s="165"/>
      <c r="K71" s="165"/>
      <c r="L71" s="165"/>
    </row>
    <row r="72" spans="1:12" x14ac:dyDescent="0.3">
      <c r="F72" s="165"/>
      <c r="G72" s="165"/>
      <c r="H72" s="165"/>
      <c r="I72" s="165"/>
      <c r="J72" s="165"/>
      <c r="K72" s="165"/>
      <c r="L72" s="165"/>
    </row>
    <row r="73" spans="1:12" x14ac:dyDescent="0.3">
      <c r="F73" s="165"/>
      <c r="G73" s="165"/>
      <c r="H73" s="165"/>
      <c r="I73" s="165"/>
      <c r="J73" s="165"/>
      <c r="K73" s="165"/>
      <c r="L73" s="165"/>
    </row>
    <row r="74" spans="1:12" x14ac:dyDescent="0.3">
      <c r="F74" s="165"/>
      <c r="G74" s="165"/>
      <c r="H74" s="165"/>
      <c r="I74" s="165"/>
      <c r="J74" s="165"/>
      <c r="K74" s="165"/>
      <c r="L74" s="165"/>
    </row>
    <row r="75" spans="1:12" x14ac:dyDescent="0.3">
      <c r="F75" s="165"/>
      <c r="G75" s="165"/>
      <c r="H75" s="165"/>
      <c r="I75" s="165"/>
      <c r="J75" s="165"/>
      <c r="K75" s="165"/>
      <c r="L75" s="165"/>
    </row>
    <row r="76" spans="1:12" x14ac:dyDescent="0.3">
      <c r="F76" s="213"/>
      <c r="G76" s="213"/>
      <c r="H76" s="213"/>
      <c r="I76" s="213"/>
      <c r="J76" s="213"/>
      <c r="K76" s="213"/>
      <c r="L76" s="213"/>
    </row>
    <row r="77" spans="1:12" x14ac:dyDescent="0.3">
      <c r="A77" s="214" t="s">
        <v>131</v>
      </c>
      <c r="F77" s="213"/>
      <c r="G77" s="213"/>
      <c r="H77" s="213"/>
      <c r="I77" s="213"/>
      <c r="J77" s="213"/>
      <c r="K77" s="213"/>
      <c r="L77" s="213"/>
    </row>
    <row r="78" spans="1:12" x14ac:dyDescent="0.3">
      <c r="A78" s="157" t="s">
        <v>121</v>
      </c>
      <c r="F78" s="202">
        <f>IF(F$4=Support!$A$17,1,0)</f>
        <v>0</v>
      </c>
      <c r="G78" s="202"/>
      <c r="H78" s="202">
        <f>IF(H$4=Support!$A$17,1,0)</f>
        <v>0</v>
      </c>
      <c r="I78" s="202"/>
      <c r="J78" s="202"/>
      <c r="K78" s="202"/>
      <c r="L78" s="202">
        <f>IF(L$4=Support!$A$17,1,0)</f>
        <v>0</v>
      </c>
    </row>
    <row r="79" spans="1:12" x14ac:dyDescent="0.3">
      <c r="A79" s="157" t="s">
        <v>153</v>
      </c>
      <c r="F79" s="202">
        <f>IF(F$5&lt;=Support!$A$17,1,0)</f>
        <v>1</v>
      </c>
      <c r="G79" s="202"/>
      <c r="H79" s="202">
        <f>IF(H$5&lt;=Support!$A$17,1,0)</f>
        <v>1</v>
      </c>
      <c r="I79" s="202"/>
      <c r="J79" s="202"/>
      <c r="K79" s="202"/>
      <c r="L79" s="202">
        <f>IF(L$5&lt;=Support!$A$17,1,0)</f>
        <v>1</v>
      </c>
    </row>
    <row r="80" spans="1:12" x14ac:dyDescent="0.3">
      <c r="A80" s="157" t="s">
        <v>154</v>
      </c>
      <c r="F80" s="202">
        <f>IF(F81=Support!$A$19,1,0)</f>
        <v>0</v>
      </c>
      <c r="G80" s="202"/>
      <c r="H80" s="202">
        <f>IF(H81=Support!$A$19,1,0)</f>
        <v>0</v>
      </c>
      <c r="I80" s="202"/>
      <c r="J80" s="202"/>
      <c r="K80" s="202"/>
      <c r="L80" s="202">
        <f>IF(L81=Support!$A$19,1,0)</f>
        <v>0</v>
      </c>
    </row>
    <row r="81" spans="1:12" x14ac:dyDescent="0.3">
      <c r="A81" s="157" t="s">
        <v>155</v>
      </c>
      <c r="F81" s="215">
        <v>2021</v>
      </c>
      <c r="G81" s="215"/>
      <c r="H81" s="215">
        <v>2021</v>
      </c>
      <c r="I81" s="215"/>
      <c r="J81" s="215"/>
      <c r="K81" s="215"/>
      <c r="L81" s="215">
        <v>2021</v>
      </c>
    </row>
  </sheetData>
  <mergeCells count="1">
    <mergeCell ref="A2:B2"/>
  </mergeCells>
  <printOptions horizontalCentered="1" verticalCentered="1"/>
  <pageMargins left="0.15" right="0.15" top="0.5" bottom="0.5" header="0.3" footer="0.3"/>
  <pageSetup orientation="landscape" horizontalDpi="1200" verticalDpi="1200" r:id="rId1"/>
  <headerFooter>
    <oddFooter>&amp;L&amp;"Bodoni MT,Bold"&amp;10&amp;F&amp;C&amp;10&amp;P of &amp;N&amp;R&amp;10&amp;A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790BA-6529-42AF-A9C7-2AF4F416FA62}">
  <sheetPr>
    <pageSetUpPr fitToPage="1"/>
  </sheetPr>
  <dimension ref="A1:AY73"/>
  <sheetViews>
    <sheetView zoomScaleNormal="100" workbookViewId="0">
      <pane xSplit="2" ySplit="5" topLeftCell="C6" activePane="bottomRight" state="frozen"/>
      <selection pane="topRight"/>
      <selection pane="bottomLeft"/>
      <selection pane="bottomRight" activeCell="C6" sqref="C6"/>
    </sheetView>
  </sheetViews>
  <sheetFormatPr defaultRowHeight="14.4" outlineLevelCol="1" x14ac:dyDescent="0.3"/>
  <cols>
    <col min="1" max="1" width="0.88671875" customWidth="1"/>
    <col min="2" max="2" width="28.33203125" customWidth="1"/>
    <col min="3" max="3" width="0.88671875" customWidth="1"/>
    <col min="4" max="4" width="11.77734375" customWidth="1"/>
    <col min="5" max="5" width="0.88671875" customWidth="1"/>
    <col min="6" max="6" width="11.77734375" hidden="1" customWidth="1" outlineLevel="1"/>
    <col min="7" max="7" width="0.88671875" hidden="1" customWidth="1" outlineLevel="1"/>
    <col min="8" max="8" width="11.77734375" customWidth="1" collapsed="1"/>
    <col min="9" max="9" width="0.88671875" customWidth="1"/>
    <col min="10" max="10" width="12.77734375" bestFit="1" customWidth="1"/>
    <col min="11" max="11" width="0.88671875" customWidth="1"/>
    <col min="12" max="12" width="11.77734375" customWidth="1"/>
    <col min="13" max="13" width="0.88671875" customWidth="1"/>
    <col min="14" max="14" width="11.77734375" customWidth="1"/>
    <col min="15" max="15" width="0.88671875" customWidth="1"/>
    <col min="16" max="16" width="11.77734375" customWidth="1"/>
  </cols>
  <sheetData>
    <row r="1" spans="1:51" ht="15.6" x14ac:dyDescent="0.3">
      <c r="A1" s="12" t="str">
        <f>Support!A13</f>
        <v>Discovery Charter School ("DCS")</v>
      </c>
      <c r="B1" s="12"/>
      <c r="N1" s="222"/>
      <c r="O1" s="5" t="s">
        <v>224</v>
      </c>
      <c r="P1" s="431">
        <f>Support!$A$17</f>
        <v>44712</v>
      </c>
    </row>
    <row r="2" spans="1:51" x14ac:dyDescent="0.3">
      <c r="A2" s="444">
        <f>Support!A19</f>
        <v>2022</v>
      </c>
      <c r="B2" s="444"/>
      <c r="N2" s="222"/>
      <c r="O2" s="220"/>
      <c r="P2" s="114" t="str">
        <f>Cover!$A$15</f>
        <v>(Bond Scenario)</v>
      </c>
    </row>
    <row r="3" spans="1:51" x14ac:dyDescent="0.3">
      <c r="A3" s="51"/>
      <c r="B3" s="51"/>
    </row>
    <row r="4" spans="1:51" x14ac:dyDescent="0.3">
      <c r="D4" s="60" t="str">
        <f>IF(D5&lt;=Support!$A$17,"Actual","Forecast")</f>
        <v>Actual</v>
      </c>
      <c r="F4" s="60" t="s">
        <v>129</v>
      </c>
      <c r="H4" s="60" t="str">
        <f>IF(H5&lt;=Support!$A$17,"Actual","Forecast")</f>
        <v>Forecast</v>
      </c>
      <c r="J4" s="60" t="str">
        <f>IF(J5&lt;=Support!$A$17,"Actual","Forecast")</f>
        <v>Forecast</v>
      </c>
      <c r="L4" s="60" t="str">
        <f>IF(L5&lt;=Support!$A$17,"Actual","Forecast")</f>
        <v>Forecast</v>
      </c>
      <c r="N4" s="60" t="str">
        <f>IF(N5&lt;=Support!$A$17,"Actual","Forecast")</f>
        <v>Forecast</v>
      </c>
      <c r="P4" s="60" t="str">
        <f>IF(P5&lt;=Support!$A$17,"Actual","Forecast")</f>
        <v>Forecast</v>
      </c>
    </row>
    <row r="5" spans="1:51" x14ac:dyDescent="0.3">
      <c r="A5" s="29" t="s">
        <v>249</v>
      </c>
      <c r="B5" s="30"/>
      <c r="D5" s="61">
        <v>44377</v>
      </c>
      <c r="F5" s="65">
        <f>Support!A19</f>
        <v>2022</v>
      </c>
      <c r="H5" s="61">
        <f>EOMONTH(D5,12)</f>
        <v>44742</v>
      </c>
      <c r="J5" s="61">
        <f>EOMONTH(H5,12)</f>
        <v>45107</v>
      </c>
      <c r="L5" s="61">
        <f>EOMONTH(J5,12)</f>
        <v>45473</v>
      </c>
      <c r="N5" s="61">
        <f>EOMONTH(L5,12)</f>
        <v>45838</v>
      </c>
      <c r="P5" s="61">
        <f>EOMONTH(N5,12)</f>
        <v>46203</v>
      </c>
    </row>
    <row r="6" spans="1:51" ht="6" customHeight="1" x14ac:dyDescent="0.3">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row>
    <row r="7" spans="1:51" x14ac:dyDescent="0.3">
      <c r="A7" s="70" t="s">
        <v>234</v>
      </c>
      <c r="B7" s="71"/>
      <c r="C7" s="72"/>
      <c r="D7" s="72"/>
      <c r="E7" s="72"/>
      <c r="F7" s="122"/>
      <c r="G7" s="122"/>
      <c r="H7" s="122"/>
      <c r="I7" s="122"/>
      <c r="J7" s="122"/>
      <c r="K7" s="59"/>
      <c r="L7" s="122"/>
      <c r="M7" s="59"/>
      <c r="N7" s="122"/>
      <c r="O7" s="59"/>
      <c r="P7" s="122"/>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row>
    <row r="8" spans="1:51" x14ac:dyDescent="0.3">
      <c r="A8" s="79"/>
      <c r="B8" s="79" t="s">
        <v>144</v>
      </c>
      <c r="C8" s="80"/>
      <c r="D8" s="123">
        <f>SUMIF('Cash Flow Detail'!$C$38:$BX$38,D$35,'Cash Flow Detail'!$C7:$BX7)</f>
        <v>564697.93999999925</v>
      </c>
      <c r="E8" s="80"/>
      <c r="F8" s="123">
        <f>'Cash Flow Detail'!BY7</f>
        <v>-6868.6300000004703</v>
      </c>
      <c r="G8" s="80"/>
      <c r="H8" s="123">
        <f>SUMIF('Cash Flow Detail'!$C$38:$BX$38,H$35,'Cash Flow Detail'!$C7:$BX7)</f>
        <v>-149564.48441716505</v>
      </c>
      <c r="I8" s="63"/>
      <c r="J8" s="123">
        <f>SUMIF('Cash Flow Detail'!$C$38:$BX$38,J$35,'Cash Flow Detail'!$C7:$BX7)</f>
        <v>1202718.1924824771</v>
      </c>
      <c r="K8" s="63"/>
      <c r="L8" s="123">
        <f>SUMIF('Cash Flow Detail'!$C$38:$BX$38,L$35,'Cash Flow Detail'!$C7:$BX7)</f>
        <v>379612.93676943809</v>
      </c>
      <c r="M8" s="63"/>
      <c r="N8" s="123">
        <f>SUMIF('Cash Flow Detail'!$C$38:$BX$38,N$35,'Cash Flow Detail'!$C7:$BX7)</f>
        <v>288067.76745550922</v>
      </c>
      <c r="O8" s="63"/>
      <c r="P8" s="123">
        <f>SUMIF('Cash Flow Detail'!$C$38:$BX$38,P$35,'Cash Flow Detail'!$C7:$BX7)</f>
        <v>340145.41451974754</v>
      </c>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row>
    <row r="9" spans="1:51" x14ac:dyDescent="0.3">
      <c r="A9" s="71"/>
      <c r="B9" s="71" t="s">
        <v>159</v>
      </c>
      <c r="C9" s="72"/>
      <c r="D9" s="122">
        <f>SUMIF('Cash Flow Detail'!$C$38:$BX$38,D$35,'Cash Flow Detail'!$C8:$BX8)</f>
        <v>146409.43</v>
      </c>
      <c r="E9" s="72"/>
      <c r="F9" s="122">
        <f>'Cash Flow Detail'!BY8</f>
        <v>260359.61</v>
      </c>
      <c r="G9" s="122"/>
      <c r="H9" s="122">
        <f>SUMIF('Cash Flow Detail'!$C$38:$BX$38,H$35,'Cash Flow Detail'!$C8:$BX8)</f>
        <v>284206.92</v>
      </c>
      <c r="I9" s="122"/>
      <c r="J9" s="122">
        <f>SUMIF('Cash Flow Detail'!$C$38:$BX$38,J$35,'Cash Flow Detail'!$C8:$BX8)</f>
        <v>359815.28593989002</v>
      </c>
      <c r="K9" s="122"/>
      <c r="L9" s="122">
        <f>SUMIF('Cash Flow Detail'!$C$38:$BX$38,L$35,'Cash Flow Detail'!$C8:$BX8)</f>
        <v>549312.75452507765</v>
      </c>
      <c r="M9" s="122"/>
      <c r="N9" s="122">
        <f>SUMIF('Cash Flow Detail'!$C$38:$BX$38,N$35,'Cash Flow Detail'!$C8:$BX8)</f>
        <v>563590.69704761845</v>
      </c>
      <c r="O9" s="122"/>
      <c r="P9" s="122">
        <f>SUMIF('Cash Flow Detail'!$C$38:$BX$38,P$35,'Cash Flow Detail'!$C8:$BX8)</f>
        <v>566447.83990476094</v>
      </c>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row>
    <row r="10" spans="1:51" x14ac:dyDescent="0.3">
      <c r="A10" s="79"/>
      <c r="B10" s="79" t="s">
        <v>235</v>
      </c>
      <c r="C10" s="79"/>
      <c r="D10" s="80">
        <f>SUMIF('Cash Flow Detail'!$C$38:$BX$38,D$35,'Cash Flow Detail'!$C9:$BX9)</f>
        <v>36419.280000000144</v>
      </c>
      <c r="E10" s="79"/>
      <c r="F10" s="80">
        <f>'Cash Flow Detail'!BY9</f>
        <v>-406957.17000000004</v>
      </c>
      <c r="G10" s="79"/>
      <c r="H10" s="80">
        <f>SUMIF('Cash Flow Detail'!$C$38:$BX$38,H$35,'Cash Flow Detail'!$C9:$BX9)</f>
        <v>-187335.17532155864</v>
      </c>
      <c r="I10" s="63"/>
      <c r="J10" s="80">
        <f>SUMIF('Cash Flow Detail'!$C$38:$BX$38,J$35,'Cash Flow Detail'!$C9:$BX9)</f>
        <v>33250.120172309311</v>
      </c>
      <c r="K10" s="63"/>
      <c r="L10" s="80">
        <f>SUMIF('Cash Flow Detail'!$C$38:$BX$38,L$35,'Cash Flow Detail'!$C9:$BX9)</f>
        <v>37153.274194233411</v>
      </c>
      <c r="M10" s="63"/>
      <c r="N10" s="80">
        <f>SUMIF('Cash Flow Detail'!$C$38:$BX$38,N$35,'Cash Flow Detail'!$C9:$BX9)</f>
        <v>17636.26634515851</v>
      </c>
      <c r="O10" s="63"/>
      <c r="P10" s="80">
        <f>SUMIF('Cash Flow Detail'!$C$38:$BX$38,P$35,'Cash Flow Detail'!$C9:$BX9)</f>
        <v>11986.20328666456</v>
      </c>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row>
    <row r="11" spans="1:51" x14ac:dyDescent="0.3">
      <c r="A11" s="71"/>
      <c r="B11" s="71" t="s">
        <v>124</v>
      </c>
      <c r="C11" s="71"/>
      <c r="D11" s="72">
        <f>SUMIF('Cash Flow Detail'!$C$38:$BX$38,D$35,'Cash Flow Detail'!$C10:$BX10)</f>
        <v>52258.850000000319</v>
      </c>
      <c r="E11" s="71"/>
      <c r="F11" s="72">
        <f>'Cash Flow Detail'!BY10</f>
        <v>0</v>
      </c>
      <c r="G11" s="71"/>
      <c r="H11" s="72">
        <f>SUMIF('Cash Flow Detail'!$C$38:$BX$38,H$35,'Cash Flow Detail'!$C10:$BX10)</f>
        <v>0</v>
      </c>
      <c r="I11" s="68"/>
      <c r="J11" s="72">
        <f>SUMIF('Cash Flow Detail'!$C$38:$BX$38,J$35,'Cash Flow Detail'!$C10:$BX10)</f>
        <v>-670098.30999999994</v>
      </c>
      <c r="K11" s="68"/>
      <c r="L11" s="72">
        <f>SUMIF('Cash Flow Detail'!$C$38:$BX$38,L$35,'Cash Flow Detail'!$C10:$BX10)</f>
        <v>0</v>
      </c>
      <c r="M11" s="68"/>
      <c r="N11" s="72">
        <f>SUMIF('Cash Flow Detail'!$C$38:$BX$38,N$35,'Cash Flow Detail'!$C10:$BX10)</f>
        <v>0</v>
      </c>
      <c r="O11" s="68"/>
      <c r="P11" s="72">
        <f>SUMIF('Cash Flow Detail'!$C$38:$BX$38,P$35,'Cash Flow Detail'!$C10:$BX10)</f>
        <v>0</v>
      </c>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row>
    <row r="12" spans="1:51" ht="3" customHeight="1" x14ac:dyDescent="0.3">
      <c r="A12" s="71"/>
      <c r="B12" s="71"/>
      <c r="C12" s="71"/>
      <c r="D12" s="73"/>
      <c r="E12" s="71"/>
      <c r="F12" s="73"/>
      <c r="G12" s="71"/>
      <c r="H12" s="73"/>
      <c r="I12" s="59"/>
      <c r="J12" s="73"/>
      <c r="K12" s="59"/>
      <c r="L12" s="73"/>
      <c r="M12" s="59"/>
      <c r="N12" s="73"/>
      <c r="O12" s="59"/>
      <c r="P12" s="73"/>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row>
    <row r="13" spans="1:51" x14ac:dyDescent="0.3">
      <c r="A13" s="78" t="s">
        <v>236</v>
      </c>
      <c r="B13" s="78"/>
      <c r="C13" s="82"/>
      <c r="D13" s="83">
        <f>SUM(D8:D12)</f>
        <v>799785.49999999965</v>
      </c>
      <c r="E13" s="82"/>
      <c r="F13" s="83">
        <f>SUM(F8:F12)</f>
        <v>-153466.19000000053</v>
      </c>
      <c r="G13" s="81"/>
      <c r="H13" s="83">
        <f>SUM(H8:H12)</f>
        <v>-52692.7397387237</v>
      </c>
      <c r="I13" s="81"/>
      <c r="J13" s="83">
        <f>SUM(J8:J12)</f>
        <v>925685.2885946763</v>
      </c>
      <c r="K13" s="81"/>
      <c r="L13" s="83">
        <f>SUM(L8:L12)</f>
        <v>966078.96548874909</v>
      </c>
      <c r="M13" s="81"/>
      <c r="N13" s="83">
        <f>SUM(N8:N12)</f>
        <v>869294.73084828607</v>
      </c>
      <c r="O13" s="81"/>
      <c r="P13" s="83">
        <f>SUM(P8:P12)</f>
        <v>918579.45771117299</v>
      </c>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row>
    <row r="14" spans="1:51" ht="6" customHeight="1" x14ac:dyDescent="0.3">
      <c r="A14" s="71"/>
      <c r="B14" s="71"/>
      <c r="C14" s="71"/>
      <c r="D14" s="72"/>
      <c r="E14" s="71"/>
      <c r="F14" s="72"/>
      <c r="G14" s="71"/>
      <c r="H14" s="72"/>
      <c r="I14" s="59"/>
      <c r="J14" s="72"/>
      <c r="K14" s="59"/>
      <c r="L14" s="72"/>
      <c r="M14" s="59"/>
      <c r="N14" s="72"/>
      <c r="O14" s="59"/>
      <c r="P14" s="72"/>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row>
    <row r="15" spans="1:51" x14ac:dyDescent="0.3">
      <c r="A15" s="70" t="s">
        <v>237</v>
      </c>
      <c r="B15" s="70"/>
      <c r="C15" s="74"/>
      <c r="D15" s="75"/>
      <c r="E15" s="74"/>
      <c r="F15" s="75"/>
      <c r="G15" s="71"/>
      <c r="H15" s="75"/>
      <c r="I15" s="59"/>
      <c r="J15" s="75"/>
      <c r="K15" s="59"/>
      <c r="L15" s="75"/>
      <c r="M15" s="59"/>
      <c r="N15" s="75"/>
      <c r="O15" s="59"/>
      <c r="P15" s="75"/>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row>
    <row r="16" spans="1:51" x14ac:dyDescent="0.3">
      <c r="A16" s="79"/>
      <c r="B16" s="79" t="s">
        <v>231</v>
      </c>
      <c r="C16" s="79"/>
      <c r="D16" s="80">
        <f>SUMIF('Cash Flow Detail'!$C$38:$BX$38,D$35,'Cash Flow Detail'!$C15:$BX15)</f>
        <v>-6579879.75</v>
      </c>
      <c r="E16" s="79"/>
      <c r="F16" s="80">
        <f>'Cash Flow Detail'!BY15</f>
        <v>-134516.57999999973</v>
      </c>
      <c r="G16" s="81"/>
      <c r="H16" s="80">
        <f>SUMIF('Cash Flow Detail'!$C$38:$BX$38,H$35,'Cash Flow Detail'!$C15:$BX15)</f>
        <v>-134516.57999999973</v>
      </c>
      <c r="I16" s="81"/>
      <c r="J16" s="80">
        <f>SUMIF('Cash Flow Detail'!$C$38:$BX$38,J$35,'Cash Flow Detail'!$C15:$BX15)</f>
        <v>-220000</v>
      </c>
      <c r="K16" s="81"/>
      <c r="L16" s="80">
        <f>SUMIF('Cash Flow Detail'!$C$38:$BX$38,L$35,'Cash Flow Detail'!$C15:$BX15)</f>
        <v>-99999.999999999985</v>
      </c>
      <c r="M16" s="81"/>
      <c r="N16" s="80">
        <f>SUMIF('Cash Flow Detail'!$C$38:$BX$38,N$35,'Cash Flow Detail'!$C15:$BX15)</f>
        <v>-99999.999999999985</v>
      </c>
      <c r="O16" s="81"/>
      <c r="P16" s="80">
        <f>SUMIF('Cash Flow Detail'!$C$38:$BX$38,P$35,'Cash Flow Detail'!$C15:$BX15)</f>
        <v>-99999.999999999985</v>
      </c>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row>
    <row r="17" spans="1:51" x14ac:dyDescent="0.3">
      <c r="A17" s="71"/>
      <c r="B17" s="71" t="s">
        <v>434</v>
      </c>
      <c r="C17" s="71"/>
      <c r="D17" s="72">
        <f>SUMIF('Cash Flow Detail'!$C$38:$BX$38,D$35,'Cash Flow Detail'!$C16:$BX16)</f>
        <v>0</v>
      </c>
      <c r="E17" s="71"/>
      <c r="F17" s="72">
        <f>'Cash Flow Detail'!BY16</f>
        <v>0</v>
      </c>
      <c r="G17" s="71"/>
      <c r="H17" s="72">
        <f>SUMIF('Cash Flow Detail'!$C$38:$BX$38,H$35,'Cash Flow Detail'!$C16:$BX16)</f>
        <v>0</v>
      </c>
      <c r="I17" s="59"/>
      <c r="J17" s="72">
        <f>SUMIF('Cash Flow Detail'!$C$38:$BX$38,J$35,'Cash Flow Detail'!$C16:$BX16)</f>
        <v>-15507426.093688453</v>
      </c>
      <c r="K17" s="59"/>
      <c r="L17" s="72">
        <f>SUMIF('Cash Flow Detail'!$C$38:$BX$38,L$35,'Cash Flow Detail'!$C16:$BX16)</f>
        <v>-3197823.9063115465</v>
      </c>
      <c r="M17" s="59"/>
      <c r="N17" s="72">
        <f>SUMIF('Cash Flow Detail'!$C$38:$BX$38,N$35,'Cash Flow Detail'!$C16:$BX16)</f>
        <v>0</v>
      </c>
      <c r="O17" s="59"/>
      <c r="P17" s="72">
        <f>SUMIF('Cash Flow Detail'!$C$38:$BX$38,P$35,'Cash Flow Detail'!$C16:$BX16)</f>
        <v>0</v>
      </c>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row>
    <row r="18" spans="1:51" ht="3" customHeight="1" x14ac:dyDescent="0.3">
      <c r="A18" s="71"/>
      <c r="B18" s="71"/>
      <c r="C18" s="71"/>
      <c r="D18" s="73"/>
      <c r="E18" s="71"/>
      <c r="F18" s="73"/>
      <c r="G18" s="71"/>
      <c r="H18" s="73"/>
      <c r="I18" s="59"/>
      <c r="J18" s="73"/>
      <c r="K18" s="59"/>
      <c r="L18" s="73"/>
      <c r="M18" s="59"/>
      <c r="N18" s="73"/>
      <c r="O18" s="59"/>
      <c r="P18" s="73"/>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row>
    <row r="19" spans="1:51" x14ac:dyDescent="0.3">
      <c r="A19" s="78" t="s">
        <v>238</v>
      </c>
      <c r="B19" s="78"/>
      <c r="C19" s="82"/>
      <c r="D19" s="83">
        <f>SUM(D16:D18)</f>
        <v>-6579879.75</v>
      </c>
      <c r="E19" s="82"/>
      <c r="F19" s="83">
        <f>SUM(F16:F18)</f>
        <v>-134516.57999999973</v>
      </c>
      <c r="G19" s="81"/>
      <c r="H19" s="83">
        <f>SUM(H16:H18)</f>
        <v>-134516.57999999973</v>
      </c>
      <c r="I19" s="81"/>
      <c r="J19" s="83">
        <f>SUM(J16:J18)</f>
        <v>-15727426.093688453</v>
      </c>
      <c r="K19" s="81"/>
      <c r="L19" s="83">
        <f>SUM(L16:L18)</f>
        <v>-3297823.9063115465</v>
      </c>
      <c r="M19" s="81"/>
      <c r="N19" s="83">
        <f>SUM(N16:N18)</f>
        <v>-99999.999999999985</v>
      </c>
      <c r="O19" s="81"/>
      <c r="P19" s="83">
        <f>SUM(P16:P18)</f>
        <v>-99999.999999999985</v>
      </c>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row>
    <row r="20" spans="1:51" ht="6" customHeight="1" x14ac:dyDescent="0.3">
      <c r="A20" s="71"/>
      <c r="B20" s="71"/>
      <c r="C20" s="71"/>
      <c r="D20" s="72"/>
      <c r="E20" s="71"/>
      <c r="F20" s="72"/>
      <c r="G20" s="71"/>
      <c r="H20" s="72"/>
      <c r="I20" s="59"/>
      <c r="J20" s="72"/>
      <c r="K20" s="59"/>
      <c r="L20" s="72"/>
      <c r="M20" s="59"/>
      <c r="N20" s="72"/>
      <c r="O20" s="59"/>
      <c r="P20" s="72"/>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row>
    <row r="21" spans="1:51" x14ac:dyDescent="0.3">
      <c r="A21" s="70" t="s">
        <v>239</v>
      </c>
      <c r="B21" s="70"/>
      <c r="C21" s="74"/>
      <c r="D21" s="75"/>
      <c r="E21" s="74"/>
      <c r="F21" s="75"/>
      <c r="G21" s="71"/>
      <c r="H21" s="75"/>
      <c r="I21" s="59"/>
      <c r="J21" s="75"/>
      <c r="K21" s="59"/>
      <c r="L21" s="75"/>
      <c r="M21" s="59"/>
      <c r="N21" s="75"/>
      <c r="O21" s="59"/>
      <c r="P21" s="75"/>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row>
    <row r="22" spans="1:51" x14ac:dyDescent="0.3">
      <c r="A22" s="79"/>
      <c r="B22" s="79" t="s">
        <v>244</v>
      </c>
      <c r="C22" s="79"/>
      <c r="D22" s="80">
        <f>SUMIF('Cash Flow Detail'!$C$38:$BX$38,D$35,'Cash Flow Detail'!$C21:$BX21)</f>
        <v>6280240</v>
      </c>
      <c r="E22" s="79"/>
      <c r="F22" s="80">
        <f>'Cash Flow Detail'!BY21</f>
        <v>165593.50999999978</v>
      </c>
      <c r="G22" s="81"/>
      <c r="H22" s="80">
        <f>SUMIF('Cash Flow Detail'!$C$38:$BX$38,H$35,'Cash Flow Detail'!$C21:$BX21)</f>
        <v>179939.95999999979</v>
      </c>
      <c r="I22" s="81"/>
      <c r="J22" s="80">
        <f>SUMIF('Cash Flow Detail'!$C$38:$BX$38,J$35,'Cash Flow Detail'!$C21:$BX21)</f>
        <v>0</v>
      </c>
      <c r="K22" s="81"/>
      <c r="L22" s="80">
        <f>SUMIF('Cash Flow Detail'!$C$38:$BX$38,L$35,'Cash Flow Detail'!$C21:$BX21)</f>
        <v>0</v>
      </c>
      <c r="M22" s="81"/>
      <c r="N22" s="80">
        <f>SUMIF('Cash Flow Detail'!$C$38:$BX$38,N$35,'Cash Flow Detail'!$C21:$BX21)</f>
        <v>0</v>
      </c>
      <c r="O22" s="81"/>
      <c r="P22" s="80">
        <f>SUMIF('Cash Flow Detail'!$C$38:$BX$38,P$35,'Cash Flow Detail'!$C21:$BX21)</f>
        <v>0</v>
      </c>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row>
    <row r="23" spans="1:51" x14ac:dyDescent="0.3">
      <c r="A23" s="71"/>
      <c r="B23" s="71" t="s">
        <v>431</v>
      </c>
      <c r="C23" s="71"/>
      <c r="D23" s="72">
        <f>SUMIF('Cash Flow Detail'!$C$38:$BX$38,D$35,'Cash Flow Detail'!$C22:$BX22)+SUMIF('Cash Flow Detail'!$C$38:$BX$38,D$35,'Cash Flow Detail'!$C23:$BX23)</f>
        <v>0</v>
      </c>
      <c r="E23" s="71"/>
      <c r="F23" s="72">
        <f>'Cash Flow Detail'!BY22</f>
        <v>0</v>
      </c>
      <c r="G23" s="71"/>
      <c r="H23" s="72">
        <f>SUMIF('Cash Flow Detail'!$C$38:$BX$38,H$35,'Cash Flow Detail'!$C22:$BX22)+SUMIF('Cash Flow Detail'!$C$38:$BX$38,H$35,'Cash Flow Detail'!$C23:$BX23)</f>
        <v>0</v>
      </c>
      <c r="I23" s="59"/>
      <c r="J23" s="72">
        <f>SUMIF('Cash Flow Detail'!$C$38:$BX$38,J$35,'Cash Flow Detail'!$C22:$BX22)+SUMIF('Cash Flow Detail'!$C$38:$BX$38,J$35,'Cash Flow Detail'!$C23:$BX23)</f>
        <v>16952176.093688454</v>
      </c>
      <c r="K23" s="59"/>
      <c r="L23" s="72">
        <f>SUMIF('Cash Flow Detail'!$C$38:$BX$38,L$35,'Cash Flow Detail'!$C22:$BX22)+SUMIF('Cash Flow Detail'!$C$38:$BX$38,L$35,'Cash Flow Detail'!$C23:$BX23)</f>
        <v>3197823.9063115465</v>
      </c>
      <c r="M23" s="59"/>
      <c r="N23" s="72">
        <f>SUMIF('Cash Flow Detail'!$C$38:$BX$38,N$35,'Cash Flow Detail'!$C22:$BX22)+SUMIF('Cash Flow Detail'!$C$38:$BX$38,N$35,'Cash Flow Detail'!$C23:$BX23)</f>
        <v>-135000</v>
      </c>
      <c r="O23" s="59"/>
      <c r="P23" s="72">
        <f>SUMIF('Cash Flow Detail'!$C$38:$BX$38,P$35,'Cash Flow Detail'!$C22:$BX22)+SUMIF('Cash Flow Detail'!$C$38:$BX$38,P$35,'Cash Flow Detail'!$C23:$BX23)</f>
        <v>-140000.00000000003</v>
      </c>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row>
    <row r="24" spans="1:51" ht="3" customHeight="1" x14ac:dyDescent="0.3">
      <c r="A24" s="71"/>
      <c r="B24" s="71"/>
      <c r="C24" s="71"/>
      <c r="D24" s="73"/>
      <c r="E24" s="71"/>
      <c r="F24" s="73"/>
      <c r="G24" s="71"/>
      <c r="H24" s="73"/>
      <c r="I24" s="59"/>
      <c r="J24" s="73"/>
      <c r="K24" s="59"/>
      <c r="L24" s="73"/>
      <c r="M24" s="59"/>
      <c r="N24" s="73"/>
      <c r="O24" s="59"/>
      <c r="P24" s="73"/>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row>
    <row r="25" spans="1:51" x14ac:dyDescent="0.3">
      <c r="A25" s="78" t="s">
        <v>240</v>
      </c>
      <c r="B25" s="78"/>
      <c r="C25" s="82"/>
      <c r="D25" s="83">
        <f>SUM(D22:D24)</f>
        <v>6280240</v>
      </c>
      <c r="E25" s="82"/>
      <c r="F25" s="83">
        <f>SUM(F22:F24)</f>
        <v>165593.50999999978</v>
      </c>
      <c r="G25" s="81"/>
      <c r="H25" s="83">
        <f>SUM(H22:H24)</f>
        <v>179939.95999999979</v>
      </c>
      <c r="I25" s="81"/>
      <c r="J25" s="83">
        <f>SUM(J22:J24)</f>
        <v>16952176.093688454</v>
      </c>
      <c r="K25" s="81"/>
      <c r="L25" s="83">
        <f>SUM(L22:L24)</f>
        <v>3197823.9063115465</v>
      </c>
      <c r="M25" s="81"/>
      <c r="N25" s="83">
        <f>SUM(N22:N24)</f>
        <v>-135000</v>
      </c>
      <c r="O25" s="81"/>
      <c r="P25" s="83">
        <f>SUM(P22:P24)</f>
        <v>-140000.00000000003</v>
      </c>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row>
    <row r="26" spans="1:51" x14ac:dyDescent="0.3">
      <c r="A26" s="71"/>
      <c r="B26" s="71"/>
      <c r="C26" s="71"/>
      <c r="D26" s="72"/>
      <c r="E26" s="71"/>
      <c r="F26" s="72"/>
      <c r="G26" s="71"/>
      <c r="H26" s="72"/>
      <c r="I26" s="59"/>
      <c r="J26" s="72"/>
      <c r="K26" s="59"/>
      <c r="L26" s="72"/>
      <c r="M26" s="59"/>
      <c r="N26" s="72"/>
      <c r="O26" s="59"/>
      <c r="P26" s="72"/>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row>
    <row r="27" spans="1:51" x14ac:dyDescent="0.3">
      <c r="A27" s="62" t="s">
        <v>250</v>
      </c>
      <c r="B27" s="62"/>
      <c r="C27" s="66"/>
      <c r="D27" s="67">
        <f>D13+D19+D25</f>
        <v>500145.75</v>
      </c>
      <c r="E27" s="66"/>
      <c r="F27" s="67">
        <f>F13+F19+F25</f>
        <v>-122389.26000000047</v>
      </c>
      <c r="G27" s="66"/>
      <c r="H27" s="67">
        <f>H13+H19+H25</f>
        <v>-7269.3597387236368</v>
      </c>
      <c r="I27" s="66"/>
      <c r="J27" s="67">
        <f>J13+J19+J25</f>
        <v>2150435.288594678</v>
      </c>
      <c r="K27" s="66"/>
      <c r="L27" s="67">
        <f>L13+L19+L25</f>
        <v>866078.96548874909</v>
      </c>
      <c r="M27" s="66"/>
      <c r="N27" s="67">
        <f>N13+N19+N25</f>
        <v>634294.73084828607</v>
      </c>
      <c r="O27" s="66"/>
      <c r="P27" s="67">
        <f>P13+P19+P25</f>
        <v>678579.45771117299</v>
      </c>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row>
    <row r="28" spans="1:51" ht="6" customHeight="1" x14ac:dyDescent="0.3">
      <c r="D28" s="8"/>
      <c r="F28" s="8"/>
      <c r="H28" s="8"/>
      <c r="I28" s="59"/>
      <c r="J28" s="8"/>
      <c r="K28" s="59"/>
      <c r="L28" s="8"/>
      <c r="M28" s="59"/>
      <c r="N28" s="8"/>
      <c r="O28" s="59"/>
      <c r="P28" s="8"/>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row>
    <row r="29" spans="1:51" x14ac:dyDescent="0.3">
      <c r="B29" t="s">
        <v>251</v>
      </c>
      <c r="D29" s="8">
        <f>SUMIF('Cash Flow Detail'!$C$5:$BX$5,EOMONTH('Cash Flow'!D$5,-11),'Cash Flow Detail'!$C$29:$BX$29)</f>
        <v>130780.68</v>
      </c>
      <c r="F29" s="72">
        <f>'Cash Flow Detail'!BY29</f>
        <v>630926.42999999889</v>
      </c>
      <c r="H29" s="8">
        <f>SUMIF('Cash Flow Detail'!$C$5:$BX$5,EOMONTH('Cash Flow'!H$5,-11),'Cash Flow Detail'!$C$29:$BX$29)</f>
        <v>630926.42999999889</v>
      </c>
      <c r="I29" s="59"/>
      <c r="J29" s="8">
        <f>SUMIF('Cash Flow Detail'!$C$5:$BX$5,EOMONTH('Cash Flow'!J$5,-11),'Cash Flow Detail'!$C$29:$BX$29)</f>
        <v>623657.07026127516</v>
      </c>
      <c r="K29" s="59"/>
      <c r="L29" s="8">
        <f>SUMIF('Cash Flow Detail'!$C$5:$BX$5,EOMONTH('Cash Flow'!L$5,-11),'Cash Flow Detail'!$C$29:$BX$29)</f>
        <v>2774092.3588559516</v>
      </c>
      <c r="M29" s="59"/>
      <c r="N29" s="8">
        <f>SUMIF('Cash Flow Detail'!$C$5:$BX$5,EOMONTH('Cash Flow'!N$5,-11),'Cash Flow Detail'!$C$29:$BX$29)</f>
        <v>3640171.3243447007</v>
      </c>
      <c r="O29" s="59"/>
      <c r="P29" s="8">
        <f>SUMIF('Cash Flow Detail'!$C$5:$BX$5,EOMONTH('Cash Flow'!P$5,-11),'Cash Flow Detail'!$C$29:$BX$29)</f>
        <v>4274466.0551929874</v>
      </c>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row>
    <row r="30" spans="1:51" ht="6" customHeight="1" x14ac:dyDescent="0.3">
      <c r="D30" s="8"/>
      <c r="F30" s="8"/>
      <c r="H30" s="8"/>
      <c r="I30" s="59"/>
      <c r="J30" s="8"/>
      <c r="K30" s="59"/>
      <c r="L30" s="8"/>
      <c r="M30" s="59"/>
      <c r="N30" s="8"/>
      <c r="O30" s="59"/>
      <c r="P30" s="8"/>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row>
    <row r="31" spans="1:51" x14ac:dyDescent="0.3">
      <c r="A31" s="62" t="s">
        <v>243</v>
      </c>
      <c r="B31" s="62"/>
      <c r="C31" s="66"/>
      <c r="D31" s="76">
        <f>SUM(D27:D30)</f>
        <v>630926.42999999993</v>
      </c>
      <c r="E31" s="66"/>
      <c r="F31" s="76">
        <f>SUM(F27:F30)</f>
        <v>508537.16999999841</v>
      </c>
      <c r="G31" s="66"/>
      <c r="H31" s="76">
        <f>SUM(H27:H30)</f>
        <v>623657.07026127528</v>
      </c>
      <c r="I31" s="66"/>
      <c r="J31" s="76">
        <f>SUM(J27:J30)</f>
        <v>2774092.3588559534</v>
      </c>
      <c r="K31" s="66"/>
      <c r="L31" s="76">
        <f>SUM(L27:L30)</f>
        <v>3640171.3243447007</v>
      </c>
      <c r="M31" s="66"/>
      <c r="N31" s="76">
        <f>SUM(N27:N30)</f>
        <v>4274466.0551929865</v>
      </c>
      <c r="O31" s="66"/>
      <c r="P31" s="76">
        <f>SUM(P27:P30)</f>
        <v>4953045.5129041607</v>
      </c>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row>
    <row r="32" spans="1:51" x14ac:dyDescent="0.3">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row>
    <row r="33" spans="1:51" x14ac:dyDescent="0.3">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row>
    <row r="34" spans="1:51" x14ac:dyDescent="0.3">
      <c r="A34" s="1" t="s">
        <v>221</v>
      </c>
      <c r="C34" s="59"/>
      <c r="D34" s="55">
        <f>D31-SUMIF('Cash Flow Detail'!$C$5:$BX$5,'Cash Flow'!D$5,'Cash Flow Detail'!$C$31:$BX$31)</f>
        <v>1.0477378964424133E-9</v>
      </c>
      <c r="E34" s="59"/>
      <c r="F34" s="55">
        <f>F31-'Cash Flow Detail'!BY31</f>
        <v>0</v>
      </c>
      <c r="G34" s="59"/>
      <c r="H34" s="55">
        <f>H31-SUMIF('Cash Flow Detail'!$C$5:$BX$5,'Cash Flow'!H$5,'Cash Flow Detail'!$C$31:$BX$31)</f>
        <v>0</v>
      </c>
      <c r="I34" s="59"/>
      <c r="J34" s="55">
        <f>J31-SUMIF('Cash Flow Detail'!$C$5:$BX$5,'Cash Flow'!J$5,'Cash Flow Detail'!$C$31:$BX$31)</f>
        <v>0</v>
      </c>
      <c r="K34" s="59"/>
      <c r="L34" s="55">
        <f>L31-SUMIF('Cash Flow Detail'!$C$5:$BX$5,'Cash Flow'!L$5,'Cash Flow Detail'!$C$31:$BX$31)</f>
        <v>0</v>
      </c>
      <c r="M34" s="59"/>
      <c r="N34" s="55">
        <f>N31-SUMIF('Cash Flow Detail'!$C$5:$BX$5,'Cash Flow'!N$5,'Cash Flow Detail'!$C$31:$BX$31)</f>
        <v>0</v>
      </c>
      <c r="O34" s="59"/>
      <c r="P34" s="55">
        <f>P31-SUMIF('Cash Flow Detail'!$C$5:$BX$5,'Cash Flow'!P$5,'Cash Flow Detail'!$C$31:$BX$31)</f>
        <v>0</v>
      </c>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row>
    <row r="35" spans="1:51" x14ac:dyDescent="0.3">
      <c r="B35" t="s">
        <v>310</v>
      </c>
      <c r="C35" s="59"/>
      <c r="D35" s="155">
        <v>2021</v>
      </c>
      <c r="E35" s="59"/>
      <c r="F35" s="59"/>
      <c r="G35" s="59"/>
      <c r="H35" s="155">
        <f>D35+1</f>
        <v>2022</v>
      </c>
      <c r="I35" s="59"/>
      <c r="J35" s="155">
        <f>H35+1</f>
        <v>2023</v>
      </c>
      <c r="K35" s="59"/>
      <c r="L35" s="155">
        <f>J35+1</f>
        <v>2024</v>
      </c>
      <c r="M35" s="59"/>
      <c r="N35" s="155">
        <f>L35+1</f>
        <v>2025</v>
      </c>
      <c r="O35" s="59"/>
      <c r="P35" s="155">
        <f>N35+1</f>
        <v>2026</v>
      </c>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row>
    <row r="69" spans="1:1" x14ac:dyDescent="0.3">
      <c r="A69" s="20" t="s">
        <v>131</v>
      </c>
    </row>
    <row r="70" spans="1:1" x14ac:dyDescent="0.3">
      <c r="A70" t="s">
        <v>121</v>
      </c>
    </row>
    <row r="71" spans="1:1" x14ac:dyDescent="0.3">
      <c r="A71" t="s">
        <v>153</v>
      </c>
    </row>
    <row r="72" spans="1:1" x14ac:dyDescent="0.3">
      <c r="A72" t="s">
        <v>154</v>
      </c>
    </row>
    <row r="73" spans="1:1" x14ac:dyDescent="0.3">
      <c r="A73" t="s">
        <v>155</v>
      </c>
    </row>
  </sheetData>
  <mergeCells count="1">
    <mergeCell ref="A2:B2"/>
  </mergeCells>
  <printOptions horizontalCentered="1" verticalCentered="1"/>
  <pageMargins left="0.15" right="0.15" top="0.75" bottom="0.75" header="0.3" footer="0.3"/>
  <pageSetup orientation="landscape" horizontalDpi="1200" verticalDpi="1200" r:id="rId1"/>
  <headerFooter>
    <oddFooter>&amp;L&amp;"Bodoni MT,Bold"&amp;10&amp;F&amp;C&amp;10&amp;P of &amp;N&amp;R&amp;10&amp;A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CC996-B48B-4C74-97AE-5126739B32ED}">
  <dimension ref="A13:A21"/>
  <sheetViews>
    <sheetView workbookViewId="0"/>
  </sheetViews>
  <sheetFormatPr defaultRowHeight="14.4" x14ac:dyDescent="0.3"/>
  <cols>
    <col min="1" max="1" width="71" bestFit="1" customWidth="1"/>
  </cols>
  <sheetData>
    <row r="13" spans="1:1" ht="33" x14ac:dyDescent="0.6">
      <c r="A13" s="14" t="s">
        <v>148</v>
      </c>
    </row>
    <row r="14" spans="1:1" ht="30.6" x14ac:dyDescent="0.55000000000000004">
      <c r="A14" s="15" t="s">
        <v>147</v>
      </c>
    </row>
    <row r="15" spans="1:1" ht="28.2" x14ac:dyDescent="0.5">
      <c r="A15" s="437" t="str">
        <f>CONCATENATE("(",'Hillpointe Detail'!$B$291," Scenario)")</f>
        <v>(Bond Scenario)</v>
      </c>
    </row>
    <row r="16" spans="1:1" ht="23.4" x14ac:dyDescent="0.45">
      <c r="A16" s="16" t="s">
        <v>120</v>
      </c>
    </row>
    <row r="17" spans="1:1" ht="23.4" x14ac:dyDescent="0.45">
      <c r="A17" s="41">
        <v>44712</v>
      </c>
    </row>
    <row r="18" spans="1:1" ht="23.4" x14ac:dyDescent="0.45">
      <c r="A18" s="16" t="s">
        <v>161</v>
      </c>
    </row>
    <row r="19" spans="1:1" ht="23.4" x14ac:dyDescent="0.45">
      <c r="A19" s="42">
        <v>2022</v>
      </c>
    </row>
    <row r="21" spans="1:1" ht="23.4" x14ac:dyDescent="0.45">
      <c r="A21" s="17" t="s">
        <v>260</v>
      </c>
    </row>
  </sheetData>
  <printOptions horizontalCentered="1" verticalCentered="1"/>
  <pageMargins left="0.7" right="0.7" top="0.75" bottom="0.75" header="0.3" footer="0.3"/>
  <pageSetup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B2C19-ECFB-422C-9862-1CDB950254C6}">
  <sheetPr>
    <pageSetUpPr fitToPage="1"/>
  </sheetPr>
  <dimension ref="A1:CM263"/>
  <sheetViews>
    <sheetView zoomScaleNormal="100" workbookViewId="0">
      <pane xSplit="2" ySplit="4" topLeftCell="V5" activePane="bottomRight" state="frozen"/>
      <selection activeCell="Y151" sqref="Y151"/>
      <selection pane="topRight" activeCell="Y151" sqref="Y151"/>
      <selection pane="bottomLeft" activeCell="Y151" sqref="Y151"/>
      <selection pane="bottomRight" activeCell="AB16" sqref="AB16"/>
    </sheetView>
  </sheetViews>
  <sheetFormatPr defaultRowHeight="14.4" x14ac:dyDescent="0.3"/>
  <cols>
    <col min="1" max="1" width="43.5546875" bestFit="1" customWidth="1"/>
    <col min="2" max="2" width="18.77734375" customWidth="1"/>
    <col min="3" max="4" width="11.33203125" customWidth="1"/>
    <col min="5" max="76" width="9.77734375" customWidth="1"/>
    <col min="77" max="77" width="1.77734375" customWidth="1"/>
    <col min="78" max="79" width="10.77734375" customWidth="1"/>
    <col min="80" max="80" width="1.77734375" customWidth="1"/>
    <col min="81" max="88" width="12.44140625" customWidth="1"/>
    <col min="90" max="90" width="10.44140625" bestFit="1" customWidth="1"/>
    <col min="91" max="91" width="9.5546875" bestFit="1" customWidth="1"/>
  </cols>
  <sheetData>
    <row r="1" spans="1:88" x14ac:dyDescent="0.3">
      <c r="A1" s="1" t="s">
        <v>0</v>
      </c>
      <c r="B1" s="1"/>
      <c r="C1" s="1"/>
      <c r="D1" s="1"/>
    </row>
    <row r="2" spans="1:88" x14ac:dyDescent="0.3">
      <c r="A2" s="2" t="s">
        <v>398</v>
      </c>
      <c r="B2" s="2"/>
      <c r="C2" s="46" t="str">
        <f>IF(C4&lt;=Support!$A$17,"Actual","Forecast")</f>
        <v>Actual</v>
      </c>
      <c r="D2" s="46" t="str">
        <f>IF(D4&lt;=Support!$A$17,"Actual","Forecast")</f>
        <v>Actual</v>
      </c>
      <c r="E2" s="46" t="str">
        <f>IF(E4&lt;=Support!$A$17,"Actual","Forecast")</f>
        <v>Actual</v>
      </c>
      <c r="F2" s="46" t="str">
        <f>IF(F4&lt;=Support!$A$17,"Actual","Forecast")</f>
        <v>Actual</v>
      </c>
      <c r="G2" s="46" t="str">
        <f>IF(G4&lt;=Support!$A$17,"Actual","Forecast")</f>
        <v>Actual</v>
      </c>
      <c r="H2" s="46" t="str">
        <f>IF(H4&lt;=Support!$A$17,"Actual","Forecast")</f>
        <v>Actual</v>
      </c>
      <c r="I2" s="46" t="str">
        <f>IF(I4&lt;=Support!$A$17,"Actual","Forecast")</f>
        <v>Actual</v>
      </c>
      <c r="J2" s="46" t="str">
        <f>IF(J4&lt;=Support!$A$17,"Actual","Forecast")</f>
        <v>Actual</v>
      </c>
      <c r="K2" s="46" t="str">
        <f>IF(K4&lt;=Support!$A$17,"Actual","Forecast")</f>
        <v>Actual</v>
      </c>
      <c r="L2" s="46" t="str">
        <f>IF(L4&lt;=Support!$A$17,"Actual","Forecast")</f>
        <v>Actual</v>
      </c>
      <c r="M2" s="46" t="str">
        <f>IF(M4&lt;=Support!$A$17,"Actual","Forecast")</f>
        <v>Actual</v>
      </c>
      <c r="N2" s="46" t="str">
        <f>IF(N4&lt;=Support!$A$17,"Actual","Forecast")</f>
        <v>Actual</v>
      </c>
      <c r="O2" s="46" t="str">
        <f>IF(O4&lt;=Support!$A$17,"Actual","Forecast")</f>
        <v>Actual</v>
      </c>
      <c r="P2" s="46" t="str">
        <f>IF(P4&lt;=Support!$A$17,"Actual","Forecast")</f>
        <v>Actual</v>
      </c>
      <c r="Q2" s="46" t="str">
        <f>IF(Q4&lt;=Support!$A$17,"Actual","Forecast")</f>
        <v>Actual</v>
      </c>
      <c r="R2" s="46" t="str">
        <f>IF(R4&lt;=Support!$A$17,"Actual","Forecast")</f>
        <v>Actual</v>
      </c>
      <c r="S2" s="46" t="str">
        <f>IF(S4&lt;=Support!$A$17,"Actual","Forecast")</f>
        <v>Actual</v>
      </c>
      <c r="T2" s="46" t="str">
        <f>IF(T4&lt;=Support!$A$17,"Actual","Forecast")</f>
        <v>Actual</v>
      </c>
      <c r="U2" s="46" t="str">
        <f>IF(U4&lt;=Support!$A$17,"Actual","Forecast")</f>
        <v>Actual</v>
      </c>
      <c r="V2" s="46" t="str">
        <f>IF(V4&lt;=Support!$A$17,"Actual","Forecast")</f>
        <v>Actual</v>
      </c>
      <c r="W2" s="46" t="str">
        <f>IF(W4&lt;=Support!$A$17,"Actual","Forecast")</f>
        <v>Actual</v>
      </c>
      <c r="X2" s="46" t="str">
        <f>IF(X4&lt;=Support!$A$17,"Actual","Forecast")</f>
        <v>Actual</v>
      </c>
      <c r="Y2" s="46" t="str">
        <f>IF(Y4&lt;=Support!$A$17,"Actual","Forecast")</f>
        <v>Actual</v>
      </c>
      <c r="Z2" s="46" t="str">
        <f>IF(Z4&lt;=Support!$A$17,"Actual","Forecast")</f>
        <v>Actual</v>
      </c>
      <c r="AA2" s="46" t="str">
        <f>IF(AA4&lt;=Support!$A$17,"Actual","Forecast")</f>
        <v>Actual</v>
      </c>
      <c r="AB2" s="46" t="str">
        <f>IF(AB4&lt;=Support!$A$17,"Actual","Forecast")</f>
        <v>Forecast</v>
      </c>
      <c r="AC2" s="46" t="str">
        <f>IF(AC4&lt;=Support!$A$17,"Actual","Forecast")</f>
        <v>Forecast</v>
      </c>
      <c r="AD2" s="46" t="str">
        <f>IF(AD4&lt;=Support!$A$17,"Actual","Forecast")</f>
        <v>Forecast</v>
      </c>
      <c r="AE2" s="46" t="str">
        <f>IF(AE4&lt;=Support!$A$17,"Actual","Forecast")</f>
        <v>Forecast</v>
      </c>
      <c r="AF2" s="46" t="str">
        <f>IF(AF4&lt;=Support!$A$17,"Actual","Forecast")</f>
        <v>Forecast</v>
      </c>
      <c r="AG2" s="46" t="str">
        <f>IF(AG4&lt;=Support!$A$17,"Actual","Forecast")</f>
        <v>Forecast</v>
      </c>
      <c r="AH2" s="46" t="str">
        <f>IF(AH4&lt;=Support!$A$17,"Actual","Forecast")</f>
        <v>Forecast</v>
      </c>
      <c r="AI2" s="46" t="str">
        <f>IF(AI4&lt;=Support!$A$17,"Actual","Forecast")</f>
        <v>Forecast</v>
      </c>
      <c r="AJ2" s="46" t="str">
        <f>IF(AJ4&lt;=Support!$A$17,"Actual","Forecast")</f>
        <v>Forecast</v>
      </c>
      <c r="AK2" s="46" t="str">
        <f>IF(AK4&lt;=Support!$A$17,"Actual","Forecast")</f>
        <v>Forecast</v>
      </c>
      <c r="AL2" s="46" t="str">
        <f>IF(AL4&lt;=Support!$A$17,"Actual","Forecast")</f>
        <v>Forecast</v>
      </c>
      <c r="AM2" s="46" t="str">
        <f>IF(AM4&lt;=Support!$A$17,"Actual","Forecast")</f>
        <v>Forecast</v>
      </c>
      <c r="AN2" s="46" t="str">
        <f>IF(AN4&lt;=Support!$A$17,"Actual","Forecast")</f>
        <v>Forecast</v>
      </c>
      <c r="AO2" s="46" t="str">
        <f>IF(AO4&lt;=Support!$A$17,"Actual","Forecast")</f>
        <v>Forecast</v>
      </c>
      <c r="AP2" s="46" t="str">
        <f>IF(AP4&lt;=Support!$A$17,"Actual","Forecast")</f>
        <v>Forecast</v>
      </c>
      <c r="AQ2" s="46" t="str">
        <f>IF(AQ4&lt;=Support!$A$17,"Actual","Forecast")</f>
        <v>Forecast</v>
      </c>
      <c r="AR2" s="46" t="str">
        <f>IF(AR4&lt;=Support!$A$17,"Actual","Forecast")</f>
        <v>Forecast</v>
      </c>
      <c r="AS2" s="46" t="str">
        <f>IF(AS4&lt;=Support!$A$17,"Actual","Forecast")</f>
        <v>Forecast</v>
      </c>
      <c r="AT2" s="46" t="str">
        <f>IF(AT4&lt;=Support!$A$17,"Actual","Forecast")</f>
        <v>Forecast</v>
      </c>
      <c r="AU2" s="46" t="str">
        <f>IF(AU4&lt;=Support!$A$17,"Actual","Forecast")</f>
        <v>Forecast</v>
      </c>
      <c r="AV2" s="46" t="str">
        <f>IF(AV4&lt;=Support!$A$17,"Actual","Forecast")</f>
        <v>Forecast</v>
      </c>
      <c r="AW2" s="46" t="str">
        <f>IF(AW4&lt;=Support!$A$17,"Actual","Forecast")</f>
        <v>Forecast</v>
      </c>
      <c r="AX2" s="46" t="str">
        <f>IF(AX4&lt;=Support!$A$17,"Actual","Forecast")</f>
        <v>Forecast</v>
      </c>
      <c r="AY2" s="46" t="str">
        <f>IF(AY4&lt;=Support!$A$17,"Actual","Forecast")</f>
        <v>Forecast</v>
      </c>
      <c r="AZ2" s="46" t="str">
        <f>IF(AZ4&lt;=Support!$A$17,"Actual","Forecast")</f>
        <v>Forecast</v>
      </c>
      <c r="BA2" s="46" t="str">
        <f>IF(BA4&lt;=Support!$A$17,"Actual","Forecast")</f>
        <v>Forecast</v>
      </c>
      <c r="BB2" s="46" t="str">
        <f>IF(BB4&lt;=Support!$A$17,"Actual","Forecast")</f>
        <v>Forecast</v>
      </c>
      <c r="BC2" s="46" t="str">
        <f>IF(BC4&lt;=Support!$A$17,"Actual","Forecast")</f>
        <v>Forecast</v>
      </c>
      <c r="BD2" s="46" t="str">
        <f>IF(BD4&lt;=Support!$A$17,"Actual","Forecast")</f>
        <v>Forecast</v>
      </c>
      <c r="BE2" s="46" t="str">
        <f>IF(BE4&lt;=Support!$A$17,"Actual","Forecast")</f>
        <v>Forecast</v>
      </c>
      <c r="BF2" s="46" t="str">
        <f>IF(BF4&lt;=Support!$A$17,"Actual","Forecast")</f>
        <v>Forecast</v>
      </c>
      <c r="BG2" s="46" t="str">
        <f>IF(BG4&lt;=Support!$A$17,"Actual","Forecast")</f>
        <v>Forecast</v>
      </c>
      <c r="BH2" s="46" t="str">
        <f>IF(BH4&lt;=Support!$A$17,"Actual","Forecast")</f>
        <v>Forecast</v>
      </c>
      <c r="BI2" s="46" t="str">
        <f>IF(BI4&lt;=Support!$A$17,"Actual","Forecast")</f>
        <v>Forecast</v>
      </c>
      <c r="BJ2" s="46" t="str">
        <f>IF(BJ4&lt;=Support!$A$17,"Actual","Forecast")</f>
        <v>Forecast</v>
      </c>
      <c r="BK2" s="46" t="str">
        <f>IF(BK4&lt;=Support!$A$17,"Actual","Forecast")</f>
        <v>Forecast</v>
      </c>
      <c r="BL2" s="46" t="str">
        <f>IF(BL4&lt;=Support!$A$17,"Actual","Forecast")</f>
        <v>Forecast</v>
      </c>
      <c r="BM2" s="46" t="str">
        <f>IF(BM4&lt;=Support!$A$17,"Actual","Forecast")</f>
        <v>Forecast</v>
      </c>
      <c r="BN2" s="46" t="str">
        <f>IF(BN4&lt;=Support!$A$17,"Actual","Forecast")</f>
        <v>Forecast</v>
      </c>
      <c r="BO2" s="46" t="str">
        <f>IF(BO4&lt;=Support!$A$17,"Actual","Forecast")</f>
        <v>Forecast</v>
      </c>
      <c r="BP2" s="46" t="str">
        <f>IF(BP4&lt;=Support!$A$17,"Actual","Forecast")</f>
        <v>Forecast</v>
      </c>
      <c r="BQ2" s="46" t="str">
        <f>IF(BQ4&lt;=Support!$A$17,"Actual","Forecast")</f>
        <v>Forecast</v>
      </c>
      <c r="BR2" s="46" t="str">
        <f>IF(BR4&lt;=Support!$A$17,"Actual","Forecast")</f>
        <v>Forecast</v>
      </c>
      <c r="BS2" s="46" t="str">
        <f>IF(BS4&lt;=Support!$A$17,"Actual","Forecast")</f>
        <v>Forecast</v>
      </c>
      <c r="BT2" s="46" t="str">
        <f>IF(BT4&lt;=Support!$A$17,"Actual","Forecast")</f>
        <v>Forecast</v>
      </c>
      <c r="BU2" s="46" t="str">
        <f>IF(BU4&lt;=Support!$A$17,"Actual","Forecast")</f>
        <v>Forecast</v>
      </c>
      <c r="BV2" s="46" t="str">
        <f>IF(BV4&lt;=Support!$A$17,"Actual","Forecast")</f>
        <v>Forecast</v>
      </c>
      <c r="BW2" s="46" t="str">
        <f>IF(BW4&lt;=Support!$A$17,"Actual","Forecast")</f>
        <v>Forecast</v>
      </c>
      <c r="BX2" s="46" t="str">
        <f>IF(BX4&lt;=Support!$A$17,"Actual","Forecast")</f>
        <v>Forecast</v>
      </c>
      <c r="BZ2" s="452" t="s">
        <v>309</v>
      </c>
      <c r="CA2" s="452"/>
      <c r="CC2" s="452" t="s">
        <v>310</v>
      </c>
      <c r="CD2" s="452"/>
      <c r="CE2" s="452"/>
      <c r="CF2" s="452"/>
      <c r="CG2" s="452"/>
      <c r="CH2" s="452"/>
      <c r="CI2" s="452"/>
      <c r="CJ2" s="452"/>
    </row>
    <row r="3" spans="1:88" x14ac:dyDescent="0.3">
      <c r="A3" s="2" t="str">
        <f>Cover!A15</f>
        <v>(Bond Scenario)</v>
      </c>
      <c r="B3" s="34" t="s">
        <v>160</v>
      </c>
      <c r="C3" s="153">
        <v>2019</v>
      </c>
      <c r="D3" s="153">
        <v>2020</v>
      </c>
      <c r="E3" s="153">
        <v>2021</v>
      </c>
      <c r="F3" s="153">
        <v>2021</v>
      </c>
      <c r="G3" s="153">
        <v>2021</v>
      </c>
      <c r="H3" s="153">
        <v>2021</v>
      </c>
      <c r="I3" s="153">
        <v>2021</v>
      </c>
      <c r="J3" s="153">
        <v>2021</v>
      </c>
      <c r="K3" s="153">
        <v>2021</v>
      </c>
      <c r="L3" s="153">
        <v>2021</v>
      </c>
      <c r="M3" s="153">
        <v>2021</v>
      </c>
      <c r="N3" s="153">
        <v>2021</v>
      </c>
      <c r="O3" s="153">
        <v>2021</v>
      </c>
      <c r="P3" s="153">
        <v>2021</v>
      </c>
      <c r="Q3" s="153">
        <v>2022</v>
      </c>
      <c r="R3" s="153">
        <v>2022</v>
      </c>
      <c r="S3" s="153">
        <v>2022</v>
      </c>
      <c r="T3" s="153">
        <v>2022</v>
      </c>
      <c r="U3" s="153">
        <v>2022</v>
      </c>
      <c r="V3" s="153">
        <v>2022</v>
      </c>
      <c r="W3" s="153">
        <v>2022</v>
      </c>
      <c r="X3" s="153">
        <v>2022</v>
      </c>
      <c r="Y3" s="153">
        <v>2022</v>
      </c>
      <c r="Z3" s="153">
        <v>2022</v>
      </c>
      <c r="AA3" s="153">
        <v>2022</v>
      </c>
      <c r="AB3" s="153">
        <v>2022</v>
      </c>
      <c r="AC3" s="153">
        <v>2023</v>
      </c>
      <c r="AD3" s="153">
        <v>2023</v>
      </c>
      <c r="AE3" s="153">
        <v>2023</v>
      </c>
      <c r="AF3" s="153">
        <v>2023</v>
      </c>
      <c r="AG3" s="153">
        <v>2023</v>
      </c>
      <c r="AH3" s="153">
        <v>2023</v>
      </c>
      <c r="AI3" s="153">
        <v>2023</v>
      </c>
      <c r="AJ3" s="153">
        <v>2023</v>
      </c>
      <c r="AK3" s="153">
        <v>2023</v>
      </c>
      <c r="AL3" s="153">
        <v>2023</v>
      </c>
      <c r="AM3" s="153">
        <v>2023</v>
      </c>
      <c r="AN3" s="153">
        <v>2023</v>
      </c>
      <c r="AO3" s="153">
        <v>2024</v>
      </c>
      <c r="AP3" s="153">
        <v>2024</v>
      </c>
      <c r="AQ3" s="153">
        <v>2024</v>
      </c>
      <c r="AR3" s="153">
        <v>2024</v>
      </c>
      <c r="AS3" s="153">
        <v>2024</v>
      </c>
      <c r="AT3" s="153">
        <v>2024</v>
      </c>
      <c r="AU3" s="153">
        <v>2024</v>
      </c>
      <c r="AV3" s="153">
        <v>2024</v>
      </c>
      <c r="AW3" s="153">
        <v>2024</v>
      </c>
      <c r="AX3" s="153">
        <v>2024</v>
      </c>
      <c r="AY3" s="153">
        <v>2024</v>
      </c>
      <c r="AZ3" s="153">
        <v>2024</v>
      </c>
      <c r="BA3" s="153">
        <v>2025</v>
      </c>
      <c r="BB3" s="153">
        <v>2025</v>
      </c>
      <c r="BC3" s="153">
        <v>2025</v>
      </c>
      <c r="BD3" s="153">
        <v>2025</v>
      </c>
      <c r="BE3" s="153">
        <v>2025</v>
      </c>
      <c r="BF3" s="153">
        <v>2025</v>
      </c>
      <c r="BG3" s="153">
        <v>2025</v>
      </c>
      <c r="BH3" s="153">
        <v>2025</v>
      </c>
      <c r="BI3" s="153">
        <v>2025</v>
      </c>
      <c r="BJ3" s="153">
        <v>2025</v>
      </c>
      <c r="BK3" s="153">
        <v>2025</v>
      </c>
      <c r="BL3" s="153">
        <v>2025</v>
      </c>
      <c r="BM3" s="153">
        <v>2026</v>
      </c>
      <c r="BN3" s="153">
        <v>2026</v>
      </c>
      <c r="BO3" s="153">
        <v>2026</v>
      </c>
      <c r="BP3" s="153">
        <v>2026</v>
      </c>
      <c r="BQ3" s="153">
        <v>2026</v>
      </c>
      <c r="BR3" s="153">
        <v>2026</v>
      </c>
      <c r="BS3" s="153">
        <v>2026</v>
      </c>
      <c r="BT3" s="153">
        <v>2026</v>
      </c>
      <c r="BU3" s="153">
        <v>2026</v>
      </c>
      <c r="BV3" s="153">
        <v>2026</v>
      </c>
      <c r="BW3" s="153">
        <v>2026</v>
      </c>
      <c r="BX3" s="153">
        <v>2026</v>
      </c>
      <c r="BZ3" s="452" t="s">
        <v>385</v>
      </c>
      <c r="CA3" s="452"/>
      <c r="CC3" s="53">
        <v>2019</v>
      </c>
      <c r="CD3" s="53">
        <f>CC3+1</f>
        <v>2020</v>
      </c>
      <c r="CE3" s="53">
        <f t="shared" ref="CE3:CJ3" si="0">CD3+1</f>
        <v>2021</v>
      </c>
      <c r="CF3" s="53">
        <f t="shared" si="0"/>
        <v>2022</v>
      </c>
      <c r="CG3" s="53">
        <f t="shared" si="0"/>
        <v>2023</v>
      </c>
      <c r="CH3" s="53">
        <f t="shared" si="0"/>
        <v>2024</v>
      </c>
      <c r="CI3" s="53">
        <f t="shared" si="0"/>
        <v>2025</v>
      </c>
      <c r="CJ3" s="53">
        <f t="shared" si="0"/>
        <v>2026</v>
      </c>
    </row>
    <row r="4" spans="1:88" x14ac:dyDescent="0.3">
      <c r="B4" s="4" t="s">
        <v>119</v>
      </c>
      <c r="C4" s="152">
        <v>43646</v>
      </c>
      <c r="D4" s="152">
        <v>44012</v>
      </c>
      <c r="E4" s="3">
        <f t="shared" ref="E4:AN4" si="1">EOMONTH(D4,1)</f>
        <v>44043</v>
      </c>
      <c r="F4" s="3">
        <f t="shared" si="1"/>
        <v>44074</v>
      </c>
      <c r="G4" s="3">
        <f t="shared" si="1"/>
        <v>44104</v>
      </c>
      <c r="H4" s="3">
        <f t="shared" si="1"/>
        <v>44135</v>
      </c>
      <c r="I4" s="3">
        <f t="shared" si="1"/>
        <v>44165</v>
      </c>
      <c r="J4" s="3">
        <f t="shared" si="1"/>
        <v>44196</v>
      </c>
      <c r="K4" s="3">
        <f t="shared" si="1"/>
        <v>44227</v>
      </c>
      <c r="L4" s="3">
        <f t="shared" si="1"/>
        <v>44255</v>
      </c>
      <c r="M4" s="3">
        <f t="shared" si="1"/>
        <v>44286</v>
      </c>
      <c r="N4" s="3">
        <f t="shared" si="1"/>
        <v>44316</v>
      </c>
      <c r="O4" s="3">
        <f t="shared" si="1"/>
        <v>44347</v>
      </c>
      <c r="P4" s="3">
        <f t="shared" si="1"/>
        <v>44377</v>
      </c>
      <c r="Q4" s="3">
        <f t="shared" si="1"/>
        <v>44408</v>
      </c>
      <c r="R4" s="3">
        <f t="shared" si="1"/>
        <v>44439</v>
      </c>
      <c r="S4" s="3">
        <f t="shared" si="1"/>
        <v>44469</v>
      </c>
      <c r="T4" s="3">
        <f t="shared" si="1"/>
        <v>44500</v>
      </c>
      <c r="U4" s="3">
        <f t="shared" si="1"/>
        <v>44530</v>
      </c>
      <c r="V4" s="3">
        <f t="shared" si="1"/>
        <v>44561</v>
      </c>
      <c r="W4" s="3">
        <f t="shared" si="1"/>
        <v>44592</v>
      </c>
      <c r="X4" s="3">
        <f t="shared" si="1"/>
        <v>44620</v>
      </c>
      <c r="Y4" s="3">
        <f t="shared" si="1"/>
        <v>44651</v>
      </c>
      <c r="Z4" s="3">
        <f t="shared" si="1"/>
        <v>44681</v>
      </c>
      <c r="AA4" s="3">
        <f t="shared" si="1"/>
        <v>44712</v>
      </c>
      <c r="AB4" s="3">
        <f t="shared" si="1"/>
        <v>44742</v>
      </c>
      <c r="AC4" s="3">
        <f t="shared" si="1"/>
        <v>44773</v>
      </c>
      <c r="AD4" s="3">
        <f t="shared" si="1"/>
        <v>44804</v>
      </c>
      <c r="AE4" s="3">
        <f t="shared" si="1"/>
        <v>44834</v>
      </c>
      <c r="AF4" s="3">
        <f t="shared" si="1"/>
        <v>44865</v>
      </c>
      <c r="AG4" s="3">
        <f t="shared" si="1"/>
        <v>44895</v>
      </c>
      <c r="AH4" s="3">
        <f t="shared" si="1"/>
        <v>44926</v>
      </c>
      <c r="AI4" s="3">
        <f t="shared" si="1"/>
        <v>44957</v>
      </c>
      <c r="AJ4" s="3">
        <f t="shared" si="1"/>
        <v>44985</v>
      </c>
      <c r="AK4" s="3">
        <f t="shared" si="1"/>
        <v>45016</v>
      </c>
      <c r="AL4" s="3">
        <f t="shared" si="1"/>
        <v>45046</v>
      </c>
      <c r="AM4" s="3">
        <f t="shared" si="1"/>
        <v>45077</v>
      </c>
      <c r="AN4" s="3">
        <f t="shared" si="1"/>
        <v>45107</v>
      </c>
      <c r="AO4" s="3">
        <f t="shared" ref="AO4" si="2">EOMONTH(AN4,1)</f>
        <v>45138</v>
      </c>
      <c r="AP4" s="3">
        <f t="shared" ref="AP4" si="3">EOMONTH(AO4,1)</f>
        <v>45169</v>
      </c>
      <c r="AQ4" s="3">
        <f t="shared" ref="AQ4" si="4">EOMONTH(AP4,1)</f>
        <v>45199</v>
      </c>
      <c r="AR4" s="3">
        <f t="shared" ref="AR4" si="5">EOMONTH(AQ4,1)</f>
        <v>45230</v>
      </c>
      <c r="AS4" s="3">
        <f t="shared" ref="AS4" si="6">EOMONTH(AR4,1)</f>
        <v>45260</v>
      </c>
      <c r="AT4" s="3">
        <f t="shared" ref="AT4" si="7">EOMONTH(AS4,1)</f>
        <v>45291</v>
      </c>
      <c r="AU4" s="3">
        <f t="shared" ref="AU4" si="8">EOMONTH(AT4,1)</f>
        <v>45322</v>
      </c>
      <c r="AV4" s="3">
        <f t="shared" ref="AV4" si="9">EOMONTH(AU4,1)</f>
        <v>45351</v>
      </c>
      <c r="AW4" s="3">
        <f t="shared" ref="AW4" si="10">EOMONTH(AV4,1)</f>
        <v>45382</v>
      </c>
      <c r="AX4" s="3">
        <f t="shared" ref="AX4" si="11">EOMONTH(AW4,1)</f>
        <v>45412</v>
      </c>
      <c r="AY4" s="3">
        <f t="shared" ref="AY4" si="12">EOMONTH(AX4,1)</f>
        <v>45443</v>
      </c>
      <c r="AZ4" s="3">
        <f t="shared" ref="AZ4:BM4" si="13">EOMONTH(AY4,1)</f>
        <v>45473</v>
      </c>
      <c r="BA4" s="3">
        <f t="shared" si="13"/>
        <v>45504</v>
      </c>
      <c r="BB4" s="3">
        <f t="shared" si="13"/>
        <v>45535</v>
      </c>
      <c r="BC4" s="3">
        <f t="shared" si="13"/>
        <v>45565</v>
      </c>
      <c r="BD4" s="3">
        <f t="shared" si="13"/>
        <v>45596</v>
      </c>
      <c r="BE4" s="3">
        <f t="shared" si="13"/>
        <v>45626</v>
      </c>
      <c r="BF4" s="3">
        <f t="shared" si="13"/>
        <v>45657</v>
      </c>
      <c r="BG4" s="3">
        <f t="shared" si="13"/>
        <v>45688</v>
      </c>
      <c r="BH4" s="3">
        <f t="shared" si="13"/>
        <v>45716</v>
      </c>
      <c r="BI4" s="3">
        <f t="shared" si="13"/>
        <v>45747</v>
      </c>
      <c r="BJ4" s="3">
        <f t="shared" si="13"/>
        <v>45777</v>
      </c>
      <c r="BK4" s="3">
        <f t="shared" si="13"/>
        <v>45808</v>
      </c>
      <c r="BL4" s="3">
        <f t="shared" si="13"/>
        <v>45838</v>
      </c>
      <c r="BM4" s="3">
        <f t="shared" si="13"/>
        <v>45869</v>
      </c>
      <c r="BN4" s="3">
        <f t="shared" ref="BN4" si="14">EOMONTH(BM4,1)</f>
        <v>45900</v>
      </c>
      <c r="BO4" s="3">
        <f t="shared" ref="BO4" si="15">EOMONTH(BN4,1)</f>
        <v>45930</v>
      </c>
      <c r="BP4" s="3">
        <f t="shared" ref="BP4" si="16">EOMONTH(BO4,1)</f>
        <v>45961</v>
      </c>
      <c r="BQ4" s="3">
        <f t="shared" ref="BQ4" si="17">EOMONTH(BP4,1)</f>
        <v>45991</v>
      </c>
      <c r="BR4" s="3">
        <f t="shared" ref="BR4" si="18">EOMONTH(BQ4,1)</f>
        <v>46022</v>
      </c>
      <c r="BS4" s="3">
        <f t="shared" ref="BS4" si="19">EOMONTH(BR4,1)</f>
        <v>46053</v>
      </c>
      <c r="BT4" s="3">
        <f t="shared" ref="BT4" si="20">EOMONTH(BS4,1)</f>
        <v>46081</v>
      </c>
      <c r="BU4" s="3">
        <f t="shared" ref="BU4" si="21">EOMONTH(BT4,1)</f>
        <v>46112</v>
      </c>
      <c r="BV4" s="3">
        <f t="shared" ref="BV4" si="22">EOMONTH(BU4,1)</f>
        <v>46142</v>
      </c>
      <c r="BW4" s="3">
        <f t="shared" ref="BW4" si="23">EOMONTH(BV4,1)</f>
        <v>46173</v>
      </c>
      <c r="BX4" s="3">
        <f t="shared" ref="BX4" si="24">EOMONTH(BW4,1)</f>
        <v>46203</v>
      </c>
      <c r="BZ4" s="4" t="s">
        <v>130</v>
      </c>
      <c r="CA4" s="3" t="s">
        <v>129</v>
      </c>
      <c r="CC4" s="3">
        <f>C4</f>
        <v>43646</v>
      </c>
      <c r="CD4" s="3">
        <f>EOMONTH(CC4,12)</f>
        <v>44012</v>
      </c>
      <c r="CE4" s="3">
        <f t="shared" ref="CE4:CJ4" si="25">EOMONTH(CD4,12)</f>
        <v>44377</v>
      </c>
      <c r="CF4" s="3">
        <f t="shared" si="25"/>
        <v>44742</v>
      </c>
      <c r="CG4" s="3">
        <f t="shared" si="25"/>
        <v>45107</v>
      </c>
      <c r="CH4" s="3">
        <f t="shared" si="25"/>
        <v>45473</v>
      </c>
      <c r="CI4" s="3">
        <f t="shared" si="25"/>
        <v>45838</v>
      </c>
      <c r="CJ4" s="3">
        <f t="shared" si="25"/>
        <v>46203</v>
      </c>
    </row>
    <row r="5" spans="1:88" x14ac:dyDescent="0.3">
      <c r="Q5" s="38"/>
    </row>
    <row r="6" spans="1:88" x14ac:dyDescent="0.3">
      <c r="A6" s="23" t="s">
        <v>149</v>
      </c>
      <c r="B6" s="87"/>
      <c r="C6" s="87"/>
      <c r="D6" s="87"/>
      <c r="E6" s="90"/>
      <c r="F6" s="90"/>
      <c r="G6" s="90"/>
      <c r="H6" s="90"/>
      <c r="I6" s="90"/>
      <c r="J6" s="88"/>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1"/>
      <c r="BZ6" s="91"/>
      <c r="CA6" s="91"/>
      <c r="CB6" s="91"/>
      <c r="CC6" s="91"/>
      <c r="CD6" s="91"/>
      <c r="CE6" s="91"/>
      <c r="CF6" s="91"/>
      <c r="CG6" s="91"/>
      <c r="CH6" s="91"/>
      <c r="CI6" s="91"/>
      <c r="CJ6" s="91"/>
    </row>
    <row r="7" spans="1:88" x14ac:dyDescent="0.3">
      <c r="A7" s="1" t="str">
        <f>B7</f>
        <v>Building Capacity</v>
      </c>
      <c r="B7" s="10" t="s">
        <v>402</v>
      </c>
      <c r="C7" s="100">
        <f>'Hillpointe Detail'!C7+'Sandhill Detail'!C7</f>
        <v>588</v>
      </c>
      <c r="D7" s="100">
        <f>'Hillpointe Detail'!D7+'Sandhill Detail'!D7</f>
        <v>588</v>
      </c>
      <c r="E7" s="100">
        <f>'Hillpointe Detail'!E7+'Sandhill Detail'!E7</f>
        <v>588</v>
      </c>
      <c r="F7" s="100">
        <f>'Hillpointe Detail'!F7+'Sandhill Detail'!F7</f>
        <v>588</v>
      </c>
      <c r="G7" s="100">
        <f>'Hillpointe Detail'!G7+'Sandhill Detail'!G7</f>
        <v>588</v>
      </c>
      <c r="H7" s="100">
        <f>'Hillpointe Detail'!H7+'Sandhill Detail'!H7</f>
        <v>588</v>
      </c>
      <c r="I7" s="100">
        <f>'Hillpointe Detail'!I7+'Sandhill Detail'!I7</f>
        <v>588</v>
      </c>
      <c r="J7" s="100">
        <f>'Hillpointe Detail'!J7+'Sandhill Detail'!J7</f>
        <v>588</v>
      </c>
      <c r="K7" s="100">
        <f>'Hillpointe Detail'!K7+'Sandhill Detail'!K7</f>
        <v>588</v>
      </c>
      <c r="L7" s="100">
        <f>'Hillpointe Detail'!L7+'Sandhill Detail'!L7</f>
        <v>588</v>
      </c>
      <c r="M7" s="100">
        <f>'Hillpointe Detail'!M7+'Sandhill Detail'!M7</f>
        <v>588</v>
      </c>
      <c r="N7" s="100">
        <f>'Hillpointe Detail'!N7+'Sandhill Detail'!N7</f>
        <v>588</v>
      </c>
      <c r="O7" s="100">
        <f>'Hillpointe Detail'!O7+'Sandhill Detail'!O7</f>
        <v>588</v>
      </c>
      <c r="P7" s="100">
        <f>'Hillpointe Detail'!P7+'Sandhill Detail'!P7</f>
        <v>588</v>
      </c>
      <c r="Q7" s="100">
        <f>'Hillpointe Detail'!Q7+'Sandhill Detail'!Q7</f>
        <v>588</v>
      </c>
      <c r="R7" s="100">
        <f>'Hillpointe Detail'!R7+'Sandhill Detail'!R7</f>
        <v>644</v>
      </c>
      <c r="S7" s="100">
        <f>'Hillpointe Detail'!S7+'Sandhill Detail'!S7</f>
        <v>644</v>
      </c>
      <c r="T7" s="100">
        <f>'Hillpointe Detail'!T7+'Sandhill Detail'!T7</f>
        <v>644</v>
      </c>
      <c r="U7" s="100">
        <f>'Hillpointe Detail'!U7+'Sandhill Detail'!U7</f>
        <v>644</v>
      </c>
      <c r="V7" s="100">
        <f>'Hillpointe Detail'!V7+'Sandhill Detail'!V7</f>
        <v>644</v>
      </c>
      <c r="W7" s="100">
        <f>'Hillpointe Detail'!W7+'Sandhill Detail'!W7</f>
        <v>644</v>
      </c>
      <c r="X7" s="100">
        <f>'Hillpointe Detail'!X7+'Sandhill Detail'!X7</f>
        <v>644</v>
      </c>
      <c r="Y7" s="100">
        <f>'Hillpointe Detail'!Y7+'Sandhill Detail'!Y7</f>
        <v>644</v>
      </c>
      <c r="Z7" s="100">
        <f>'Hillpointe Detail'!Z7+'Sandhill Detail'!Z7</f>
        <v>644</v>
      </c>
      <c r="AA7" s="100">
        <f>'Hillpointe Detail'!AA7+'Sandhill Detail'!AA7</f>
        <v>644</v>
      </c>
      <c r="AB7" s="100">
        <f>'Hillpointe Detail'!AB7+'Sandhill Detail'!AB7</f>
        <v>644</v>
      </c>
      <c r="AC7" s="100">
        <f>'Hillpointe Detail'!AC7+'Sandhill Detail'!AC7</f>
        <v>644</v>
      </c>
      <c r="AD7" s="100">
        <f>'Hillpointe Detail'!AD7+'Sandhill Detail'!AD7</f>
        <v>644</v>
      </c>
      <c r="AE7" s="100">
        <f>'Hillpointe Detail'!AE7+'Sandhill Detail'!AE7</f>
        <v>644</v>
      </c>
      <c r="AF7" s="100">
        <f>'Hillpointe Detail'!AF7+'Sandhill Detail'!AF7</f>
        <v>644</v>
      </c>
      <c r="AG7" s="100">
        <f>'Hillpointe Detail'!AG7+'Sandhill Detail'!AG7</f>
        <v>644</v>
      </c>
      <c r="AH7" s="100">
        <f>'Hillpointe Detail'!AH7+'Sandhill Detail'!AH7</f>
        <v>644</v>
      </c>
      <c r="AI7" s="100">
        <f>'Hillpointe Detail'!AI7+'Sandhill Detail'!AI7</f>
        <v>644</v>
      </c>
      <c r="AJ7" s="100">
        <f>'Hillpointe Detail'!AJ7+'Sandhill Detail'!AJ7</f>
        <v>644</v>
      </c>
      <c r="AK7" s="100">
        <f>'Hillpointe Detail'!AK7+'Sandhill Detail'!AK7</f>
        <v>644</v>
      </c>
      <c r="AL7" s="100">
        <f>'Hillpointe Detail'!AL7+'Sandhill Detail'!AL7</f>
        <v>644</v>
      </c>
      <c r="AM7" s="100">
        <f>'Hillpointe Detail'!AM7+'Sandhill Detail'!AM7</f>
        <v>644</v>
      </c>
      <c r="AN7" s="100">
        <f>'Hillpointe Detail'!AN7+'Sandhill Detail'!AN7</f>
        <v>644</v>
      </c>
      <c r="AO7" s="100">
        <f>'Hillpointe Detail'!AO7+'Sandhill Detail'!AO7</f>
        <v>644</v>
      </c>
      <c r="AP7" s="100">
        <f>'Hillpointe Detail'!AP7+'Sandhill Detail'!AP7</f>
        <v>728</v>
      </c>
      <c r="AQ7" s="100">
        <f>'Hillpointe Detail'!AQ7+'Sandhill Detail'!AQ7</f>
        <v>728</v>
      </c>
      <c r="AR7" s="100">
        <f>'Hillpointe Detail'!AR7+'Sandhill Detail'!AR7</f>
        <v>728</v>
      </c>
      <c r="AS7" s="100">
        <f>'Hillpointe Detail'!AS7+'Sandhill Detail'!AS7</f>
        <v>728</v>
      </c>
      <c r="AT7" s="100">
        <f>'Hillpointe Detail'!AT7+'Sandhill Detail'!AT7</f>
        <v>728</v>
      </c>
      <c r="AU7" s="100">
        <f>'Hillpointe Detail'!AU7+'Sandhill Detail'!AU7</f>
        <v>728</v>
      </c>
      <c r="AV7" s="100">
        <f>'Hillpointe Detail'!AV7+'Sandhill Detail'!AV7</f>
        <v>728</v>
      </c>
      <c r="AW7" s="100">
        <f>'Hillpointe Detail'!AW7+'Sandhill Detail'!AW7</f>
        <v>728</v>
      </c>
      <c r="AX7" s="100">
        <f>'Hillpointe Detail'!AX7+'Sandhill Detail'!AX7</f>
        <v>728</v>
      </c>
      <c r="AY7" s="100">
        <f>'Hillpointe Detail'!AY7+'Sandhill Detail'!AY7</f>
        <v>728</v>
      </c>
      <c r="AZ7" s="100">
        <f>'Hillpointe Detail'!AZ7+'Sandhill Detail'!AZ7</f>
        <v>728</v>
      </c>
      <c r="BA7" s="100">
        <f>'Hillpointe Detail'!BA7+'Sandhill Detail'!BA7</f>
        <v>728</v>
      </c>
      <c r="BB7" s="100">
        <f>'Hillpointe Detail'!BB7+'Sandhill Detail'!BB7</f>
        <v>728</v>
      </c>
      <c r="BC7" s="100">
        <f>'Hillpointe Detail'!BC7+'Sandhill Detail'!BC7</f>
        <v>728</v>
      </c>
      <c r="BD7" s="100">
        <f>'Hillpointe Detail'!BD7+'Sandhill Detail'!BD7</f>
        <v>728</v>
      </c>
      <c r="BE7" s="100">
        <f>'Hillpointe Detail'!BE7+'Sandhill Detail'!BE7</f>
        <v>728</v>
      </c>
      <c r="BF7" s="100">
        <f>'Hillpointe Detail'!BF7+'Sandhill Detail'!BF7</f>
        <v>728</v>
      </c>
      <c r="BG7" s="100">
        <f>'Hillpointe Detail'!BG7+'Sandhill Detail'!BG7</f>
        <v>728</v>
      </c>
      <c r="BH7" s="100">
        <f>'Hillpointe Detail'!BH7+'Sandhill Detail'!BH7</f>
        <v>728</v>
      </c>
      <c r="BI7" s="100">
        <f>'Hillpointe Detail'!BI7+'Sandhill Detail'!BI7</f>
        <v>728</v>
      </c>
      <c r="BJ7" s="100">
        <f>'Hillpointe Detail'!BJ7+'Sandhill Detail'!BJ7</f>
        <v>728</v>
      </c>
      <c r="BK7" s="100">
        <f>'Hillpointe Detail'!BK7+'Sandhill Detail'!BK7</f>
        <v>728</v>
      </c>
      <c r="BL7" s="100">
        <f>'Hillpointe Detail'!BL7+'Sandhill Detail'!BL7</f>
        <v>728</v>
      </c>
      <c r="BM7" s="100">
        <f>'Hillpointe Detail'!BM7+'Sandhill Detail'!BM7</f>
        <v>728</v>
      </c>
      <c r="BN7" s="100">
        <f>'Hillpointe Detail'!BN7+'Sandhill Detail'!BN7</f>
        <v>728</v>
      </c>
      <c r="BO7" s="100">
        <f>'Hillpointe Detail'!BO7+'Sandhill Detail'!BO7</f>
        <v>728</v>
      </c>
      <c r="BP7" s="100">
        <f>'Hillpointe Detail'!BP7+'Sandhill Detail'!BP7</f>
        <v>728</v>
      </c>
      <c r="BQ7" s="100">
        <f>'Hillpointe Detail'!BQ7+'Sandhill Detail'!BQ7</f>
        <v>728</v>
      </c>
      <c r="BR7" s="100">
        <f>'Hillpointe Detail'!BR7+'Sandhill Detail'!BR7</f>
        <v>728</v>
      </c>
      <c r="BS7" s="100">
        <f>'Hillpointe Detail'!BS7+'Sandhill Detail'!BS7</f>
        <v>728</v>
      </c>
      <c r="BT7" s="100">
        <f>'Hillpointe Detail'!BT7+'Sandhill Detail'!BT7</f>
        <v>728</v>
      </c>
      <c r="BU7" s="100">
        <f>'Hillpointe Detail'!BU7+'Sandhill Detail'!BU7</f>
        <v>728</v>
      </c>
      <c r="BV7" s="100">
        <f>'Hillpointe Detail'!BV7+'Sandhill Detail'!BV7</f>
        <v>728</v>
      </c>
      <c r="BW7" s="100">
        <f>'Hillpointe Detail'!BW7+'Sandhill Detail'!BW7</f>
        <v>728</v>
      </c>
      <c r="BX7" s="100">
        <f>'Hillpointe Detail'!BX7+'Sandhill Detail'!BX7</f>
        <v>728</v>
      </c>
      <c r="BY7" s="27"/>
      <c r="BZ7" s="100">
        <f>'Hillpointe Detail'!BZ7+'Sandhill Detail'!BZ7</f>
        <v>644</v>
      </c>
      <c r="CA7" s="100">
        <f>'Hillpointe Detail'!CA7+'Sandhill Detail'!CA7</f>
        <v>644</v>
      </c>
      <c r="CC7" s="100">
        <f t="shared" ref="CC7:CJ8" si="26">SUMIF($C$4:$BY$4,CC$4,$C7:$BY7)</f>
        <v>588</v>
      </c>
      <c r="CD7" s="100">
        <f t="shared" si="26"/>
        <v>588</v>
      </c>
      <c r="CE7" s="100">
        <f t="shared" si="26"/>
        <v>588</v>
      </c>
      <c r="CF7" s="100">
        <f t="shared" si="26"/>
        <v>644</v>
      </c>
      <c r="CG7" s="100">
        <f t="shared" si="26"/>
        <v>644</v>
      </c>
      <c r="CH7" s="100">
        <f t="shared" si="26"/>
        <v>728</v>
      </c>
      <c r="CI7" s="100">
        <f t="shared" si="26"/>
        <v>728</v>
      </c>
      <c r="CJ7" s="100">
        <f t="shared" si="26"/>
        <v>728</v>
      </c>
    </row>
    <row r="8" spans="1:88" x14ac:dyDescent="0.3">
      <c r="A8" s="1" t="str">
        <f>B8</f>
        <v>Charter Capacity</v>
      </c>
      <c r="B8" s="10" t="s">
        <v>403</v>
      </c>
      <c r="C8" s="101">
        <f>500*1.1</f>
        <v>550</v>
      </c>
      <c r="D8" s="100">
        <f>C8</f>
        <v>550</v>
      </c>
      <c r="E8" s="100">
        <f t="shared" ref="E8:BP8" si="27">D8</f>
        <v>550</v>
      </c>
      <c r="F8" s="100">
        <f t="shared" si="27"/>
        <v>550</v>
      </c>
      <c r="G8" s="100">
        <f t="shared" si="27"/>
        <v>550</v>
      </c>
      <c r="H8" s="100">
        <f t="shared" si="27"/>
        <v>550</v>
      </c>
      <c r="I8" s="100">
        <f t="shared" si="27"/>
        <v>550</v>
      </c>
      <c r="J8" s="100">
        <f t="shared" si="27"/>
        <v>550</v>
      </c>
      <c r="K8" s="100">
        <f t="shared" si="27"/>
        <v>550</v>
      </c>
      <c r="L8" s="100">
        <f t="shared" si="27"/>
        <v>550</v>
      </c>
      <c r="M8" s="100">
        <f t="shared" si="27"/>
        <v>550</v>
      </c>
      <c r="N8" s="100">
        <f t="shared" si="27"/>
        <v>550</v>
      </c>
      <c r="O8" s="100">
        <f t="shared" si="27"/>
        <v>550</v>
      </c>
      <c r="P8" s="100">
        <f t="shared" si="27"/>
        <v>550</v>
      </c>
      <c r="Q8" s="100">
        <f t="shared" si="27"/>
        <v>550</v>
      </c>
      <c r="R8" s="100">
        <f t="shared" si="27"/>
        <v>550</v>
      </c>
      <c r="S8" s="100">
        <f t="shared" si="27"/>
        <v>550</v>
      </c>
      <c r="T8" s="100">
        <f t="shared" si="27"/>
        <v>550</v>
      </c>
      <c r="U8" s="100">
        <f t="shared" si="27"/>
        <v>550</v>
      </c>
      <c r="V8" s="100">
        <f t="shared" si="27"/>
        <v>550</v>
      </c>
      <c r="W8" s="100">
        <f t="shared" si="27"/>
        <v>550</v>
      </c>
      <c r="X8" s="100">
        <f t="shared" si="27"/>
        <v>550</v>
      </c>
      <c r="Y8" s="100">
        <f t="shared" si="27"/>
        <v>550</v>
      </c>
      <c r="Z8" s="100">
        <f t="shared" si="27"/>
        <v>550</v>
      </c>
      <c r="AA8" s="100">
        <f t="shared" si="27"/>
        <v>550</v>
      </c>
      <c r="AB8" s="100">
        <f t="shared" si="27"/>
        <v>550</v>
      </c>
      <c r="AC8" s="100">
        <f t="shared" ref="AC8" si="28">AB8</f>
        <v>550</v>
      </c>
      <c r="AD8" s="100">
        <f t="shared" ref="AD8" si="29">AC8</f>
        <v>550</v>
      </c>
      <c r="AE8" s="100">
        <f t="shared" ref="AE8" si="30">AD8</f>
        <v>550</v>
      </c>
      <c r="AF8" s="100">
        <f t="shared" ref="AF8" si="31">AE8</f>
        <v>550</v>
      </c>
      <c r="AG8" s="100">
        <f t="shared" ref="AG8" si="32">AF8</f>
        <v>550</v>
      </c>
      <c r="AH8" s="100">
        <f t="shared" ref="AH8" si="33">AG8</f>
        <v>550</v>
      </c>
      <c r="AI8" s="100">
        <f t="shared" ref="AI8" si="34">AH8</f>
        <v>550</v>
      </c>
      <c r="AJ8" s="100">
        <f t="shared" ref="AJ8" si="35">AI8</f>
        <v>550</v>
      </c>
      <c r="AK8" s="100">
        <f t="shared" ref="AK8" si="36">AJ8</f>
        <v>550</v>
      </c>
      <c r="AL8" s="100">
        <f t="shared" ref="AL8" si="37">AK8</f>
        <v>550</v>
      </c>
      <c r="AM8" s="100">
        <f t="shared" ref="AM8" si="38">AL8</f>
        <v>550</v>
      </c>
      <c r="AN8" s="100">
        <f t="shared" ref="AN8" si="39">AM8</f>
        <v>550</v>
      </c>
      <c r="AO8" s="100">
        <f t="shared" ref="AO8" si="40">AN8</f>
        <v>550</v>
      </c>
      <c r="AP8" s="101">
        <f>900*1.1</f>
        <v>990.00000000000011</v>
      </c>
      <c r="AQ8" s="100">
        <f t="shared" si="27"/>
        <v>990.00000000000011</v>
      </c>
      <c r="AR8" s="100">
        <f t="shared" si="27"/>
        <v>990.00000000000011</v>
      </c>
      <c r="AS8" s="100">
        <f t="shared" si="27"/>
        <v>990.00000000000011</v>
      </c>
      <c r="AT8" s="100">
        <f t="shared" si="27"/>
        <v>990.00000000000011</v>
      </c>
      <c r="AU8" s="100">
        <f t="shared" si="27"/>
        <v>990.00000000000011</v>
      </c>
      <c r="AV8" s="100">
        <f t="shared" si="27"/>
        <v>990.00000000000011</v>
      </c>
      <c r="AW8" s="100">
        <f t="shared" si="27"/>
        <v>990.00000000000011</v>
      </c>
      <c r="AX8" s="100">
        <f t="shared" si="27"/>
        <v>990.00000000000011</v>
      </c>
      <c r="AY8" s="100">
        <f t="shared" si="27"/>
        <v>990.00000000000011</v>
      </c>
      <c r="AZ8" s="100">
        <f t="shared" si="27"/>
        <v>990.00000000000011</v>
      </c>
      <c r="BA8" s="100">
        <f t="shared" si="27"/>
        <v>990.00000000000011</v>
      </c>
      <c r="BB8" s="100">
        <f t="shared" si="27"/>
        <v>990.00000000000011</v>
      </c>
      <c r="BC8" s="100">
        <f t="shared" si="27"/>
        <v>990.00000000000011</v>
      </c>
      <c r="BD8" s="100">
        <f t="shared" si="27"/>
        <v>990.00000000000011</v>
      </c>
      <c r="BE8" s="100">
        <f t="shared" si="27"/>
        <v>990.00000000000011</v>
      </c>
      <c r="BF8" s="100">
        <f t="shared" si="27"/>
        <v>990.00000000000011</v>
      </c>
      <c r="BG8" s="100">
        <f t="shared" si="27"/>
        <v>990.00000000000011</v>
      </c>
      <c r="BH8" s="100">
        <f t="shared" si="27"/>
        <v>990.00000000000011</v>
      </c>
      <c r="BI8" s="100">
        <f t="shared" si="27"/>
        <v>990.00000000000011</v>
      </c>
      <c r="BJ8" s="100">
        <f t="shared" si="27"/>
        <v>990.00000000000011</v>
      </c>
      <c r="BK8" s="100">
        <f t="shared" si="27"/>
        <v>990.00000000000011</v>
      </c>
      <c r="BL8" s="100">
        <f t="shared" si="27"/>
        <v>990.00000000000011</v>
      </c>
      <c r="BM8" s="100">
        <f t="shared" si="27"/>
        <v>990.00000000000011</v>
      </c>
      <c r="BN8" s="100">
        <f t="shared" si="27"/>
        <v>990.00000000000011</v>
      </c>
      <c r="BO8" s="100">
        <f t="shared" si="27"/>
        <v>990.00000000000011</v>
      </c>
      <c r="BP8" s="100">
        <f t="shared" si="27"/>
        <v>990.00000000000011</v>
      </c>
      <c r="BQ8" s="100">
        <f t="shared" ref="BQ8:BX8" si="41">BP8</f>
        <v>990.00000000000011</v>
      </c>
      <c r="BR8" s="100">
        <f t="shared" si="41"/>
        <v>990.00000000000011</v>
      </c>
      <c r="BS8" s="100">
        <f t="shared" si="41"/>
        <v>990.00000000000011</v>
      </c>
      <c r="BT8" s="100">
        <f t="shared" si="41"/>
        <v>990.00000000000011</v>
      </c>
      <c r="BU8" s="100">
        <f t="shared" si="41"/>
        <v>990.00000000000011</v>
      </c>
      <c r="BV8" s="100">
        <f t="shared" si="41"/>
        <v>990.00000000000011</v>
      </c>
      <c r="BW8" s="100">
        <f t="shared" si="41"/>
        <v>990.00000000000011</v>
      </c>
      <c r="BX8" s="100">
        <f t="shared" si="41"/>
        <v>990.00000000000011</v>
      </c>
      <c r="BY8" s="27"/>
      <c r="BZ8" s="100"/>
      <c r="CA8" s="100"/>
      <c r="CC8" s="100">
        <f t="shared" si="26"/>
        <v>550</v>
      </c>
      <c r="CD8" s="100">
        <f t="shared" si="26"/>
        <v>550</v>
      </c>
      <c r="CE8" s="100">
        <f t="shared" si="26"/>
        <v>550</v>
      </c>
      <c r="CF8" s="100">
        <f t="shared" si="26"/>
        <v>550</v>
      </c>
      <c r="CG8" s="100">
        <f t="shared" si="26"/>
        <v>550</v>
      </c>
      <c r="CH8" s="100">
        <f t="shared" si="26"/>
        <v>990.00000000000011</v>
      </c>
      <c r="CI8" s="100">
        <f t="shared" si="26"/>
        <v>990.00000000000011</v>
      </c>
      <c r="CJ8" s="100">
        <f t="shared" si="26"/>
        <v>990.00000000000011</v>
      </c>
    </row>
    <row r="9" spans="1:88" x14ac:dyDescent="0.3">
      <c r="A9" s="1" t="s">
        <v>361</v>
      </c>
      <c r="B9" s="10"/>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27"/>
      <c r="BZ9" s="100"/>
      <c r="CA9" s="100"/>
      <c r="CC9" s="100"/>
    </row>
    <row r="10" spans="1:88" x14ac:dyDescent="0.3">
      <c r="A10" t="str">
        <f t="shared" ref="A10:A19" si="42">B10</f>
        <v>KG</v>
      </c>
      <c r="B10" s="10" t="s">
        <v>352</v>
      </c>
      <c r="C10" s="100">
        <f>'Hillpointe Detail'!C10+'Sandhill Detail'!C10</f>
        <v>80</v>
      </c>
      <c r="D10" s="100">
        <f>'Hillpointe Detail'!D10+'Sandhill Detail'!D10</f>
        <v>66</v>
      </c>
      <c r="E10" s="100">
        <f>'Hillpointe Detail'!E10+'Sandhill Detail'!E10</f>
        <v>66</v>
      </c>
      <c r="F10" s="100">
        <f>'Hillpointe Detail'!F10+'Sandhill Detail'!F10</f>
        <v>55</v>
      </c>
      <c r="G10" s="100">
        <f>'Hillpointe Detail'!G10+'Sandhill Detail'!G10</f>
        <v>62</v>
      </c>
      <c r="H10" s="100">
        <f>'Hillpointe Detail'!H10+'Sandhill Detail'!H10</f>
        <v>62</v>
      </c>
      <c r="I10" s="100">
        <f>'Hillpointe Detail'!I10+'Sandhill Detail'!I10</f>
        <v>63</v>
      </c>
      <c r="J10" s="100">
        <f>'Hillpointe Detail'!J10+'Sandhill Detail'!J10</f>
        <v>60</v>
      </c>
      <c r="K10" s="100">
        <f>'Hillpointe Detail'!K10+'Sandhill Detail'!K10</f>
        <v>62</v>
      </c>
      <c r="L10" s="100">
        <f>'Hillpointe Detail'!L10+'Sandhill Detail'!L10</f>
        <v>62</v>
      </c>
      <c r="M10" s="100">
        <f>'Hillpointe Detail'!M10+'Sandhill Detail'!M10</f>
        <v>60</v>
      </c>
      <c r="N10" s="100">
        <f>'Hillpointe Detail'!N10+'Sandhill Detail'!N10</f>
        <v>60</v>
      </c>
      <c r="O10" s="100">
        <f>'Hillpointe Detail'!O10+'Sandhill Detail'!O10</f>
        <v>60</v>
      </c>
      <c r="P10" s="100">
        <f>'Hillpointe Detail'!P10+'Sandhill Detail'!P10</f>
        <v>60</v>
      </c>
      <c r="Q10" s="100">
        <f>'Hillpointe Detail'!Q10+'Sandhill Detail'!Q10</f>
        <v>60</v>
      </c>
      <c r="R10" s="100">
        <f>'Hillpointe Detail'!R10+'Sandhill Detail'!R10</f>
        <v>70</v>
      </c>
      <c r="S10" s="100">
        <f>'Hillpointe Detail'!S10+'Sandhill Detail'!S10</f>
        <v>69</v>
      </c>
      <c r="T10" s="100">
        <f>'Hillpointe Detail'!T10+'Sandhill Detail'!T10</f>
        <v>66</v>
      </c>
      <c r="U10" s="100">
        <f>'Hillpointe Detail'!U10+'Sandhill Detail'!U10</f>
        <v>64</v>
      </c>
      <c r="V10" s="100">
        <f>'Hillpointe Detail'!V10+'Sandhill Detail'!V10</f>
        <v>64</v>
      </c>
      <c r="W10" s="100">
        <f>'Hillpointe Detail'!W10+'Sandhill Detail'!W10</f>
        <v>64</v>
      </c>
      <c r="X10" s="100">
        <f>'Hillpointe Detail'!X10+'Sandhill Detail'!X10</f>
        <v>62</v>
      </c>
      <c r="Y10" s="100">
        <f>'Hillpointe Detail'!Y10+'Sandhill Detail'!Y10</f>
        <v>61</v>
      </c>
      <c r="Z10" s="100">
        <f>'Hillpointe Detail'!Z10+'Sandhill Detail'!Z10</f>
        <v>61</v>
      </c>
      <c r="AA10" s="100">
        <f>'Hillpointe Detail'!AA10+'Sandhill Detail'!AA10</f>
        <v>61</v>
      </c>
      <c r="AB10" s="100">
        <f>'Hillpointe Detail'!AB10+'Sandhill Detail'!AB10</f>
        <v>61</v>
      </c>
      <c r="AC10" s="100">
        <f>'Hillpointe Detail'!AC10+'Sandhill Detail'!AC10</f>
        <v>61</v>
      </c>
      <c r="AD10" s="100">
        <f>'Hillpointe Detail'!AD10+'Sandhill Detail'!AD10</f>
        <v>75</v>
      </c>
      <c r="AE10" s="100">
        <f>'Hillpointe Detail'!AE10+'Sandhill Detail'!AE10</f>
        <v>74</v>
      </c>
      <c r="AF10" s="100">
        <f>'Hillpointe Detail'!AF10+'Sandhill Detail'!AF10</f>
        <v>73</v>
      </c>
      <c r="AG10" s="100">
        <f>'Hillpointe Detail'!AG10+'Sandhill Detail'!AG10</f>
        <v>72</v>
      </c>
      <c r="AH10" s="100">
        <f>'Hillpointe Detail'!AH10+'Sandhill Detail'!AH10</f>
        <v>73</v>
      </c>
      <c r="AI10" s="100">
        <f>'Hillpointe Detail'!AI10+'Sandhill Detail'!AI10</f>
        <v>75</v>
      </c>
      <c r="AJ10" s="100">
        <f>'Hillpointe Detail'!AJ10+'Sandhill Detail'!AJ10</f>
        <v>74</v>
      </c>
      <c r="AK10" s="100">
        <f>'Hillpointe Detail'!AK10+'Sandhill Detail'!AK10</f>
        <v>74</v>
      </c>
      <c r="AL10" s="100">
        <f>'Hillpointe Detail'!AL10+'Sandhill Detail'!AL10</f>
        <v>74</v>
      </c>
      <c r="AM10" s="100">
        <f>'Hillpointe Detail'!AM10+'Sandhill Detail'!AM10</f>
        <v>74</v>
      </c>
      <c r="AN10" s="100">
        <f>'Hillpointe Detail'!AN10+'Sandhill Detail'!AN10</f>
        <v>74</v>
      </c>
      <c r="AO10" s="100">
        <f>'Hillpointe Detail'!AO10+'Sandhill Detail'!AO10</f>
        <v>74</v>
      </c>
      <c r="AP10" s="100">
        <f>'Hillpointe Detail'!AP10+'Sandhill Detail'!AP10</f>
        <v>83</v>
      </c>
      <c r="AQ10" s="100">
        <f>'Hillpointe Detail'!AQ10+'Sandhill Detail'!AQ10</f>
        <v>82</v>
      </c>
      <c r="AR10" s="100">
        <f>'Hillpointe Detail'!AR10+'Sandhill Detail'!AR10</f>
        <v>80</v>
      </c>
      <c r="AS10" s="100">
        <f>'Hillpointe Detail'!AS10+'Sandhill Detail'!AS10</f>
        <v>79</v>
      </c>
      <c r="AT10" s="100">
        <f>'Hillpointe Detail'!AT10+'Sandhill Detail'!AT10</f>
        <v>80</v>
      </c>
      <c r="AU10" s="100">
        <f>'Hillpointe Detail'!AU10+'Sandhill Detail'!AU10</f>
        <v>82</v>
      </c>
      <c r="AV10" s="100">
        <f>'Hillpointe Detail'!AV10+'Sandhill Detail'!AV10</f>
        <v>80</v>
      </c>
      <c r="AW10" s="100">
        <f>'Hillpointe Detail'!AW10+'Sandhill Detail'!AW10</f>
        <v>80</v>
      </c>
      <c r="AX10" s="100">
        <f>'Hillpointe Detail'!AX10+'Sandhill Detail'!AX10</f>
        <v>80</v>
      </c>
      <c r="AY10" s="100">
        <f>'Hillpointe Detail'!AY10+'Sandhill Detail'!AY10</f>
        <v>80</v>
      </c>
      <c r="AZ10" s="100">
        <f>'Hillpointe Detail'!AZ10+'Sandhill Detail'!AZ10</f>
        <v>80</v>
      </c>
      <c r="BA10" s="100">
        <f>'Hillpointe Detail'!BA10+'Sandhill Detail'!BA10</f>
        <v>80</v>
      </c>
      <c r="BB10" s="100">
        <f>'Hillpointe Detail'!BB10+'Sandhill Detail'!BB10</f>
        <v>94</v>
      </c>
      <c r="BC10" s="100">
        <f>'Hillpointe Detail'!BC10+'Sandhill Detail'!BC10</f>
        <v>93</v>
      </c>
      <c r="BD10" s="100">
        <f>'Hillpointe Detail'!BD10+'Sandhill Detail'!BD10</f>
        <v>91</v>
      </c>
      <c r="BE10" s="100">
        <f>'Hillpointe Detail'!BE10+'Sandhill Detail'!BE10</f>
        <v>90</v>
      </c>
      <c r="BF10" s="100">
        <f>'Hillpointe Detail'!BF10+'Sandhill Detail'!BF10</f>
        <v>91</v>
      </c>
      <c r="BG10" s="100">
        <f>'Hillpointe Detail'!BG10+'Sandhill Detail'!BG10</f>
        <v>93</v>
      </c>
      <c r="BH10" s="100">
        <f>'Hillpointe Detail'!BH10+'Sandhill Detail'!BH10</f>
        <v>91</v>
      </c>
      <c r="BI10" s="100">
        <f>'Hillpointe Detail'!BI10+'Sandhill Detail'!BI10</f>
        <v>91</v>
      </c>
      <c r="BJ10" s="100">
        <f>'Hillpointe Detail'!BJ10+'Sandhill Detail'!BJ10</f>
        <v>91</v>
      </c>
      <c r="BK10" s="100">
        <f>'Hillpointe Detail'!BK10+'Sandhill Detail'!BK10</f>
        <v>91</v>
      </c>
      <c r="BL10" s="100">
        <f>'Hillpointe Detail'!BL10+'Sandhill Detail'!BL10</f>
        <v>91</v>
      </c>
      <c r="BM10" s="100">
        <f>'Hillpointe Detail'!BM10+'Sandhill Detail'!BM10</f>
        <v>91</v>
      </c>
      <c r="BN10" s="100">
        <f>'Hillpointe Detail'!BN10+'Sandhill Detail'!BN10</f>
        <v>84</v>
      </c>
      <c r="BO10" s="100">
        <f>'Hillpointe Detail'!BO10+'Sandhill Detail'!BO10</f>
        <v>83</v>
      </c>
      <c r="BP10" s="100">
        <f>'Hillpointe Detail'!BP10+'Sandhill Detail'!BP10</f>
        <v>81</v>
      </c>
      <c r="BQ10" s="100">
        <f>'Hillpointe Detail'!BQ10+'Sandhill Detail'!BQ10</f>
        <v>80</v>
      </c>
      <c r="BR10" s="100">
        <f>'Hillpointe Detail'!BR10+'Sandhill Detail'!BR10</f>
        <v>81</v>
      </c>
      <c r="BS10" s="100">
        <f>'Hillpointe Detail'!BS10+'Sandhill Detail'!BS10</f>
        <v>83</v>
      </c>
      <c r="BT10" s="100">
        <f>'Hillpointe Detail'!BT10+'Sandhill Detail'!BT10</f>
        <v>81</v>
      </c>
      <c r="BU10" s="100">
        <f>'Hillpointe Detail'!BU10+'Sandhill Detail'!BU10</f>
        <v>81</v>
      </c>
      <c r="BV10" s="100">
        <f>'Hillpointe Detail'!BV10+'Sandhill Detail'!BV10</f>
        <v>81</v>
      </c>
      <c r="BW10" s="100">
        <f>'Hillpointe Detail'!BW10+'Sandhill Detail'!BW10</f>
        <v>81</v>
      </c>
      <c r="BX10" s="100">
        <f>'Hillpointe Detail'!BX10+'Sandhill Detail'!BX10</f>
        <v>81</v>
      </c>
      <c r="BY10" s="27"/>
      <c r="BZ10" s="100">
        <f>'Hillpointe Detail'!BZ10+'Sandhill Detail'!BZ10</f>
        <v>61</v>
      </c>
      <c r="CA10" s="100">
        <f>'Hillpointe Detail'!CA10+'Sandhill Detail'!CA10</f>
        <v>61</v>
      </c>
      <c r="CC10" s="100">
        <f t="shared" ref="CC10:CJ18" si="43">SUMIF($C$4:$BY$4,CC$4,$C10:$BY10)</f>
        <v>80</v>
      </c>
      <c r="CD10" s="100">
        <f t="shared" si="43"/>
        <v>66</v>
      </c>
      <c r="CE10" s="100">
        <f t="shared" si="43"/>
        <v>60</v>
      </c>
      <c r="CF10" s="100">
        <f t="shared" si="43"/>
        <v>61</v>
      </c>
      <c r="CG10" s="100">
        <f t="shared" si="43"/>
        <v>74</v>
      </c>
      <c r="CH10" s="100">
        <f t="shared" si="43"/>
        <v>80</v>
      </c>
      <c r="CI10" s="100">
        <f t="shared" si="43"/>
        <v>91</v>
      </c>
      <c r="CJ10" s="100">
        <f t="shared" si="43"/>
        <v>81</v>
      </c>
    </row>
    <row r="11" spans="1:88" x14ac:dyDescent="0.3">
      <c r="A11" t="str">
        <f t="shared" si="42"/>
        <v>First</v>
      </c>
      <c r="B11" s="10" t="s">
        <v>353</v>
      </c>
      <c r="C11" s="100">
        <f>'Hillpointe Detail'!C11+'Sandhill Detail'!C11</f>
        <v>29</v>
      </c>
      <c r="D11" s="100">
        <f>'Hillpointe Detail'!D11+'Sandhill Detail'!D11</f>
        <v>68</v>
      </c>
      <c r="E11" s="100">
        <f>'Hillpointe Detail'!E11+'Sandhill Detail'!E11</f>
        <v>68</v>
      </c>
      <c r="F11" s="100">
        <f>'Hillpointe Detail'!F11+'Sandhill Detail'!F11</f>
        <v>68</v>
      </c>
      <c r="G11" s="100">
        <f>'Hillpointe Detail'!G11+'Sandhill Detail'!G11</f>
        <v>73</v>
      </c>
      <c r="H11" s="100">
        <f>'Hillpointe Detail'!H11+'Sandhill Detail'!H11</f>
        <v>73</v>
      </c>
      <c r="I11" s="100">
        <f>'Hillpointe Detail'!I11+'Sandhill Detail'!I11</f>
        <v>72</v>
      </c>
      <c r="J11" s="100">
        <f>'Hillpointe Detail'!J11+'Sandhill Detail'!J11</f>
        <v>73</v>
      </c>
      <c r="K11" s="100">
        <f>'Hillpointe Detail'!K11+'Sandhill Detail'!K11</f>
        <v>71</v>
      </c>
      <c r="L11" s="100">
        <f>'Hillpointe Detail'!L11+'Sandhill Detail'!L11</f>
        <v>70</v>
      </c>
      <c r="M11" s="100">
        <f>'Hillpointe Detail'!M11+'Sandhill Detail'!M11</f>
        <v>70</v>
      </c>
      <c r="N11" s="100">
        <f>'Hillpointe Detail'!N11+'Sandhill Detail'!N11</f>
        <v>71</v>
      </c>
      <c r="O11" s="100">
        <f>'Hillpointe Detail'!O11+'Sandhill Detail'!O11</f>
        <v>71</v>
      </c>
      <c r="P11" s="100">
        <f>'Hillpointe Detail'!P11+'Sandhill Detail'!P11</f>
        <v>71</v>
      </c>
      <c r="Q11" s="100">
        <f>'Hillpointe Detail'!Q11+'Sandhill Detail'!Q11</f>
        <v>71</v>
      </c>
      <c r="R11" s="100">
        <f>'Hillpointe Detail'!R11+'Sandhill Detail'!R11</f>
        <v>59</v>
      </c>
      <c r="S11" s="100">
        <f>'Hillpointe Detail'!S11+'Sandhill Detail'!S11</f>
        <v>59</v>
      </c>
      <c r="T11" s="100">
        <f>'Hillpointe Detail'!T11+'Sandhill Detail'!T11</f>
        <v>58</v>
      </c>
      <c r="U11" s="100">
        <f>'Hillpointe Detail'!U11+'Sandhill Detail'!U11</f>
        <v>59</v>
      </c>
      <c r="V11" s="100">
        <f>'Hillpointe Detail'!V11+'Sandhill Detail'!V11</f>
        <v>58</v>
      </c>
      <c r="W11" s="100">
        <f>'Hillpointe Detail'!W11+'Sandhill Detail'!W11</f>
        <v>60</v>
      </c>
      <c r="X11" s="100">
        <f>'Hillpointe Detail'!X11+'Sandhill Detail'!X11</f>
        <v>59</v>
      </c>
      <c r="Y11" s="100">
        <f>'Hillpointe Detail'!Y11+'Sandhill Detail'!Y11</f>
        <v>59</v>
      </c>
      <c r="Z11" s="100">
        <f>'Hillpointe Detail'!Z11+'Sandhill Detail'!Z11</f>
        <v>59</v>
      </c>
      <c r="AA11" s="100">
        <f>'Hillpointe Detail'!AA11+'Sandhill Detail'!AA11</f>
        <v>59</v>
      </c>
      <c r="AB11" s="100">
        <f>'Hillpointe Detail'!AB11+'Sandhill Detail'!AB11</f>
        <v>59</v>
      </c>
      <c r="AC11" s="100">
        <f>'Hillpointe Detail'!AC11+'Sandhill Detail'!AC11</f>
        <v>59</v>
      </c>
      <c r="AD11" s="100">
        <f>'Hillpointe Detail'!AD11+'Sandhill Detail'!AD11</f>
        <v>77</v>
      </c>
      <c r="AE11" s="100">
        <f>'Hillpointe Detail'!AE11+'Sandhill Detail'!AE11</f>
        <v>77</v>
      </c>
      <c r="AF11" s="100">
        <f>'Hillpointe Detail'!AF11+'Sandhill Detail'!AF11</f>
        <v>75</v>
      </c>
      <c r="AG11" s="100">
        <f>'Hillpointe Detail'!AG11+'Sandhill Detail'!AG11</f>
        <v>76</v>
      </c>
      <c r="AH11" s="100">
        <f>'Hillpointe Detail'!AH11+'Sandhill Detail'!AH11</f>
        <v>75</v>
      </c>
      <c r="AI11" s="100">
        <f>'Hillpointe Detail'!AI11+'Sandhill Detail'!AI11</f>
        <v>77</v>
      </c>
      <c r="AJ11" s="100">
        <f>'Hillpointe Detail'!AJ11+'Sandhill Detail'!AJ11</f>
        <v>76</v>
      </c>
      <c r="AK11" s="100">
        <f>'Hillpointe Detail'!AK11+'Sandhill Detail'!AK11</f>
        <v>76</v>
      </c>
      <c r="AL11" s="100">
        <f>'Hillpointe Detail'!AL11+'Sandhill Detail'!AL11</f>
        <v>76</v>
      </c>
      <c r="AM11" s="100">
        <f>'Hillpointe Detail'!AM11+'Sandhill Detail'!AM11</f>
        <v>76</v>
      </c>
      <c r="AN11" s="100">
        <f>'Hillpointe Detail'!AN11+'Sandhill Detail'!AN11</f>
        <v>76</v>
      </c>
      <c r="AO11" s="100">
        <f>'Hillpointe Detail'!AO11+'Sandhill Detail'!AO11</f>
        <v>76</v>
      </c>
      <c r="AP11" s="100">
        <f>'Hillpointe Detail'!AP11+'Sandhill Detail'!AP11</f>
        <v>83</v>
      </c>
      <c r="AQ11" s="100">
        <f>'Hillpointe Detail'!AQ11+'Sandhill Detail'!AQ11</f>
        <v>83</v>
      </c>
      <c r="AR11" s="100">
        <f>'Hillpointe Detail'!AR11+'Sandhill Detail'!AR11</f>
        <v>81</v>
      </c>
      <c r="AS11" s="100">
        <f>'Hillpointe Detail'!AS11+'Sandhill Detail'!AS11</f>
        <v>82</v>
      </c>
      <c r="AT11" s="100">
        <f>'Hillpointe Detail'!AT11+'Sandhill Detail'!AT11</f>
        <v>81</v>
      </c>
      <c r="AU11" s="100">
        <f>'Hillpointe Detail'!AU11+'Sandhill Detail'!AU11</f>
        <v>83</v>
      </c>
      <c r="AV11" s="100">
        <f>'Hillpointe Detail'!AV11+'Sandhill Detail'!AV11</f>
        <v>82</v>
      </c>
      <c r="AW11" s="100">
        <f>'Hillpointe Detail'!AW11+'Sandhill Detail'!AW11</f>
        <v>82</v>
      </c>
      <c r="AX11" s="100">
        <f>'Hillpointe Detail'!AX11+'Sandhill Detail'!AX11</f>
        <v>82</v>
      </c>
      <c r="AY11" s="100">
        <f>'Hillpointe Detail'!AY11+'Sandhill Detail'!AY11</f>
        <v>82</v>
      </c>
      <c r="AZ11" s="100">
        <f>'Hillpointe Detail'!AZ11+'Sandhill Detail'!AZ11</f>
        <v>82</v>
      </c>
      <c r="BA11" s="100">
        <f>'Hillpointe Detail'!BA11+'Sandhill Detail'!BA11</f>
        <v>82</v>
      </c>
      <c r="BB11" s="100">
        <f>'Hillpointe Detail'!BB11+'Sandhill Detail'!BB11</f>
        <v>84</v>
      </c>
      <c r="BC11" s="100">
        <f>'Hillpointe Detail'!BC11+'Sandhill Detail'!BC11</f>
        <v>84</v>
      </c>
      <c r="BD11" s="100">
        <f>'Hillpointe Detail'!BD11+'Sandhill Detail'!BD11</f>
        <v>82</v>
      </c>
      <c r="BE11" s="100">
        <f>'Hillpointe Detail'!BE11+'Sandhill Detail'!BE11</f>
        <v>83</v>
      </c>
      <c r="BF11" s="100">
        <f>'Hillpointe Detail'!BF11+'Sandhill Detail'!BF11</f>
        <v>82</v>
      </c>
      <c r="BG11" s="100">
        <f>'Hillpointe Detail'!BG11+'Sandhill Detail'!BG11</f>
        <v>84</v>
      </c>
      <c r="BH11" s="100">
        <f>'Hillpointe Detail'!BH11+'Sandhill Detail'!BH11</f>
        <v>83</v>
      </c>
      <c r="BI11" s="100">
        <f>'Hillpointe Detail'!BI11+'Sandhill Detail'!BI11</f>
        <v>83</v>
      </c>
      <c r="BJ11" s="100">
        <f>'Hillpointe Detail'!BJ11+'Sandhill Detail'!BJ11</f>
        <v>83</v>
      </c>
      <c r="BK11" s="100">
        <f>'Hillpointe Detail'!BK11+'Sandhill Detail'!BK11</f>
        <v>83</v>
      </c>
      <c r="BL11" s="100">
        <f>'Hillpointe Detail'!BL11+'Sandhill Detail'!BL11</f>
        <v>83</v>
      </c>
      <c r="BM11" s="100">
        <f>'Hillpointe Detail'!BM11+'Sandhill Detail'!BM11</f>
        <v>83</v>
      </c>
      <c r="BN11" s="100">
        <f>'Hillpointe Detail'!BN11+'Sandhill Detail'!BN11</f>
        <v>96</v>
      </c>
      <c r="BO11" s="100">
        <f>'Hillpointe Detail'!BO11+'Sandhill Detail'!BO11</f>
        <v>96</v>
      </c>
      <c r="BP11" s="100">
        <f>'Hillpointe Detail'!BP11+'Sandhill Detail'!BP11</f>
        <v>94</v>
      </c>
      <c r="BQ11" s="100">
        <f>'Hillpointe Detail'!BQ11+'Sandhill Detail'!BQ11</f>
        <v>95</v>
      </c>
      <c r="BR11" s="100">
        <f>'Hillpointe Detail'!BR11+'Sandhill Detail'!BR11</f>
        <v>94</v>
      </c>
      <c r="BS11" s="100">
        <f>'Hillpointe Detail'!BS11+'Sandhill Detail'!BS11</f>
        <v>96</v>
      </c>
      <c r="BT11" s="100">
        <f>'Hillpointe Detail'!BT11+'Sandhill Detail'!BT11</f>
        <v>95</v>
      </c>
      <c r="BU11" s="100">
        <f>'Hillpointe Detail'!BU11+'Sandhill Detail'!BU11</f>
        <v>95</v>
      </c>
      <c r="BV11" s="100">
        <f>'Hillpointe Detail'!BV11+'Sandhill Detail'!BV11</f>
        <v>95</v>
      </c>
      <c r="BW11" s="100">
        <f>'Hillpointe Detail'!BW11+'Sandhill Detail'!BW11</f>
        <v>95</v>
      </c>
      <c r="BX11" s="100">
        <f>'Hillpointe Detail'!BX11+'Sandhill Detail'!BX11</f>
        <v>95</v>
      </c>
      <c r="BY11" s="27"/>
      <c r="BZ11" s="100">
        <f>'Hillpointe Detail'!BZ11+'Sandhill Detail'!BZ11</f>
        <v>59</v>
      </c>
      <c r="CA11" s="100">
        <f>'Hillpointe Detail'!CA11+'Sandhill Detail'!CA11</f>
        <v>59</v>
      </c>
      <c r="CC11" s="100">
        <f t="shared" si="43"/>
        <v>29</v>
      </c>
      <c r="CD11" s="100">
        <f t="shared" si="43"/>
        <v>68</v>
      </c>
      <c r="CE11" s="100">
        <f t="shared" si="43"/>
        <v>71</v>
      </c>
      <c r="CF11" s="100">
        <f t="shared" si="43"/>
        <v>59</v>
      </c>
      <c r="CG11" s="100">
        <f t="shared" si="43"/>
        <v>76</v>
      </c>
      <c r="CH11" s="100">
        <f t="shared" si="43"/>
        <v>82</v>
      </c>
      <c r="CI11" s="100">
        <f t="shared" si="43"/>
        <v>83</v>
      </c>
      <c r="CJ11" s="100">
        <f t="shared" si="43"/>
        <v>95</v>
      </c>
    </row>
    <row r="12" spans="1:88" x14ac:dyDescent="0.3">
      <c r="A12" t="str">
        <f t="shared" si="42"/>
        <v>Second</v>
      </c>
      <c r="B12" s="10" t="s">
        <v>354</v>
      </c>
      <c r="C12" s="100">
        <f>'Hillpointe Detail'!C12+'Sandhill Detail'!C12</f>
        <v>39</v>
      </c>
      <c r="D12" s="100">
        <f>'Hillpointe Detail'!D12+'Sandhill Detail'!D12</f>
        <v>24</v>
      </c>
      <c r="E12" s="100">
        <f>'Hillpointe Detail'!E12+'Sandhill Detail'!E12</f>
        <v>24</v>
      </c>
      <c r="F12" s="100">
        <f>'Hillpointe Detail'!F12+'Sandhill Detail'!F12</f>
        <v>66</v>
      </c>
      <c r="G12" s="100">
        <f>'Hillpointe Detail'!G12+'Sandhill Detail'!G12</f>
        <v>69</v>
      </c>
      <c r="H12" s="100">
        <f>'Hillpointe Detail'!H12+'Sandhill Detail'!H12</f>
        <v>67</v>
      </c>
      <c r="I12" s="100">
        <f>'Hillpointe Detail'!I12+'Sandhill Detail'!I12</f>
        <v>69</v>
      </c>
      <c r="J12" s="100">
        <f>'Hillpointe Detail'!J12+'Sandhill Detail'!J12</f>
        <v>70</v>
      </c>
      <c r="K12" s="100">
        <f>'Hillpointe Detail'!K12+'Sandhill Detail'!K12</f>
        <v>68</v>
      </c>
      <c r="L12" s="100">
        <f>'Hillpointe Detail'!L12+'Sandhill Detail'!L12</f>
        <v>67</v>
      </c>
      <c r="M12" s="100">
        <f>'Hillpointe Detail'!M12+'Sandhill Detail'!M12</f>
        <v>65</v>
      </c>
      <c r="N12" s="100">
        <f>'Hillpointe Detail'!N12+'Sandhill Detail'!N12</f>
        <v>64</v>
      </c>
      <c r="O12" s="100">
        <f>'Hillpointe Detail'!O12+'Sandhill Detail'!O12</f>
        <v>64</v>
      </c>
      <c r="P12" s="100">
        <f>'Hillpointe Detail'!P12+'Sandhill Detail'!P12</f>
        <v>64</v>
      </c>
      <c r="Q12" s="100">
        <f>'Hillpointe Detail'!Q12+'Sandhill Detail'!Q12</f>
        <v>64</v>
      </c>
      <c r="R12" s="100">
        <f>'Hillpointe Detail'!R12+'Sandhill Detail'!R12</f>
        <v>78</v>
      </c>
      <c r="S12" s="100">
        <f>'Hillpointe Detail'!S12+'Sandhill Detail'!S12</f>
        <v>77</v>
      </c>
      <c r="T12" s="100">
        <f>'Hillpointe Detail'!T12+'Sandhill Detail'!T12</f>
        <v>77</v>
      </c>
      <c r="U12" s="100">
        <f>'Hillpointe Detail'!U12+'Sandhill Detail'!U12</f>
        <v>77</v>
      </c>
      <c r="V12" s="100">
        <f>'Hillpointe Detail'!V12+'Sandhill Detail'!V12</f>
        <v>76</v>
      </c>
      <c r="W12" s="100">
        <f>'Hillpointe Detail'!W12+'Sandhill Detail'!W12</f>
        <v>74</v>
      </c>
      <c r="X12" s="100">
        <f>'Hillpointe Detail'!X12+'Sandhill Detail'!X12</f>
        <v>72</v>
      </c>
      <c r="Y12" s="100">
        <f>'Hillpointe Detail'!Y12+'Sandhill Detail'!Y12</f>
        <v>71</v>
      </c>
      <c r="Z12" s="100">
        <f>'Hillpointe Detail'!Z12+'Sandhill Detail'!Z12</f>
        <v>71</v>
      </c>
      <c r="AA12" s="100">
        <f>'Hillpointe Detail'!AA12+'Sandhill Detail'!AA12</f>
        <v>71</v>
      </c>
      <c r="AB12" s="100">
        <f>'Hillpointe Detail'!AB12+'Sandhill Detail'!AB12</f>
        <v>71</v>
      </c>
      <c r="AC12" s="100">
        <f>'Hillpointe Detail'!AC12+'Sandhill Detail'!AC12</f>
        <v>71</v>
      </c>
      <c r="AD12" s="100">
        <f>'Hillpointe Detail'!AD12+'Sandhill Detail'!AD12</f>
        <v>68</v>
      </c>
      <c r="AE12" s="100">
        <f>'Hillpointe Detail'!AE12+'Sandhill Detail'!AE12</f>
        <v>67</v>
      </c>
      <c r="AF12" s="100">
        <f>'Hillpointe Detail'!AF12+'Sandhill Detail'!AF12</f>
        <v>67</v>
      </c>
      <c r="AG12" s="100">
        <f>'Hillpointe Detail'!AG12+'Sandhill Detail'!AG12</f>
        <v>67</v>
      </c>
      <c r="AH12" s="100">
        <f>'Hillpointe Detail'!AH12+'Sandhill Detail'!AH12</f>
        <v>66</v>
      </c>
      <c r="AI12" s="100">
        <f>'Hillpointe Detail'!AI12+'Sandhill Detail'!AI12</f>
        <v>66</v>
      </c>
      <c r="AJ12" s="100">
        <f>'Hillpointe Detail'!AJ12+'Sandhill Detail'!AJ12</f>
        <v>65</v>
      </c>
      <c r="AK12" s="100">
        <f>'Hillpointe Detail'!AK12+'Sandhill Detail'!AK12</f>
        <v>64</v>
      </c>
      <c r="AL12" s="100">
        <f>'Hillpointe Detail'!AL12+'Sandhill Detail'!AL12</f>
        <v>65</v>
      </c>
      <c r="AM12" s="100">
        <f>'Hillpointe Detail'!AM12+'Sandhill Detail'!AM12</f>
        <v>65</v>
      </c>
      <c r="AN12" s="100">
        <f>'Hillpointe Detail'!AN12+'Sandhill Detail'!AN12</f>
        <v>65</v>
      </c>
      <c r="AO12" s="100">
        <f>'Hillpointe Detail'!AO12+'Sandhill Detail'!AO12</f>
        <v>65</v>
      </c>
      <c r="AP12" s="100">
        <f>'Hillpointe Detail'!AP12+'Sandhill Detail'!AP12</f>
        <v>84</v>
      </c>
      <c r="AQ12" s="100">
        <f>'Hillpointe Detail'!AQ12+'Sandhill Detail'!AQ12</f>
        <v>83</v>
      </c>
      <c r="AR12" s="100">
        <f>'Hillpointe Detail'!AR12+'Sandhill Detail'!AR12</f>
        <v>83</v>
      </c>
      <c r="AS12" s="100">
        <f>'Hillpointe Detail'!AS12+'Sandhill Detail'!AS12</f>
        <v>83</v>
      </c>
      <c r="AT12" s="100">
        <f>'Hillpointe Detail'!AT12+'Sandhill Detail'!AT12</f>
        <v>82</v>
      </c>
      <c r="AU12" s="100">
        <f>'Hillpointe Detail'!AU12+'Sandhill Detail'!AU12</f>
        <v>82</v>
      </c>
      <c r="AV12" s="100">
        <f>'Hillpointe Detail'!AV12+'Sandhill Detail'!AV12</f>
        <v>81</v>
      </c>
      <c r="AW12" s="100">
        <f>'Hillpointe Detail'!AW12+'Sandhill Detail'!AW12</f>
        <v>80</v>
      </c>
      <c r="AX12" s="100">
        <f>'Hillpointe Detail'!AX12+'Sandhill Detail'!AX12</f>
        <v>81</v>
      </c>
      <c r="AY12" s="100">
        <f>'Hillpointe Detail'!AY12+'Sandhill Detail'!AY12</f>
        <v>81</v>
      </c>
      <c r="AZ12" s="100">
        <f>'Hillpointe Detail'!AZ12+'Sandhill Detail'!AZ12</f>
        <v>81</v>
      </c>
      <c r="BA12" s="100">
        <f>'Hillpointe Detail'!BA12+'Sandhill Detail'!BA12</f>
        <v>81</v>
      </c>
      <c r="BB12" s="100">
        <f>'Hillpointe Detail'!BB12+'Sandhill Detail'!BB12</f>
        <v>84</v>
      </c>
      <c r="BC12" s="100">
        <f>'Hillpointe Detail'!BC12+'Sandhill Detail'!BC12</f>
        <v>83</v>
      </c>
      <c r="BD12" s="100">
        <f>'Hillpointe Detail'!BD12+'Sandhill Detail'!BD12</f>
        <v>83</v>
      </c>
      <c r="BE12" s="100">
        <f>'Hillpointe Detail'!BE12+'Sandhill Detail'!BE12</f>
        <v>83</v>
      </c>
      <c r="BF12" s="100">
        <f>'Hillpointe Detail'!BF12+'Sandhill Detail'!BF12</f>
        <v>82</v>
      </c>
      <c r="BG12" s="100">
        <f>'Hillpointe Detail'!BG12+'Sandhill Detail'!BG12</f>
        <v>82</v>
      </c>
      <c r="BH12" s="100">
        <f>'Hillpointe Detail'!BH12+'Sandhill Detail'!BH12</f>
        <v>81</v>
      </c>
      <c r="BI12" s="100">
        <f>'Hillpointe Detail'!BI12+'Sandhill Detail'!BI12</f>
        <v>80</v>
      </c>
      <c r="BJ12" s="100">
        <f>'Hillpointe Detail'!BJ12+'Sandhill Detail'!BJ12</f>
        <v>81</v>
      </c>
      <c r="BK12" s="100">
        <f>'Hillpointe Detail'!BK12+'Sandhill Detail'!BK12</f>
        <v>81</v>
      </c>
      <c r="BL12" s="100">
        <f>'Hillpointe Detail'!BL12+'Sandhill Detail'!BL12</f>
        <v>81</v>
      </c>
      <c r="BM12" s="100">
        <f>'Hillpointe Detail'!BM12+'Sandhill Detail'!BM12</f>
        <v>81</v>
      </c>
      <c r="BN12" s="100">
        <f>'Hillpointe Detail'!BN12+'Sandhill Detail'!BN12</f>
        <v>84</v>
      </c>
      <c r="BO12" s="100">
        <f>'Hillpointe Detail'!BO12+'Sandhill Detail'!BO12</f>
        <v>83</v>
      </c>
      <c r="BP12" s="100">
        <f>'Hillpointe Detail'!BP12+'Sandhill Detail'!BP12</f>
        <v>83</v>
      </c>
      <c r="BQ12" s="100">
        <f>'Hillpointe Detail'!BQ12+'Sandhill Detail'!BQ12</f>
        <v>83</v>
      </c>
      <c r="BR12" s="100">
        <f>'Hillpointe Detail'!BR12+'Sandhill Detail'!BR12</f>
        <v>82</v>
      </c>
      <c r="BS12" s="100">
        <f>'Hillpointe Detail'!BS12+'Sandhill Detail'!BS12</f>
        <v>82</v>
      </c>
      <c r="BT12" s="100">
        <f>'Hillpointe Detail'!BT12+'Sandhill Detail'!BT12</f>
        <v>81</v>
      </c>
      <c r="BU12" s="100">
        <f>'Hillpointe Detail'!BU12+'Sandhill Detail'!BU12</f>
        <v>80</v>
      </c>
      <c r="BV12" s="100">
        <f>'Hillpointe Detail'!BV12+'Sandhill Detail'!BV12</f>
        <v>81</v>
      </c>
      <c r="BW12" s="100">
        <f>'Hillpointe Detail'!BW12+'Sandhill Detail'!BW12</f>
        <v>81</v>
      </c>
      <c r="BX12" s="100">
        <f>'Hillpointe Detail'!BX12+'Sandhill Detail'!BX12</f>
        <v>81</v>
      </c>
      <c r="BY12" s="27"/>
      <c r="BZ12" s="100">
        <f>'Hillpointe Detail'!BZ12+'Sandhill Detail'!BZ12</f>
        <v>71</v>
      </c>
      <c r="CA12" s="100">
        <f>'Hillpointe Detail'!CA12+'Sandhill Detail'!CA12</f>
        <v>71</v>
      </c>
      <c r="CC12" s="100">
        <f t="shared" si="43"/>
        <v>39</v>
      </c>
      <c r="CD12" s="100">
        <f t="shared" si="43"/>
        <v>24</v>
      </c>
      <c r="CE12" s="100">
        <f t="shared" si="43"/>
        <v>64</v>
      </c>
      <c r="CF12" s="100">
        <f t="shared" si="43"/>
        <v>71</v>
      </c>
      <c r="CG12" s="100">
        <f t="shared" si="43"/>
        <v>65</v>
      </c>
      <c r="CH12" s="100">
        <f t="shared" si="43"/>
        <v>81</v>
      </c>
      <c r="CI12" s="100">
        <f t="shared" si="43"/>
        <v>81</v>
      </c>
      <c r="CJ12" s="100">
        <f t="shared" si="43"/>
        <v>81</v>
      </c>
    </row>
    <row r="13" spans="1:88" x14ac:dyDescent="0.3">
      <c r="A13" t="str">
        <f t="shared" si="42"/>
        <v>Third</v>
      </c>
      <c r="B13" s="10" t="s">
        <v>355</v>
      </c>
      <c r="C13" s="100">
        <f>'Hillpointe Detail'!C13+'Sandhill Detail'!C13</f>
        <v>51</v>
      </c>
      <c r="D13" s="100">
        <f>'Hillpointe Detail'!D13+'Sandhill Detail'!D13</f>
        <v>36</v>
      </c>
      <c r="E13" s="100">
        <f>'Hillpointe Detail'!E13+'Sandhill Detail'!E13</f>
        <v>36</v>
      </c>
      <c r="F13" s="100">
        <f>'Hillpointe Detail'!F13+'Sandhill Detail'!F13</f>
        <v>30</v>
      </c>
      <c r="G13" s="100">
        <f>'Hillpointe Detail'!G13+'Sandhill Detail'!G13</f>
        <v>30</v>
      </c>
      <c r="H13" s="100">
        <f>'Hillpointe Detail'!H13+'Sandhill Detail'!H13</f>
        <v>30</v>
      </c>
      <c r="I13" s="100">
        <f>'Hillpointe Detail'!I13+'Sandhill Detail'!I13</f>
        <v>35</v>
      </c>
      <c r="J13" s="100">
        <f>'Hillpointe Detail'!J13+'Sandhill Detail'!J13</f>
        <v>35</v>
      </c>
      <c r="K13" s="100">
        <f>'Hillpointe Detail'!K13+'Sandhill Detail'!K13</f>
        <v>35</v>
      </c>
      <c r="L13" s="100">
        <f>'Hillpointe Detail'!L13+'Sandhill Detail'!L13</f>
        <v>37</v>
      </c>
      <c r="M13" s="100">
        <f>'Hillpointe Detail'!M13+'Sandhill Detail'!M13</f>
        <v>37</v>
      </c>
      <c r="N13" s="100">
        <f>'Hillpointe Detail'!N13+'Sandhill Detail'!N13</f>
        <v>37</v>
      </c>
      <c r="O13" s="100">
        <f>'Hillpointe Detail'!O13+'Sandhill Detail'!O13</f>
        <v>37</v>
      </c>
      <c r="P13" s="100">
        <f>'Hillpointe Detail'!P13+'Sandhill Detail'!P13</f>
        <v>37</v>
      </c>
      <c r="Q13" s="100">
        <f>'Hillpointe Detail'!Q13+'Sandhill Detail'!Q13</f>
        <v>37</v>
      </c>
      <c r="R13" s="100">
        <f>'Hillpointe Detail'!R13+'Sandhill Detail'!R13</f>
        <v>54</v>
      </c>
      <c r="S13" s="100">
        <f>'Hillpointe Detail'!S13+'Sandhill Detail'!S13</f>
        <v>52</v>
      </c>
      <c r="T13" s="100">
        <f>'Hillpointe Detail'!T13+'Sandhill Detail'!T13</f>
        <v>52</v>
      </c>
      <c r="U13" s="100">
        <f>'Hillpointe Detail'!U13+'Sandhill Detail'!U13</f>
        <v>51</v>
      </c>
      <c r="V13" s="100">
        <f>'Hillpointe Detail'!V13+'Sandhill Detail'!V13</f>
        <v>49</v>
      </c>
      <c r="W13" s="100">
        <f>'Hillpointe Detail'!W13+'Sandhill Detail'!W13</f>
        <v>48</v>
      </c>
      <c r="X13" s="100">
        <f>'Hillpointe Detail'!X13+'Sandhill Detail'!X13</f>
        <v>49</v>
      </c>
      <c r="Y13" s="100">
        <f>'Hillpointe Detail'!Y13+'Sandhill Detail'!Y13</f>
        <v>49</v>
      </c>
      <c r="Z13" s="100">
        <f>'Hillpointe Detail'!Z13+'Sandhill Detail'!Z13</f>
        <v>49</v>
      </c>
      <c r="AA13" s="100">
        <f>'Hillpointe Detail'!AA13+'Sandhill Detail'!AA13</f>
        <v>49</v>
      </c>
      <c r="AB13" s="100">
        <f>'Hillpointe Detail'!AB13+'Sandhill Detail'!AB13</f>
        <v>49</v>
      </c>
      <c r="AC13" s="100">
        <f>'Hillpointe Detail'!AC13+'Sandhill Detail'!AC13</f>
        <v>49</v>
      </c>
      <c r="AD13" s="100">
        <f>'Hillpointe Detail'!AD13+'Sandhill Detail'!AD13</f>
        <v>73</v>
      </c>
      <c r="AE13" s="100">
        <f>'Hillpointe Detail'!AE13+'Sandhill Detail'!AE13</f>
        <v>71</v>
      </c>
      <c r="AF13" s="100">
        <f>'Hillpointe Detail'!AF13+'Sandhill Detail'!AF13</f>
        <v>71</v>
      </c>
      <c r="AG13" s="100">
        <f>'Hillpointe Detail'!AG13+'Sandhill Detail'!AG13</f>
        <v>71</v>
      </c>
      <c r="AH13" s="100">
        <f>'Hillpointe Detail'!AH13+'Sandhill Detail'!AH13</f>
        <v>69</v>
      </c>
      <c r="AI13" s="100">
        <f>'Hillpointe Detail'!AI13+'Sandhill Detail'!AI13</f>
        <v>68</v>
      </c>
      <c r="AJ13" s="100">
        <f>'Hillpointe Detail'!AJ13+'Sandhill Detail'!AJ13</f>
        <v>69</v>
      </c>
      <c r="AK13" s="100">
        <f>'Hillpointe Detail'!AK13+'Sandhill Detail'!AK13</f>
        <v>69</v>
      </c>
      <c r="AL13" s="100">
        <f>'Hillpointe Detail'!AL13+'Sandhill Detail'!AL13</f>
        <v>69</v>
      </c>
      <c r="AM13" s="100">
        <f>'Hillpointe Detail'!AM13+'Sandhill Detail'!AM13</f>
        <v>69</v>
      </c>
      <c r="AN13" s="100">
        <f>'Hillpointe Detail'!AN13+'Sandhill Detail'!AN13</f>
        <v>69</v>
      </c>
      <c r="AO13" s="100">
        <f>'Hillpointe Detail'!AO13+'Sandhill Detail'!AO13</f>
        <v>69</v>
      </c>
      <c r="AP13" s="100">
        <f>'Hillpointe Detail'!AP13+'Sandhill Detail'!AP13</f>
        <v>76</v>
      </c>
      <c r="AQ13" s="100">
        <f>'Hillpointe Detail'!AQ13+'Sandhill Detail'!AQ13</f>
        <v>74</v>
      </c>
      <c r="AR13" s="100">
        <f>'Hillpointe Detail'!AR13+'Sandhill Detail'!AR13</f>
        <v>74</v>
      </c>
      <c r="AS13" s="100">
        <f>'Hillpointe Detail'!AS13+'Sandhill Detail'!AS13</f>
        <v>74</v>
      </c>
      <c r="AT13" s="100">
        <f>'Hillpointe Detail'!AT13+'Sandhill Detail'!AT13</f>
        <v>72</v>
      </c>
      <c r="AU13" s="100">
        <f>'Hillpointe Detail'!AU13+'Sandhill Detail'!AU13</f>
        <v>71</v>
      </c>
      <c r="AV13" s="100">
        <f>'Hillpointe Detail'!AV13+'Sandhill Detail'!AV13</f>
        <v>72</v>
      </c>
      <c r="AW13" s="100">
        <f>'Hillpointe Detail'!AW13+'Sandhill Detail'!AW13</f>
        <v>72</v>
      </c>
      <c r="AX13" s="100">
        <f>'Hillpointe Detail'!AX13+'Sandhill Detail'!AX13</f>
        <v>72</v>
      </c>
      <c r="AY13" s="100">
        <f>'Hillpointe Detail'!AY13+'Sandhill Detail'!AY13</f>
        <v>72</v>
      </c>
      <c r="AZ13" s="100">
        <f>'Hillpointe Detail'!AZ13+'Sandhill Detail'!AZ13</f>
        <v>72</v>
      </c>
      <c r="BA13" s="100">
        <f>'Hillpointe Detail'!BA13+'Sandhill Detail'!BA13</f>
        <v>72</v>
      </c>
      <c r="BB13" s="100">
        <f>'Hillpointe Detail'!BB13+'Sandhill Detail'!BB13</f>
        <v>84</v>
      </c>
      <c r="BC13" s="100">
        <f>'Hillpointe Detail'!BC13+'Sandhill Detail'!BC13</f>
        <v>82</v>
      </c>
      <c r="BD13" s="100">
        <f>'Hillpointe Detail'!BD13+'Sandhill Detail'!BD13</f>
        <v>82</v>
      </c>
      <c r="BE13" s="100">
        <f>'Hillpointe Detail'!BE13+'Sandhill Detail'!BE13</f>
        <v>82</v>
      </c>
      <c r="BF13" s="100">
        <f>'Hillpointe Detail'!BF13+'Sandhill Detail'!BF13</f>
        <v>80</v>
      </c>
      <c r="BG13" s="100">
        <f>'Hillpointe Detail'!BG13+'Sandhill Detail'!BG13</f>
        <v>79</v>
      </c>
      <c r="BH13" s="100">
        <f>'Hillpointe Detail'!BH13+'Sandhill Detail'!BH13</f>
        <v>80</v>
      </c>
      <c r="BI13" s="100">
        <f>'Hillpointe Detail'!BI13+'Sandhill Detail'!BI13</f>
        <v>80</v>
      </c>
      <c r="BJ13" s="100">
        <f>'Hillpointe Detail'!BJ13+'Sandhill Detail'!BJ13</f>
        <v>80</v>
      </c>
      <c r="BK13" s="100">
        <f>'Hillpointe Detail'!BK13+'Sandhill Detail'!BK13</f>
        <v>80</v>
      </c>
      <c r="BL13" s="100">
        <f>'Hillpointe Detail'!BL13+'Sandhill Detail'!BL13</f>
        <v>80</v>
      </c>
      <c r="BM13" s="100">
        <f>'Hillpointe Detail'!BM13+'Sandhill Detail'!BM13</f>
        <v>80</v>
      </c>
      <c r="BN13" s="100">
        <f>'Hillpointe Detail'!BN13+'Sandhill Detail'!BN13</f>
        <v>84</v>
      </c>
      <c r="BO13" s="100">
        <f>'Hillpointe Detail'!BO13+'Sandhill Detail'!BO13</f>
        <v>82</v>
      </c>
      <c r="BP13" s="100">
        <f>'Hillpointe Detail'!BP13+'Sandhill Detail'!BP13</f>
        <v>82</v>
      </c>
      <c r="BQ13" s="100">
        <f>'Hillpointe Detail'!BQ13+'Sandhill Detail'!BQ13</f>
        <v>82</v>
      </c>
      <c r="BR13" s="100">
        <f>'Hillpointe Detail'!BR13+'Sandhill Detail'!BR13</f>
        <v>80</v>
      </c>
      <c r="BS13" s="100">
        <f>'Hillpointe Detail'!BS13+'Sandhill Detail'!BS13</f>
        <v>79</v>
      </c>
      <c r="BT13" s="100">
        <f>'Hillpointe Detail'!BT13+'Sandhill Detail'!BT13</f>
        <v>80</v>
      </c>
      <c r="BU13" s="100">
        <f>'Hillpointe Detail'!BU13+'Sandhill Detail'!BU13</f>
        <v>80</v>
      </c>
      <c r="BV13" s="100">
        <f>'Hillpointe Detail'!BV13+'Sandhill Detail'!BV13</f>
        <v>80</v>
      </c>
      <c r="BW13" s="100">
        <f>'Hillpointe Detail'!BW13+'Sandhill Detail'!BW13</f>
        <v>80</v>
      </c>
      <c r="BX13" s="100">
        <f>'Hillpointe Detail'!BX13+'Sandhill Detail'!BX13</f>
        <v>80</v>
      </c>
      <c r="BY13" s="27"/>
      <c r="BZ13" s="100">
        <f>'Hillpointe Detail'!BZ13+'Sandhill Detail'!BZ13</f>
        <v>49</v>
      </c>
      <c r="CA13" s="100">
        <f>'Hillpointe Detail'!CA13+'Sandhill Detail'!CA13</f>
        <v>49</v>
      </c>
      <c r="CC13" s="100">
        <f t="shared" si="43"/>
        <v>51</v>
      </c>
      <c r="CD13" s="100">
        <f t="shared" si="43"/>
        <v>36</v>
      </c>
      <c r="CE13" s="100">
        <f t="shared" si="43"/>
        <v>37</v>
      </c>
      <c r="CF13" s="100">
        <f t="shared" si="43"/>
        <v>49</v>
      </c>
      <c r="CG13" s="100">
        <f t="shared" si="43"/>
        <v>69</v>
      </c>
      <c r="CH13" s="100">
        <f t="shared" si="43"/>
        <v>72</v>
      </c>
      <c r="CI13" s="100">
        <f t="shared" si="43"/>
        <v>80</v>
      </c>
      <c r="CJ13" s="100">
        <f t="shared" si="43"/>
        <v>80</v>
      </c>
    </row>
    <row r="14" spans="1:88" x14ac:dyDescent="0.3">
      <c r="A14" t="str">
        <f t="shared" si="42"/>
        <v>Fourth</v>
      </c>
      <c r="B14" s="10" t="s">
        <v>356</v>
      </c>
      <c r="C14" s="100">
        <f>'Hillpointe Detail'!C14+'Sandhill Detail'!C14</f>
        <v>42</v>
      </c>
      <c r="D14" s="100">
        <f>'Hillpointe Detail'!D14+'Sandhill Detail'!D14</f>
        <v>54</v>
      </c>
      <c r="E14" s="100">
        <f>'Hillpointe Detail'!E14+'Sandhill Detail'!E14</f>
        <v>54</v>
      </c>
      <c r="F14" s="100">
        <f>'Hillpointe Detail'!F14+'Sandhill Detail'!F14</f>
        <v>42</v>
      </c>
      <c r="G14" s="100">
        <f>'Hillpointe Detail'!G14+'Sandhill Detail'!G14</f>
        <v>43</v>
      </c>
      <c r="H14" s="100">
        <f>'Hillpointe Detail'!H14+'Sandhill Detail'!H14</f>
        <v>43</v>
      </c>
      <c r="I14" s="100">
        <f>'Hillpointe Detail'!I14+'Sandhill Detail'!I14</f>
        <v>44</v>
      </c>
      <c r="J14" s="100">
        <f>'Hillpointe Detail'!J14+'Sandhill Detail'!J14</f>
        <v>44</v>
      </c>
      <c r="K14" s="100">
        <f>'Hillpointe Detail'!K14+'Sandhill Detail'!K14</f>
        <v>44</v>
      </c>
      <c r="L14" s="100">
        <f>'Hillpointe Detail'!L14+'Sandhill Detail'!L14</f>
        <v>46</v>
      </c>
      <c r="M14" s="100">
        <f>'Hillpointe Detail'!M14+'Sandhill Detail'!M14</f>
        <v>47</v>
      </c>
      <c r="N14" s="100">
        <f>'Hillpointe Detail'!N14+'Sandhill Detail'!N14</f>
        <v>47</v>
      </c>
      <c r="O14" s="100">
        <f>'Hillpointe Detail'!O14+'Sandhill Detail'!O14</f>
        <v>47</v>
      </c>
      <c r="P14" s="100">
        <f>'Hillpointe Detail'!P14+'Sandhill Detail'!P14</f>
        <v>47</v>
      </c>
      <c r="Q14" s="100">
        <f>'Hillpointe Detail'!Q14+'Sandhill Detail'!Q14</f>
        <v>47</v>
      </c>
      <c r="R14" s="100">
        <f>'Hillpointe Detail'!R14+'Sandhill Detail'!R14</f>
        <v>37</v>
      </c>
      <c r="S14" s="100">
        <f>'Hillpointe Detail'!S14+'Sandhill Detail'!S14</f>
        <v>35</v>
      </c>
      <c r="T14" s="100">
        <f>'Hillpointe Detail'!T14+'Sandhill Detail'!T14</f>
        <v>35</v>
      </c>
      <c r="U14" s="100">
        <f>'Hillpointe Detail'!U14+'Sandhill Detail'!U14</f>
        <v>35</v>
      </c>
      <c r="V14" s="100">
        <f>'Hillpointe Detail'!V14+'Sandhill Detail'!V14</f>
        <v>35</v>
      </c>
      <c r="W14" s="100">
        <f>'Hillpointe Detail'!W14+'Sandhill Detail'!W14</f>
        <v>36</v>
      </c>
      <c r="X14" s="100">
        <f>'Hillpointe Detail'!X14+'Sandhill Detail'!X14</f>
        <v>37</v>
      </c>
      <c r="Y14" s="100">
        <f>'Hillpointe Detail'!Y14+'Sandhill Detail'!Y14</f>
        <v>36</v>
      </c>
      <c r="Z14" s="100">
        <f>'Hillpointe Detail'!Z14+'Sandhill Detail'!Z14</f>
        <v>36</v>
      </c>
      <c r="AA14" s="100">
        <f>'Hillpointe Detail'!AA14+'Sandhill Detail'!AA14</f>
        <v>36</v>
      </c>
      <c r="AB14" s="100">
        <f>'Hillpointe Detail'!AB14+'Sandhill Detail'!AB14</f>
        <v>36</v>
      </c>
      <c r="AC14" s="100">
        <f>'Hillpointe Detail'!AC14+'Sandhill Detail'!AC14</f>
        <v>36</v>
      </c>
      <c r="AD14" s="100">
        <f>'Hillpointe Detail'!AD14+'Sandhill Detail'!AD14</f>
        <v>71</v>
      </c>
      <c r="AE14" s="100">
        <f>'Hillpointe Detail'!AE14+'Sandhill Detail'!AE14</f>
        <v>71</v>
      </c>
      <c r="AF14" s="100">
        <f>'Hillpointe Detail'!AF14+'Sandhill Detail'!AF14</f>
        <v>71</v>
      </c>
      <c r="AG14" s="100">
        <f>'Hillpointe Detail'!AG14+'Sandhill Detail'!AG14</f>
        <v>71</v>
      </c>
      <c r="AH14" s="100">
        <f>'Hillpointe Detail'!AH14+'Sandhill Detail'!AH14</f>
        <v>71</v>
      </c>
      <c r="AI14" s="100">
        <f>'Hillpointe Detail'!AI14+'Sandhill Detail'!AI14</f>
        <v>71</v>
      </c>
      <c r="AJ14" s="100">
        <f>'Hillpointe Detail'!AJ14+'Sandhill Detail'!AJ14</f>
        <v>72</v>
      </c>
      <c r="AK14" s="100">
        <f>'Hillpointe Detail'!AK14+'Sandhill Detail'!AK14</f>
        <v>72</v>
      </c>
      <c r="AL14" s="100">
        <f>'Hillpointe Detail'!AL14+'Sandhill Detail'!AL14</f>
        <v>72</v>
      </c>
      <c r="AM14" s="100">
        <f>'Hillpointe Detail'!AM14+'Sandhill Detail'!AM14</f>
        <v>72</v>
      </c>
      <c r="AN14" s="100">
        <f>'Hillpointe Detail'!AN14+'Sandhill Detail'!AN14</f>
        <v>72</v>
      </c>
      <c r="AO14" s="100">
        <f>'Hillpointe Detail'!AO14+'Sandhill Detail'!AO14</f>
        <v>72</v>
      </c>
      <c r="AP14" s="100">
        <f>'Hillpointe Detail'!AP14+'Sandhill Detail'!AP14</f>
        <v>77</v>
      </c>
      <c r="AQ14" s="100">
        <f>'Hillpointe Detail'!AQ14+'Sandhill Detail'!AQ14</f>
        <v>76</v>
      </c>
      <c r="AR14" s="100">
        <f>'Hillpointe Detail'!AR14+'Sandhill Detail'!AR14</f>
        <v>75</v>
      </c>
      <c r="AS14" s="100">
        <f>'Hillpointe Detail'!AS14+'Sandhill Detail'!AS14</f>
        <v>75</v>
      </c>
      <c r="AT14" s="100">
        <f>'Hillpointe Detail'!AT14+'Sandhill Detail'!AT14</f>
        <v>75</v>
      </c>
      <c r="AU14" s="100">
        <f>'Hillpointe Detail'!AU14+'Sandhill Detail'!AU14</f>
        <v>74</v>
      </c>
      <c r="AV14" s="100">
        <f>'Hillpointe Detail'!AV14+'Sandhill Detail'!AV14</f>
        <v>75</v>
      </c>
      <c r="AW14" s="100">
        <f>'Hillpointe Detail'!AW14+'Sandhill Detail'!AW14</f>
        <v>76</v>
      </c>
      <c r="AX14" s="100">
        <f>'Hillpointe Detail'!AX14+'Sandhill Detail'!AX14</f>
        <v>76</v>
      </c>
      <c r="AY14" s="100">
        <f>'Hillpointe Detail'!AY14+'Sandhill Detail'!AY14</f>
        <v>76</v>
      </c>
      <c r="AZ14" s="100">
        <f>'Hillpointe Detail'!AZ14+'Sandhill Detail'!AZ14</f>
        <v>76</v>
      </c>
      <c r="BA14" s="100">
        <f>'Hillpointe Detail'!BA14+'Sandhill Detail'!BA14</f>
        <v>76</v>
      </c>
      <c r="BB14" s="100">
        <f>'Hillpointe Detail'!BB14+'Sandhill Detail'!BB14</f>
        <v>76</v>
      </c>
      <c r="BC14" s="100">
        <f>'Hillpointe Detail'!BC14+'Sandhill Detail'!BC14</f>
        <v>75</v>
      </c>
      <c r="BD14" s="100">
        <f>'Hillpointe Detail'!BD14+'Sandhill Detail'!BD14</f>
        <v>74</v>
      </c>
      <c r="BE14" s="100">
        <f>'Hillpointe Detail'!BE14+'Sandhill Detail'!BE14</f>
        <v>74</v>
      </c>
      <c r="BF14" s="100">
        <f>'Hillpointe Detail'!BF14+'Sandhill Detail'!BF14</f>
        <v>74</v>
      </c>
      <c r="BG14" s="100">
        <f>'Hillpointe Detail'!BG14+'Sandhill Detail'!BG14</f>
        <v>73</v>
      </c>
      <c r="BH14" s="100">
        <f>'Hillpointe Detail'!BH14+'Sandhill Detail'!BH14</f>
        <v>74</v>
      </c>
      <c r="BI14" s="100">
        <f>'Hillpointe Detail'!BI14+'Sandhill Detail'!BI14</f>
        <v>75</v>
      </c>
      <c r="BJ14" s="100">
        <f>'Hillpointe Detail'!BJ14+'Sandhill Detail'!BJ14</f>
        <v>75</v>
      </c>
      <c r="BK14" s="100">
        <f>'Hillpointe Detail'!BK14+'Sandhill Detail'!BK14</f>
        <v>75</v>
      </c>
      <c r="BL14" s="100">
        <f>'Hillpointe Detail'!BL14+'Sandhill Detail'!BL14</f>
        <v>75</v>
      </c>
      <c r="BM14" s="100">
        <f>'Hillpointe Detail'!BM14+'Sandhill Detail'!BM14</f>
        <v>75</v>
      </c>
      <c r="BN14" s="100">
        <f>'Hillpointe Detail'!BN14+'Sandhill Detail'!BN14</f>
        <v>84</v>
      </c>
      <c r="BO14" s="100">
        <f>'Hillpointe Detail'!BO14+'Sandhill Detail'!BO14</f>
        <v>83</v>
      </c>
      <c r="BP14" s="100">
        <f>'Hillpointe Detail'!BP14+'Sandhill Detail'!BP14</f>
        <v>82</v>
      </c>
      <c r="BQ14" s="100">
        <f>'Hillpointe Detail'!BQ14+'Sandhill Detail'!BQ14</f>
        <v>82</v>
      </c>
      <c r="BR14" s="100">
        <f>'Hillpointe Detail'!BR14+'Sandhill Detail'!BR14</f>
        <v>82</v>
      </c>
      <c r="BS14" s="100">
        <f>'Hillpointe Detail'!BS14+'Sandhill Detail'!BS14</f>
        <v>81</v>
      </c>
      <c r="BT14" s="100">
        <f>'Hillpointe Detail'!BT14+'Sandhill Detail'!BT14</f>
        <v>83</v>
      </c>
      <c r="BU14" s="100">
        <f>'Hillpointe Detail'!BU14+'Sandhill Detail'!BU14</f>
        <v>84</v>
      </c>
      <c r="BV14" s="100">
        <f>'Hillpointe Detail'!BV14+'Sandhill Detail'!BV14</f>
        <v>84</v>
      </c>
      <c r="BW14" s="100">
        <f>'Hillpointe Detail'!BW14+'Sandhill Detail'!BW14</f>
        <v>84</v>
      </c>
      <c r="BX14" s="100">
        <f>'Hillpointe Detail'!BX14+'Sandhill Detail'!BX14</f>
        <v>84</v>
      </c>
      <c r="BY14" s="27"/>
      <c r="BZ14" s="100">
        <f>'Hillpointe Detail'!BZ14+'Sandhill Detail'!BZ14</f>
        <v>36</v>
      </c>
      <c r="CA14" s="100">
        <f>'Hillpointe Detail'!CA14+'Sandhill Detail'!CA14</f>
        <v>36</v>
      </c>
      <c r="CC14" s="100">
        <f t="shared" si="43"/>
        <v>42</v>
      </c>
      <c r="CD14" s="100">
        <f t="shared" si="43"/>
        <v>54</v>
      </c>
      <c r="CE14" s="100">
        <f t="shared" si="43"/>
        <v>47</v>
      </c>
      <c r="CF14" s="100">
        <f t="shared" si="43"/>
        <v>36</v>
      </c>
      <c r="CG14" s="100">
        <f t="shared" si="43"/>
        <v>72</v>
      </c>
      <c r="CH14" s="100">
        <f t="shared" si="43"/>
        <v>76</v>
      </c>
      <c r="CI14" s="100">
        <f t="shared" si="43"/>
        <v>75</v>
      </c>
      <c r="CJ14" s="100">
        <f t="shared" si="43"/>
        <v>84</v>
      </c>
    </row>
    <row r="15" spans="1:88" x14ac:dyDescent="0.3">
      <c r="A15" t="str">
        <f t="shared" si="42"/>
        <v>Fifth</v>
      </c>
      <c r="B15" s="10" t="s">
        <v>357</v>
      </c>
      <c r="C15" s="100">
        <f>'Hillpointe Detail'!C15+'Sandhill Detail'!C15</f>
        <v>35</v>
      </c>
      <c r="D15" s="100">
        <f>'Hillpointe Detail'!D15+'Sandhill Detail'!D15</f>
        <v>41</v>
      </c>
      <c r="E15" s="100">
        <f>'Hillpointe Detail'!E15+'Sandhill Detail'!E15</f>
        <v>41</v>
      </c>
      <c r="F15" s="100">
        <f>'Hillpointe Detail'!F15+'Sandhill Detail'!F15</f>
        <v>61</v>
      </c>
      <c r="G15" s="100">
        <f>'Hillpointe Detail'!G15+'Sandhill Detail'!G15</f>
        <v>62</v>
      </c>
      <c r="H15" s="100">
        <f>'Hillpointe Detail'!H15+'Sandhill Detail'!H15</f>
        <v>62</v>
      </c>
      <c r="I15" s="100">
        <f>'Hillpointe Detail'!I15+'Sandhill Detail'!I15</f>
        <v>63</v>
      </c>
      <c r="J15" s="100">
        <f>'Hillpointe Detail'!J15+'Sandhill Detail'!J15</f>
        <v>63</v>
      </c>
      <c r="K15" s="100">
        <f>'Hillpointe Detail'!K15+'Sandhill Detail'!K15</f>
        <v>61</v>
      </c>
      <c r="L15" s="100">
        <f>'Hillpointe Detail'!L15+'Sandhill Detail'!L15</f>
        <v>62</v>
      </c>
      <c r="M15" s="100">
        <f>'Hillpointe Detail'!M15+'Sandhill Detail'!M15</f>
        <v>62</v>
      </c>
      <c r="N15" s="100">
        <f>'Hillpointe Detail'!N15+'Sandhill Detail'!N15</f>
        <v>61</v>
      </c>
      <c r="O15" s="100">
        <f>'Hillpointe Detail'!O15+'Sandhill Detail'!O15</f>
        <v>60</v>
      </c>
      <c r="P15" s="100">
        <f>'Hillpointe Detail'!P15+'Sandhill Detail'!P15</f>
        <v>60</v>
      </c>
      <c r="Q15" s="100">
        <f>'Hillpointe Detail'!Q15+'Sandhill Detail'!Q15</f>
        <v>60</v>
      </c>
      <c r="R15" s="100">
        <f>'Hillpointe Detail'!R15+'Sandhill Detail'!R15</f>
        <v>41</v>
      </c>
      <c r="S15" s="100">
        <f>'Hillpointe Detail'!S15+'Sandhill Detail'!S15</f>
        <v>42</v>
      </c>
      <c r="T15" s="100">
        <f>'Hillpointe Detail'!T15+'Sandhill Detail'!T15</f>
        <v>44</v>
      </c>
      <c r="U15" s="100">
        <f>'Hillpointe Detail'!U15+'Sandhill Detail'!U15</f>
        <v>43</v>
      </c>
      <c r="V15" s="100">
        <f>'Hillpointe Detail'!V15+'Sandhill Detail'!V15</f>
        <v>43</v>
      </c>
      <c r="W15" s="100">
        <f>'Hillpointe Detail'!W15+'Sandhill Detail'!W15</f>
        <v>45</v>
      </c>
      <c r="X15" s="100">
        <f>'Hillpointe Detail'!X15+'Sandhill Detail'!X15</f>
        <v>45</v>
      </c>
      <c r="Y15" s="100">
        <f>'Hillpointe Detail'!Y15+'Sandhill Detail'!Y15</f>
        <v>43</v>
      </c>
      <c r="Z15" s="100">
        <f>'Hillpointe Detail'!Z15+'Sandhill Detail'!Z15</f>
        <v>43</v>
      </c>
      <c r="AA15" s="100">
        <f>'Hillpointe Detail'!AA15+'Sandhill Detail'!AA15</f>
        <v>43</v>
      </c>
      <c r="AB15" s="100">
        <f>'Hillpointe Detail'!AB15+'Sandhill Detail'!AB15</f>
        <v>43</v>
      </c>
      <c r="AC15" s="100">
        <f>'Hillpointe Detail'!AC15+'Sandhill Detail'!AC15</f>
        <v>43</v>
      </c>
      <c r="AD15" s="100">
        <f>'Hillpointe Detail'!AD15+'Sandhill Detail'!AD15</f>
        <v>41</v>
      </c>
      <c r="AE15" s="100">
        <f>'Hillpointe Detail'!AE15+'Sandhill Detail'!AE15</f>
        <v>41</v>
      </c>
      <c r="AF15" s="100">
        <f>'Hillpointe Detail'!AF15+'Sandhill Detail'!AF15</f>
        <v>43</v>
      </c>
      <c r="AG15" s="100">
        <f>'Hillpointe Detail'!AG15+'Sandhill Detail'!AG15</f>
        <v>42</v>
      </c>
      <c r="AH15" s="100">
        <f>'Hillpointe Detail'!AH15+'Sandhill Detail'!AH15</f>
        <v>42</v>
      </c>
      <c r="AI15" s="100">
        <f>'Hillpointe Detail'!AI15+'Sandhill Detail'!AI15</f>
        <v>43</v>
      </c>
      <c r="AJ15" s="100">
        <f>'Hillpointe Detail'!AJ15+'Sandhill Detail'!AJ15</f>
        <v>43</v>
      </c>
      <c r="AK15" s="100">
        <f>'Hillpointe Detail'!AK15+'Sandhill Detail'!AK15</f>
        <v>43</v>
      </c>
      <c r="AL15" s="100">
        <f>'Hillpointe Detail'!AL15+'Sandhill Detail'!AL15</f>
        <v>42</v>
      </c>
      <c r="AM15" s="100">
        <f>'Hillpointe Detail'!AM15+'Sandhill Detail'!AM15</f>
        <v>42</v>
      </c>
      <c r="AN15" s="100">
        <f>'Hillpointe Detail'!AN15+'Sandhill Detail'!AN15</f>
        <v>42</v>
      </c>
      <c r="AO15" s="100">
        <f>'Hillpointe Detail'!AO15+'Sandhill Detail'!AO15</f>
        <v>42</v>
      </c>
      <c r="AP15" s="100">
        <f>'Hillpointe Detail'!AP15+'Sandhill Detail'!AP15</f>
        <v>95</v>
      </c>
      <c r="AQ15" s="100">
        <f>'Hillpointe Detail'!AQ15+'Sandhill Detail'!AQ15</f>
        <v>95</v>
      </c>
      <c r="AR15" s="100">
        <f>'Hillpointe Detail'!AR15+'Sandhill Detail'!AR15</f>
        <v>96</v>
      </c>
      <c r="AS15" s="100">
        <f>'Hillpointe Detail'!AS15+'Sandhill Detail'!AS15</f>
        <v>95</v>
      </c>
      <c r="AT15" s="100">
        <f>'Hillpointe Detail'!AT15+'Sandhill Detail'!AT15</f>
        <v>95</v>
      </c>
      <c r="AU15" s="100">
        <f>'Hillpointe Detail'!AU15+'Sandhill Detail'!AU15</f>
        <v>96</v>
      </c>
      <c r="AV15" s="100">
        <f>'Hillpointe Detail'!AV15+'Sandhill Detail'!AV15</f>
        <v>96</v>
      </c>
      <c r="AW15" s="100">
        <f>'Hillpointe Detail'!AW15+'Sandhill Detail'!AW15</f>
        <v>97</v>
      </c>
      <c r="AX15" s="100">
        <f>'Hillpointe Detail'!AX15+'Sandhill Detail'!AX15</f>
        <v>95</v>
      </c>
      <c r="AY15" s="100">
        <f>'Hillpointe Detail'!AY15+'Sandhill Detail'!AY15</f>
        <v>95</v>
      </c>
      <c r="AZ15" s="100">
        <f>'Hillpointe Detail'!AZ15+'Sandhill Detail'!AZ15</f>
        <v>95</v>
      </c>
      <c r="BA15" s="100">
        <f>'Hillpointe Detail'!BA15+'Sandhill Detail'!BA15</f>
        <v>95</v>
      </c>
      <c r="BB15" s="100">
        <f>'Hillpointe Detail'!BB15+'Sandhill Detail'!BB15</f>
        <v>78</v>
      </c>
      <c r="BC15" s="100">
        <f>'Hillpointe Detail'!BC15+'Sandhill Detail'!BC15</f>
        <v>78</v>
      </c>
      <c r="BD15" s="100">
        <f>'Hillpointe Detail'!BD15+'Sandhill Detail'!BD15</f>
        <v>81</v>
      </c>
      <c r="BE15" s="100">
        <f>'Hillpointe Detail'!BE15+'Sandhill Detail'!BE15</f>
        <v>80</v>
      </c>
      <c r="BF15" s="100">
        <f>'Hillpointe Detail'!BF15+'Sandhill Detail'!BF15</f>
        <v>80</v>
      </c>
      <c r="BG15" s="100">
        <f>'Hillpointe Detail'!BG15+'Sandhill Detail'!BG15</f>
        <v>81</v>
      </c>
      <c r="BH15" s="100">
        <f>'Hillpointe Detail'!BH15+'Sandhill Detail'!BH15</f>
        <v>81</v>
      </c>
      <c r="BI15" s="100">
        <f>'Hillpointe Detail'!BI15+'Sandhill Detail'!BI15</f>
        <v>81</v>
      </c>
      <c r="BJ15" s="100">
        <f>'Hillpointe Detail'!BJ15+'Sandhill Detail'!BJ15</f>
        <v>80</v>
      </c>
      <c r="BK15" s="100">
        <f>'Hillpointe Detail'!BK15+'Sandhill Detail'!BK15</f>
        <v>80</v>
      </c>
      <c r="BL15" s="100">
        <f>'Hillpointe Detail'!BL15+'Sandhill Detail'!BL15</f>
        <v>80</v>
      </c>
      <c r="BM15" s="100">
        <f>'Hillpointe Detail'!BM15+'Sandhill Detail'!BM15</f>
        <v>80</v>
      </c>
      <c r="BN15" s="100">
        <f>'Hillpointe Detail'!BN15+'Sandhill Detail'!BN15</f>
        <v>77</v>
      </c>
      <c r="BO15" s="100">
        <f>'Hillpointe Detail'!BO15+'Sandhill Detail'!BO15</f>
        <v>77</v>
      </c>
      <c r="BP15" s="100">
        <f>'Hillpointe Detail'!BP15+'Sandhill Detail'!BP15</f>
        <v>80</v>
      </c>
      <c r="BQ15" s="100">
        <f>'Hillpointe Detail'!BQ15+'Sandhill Detail'!BQ15</f>
        <v>79</v>
      </c>
      <c r="BR15" s="100">
        <f>'Hillpointe Detail'!BR15+'Sandhill Detail'!BR15</f>
        <v>79</v>
      </c>
      <c r="BS15" s="100">
        <f>'Hillpointe Detail'!BS15+'Sandhill Detail'!BS15</f>
        <v>80</v>
      </c>
      <c r="BT15" s="100">
        <f>'Hillpointe Detail'!BT15+'Sandhill Detail'!BT15</f>
        <v>80</v>
      </c>
      <c r="BU15" s="100">
        <f>'Hillpointe Detail'!BU15+'Sandhill Detail'!BU15</f>
        <v>80</v>
      </c>
      <c r="BV15" s="100">
        <f>'Hillpointe Detail'!BV15+'Sandhill Detail'!BV15</f>
        <v>79</v>
      </c>
      <c r="BW15" s="100">
        <f>'Hillpointe Detail'!BW15+'Sandhill Detail'!BW15</f>
        <v>79</v>
      </c>
      <c r="BX15" s="100">
        <f>'Hillpointe Detail'!BX15+'Sandhill Detail'!BX15</f>
        <v>79</v>
      </c>
      <c r="BY15" s="27"/>
      <c r="BZ15" s="100">
        <f>'Hillpointe Detail'!BZ15+'Sandhill Detail'!BZ15</f>
        <v>43</v>
      </c>
      <c r="CA15" s="100">
        <f>'Hillpointe Detail'!CA15+'Sandhill Detail'!CA15</f>
        <v>43</v>
      </c>
      <c r="CC15" s="100">
        <f t="shared" si="43"/>
        <v>35</v>
      </c>
      <c r="CD15" s="100">
        <f t="shared" si="43"/>
        <v>41</v>
      </c>
      <c r="CE15" s="100">
        <f t="shared" si="43"/>
        <v>60</v>
      </c>
      <c r="CF15" s="100">
        <f t="shared" si="43"/>
        <v>43</v>
      </c>
      <c r="CG15" s="100">
        <f t="shared" si="43"/>
        <v>42</v>
      </c>
      <c r="CH15" s="100">
        <f t="shared" si="43"/>
        <v>95</v>
      </c>
      <c r="CI15" s="100">
        <f t="shared" si="43"/>
        <v>80</v>
      </c>
      <c r="CJ15" s="100">
        <f t="shared" si="43"/>
        <v>79</v>
      </c>
    </row>
    <row r="16" spans="1:88" x14ac:dyDescent="0.3">
      <c r="A16" t="str">
        <f t="shared" si="42"/>
        <v>Sixth</v>
      </c>
      <c r="B16" s="10" t="s">
        <v>358</v>
      </c>
      <c r="C16" s="100">
        <f>'Hillpointe Detail'!C16+'Sandhill Detail'!C16</f>
        <v>32</v>
      </c>
      <c r="D16" s="100">
        <f>'Hillpointe Detail'!D16+'Sandhill Detail'!D16</f>
        <v>38</v>
      </c>
      <c r="E16" s="100">
        <f>'Hillpointe Detail'!E16+'Sandhill Detail'!E16</f>
        <v>38</v>
      </c>
      <c r="F16" s="100">
        <f>'Hillpointe Detail'!F16+'Sandhill Detail'!F16</f>
        <v>42</v>
      </c>
      <c r="G16" s="100">
        <f>'Hillpointe Detail'!G16+'Sandhill Detail'!G16</f>
        <v>42</v>
      </c>
      <c r="H16" s="100">
        <f>'Hillpointe Detail'!H16+'Sandhill Detail'!H16</f>
        <v>43</v>
      </c>
      <c r="I16" s="100">
        <f>'Hillpointe Detail'!I16+'Sandhill Detail'!I16</f>
        <v>44</v>
      </c>
      <c r="J16" s="100">
        <f>'Hillpointe Detail'!J16+'Sandhill Detail'!J16</f>
        <v>43</v>
      </c>
      <c r="K16" s="100">
        <f>'Hillpointe Detail'!K16+'Sandhill Detail'!K16</f>
        <v>44</v>
      </c>
      <c r="L16" s="100">
        <f>'Hillpointe Detail'!L16+'Sandhill Detail'!L16</f>
        <v>44</v>
      </c>
      <c r="M16" s="100">
        <f>'Hillpointe Detail'!M16+'Sandhill Detail'!M16</f>
        <v>44</v>
      </c>
      <c r="N16" s="100">
        <f>'Hillpointe Detail'!N16+'Sandhill Detail'!N16</f>
        <v>44</v>
      </c>
      <c r="O16" s="100">
        <f>'Hillpointe Detail'!O16+'Sandhill Detail'!O16</f>
        <v>44</v>
      </c>
      <c r="P16" s="100">
        <f>'Hillpointe Detail'!P16+'Sandhill Detail'!P16</f>
        <v>44</v>
      </c>
      <c r="Q16" s="100">
        <f>'Hillpointe Detail'!Q16+'Sandhill Detail'!Q16</f>
        <v>44</v>
      </c>
      <c r="R16" s="100">
        <f>'Hillpointe Detail'!R16+'Sandhill Detail'!R16</f>
        <v>46</v>
      </c>
      <c r="S16" s="100">
        <f>'Hillpointe Detail'!S16+'Sandhill Detail'!S16</f>
        <v>45</v>
      </c>
      <c r="T16" s="100">
        <f>'Hillpointe Detail'!T16+'Sandhill Detail'!T16</f>
        <v>45</v>
      </c>
      <c r="U16" s="100">
        <f>'Hillpointe Detail'!U16+'Sandhill Detail'!U16</f>
        <v>45</v>
      </c>
      <c r="V16" s="100">
        <f>'Hillpointe Detail'!V16+'Sandhill Detail'!V16</f>
        <v>46</v>
      </c>
      <c r="W16" s="100">
        <f>'Hillpointe Detail'!W16+'Sandhill Detail'!W16</f>
        <v>47</v>
      </c>
      <c r="X16" s="100">
        <f>'Hillpointe Detail'!X16+'Sandhill Detail'!X16</f>
        <v>47</v>
      </c>
      <c r="Y16" s="100">
        <f>'Hillpointe Detail'!Y16+'Sandhill Detail'!Y16</f>
        <v>47</v>
      </c>
      <c r="Z16" s="100">
        <f>'Hillpointe Detail'!Z16+'Sandhill Detail'!Z16</f>
        <v>47</v>
      </c>
      <c r="AA16" s="100">
        <f>'Hillpointe Detail'!AA16+'Sandhill Detail'!AA16</f>
        <v>47</v>
      </c>
      <c r="AB16" s="100">
        <f>'Hillpointe Detail'!AB16+'Sandhill Detail'!AB16</f>
        <v>47</v>
      </c>
      <c r="AC16" s="100">
        <f>'Hillpointe Detail'!AC16+'Sandhill Detail'!AC16</f>
        <v>47</v>
      </c>
      <c r="AD16" s="100">
        <f>'Hillpointe Detail'!AD16+'Sandhill Detail'!AD16</f>
        <v>37</v>
      </c>
      <c r="AE16" s="100">
        <f>'Hillpointe Detail'!AE16+'Sandhill Detail'!AE16</f>
        <v>36</v>
      </c>
      <c r="AF16" s="100">
        <f>'Hillpointe Detail'!AF16+'Sandhill Detail'!AF16</f>
        <v>36</v>
      </c>
      <c r="AG16" s="100">
        <f>'Hillpointe Detail'!AG16+'Sandhill Detail'!AG16</f>
        <v>36</v>
      </c>
      <c r="AH16" s="100">
        <f>'Hillpointe Detail'!AH16+'Sandhill Detail'!AH16</f>
        <v>37</v>
      </c>
      <c r="AI16" s="100">
        <f>'Hillpointe Detail'!AI16+'Sandhill Detail'!AI16</f>
        <v>38</v>
      </c>
      <c r="AJ16" s="100">
        <f>'Hillpointe Detail'!AJ16+'Sandhill Detail'!AJ16</f>
        <v>37</v>
      </c>
      <c r="AK16" s="100">
        <f>'Hillpointe Detail'!AK16+'Sandhill Detail'!AK16</f>
        <v>37</v>
      </c>
      <c r="AL16" s="100">
        <f>'Hillpointe Detail'!AL16+'Sandhill Detail'!AL16</f>
        <v>37</v>
      </c>
      <c r="AM16" s="100">
        <f>'Hillpointe Detail'!AM16+'Sandhill Detail'!AM16</f>
        <v>37</v>
      </c>
      <c r="AN16" s="100">
        <f>'Hillpointe Detail'!AN16+'Sandhill Detail'!AN16</f>
        <v>37</v>
      </c>
      <c r="AO16" s="100">
        <f>'Hillpointe Detail'!AO16+'Sandhill Detail'!AO16</f>
        <v>37</v>
      </c>
      <c r="AP16" s="100">
        <f>'Hillpointe Detail'!AP16+'Sandhill Detail'!AP16</f>
        <v>56</v>
      </c>
      <c r="AQ16" s="100">
        <f>'Hillpointe Detail'!AQ16+'Sandhill Detail'!AQ16</f>
        <v>55</v>
      </c>
      <c r="AR16" s="100">
        <f>'Hillpointe Detail'!AR16+'Sandhill Detail'!AR16</f>
        <v>55</v>
      </c>
      <c r="AS16" s="100">
        <f>'Hillpointe Detail'!AS16+'Sandhill Detail'!AS16</f>
        <v>55</v>
      </c>
      <c r="AT16" s="100">
        <f>'Hillpointe Detail'!AT16+'Sandhill Detail'!AT16</f>
        <v>56</v>
      </c>
      <c r="AU16" s="100">
        <f>'Hillpointe Detail'!AU16+'Sandhill Detail'!AU16</f>
        <v>57</v>
      </c>
      <c r="AV16" s="100">
        <f>'Hillpointe Detail'!AV16+'Sandhill Detail'!AV16</f>
        <v>56</v>
      </c>
      <c r="AW16" s="100">
        <f>'Hillpointe Detail'!AW16+'Sandhill Detail'!AW16</f>
        <v>56</v>
      </c>
      <c r="AX16" s="100">
        <f>'Hillpointe Detail'!AX16+'Sandhill Detail'!AX16</f>
        <v>56</v>
      </c>
      <c r="AY16" s="100">
        <f>'Hillpointe Detail'!AY16+'Sandhill Detail'!AY16</f>
        <v>56</v>
      </c>
      <c r="AZ16" s="100">
        <f>'Hillpointe Detail'!AZ16+'Sandhill Detail'!AZ16</f>
        <v>56</v>
      </c>
      <c r="BA16" s="100">
        <f>'Hillpointe Detail'!BA16+'Sandhill Detail'!BA16</f>
        <v>56</v>
      </c>
      <c r="BB16" s="100">
        <f>'Hillpointe Detail'!BB16+'Sandhill Detail'!BB16</f>
        <v>84</v>
      </c>
      <c r="BC16" s="100">
        <f>'Hillpointe Detail'!BC16+'Sandhill Detail'!BC16</f>
        <v>82</v>
      </c>
      <c r="BD16" s="100">
        <f>'Hillpointe Detail'!BD16+'Sandhill Detail'!BD16</f>
        <v>82</v>
      </c>
      <c r="BE16" s="100">
        <f>'Hillpointe Detail'!BE16+'Sandhill Detail'!BE16</f>
        <v>82</v>
      </c>
      <c r="BF16" s="100">
        <f>'Hillpointe Detail'!BF16+'Sandhill Detail'!BF16</f>
        <v>84</v>
      </c>
      <c r="BG16" s="100">
        <f>'Hillpointe Detail'!BG16+'Sandhill Detail'!BG16</f>
        <v>86</v>
      </c>
      <c r="BH16" s="100">
        <f>'Hillpointe Detail'!BH16+'Sandhill Detail'!BH16</f>
        <v>84</v>
      </c>
      <c r="BI16" s="100">
        <f>'Hillpointe Detail'!BI16+'Sandhill Detail'!BI16</f>
        <v>84</v>
      </c>
      <c r="BJ16" s="100">
        <f>'Hillpointe Detail'!BJ16+'Sandhill Detail'!BJ16</f>
        <v>84</v>
      </c>
      <c r="BK16" s="100">
        <f>'Hillpointe Detail'!BK16+'Sandhill Detail'!BK16</f>
        <v>84</v>
      </c>
      <c r="BL16" s="100">
        <f>'Hillpointe Detail'!BL16+'Sandhill Detail'!BL16</f>
        <v>84</v>
      </c>
      <c r="BM16" s="100">
        <f>'Hillpointe Detail'!BM16+'Sandhill Detail'!BM16</f>
        <v>84</v>
      </c>
      <c r="BN16" s="100">
        <f>'Hillpointe Detail'!BN16+'Sandhill Detail'!BN16</f>
        <v>56</v>
      </c>
      <c r="BO16" s="100">
        <f>'Hillpointe Detail'!BO16+'Sandhill Detail'!BO16</f>
        <v>55</v>
      </c>
      <c r="BP16" s="100">
        <f>'Hillpointe Detail'!BP16+'Sandhill Detail'!BP16</f>
        <v>55</v>
      </c>
      <c r="BQ16" s="100">
        <f>'Hillpointe Detail'!BQ16+'Sandhill Detail'!BQ16</f>
        <v>55</v>
      </c>
      <c r="BR16" s="100">
        <f>'Hillpointe Detail'!BR16+'Sandhill Detail'!BR16</f>
        <v>56</v>
      </c>
      <c r="BS16" s="100">
        <f>'Hillpointe Detail'!BS16+'Sandhill Detail'!BS16</f>
        <v>57</v>
      </c>
      <c r="BT16" s="100">
        <f>'Hillpointe Detail'!BT16+'Sandhill Detail'!BT16</f>
        <v>56</v>
      </c>
      <c r="BU16" s="100">
        <f>'Hillpointe Detail'!BU16+'Sandhill Detail'!BU16</f>
        <v>56</v>
      </c>
      <c r="BV16" s="100">
        <f>'Hillpointe Detail'!BV16+'Sandhill Detail'!BV16</f>
        <v>56</v>
      </c>
      <c r="BW16" s="100">
        <f>'Hillpointe Detail'!BW16+'Sandhill Detail'!BW16</f>
        <v>56</v>
      </c>
      <c r="BX16" s="100">
        <f>'Hillpointe Detail'!BX16+'Sandhill Detail'!BX16</f>
        <v>56</v>
      </c>
      <c r="BY16" s="27"/>
      <c r="BZ16" s="100">
        <f>'Hillpointe Detail'!BZ16+'Sandhill Detail'!BZ16</f>
        <v>47</v>
      </c>
      <c r="CA16" s="100">
        <f>'Hillpointe Detail'!CA16+'Sandhill Detail'!CA16</f>
        <v>47</v>
      </c>
      <c r="CC16" s="100">
        <f t="shared" si="43"/>
        <v>32</v>
      </c>
      <c r="CD16" s="100">
        <f t="shared" si="43"/>
        <v>38</v>
      </c>
      <c r="CE16" s="100">
        <f t="shared" si="43"/>
        <v>44</v>
      </c>
      <c r="CF16" s="100">
        <f t="shared" si="43"/>
        <v>47</v>
      </c>
      <c r="CG16" s="100">
        <f t="shared" si="43"/>
        <v>37</v>
      </c>
      <c r="CH16" s="100">
        <f t="shared" si="43"/>
        <v>56</v>
      </c>
      <c r="CI16" s="100">
        <f t="shared" si="43"/>
        <v>84</v>
      </c>
      <c r="CJ16" s="100">
        <f t="shared" si="43"/>
        <v>56</v>
      </c>
    </row>
    <row r="17" spans="1:91" x14ac:dyDescent="0.3">
      <c r="A17" t="str">
        <f t="shared" si="42"/>
        <v>Seventh</v>
      </c>
      <c r="B17" s="10" t="s">
        <v>359</v>
      </c>
      <c r="C17" s="100">
        <f>'Hillpointe Detail'!C17+'Sandhill Detail'!C17</f>
        <v>25</v>
      </c>
      <c r="D17" s="100">
        <f>'Hillpointe Detail'!D17+'Sandhill Detail'!D17</f>
        <v>28</v>
      </c>
      <c r="E17" s="100">
        <f>'Hillpointe Detail'!E17+'Sandhill Detail'!E17</f>
        <v>28</v>
      </c>
      <c r="F17" s="100">
        <f>'Hillpointe Detail'!F17+'Sandhill Detail'!F17</f>
        <v>36</v>
      </c>
      <c r="G17" s="100">
        <f>'Hillpointe Detail'!G17+'Sandhill Detail'!G17</f>
        <v>37</v>
      </c>
      <c r="H17" s="100">
        <f>'Hillpointe Detail'!H17+'Sandhill Detail'!H17</f>
        <v>39</v>
      </c>
      <c r="I17" s="100">
        <f>'Hillpointe Detail'!I17+'Sandhill Detail'!I17</f>
        <v>37</v>
      </c>
      <c r="J17" s="100">
        <f>'Hillpointe Detail'!J17+'Sandhill Detail'!J17</f>
        <v>37</v>
      </c>
      <c r="K17" s="100">
        <f>'Hillpointe Detail'!K17+'Sandhill Detail'!K17</f>
        <v>38</v>
      </c>
      <c r="L17" s="100">
        <f>'Hillpointe Detail'!L17+'Sandhill Detail'!L17</f>
        <v>36</v>
      </c>
      <c r="M17" s="100">
        <f>'Hillpointe Detail'!M17+'Sandhill Detail'!M17</f>
        <v>35</v>
      </c>
      <c r="N17" s="100">
        <f>'Hillpointe Detail'!N17+'Sandhill Detail'!N17</f>
        <v>34</v>
      </c>
      <c r="O17" s="100">
        <f>'Hillpointe Detail'!O17+'Sandhill Detail'!O17</f>
        <v>34</v>
      </c>
      <c r="P17" s="100">
        <f>'Hillpointe Detail'!P17+'Sandhill Detail'!P17</f>
        <v>34</v>
      </c>
      <c r="Q17" s="100">
        <f>'Hillpointe Detail'!Q17+'Sandhill Detail'!Q17</f>
        <v>34</v>
      </c>
      <c r="R17" s="100">
        <f>'Hillpointe Detail'!R17+'Sandhill Detail'!R17</f>
        <v>47</v>
      </c>
      <c r="S17" s="100">
        <f>'Hillpointe Detail'!S17+'Sandhill Detail'!S17</f>
        <v>50</v>
      </c>
      <c r="T17" s="100">
        <f>'Hillpointe Detail'!T17+'Sandhill Detail'!T17</f>
        <v>47</v>
      </c>
      <c r="U17" s="100">
        <f>'Hillpointe Detail'!U17+'Sandhill Detail'!U17</f>
        <v>45</v>
      </c>
      <c r="V17" s="100">
        <f>'Hillpointe Detail'!V17+'Sandhill Detail'!V17</f>
        <v>45</v>
      </c>
      <c r="W17" s="100">
        <f>'Hillpointe Detail'!W17+'Sandhill Detail'!W17</f>
        <v>45</v>
      </c>
      <c r="X17" s="100">
        <f>'Hillpointe Detail'!X17+'Sandhill Detail'!X17</f>
        <v>47</v>
      </c>
      <c r="Y17" s="100">
        <f>'Hillpointe Detail'!Y17+'Sandhill Detail'!Y17</f>
        <v>47</v>
      </c>
      <c r="Z17" s="100">
        <f>'Hillpointe Detail'!Z17+'Sandhill Detail'!Z17</f>
        <v>47</v>
      </c>
      <c r="AA17" s="100">
        <f>'Hillpointe Detail'!AA17+'Sandhill Detail'!AA17</f>
        <v>47</v>
      </c>
      <c r="AB17" s="100">
        <f>'Hillpointe Detail'!AB17+'Sandhill Detail'!AB17</f>
        <v>47</v>
      </c>
      <c r="AC17" s="100">
        <f>'Hillpointe Detail'!AC17+'Sandhill Detail'!AC17</f>
        <v>47</v>
      </c>
      <c r="AD17" s="100">
        <f>'Hillpointe Detail'!AD17+'Sandhill Detail'!AD17</f>
        <v>54</v>
      </c>
      <c r="AE17" s="100">
        <f>'Hillpointe Detail'!AE17+'Sandhill Detail'!AE17</f>
        <v>54</v>
      </c>
      <c r="AF17" s="100">
        <f>'Hillpointe Detail'!AF17+'Sandhill Detail'!AF17</f>
        <v>54</v>
      </c>
      <c r="AG17" s="100">
        <f>'Hillpointe Detail'!AG17+'Sandhill Detail'!AG17</f>
        <v>52</v>
      </c>
      <c r="AH17" s="100">
        <f>'Hillpointe Detail'!AH17+'Sandhill Detail'!AH17</f>
        <v>52</v>
      </c>
      <c r="AI17" s="100">
        <f>'Hillpointe Detail'!AI17+'Sandhill Detail'!AI17</f>
        <v>52</v>
      </c>
      <c r="AJ17" s="100">
        <f>'Hillpointe Detail'!AJ17+'Sandhill Detail'!AJ17</f>
        <v>54</v>
      </c>
      <c r="AK17" s="100">
        <f>'Hillpointe Detail'!AK17+'Sandhill Detail'!AK17</f>
        <v>54</v>
      </c>
      <c r="AL17" s="100">
        <f>'Hillpointe Detail'!AL17+'Sandhill Detail'!AL17</f>
        <v>52</v>
      </c>
      <c r="AM17" s="100">
        <f>'Hillpointe Detail'!AM17+'Sandhill Detail'!AM17</f>
        <v>52</v>
      </c>
      <c r="AN17" s="100">
        <f>'Hillpointe Detail'!AN17+'Sandhill Detail'!AN17</f>
        <v>52</v>
      </c>
      <c r="AO17" s="100">
        <f>'Hillpointe Detail'!AO17+'Sandhill Detail'!AO17</f>
        <v>52</v>
      </c>
      <c r="AP17" s="100">
        <f>'Hillpointe Detail'!AP17+'Sandhill Detail'!AP17</f>
        <v>56</v>
      </c>
      <c r="AQ17" s="100">
        <f>'Hillpointe Detail'!AQ17+'Sandhill Detail'!AQ17</f>
        <v>56</v>
      </c>
      <c r="AR17" s="100">
        <f>'Hillpointe Detail'!AR17+'Sandhill Detail'!AR17</f>
        <v>56</v>
      </c>
      <c r="AS17" s="100">
        <f>'Hillpointe Detail'!AS17+'Sandhill Detail'!AS17</f>
        <v>54</v>
      </c>
      <c r="AT17" s="100">
        <f>'Hillpointe Detail'!AT17+'Sandhill Detail'!AT17</f>
        <v>54</v>
      </c>
      <c r="AU17" s="100">
        <f>'Hillpointe Detail'!AU17+'Sandhill Detail'!AU17</f>
        <v>54</v>
      </c>
      <c r="AV17" s="100">
        <f>'Hillpointe Detail'!AV17+'Sandhill Detail'!AV17</f>
        <v>56</v>
      </c>
      <c r="AW17" s="100">
        <f>'Hillpointe Detail'!AW17+'Sandhill Detail'!AW17</f>
        <v>56</v>
      </c>
      <c r="AX17" s="100">
        <f>'Hillpointe Detail'!AX17+'Sandhill Detail'!AX17</f>
        <v>54</v>
      </c>
      <c r="AY17" s="100">
        <f>'Hillpointe Detail'!AY17+'Sandhill Detail'!AY17</f>
        <v>54</v>
      </c>
      <c r="AZ17" s="100">
        <f>'Hillpointe Detail'!AZ17+'Sandhill Detail'!AZ17</f>
        <v>54</v>
      </c>
      <c r="BA17" s="100">
        <f>'Hillpointe Detail'!BA17+'Sandhill Detail'!BA17</f>
        <v>54</v>
      </c>
      <c r="BB17" s="100">
        <f>'Hillpointe Detail'!BB17+'Sandhill Detail'!BB17</f>
        <v>56</v>
      </c>
      <c r="BC17" s="100">
        <f>'Hillpointe Detail'!BC17+'Sandhill Detail'!BC17</f>
        <v>56</v>
      </c>
      <c r="BD17" s="100">
        <f>'Hillpointe Detail'!BD17+'Sandhill Detail'!BD17</f>
        <v>56</v>
      </c>
      <c r="BE17" s="100">
        <f>'Hillpointe Detail'!BE17+'Sandhill Detail'!BE17</f>
        <v>54</v>
      </c>
      <c r="BF17" s="100">
        <f>'Hillpointe Detail'!BF17+'Sandhill Detail'!BF17</f>
        <v>54</v>
      </c>
      <c r="BG17" s="100">
        <f>'Hillpointe Detail'!BG17+'Sandhill Detail'!BG17</f>
        <v>54</v>
      </c>
      <c r="BH17" s="100">
        <f>'Hillpointe Detail'!BH17+'Sandhill Detail'!BH17</f>
        <v>56</v>
      </c>
      <c r="BI17" s="100">
        <f>'Hillpointe Detail'!BI17+'Sandhill Detail'!BI17</f>
        <v>56</v>
      </c>
      <c r="BJ17" s="100">
        <f>'Hillpointe Detail'!BJ17+'Sandhill Detail'!BJ17</f>
        <v>54</v>
      </c>
      <c r="BK17" s="100">
        <f>'Hillpointe Detail'!BK17+'Sandhill Detail'!BK17</f>
        <v>54</v>
      </c>
      <c r="BL17" s="100">
        <f>'Hillpointe Detail'!BL17+'Sandhill Detail'!BL17</f>
        <v>54</v>
      </c>
      <c r="BM17" s="100">
        <f>'Hillpointe Detail'!BM17+'Sandhill Detail'!BM17</f>
        <v>54</v>
      </c>
      <c r="BN17" s="100">
        <f>'Hillpointe Detail'!BN17+'Sandhill Detail'!BN17</f>
        <v>84</v>
      </c>
      <c r="BO17" s="100">
        <f>'Hillpointe Detail'!BO17+'Sandhill Detail'!BO17</f>
        <v>84</v>
      </c>
      <c r="BP17" s="100">
        <f>'Hillpointe Detail'!BP17+'Sandhill Detail'!BP17</f>
        <v>84</v>
      </c>
      <c r="BQ17" s="100">
        <f>'Hillpointe Detail'!BQ17+'Sandhill Detail'!BQ17</f>
        <v>81</v>
      </c>
      <c r="BR17" s="100">
        <f>'Hillpointe Detail'!BR17+'Sandhill Detail'!BR17</f>
        <v>81</v>
      </c>
      <c r="BS17" s="100">
        <f>'Hillpointe Detail'!BS17+'Sandhill Detail'!BS17</f>
        <v>81</v>
      </c>
      <c r="BT17" s="100">
        <f>'Hillpointe Detail'!BT17+'Sandhill Detail'!BT17</f>
        <v>84</v>
      </c>
      <c r="BU17" s="100">
        <f>'Hillpointe Detail'!BU17+'Sandhill Detail'!BU17</f>
        <v>84</v>
      </c>
      <c r="BV17" s="100">
        <f>'Hillpointe Detail'!BV17+'Sandhill Detail'!BV17</f>
        <v>82</v>
      </c>
      <c r="BW17" s="100">
        <f>'Hillpointe Detail'!BW17+'Sandhill Detail'!BW17</f>
        <v>82</v>
      </c>
      <c r="BX17" s="100">
        <f>'Hillpointe Detail'!BX17+'Sandhill Detail'!BX17</f>
        <v>82</v>
      </c>
      <c r="BY17" s="27"/>
      <c r="BZ17" s="100">
        <f>'Hillpointe Detail'!BZ17+'Sandhill Detail'!BZ17</f>
        <v>47</v>
      </c>
      <c r="CA17" s="100">
        <f>'Hillpointe Detail'!CA17+'Sandhill Detail'!CA17</f>
        <v>47</v>
      </c>
      <c r="CC17" s="100">
        <f t="shared" si="43"/>
        <v>25</v>
      </c>
      <c r="CD17" s="100">
        <f t="shared" si="43"/>
        <v>28</v>
      </c>
      <c r="CE17" s="100">
        <f t="shared" si="43"/>
        <v>34</v>
      </c>
      <c r="CF17" s="100">
        <f t="shared" si="43"/>
        <v>47</v>
      </c>
      <c r="CG17" s="100">
        <f t="shared" si="43"/>
        <v>52</v>
      </c>
      <c r="CH17" s="100">
        <f t="shared" si="43"/>
        <v>54</v>
      </c>
      <c r="CI17" s="100">
        <f t="shared" si="43"/>
        <v>54</v>
      </c>
      <c r="CJ17" s="100">
        <f t="shared" si="43"/>
        <v>82</v>
      </c>
    </row>
    <row r="18" spans="1:91" x14ac:dyDescent="0.3">
      <c r="A18" t="str">
        <f t="shared" si="42"/>
        <v>Eighth</v>
      </c>
      <c r="B18" s="10" t="s">
        <v>360</v>
      </c>
      <c r="C18" s="100">
        <f>'Hillpointe Detail'!C18+'Sandhill Detail'!C18</f>
        <v>27</v>
      </c>
      <c r="D18" s="100">
        <f>'Hillpointe Detail'!D18+'Sandhill Detail'!D18</f>
        <v>20</v>
      </c>
      <c r="E18" s="100">
        <f>'Hillpointe Detail'!E18+'Sandhill Detail'!E18</f>
        <v>20</v>
      </c>
      <c r="F18" s="100">
        <f>'Hillpointe Detail'!F18+'Sandhill Detail'!F18</f>
        <v>33</v>
      </c>
      <c r="G18" s="100">
        <f>'Hillpointe Detail'!G18+'Sandhill Detail'!G18</f>
        <v>32</v>
      </c>
      <c r="H18" s="100">
        <f>'Hillpointe Detail'!H18+'Sandhill Detail'!H18</f>
        <v>32</v>
      </c>
      <c r="I18" s="100">
        <f>'Hillpointe Detail'!I18+'Sandhill Detail'!I18</f>
        <v>33</v>
      </c>
      <c r="J18" s="100">
        <f>'Hillpointe Detail'!J18+'Sandhill Detail'!J18</f>
        <v>33</v>
      </c>
      <c r="K18" s="100">
        <f>'Hillpointe Detail'!K18+'Sandhill Detail'!K18</f>
        <v>33</v>
      </c>
      <c r="L18" s="100">
        <f>'Hillpointe Detail'!L18+'Sandhill Detail'!L18</f>
        <v>32</v>
      </c>
      <c r="M18" s="100">
        <f>'Hillpointe Detail'!M18+'Sandhill Detail'!M18</f>
        <v>32</v>
      </c>
      <c r="N18" s="100">
        <f>'Hillpointe Detail'!N18+'Sandhill Detail'!N18</f>
        <v>32</v>
      </c>
      <c r="O18" s="100">
        <f>'Hillpointe Detail'!O18+'Sandhill Detail'!O18</f>
        <v>32</v>
      </c>
      <c r="P18" s="100">
        <f>'Hillpointe Detail'!P18+'Sandhill Detail'!P18</f>
        <v>32</v>
      </c>
      <c r="Q18" s="100">
        <f>'Hillpointe Detail'!Q18+'Sandhill Detail'!Q18</f>
        <v>32</v>
      </c>
      <c r="R18" s="100">
        <f>'Hillpointe Detail'!R18+'Sandhill Detail'!R18</f>
        <v>31</v>
      </c>
      <c r="S18" s="100">
        <f>'Hillpointe Detail'!S18+'Sandhill Detail'!S18</f>
        <v>31</v>
      </c>
      <c r="T18" s="100">
        <f>'Hillpointe Detail'!T18+'Sandhill Detail'!T18</f>
        <v>31</v>
      </c>
      <c r="U18" s="100">
        <f>'Hillpointe Detail'!U18+'Sandhill Detail'!U18</f>
        <v>31</v>
      </c>
      <c r="V18" s="100">
        <f>'Hillpointe Detail'!V18+'Sandhill Detail'!V18</f>
        <v>30</v>
      </c>
      <c r="W18" s="100">
        <f>'Hillpointe Detail'!W18+'Sandhill Detail'!W18</f>
        <v>30</v>
      </c>
      <c r="X18" s="100">
        <f>'Hillpointe Detail'!X18+'Sandhill Detail'!X18</f>
        <v>30</v>
      </c>
      <c r="Y18" s="100">
        <f>'Hillpointe Detail'!Y18+'Sandhill Detail'!Y18</f>
        <v>30</v>
      </c>
      <c r="Z18" s="100">
        <f>'Hillpointe Detail'!Z18+'Sandhill Detail'!Z18</f>
        <v>30</v>
      </c>
      <c r="AA18" s="100">
        <f>'Hillpointe Detail'!AA18+'Sandhill Detail'!AA18</f>
        <v>30</v>
      </c>
      <c r="AB18" s="100">
        <f>'Hillpointe Detail'!AB18+'Sandhill Detail'!AB18</f>
        <v>30</v>
      </c>
      <c r="AC18" s="100">
        <f>'Hillpointe Detail'!AC18+'Sandhill Detail'!AC18</f>
        <v>30</v>
      </c>
      <c r="AD18" s="100">
        <f>'Hillpointe Detail'!AD18+'Sandhill Detail'!AD18</f>
        <v>55</v>
      </c>
      <c r="AE18" s="100">
        <f>'Hillpointe Detail'!AE18+'Sandhill Detail'!AE18</f>
        <v>55</v>
      </c>
      <c r="AF18" s="100">
        <f>'Hillpointe Detail'!AF18+'Sandhill Detail'!AF18</f>
        <v>55</v>
      </c>
      <c r="AG18" s="100">
        <f>'Hillpointe Detail'!AG18+'Sandhill Detail'!AG18</f>
        <v>55</v>
      </c>
      <c r="AH18" s="100">
        <f>'Hillpointe Detail'!AH18+'Sandhill Detail'!AH18</f>
        <v>53</v>
      </c>
      <c r="AI18" s="100">
        <f>'Hillpointe Detail'!AI18+'Sandhill Detail'!AI18</f>
        <v>53</v>
      </c>
      <c r="AJ18" s="100">
        <f>'Hillpointe Detail'!AJ18+'Sandhill Detail'!AJ18</f>
        <v>53</v>
      </c>
      <c r="AK18" s="100">
        <f>'Hillpointe Detail'!AK18+'Sandhill Detail'!AK18</f>
        <v>53</v>
      </c>
      <c r="AL18" s="100">
        <f>'Hillpointe Detail'!AL18+'Sandhill Detail'!AL18</f>
        <v>53</v>
      </c>
      <c r="AM18" s="100">
        <f>'Hillpointe Detail'!AM18+'Sandhill Detail'!AM18</f>
        <v>53</v>
      </c>
      <c r="AN18" s="100">
        <f>'Hillpointe Detail'!AN18+'Sandhill Detail'!AN18</f>
        <v>53</v>
      </c>
      <c r="AO18" s="100">
        <f>'Hillpointe Detail'!AO18+'Sandhill Detail'!AO18</f>
        <v>53</v>
      </c>
      <c r="AP18" s="100">
        <f>'Hillpointe Detail'!AP18+'Sandhill Detail'!AP18</f>
        <v>56</v>
      </c>
      <c r="AQ18" s="100">
        <f>'Hillpointe Detail'!AQ18+'Sandhill Detail'!AQ18</f>
        <v>56</v>
      </c>
      <c r="AR18" s="100">
        <f>'Hillpointe Detail'!AR18+'Sandhill Detail'!AR18</f>
        <v>56</v>
      </c>
      <c r="AS18" s="100">
        <f>'Hillpointe Detail'!AS18+'Sandhill Detail'!AS18</f>
        <v>56</v>
      </c>
      <c r="AT18" s="100">
        <f>'Hillpointe Detail'!AT18+'Sandhill Detail'!AT18</f>
        <v>54</v>
      </c>
      <c r="AU18" s="100">
        <f>'Hillpointe Detail'!AU18+'Sandhill Detail'!AU18</f>
        <v>54</v>
      </c>
      <c r="AV18" s="100">
        <f>'Hillpointe Detail'!AV18+'Sandhill Detail'!AV18</f>
        <v>54</v>
      </c>
      <c r="AW18" s="100">
        <f>'Hillpointe Detail'!AW18+'Sandhill Detail'!AW18</f>
        <v>54</v>
      </c>
      <c r="AX18" s="100">
        <f>'Hillpointe Detail'!AX18+'Sandhill Detail'!AX18</f>
        <v>54</v>
      </c>
      <c r="AY18" s="100">
        <f>'Hillpointe Detail'!AY18+'Sandhill Detail'!AY18</f>
        <v>54</v>
      </c>
      <c r="AZ18" s="100">
        <f>'Hillpointe Detail'!AZ18+'Sandhill Detail'!AZ18</f>
        <v>54</v>
      </c>
      <c r="BA18" s="100">
        <f>'Hillpointe Detail'!BA18+'Sandhill Detail'!BA18</f>
        <v>54</v>
      </c>
      <c r="BB18" s="100">
        <f>'Hillpointe Detail'!BB18+'Sandhill Detail'!BB18</f>
        <v>56</v>
      </c>
      <c r="BC18" s="100">
        <f>'Hillpointe Detail'!BC18+'Sandhill Detail'!BC18</f>
        <v>56</v>
      </c>
      <c r="BD18" s="100">
        <f>'Hillpointe Detail'!BD18+'Sandhill Detail'!BD18</f>
        <v>56</v>
      </c>
      <c r="BE18" s="100">
        <f>'Hillpointe Detail'!BE18+'Sandhill Detail'!BE18</f>
        <v>56</v>
      </c>
      <c r="BF18" s="100">
        <f>'Hillpointe Detail'!BF18+'Sandhill Detail'!BF18</f>
        <v>54</v>
      </c>
      <c r="BG18" s="100">
        <f>'Hillpointe Detail'!BG18+'Sandhill Detail'!BG18</f>
        <v>54</v>
      </c>
      <c r="BH18" s="100">
        <f>'Hillpointe Detail'!BH18+'Sandhill Detail'!BH18</f>
        <v>54</v>
      </c>
      <c r="BI18" s="100">
        <f>'Hillpointe Detail'!BI18+'Sandhill Detail'!BI18</f>
        <v>54</v>
      </c>
      <c r="BJ18" s="100">
        <f>'Hillpointe Detail'!BJ18+'Sandhill Detail'!BJ18</f>
        <v>54</v>
      </c>
      <c r="BK18" s="100">
        <f>'Hillpointe Detail'!BK18+'Sandhill Detail'!BK18</f>
        <v>54</v>
      </c>
      <c r="BL18" s="100">
        <f>'Hillpointe Detail'!BL18+'Sandhill Detail'!BL18</f>
        <v>54</v>
      </c>
      <c r="BM18" s="100">
        <f>'Hillpointe Detail'!BM18+'Sandhill Detail'!BM18</f>
        <v>54</v>
      </c>
      <c r="BN18" s="100">
        <f>'Hillpointe Detail'!BN18+'Sandhill Detail'!BN18</f>
        <v>56</v>
      </c>
      <c r="BO18" s="100">
        <f>'Hillpointe Detail'!BO18+'Sandhill Detail'!BO18</f>
        <v>56</v>
      </c>
      <c r="BP18" s="100">
        <f>'Hillpointe Detail'!BP18+'Sandhill Detail'!BP18</f>
        <v>56</v>
      </c>
      <c r="BQ18" s="100">
        <f>'Hillpointe Detail'!BQ18+'Sandhill Detail'!BQ18</f>
        <v>56</v>
      </c>
      <c r="BR18" s="100">
        <f>'Hillpointe Detail'!BR18+'Sandhill Detail'!BR18</f>
        <v>54</v>
      </c>
      <c r="BS18" s="100">
        <f>'Hillpointe Detail'!BS18+'Sandhill Detail'!BS18</f>
        <v>54</v>
      </c>
      <c r="BT18" s="100">
        <f>'Hillpointe Detail'!BT18+'Sandhill Detail'!BT18</f>
        <v>54</v>
      </c>
      <c r="BU18" s="100">
        <f>'Hillpointe Detail'!BU18+'Sandhill Detail'!BU18</f>
        <v>54</v>
      </c>
      <c r="BV18" s="100">
        <f>'Hillpointe Detail'!BV18+'Sandhill Detail'!BV18</f>
        <v>54</v>
      </c>
      <c r="BW18" s="100">
        <f>'Hillpointe Detail'!BW18+'Sandhill Detail'!BW18</f>
        <v>54</v>
      </c>
      <c r="BX18" s="100">
        <f>'Hillpointe Detail'!BX18+'Sandhill Detail'!BX18</f>
        <v>54</v>
      </c>
      <c r="BY18" s="27"/>
      <c r="BZ18" s="100">
        <f>'Hillpointe Detail'!BZ18+'Sandhill Detail'!BZ18</f>
        <v>30</v>
      </c>
      <c r="CA18" s="100">
        <f>'Hillpointe Detail'!CA18+'Sandhill Detail'!CA18</f>
        <v>30</v>
      </c>
      <c r="CC18" s="100">
        <f t="shared" si="43"/>
        <v>27</v>
      </c>
      <c r="CD18" s="100">
        <f t="shared" si="43"/>
        <v>20</v>
      </c>
      <c r="CE18" s="100">
        <f t="shared" si="43"/>
        <v>32</v>
      </c>
      <c r="CF18" s="100">
        <f t="shared" si="43"/>
        <v>30</v>
      </c>
      <c r="CG18" s="100">
        <f t="shared" si="43"/>
        <v>53</v>
      </c>
      <c r="CH18" s="100">
        <f t="shared" si="43"/>
        <v>54</v>
      </c>
      <c r="CI18" s="100">
        <f t="shared" si="43"/>
        <v>54</v>
      </c>
      <c r="CJ18" s="100">
        <f t="shared" si="43"/>
        <v>54</v>
      </c>
    </row>
    <row r="19" spans="1:91" x14ac:dyDescent="0.3">
      <c r="A19" s="1" t="str">
        <f t="shared" si="42"/>
        <v>Enrollees</v>
      </c>
      <c r="B19" s="10" t="s">
        <v>287</v>
      </c>
      <c r="C19" s="126">
        <f>'Hillpointe Detail'!C19+'Sandhill Detail'!C19</f>
        <v>360</v>
      </c>
      <c r="D19" s="126">
        <f>'Hillpointe Detail'!D19+'Sandhill Detail'!D19</f>
        <v>375</v>
      </c>
      <c r="E19" s="126">
        <f>'Hillpointe Detail'!E19+'Sandhill Detail'!E19</f>
        <v>375</v>
      </c>
      <c r="F19" s="126">
        <f>'Hillpointe Detail'!F19+'Sandhill Detail'!F19</f>
        <v>433</v>
      </c>
      <c r="G19" s="126">
        <f>'Hillpointe Detail'!G19+'Sandhill Detail'!G19</f>
        <v>450</v>
      </c>
      <c r="H19" s="126">
        <f>'Hillpointe Detail'!H19+'Sandhill Detail'!H19</f>
        <v>451</v>
      </c>
      <c r="I19" s="126">
        <f>'Hillpointe Detail'!I19+'Sandhill Detail'!I19</f>
        <v>460</v>
      </c>
      <c r="J19" s="126">
        <f>'Hillpointe Detail'!J19+'Sandhill Detail'!J19</f>
        <v>458</v>
      </c>
      <c r="K19" s="126">
        <f>'Hillpointe Detail'!K19+'Sandhill Detail'!K19</f>
        <v>456</v>
      </c>
      <c r="L19" s="126">
        <f>'Hillpointe Detail'!L19+'Sandhill Detail'!L19</f>
        <v>456</v>
      </c>
      <c r="M19" s="126">
        <f>'Hillpointe Detail'!M19+'Sandhill Detail'!M19</f>
        <v>452</v>
      </c>
      <c r="N19" s="126">
        <f>'Hillpointe Detail'!N19+'Sandhill Detail'!N19</f>
        <v>450</v>
      </c>
      <c r="O19" s="126">
        <f>'Hillpointe Detail'!O19+'Sandhill Detail'!O19</f>
        <v>449</v>
      </c>
      <c r="P19" s="126">
        <f>'Hillpointe Detail'!P19+'Sandhill Detail'!P19</f>
        <v>449</v>
      </c>
      <c r="Q19" s="126">
        <f>'Hillpointe Detail'!Q19+'Sandhill Detail'!Q19</f>
        <v>449</v>
      </c>
      <c r="R19" s="126">
        <f>'Hillpointe Detail'!R19+'Sandhill Detail'!R19</f>
        <v>463</v>
      </c>
      <c r="S19" s="126">
        <f>'Hillpointe Detail'!S19+'Sandhill Detail'!S19</f>
        <v>460</v>
      </c>
      <c r="T19" s="126">
        <f>'Hillpointe Detail'!T19+'Sandhill Detail'!T19</f>
        <v>455</v>
      </c>
      <c r="U19" s="126">
        <f>'Hillpointe Detail'!U19+'Sandhill Detail'!U19</f>
        <v>450</v>
      </c>
      <c r="V19" s="126">
        <f>'Hillpointe Detail'!V19+'Sandhill Detail'!V19</f>
        <v>446</v>
      </c>
      <c r="W19" s="126">
        <f>'Hillpointe Detail'!W19+'Sandhill Detail'!W19</f>
        <v>449</v>
      </c>
      <c r="X19" s="126">
        <f>'Hillpointe Detail'!X19+'Sandhill Detail'!X19</f>
        <v>448</v>
      </c>
      <c r="Y19" s="126">
        <f>'Hillpointe Detail'!Y19+'Sandhill Detail'!Y19</f>
        <v>443</v>
      </c>
      <c r="Z19" s="126">
        <f>'Hillpointe Detail'!Z19+'Sandhill Detail'!Z19</f>
        <v>443</v>
      </c>
      <c r="AA19" s="126">
        <f>'Hillpointe Detail'!AA19+'Sandhill Detail'!AA19</f>
        <v>443</v>
      </c>
      <c r="AB19" s="126">
        <f>'Hillpointe Detail'!AB19+'Sandhill Detail'!AB19</f>
        <v>443</v>
      </c>
      <c r="AC19" s="126">
        <f>'Hillpointe Detail'!AC19+'Sandhill Detail'!AC19</f>
        <v>443</v>
      </c>
      <c r="AD19" s="126">
        <f>'Hillpointe Detail'!AD19+'Sandhill Detail'!AD19</f>
        <v>551</v>
      </c>
      <c r="AE19" s="126">
        <f>'Hillpointe Detail'!AE19+'Sandhill Detail'!AE19</f>
        <v>546</v>
      </c>
      <c r="AF19" s="126">
        <f>'Hillpointe Detail'!AF19+'Sandhill Detail'!AF19</f>
        <v>545</v>
      </c>
      <c r="AG19" s="126">
        <f>'Hillpointe Detail'!AG19+'Sandhill Detail'!AG19</f>
        <v>542</v>
      </c>
      <c r="AH19" s="126">
        <f>'Hillpointe Detail'!AH19+'Sandhill Detail'!AH19</f>
        <v>538</v>
      </c>
      <c r="AI19" s="126">
        <f>'Hillpointe Detail'!AI19+'Sandhill Detail'!AI19</f>
        <v>543</v>
      </c>
      <c r="AJ19" s="126">
        <f>'Hillpointe Detail'!AJ19+'Sandhill Detail'!AJ19</f>
        <v>543</v>
      </c>
      <c r="AK19" s="126">
        <f>'Hillpointe Detail'!AK19+'Sandhill Detail'!AK19</f>
        <v>542</v>
      </c>
      <c r="AL19" s="126">
        <f>'Hillpointe Detail'!AL19+'Sandhill Detail'!AL19</f>
        <v>540</v>
      </c>
      <c r="AM19" s="126">
        <f>'Hillpointe Detail'!AM19+'Sandhill Detail'!AM19</f>
        <v>540</v>
      </c>
      <c r="AN19" s="126">
        <f>'Hillpointe Detail'!AN19+'Sandhill Detail'!AN19</f>
        <v>540</v>
      </c>
      <c r="AO19" s="126">
        <f>'Hillpointe Detail'!AO19+'Sandhill Detail'!AO19</f>
        <v>540</v>
      </c>
      <c r="AP19" s="126">
        <f>'Hillpointe Detail'!AP19+'Sandhill Detail'!AP19</f>
        <v>666</v>
      </c>
      <c r="AQ19" s="126">
        <f>'Hillpointe Detail'!AQ19+'Sandhill Detail'!AQ19</f>
        <v>660</v>
      </c>
      <c r="AR19" s="126">
        <f>'Hillpointe Detail'!AR19+'Sandhill Detail'!AR19</f>
        <v>656</v>
      </c>
      <c r="AS19" s="126">
        <f>'Hillpointe Detail'!AS19+'Sandhill Detail'!AS19</f>
        <v>653</v>
      </c>
      <c r="AT19" s="126">
        <f>'Hillpointe Detail'!AT19+'Sandhill Detail'!AT19</f>
        <v>649</v>
      </c>
      <c r="AU19" s="126">
        <f>'Hillpointe Detail'!AU19+'Sandhill Detail'!AU19</f>
        <v>653</v>
      </c>
      <c r="AV19" s="126">
        <f>'Hillpointe Detail'!AV19+'Sandhill Detail'!AV19</f>
        <v>652</v>
      </c>
      <c r="AW19" s="126">
        <f>'Hillpointe Detail'!AW19+'Sandhill Detail'!AW19</f>
        <v>653</v>
      </c>
      <c r="AX19" s="126">
        <f>'Hillpointe Detail'!AX19+'Sandhill Detail'!AX19</f>
        <v>650</v>
      </c>
      <c r="AY19" s="126">
        <f>'Hillpointe Detail'!AY19+'Sandhill Detail'!AY19</f>
        <v>650</v>
      </c>
      <c r="AZ19" s="126">
        <f>'Hillpointe Detail'!AZ19+'Sandhill Detail'!AZ19</f>
        <v>650</v>
      </c>
      <c r="BA19" s="126">
        <f>'Hillpointe Detail'!BA19+'Sandhill Detail'!BA19</f>
        <v>650</v>
      </c>
      <c r="BB19" s="126">
        <f>'Hillpointe Detail'!BB19+'Sandhill Detail'!BB19</f>
        <v>696</v>
      </c>
      <c r="BC19" s="126">
        <f>'Hillpointe Detail'!BC19+'Sandhill Detail'!BC19</f>
        <v>689</v>
      </c>
      <c r="BD19" s="126">
        <f>'Hillpointe Detail'!BD19+'Sandhill Detail'!BD19</f>
        <v>687</v>
      </c>
      <c r="BE19" s="126">
        <f>'Hillpointe Detail'!BE19+'Sandhill Detail'!BE19</f>
        <v>684</v>
      </c>
      <c r="BF19" s="126">
        <f>'Hillpointe Detail'!BF19+'Sandhill Detail'!BF19</f>
        <v>681</v>
      </c>
      <c r="BG19" s="126">
        <f>'Hillpointe Detail'!BG19+'Sandhill Detail'!BG19</f>
        <v>686</v>
      </c>
      <c r="BH19" s="126">
        <f>'Hillpointe Detail'!BH19+'Sandhill Detail'!BH19</f>
        <v>684</v>
      </c>
      <c r="BI19" s="126">
        <f>'Hillpointe Detail'!BI19+'Sandhill Detail'!BI19</f>
        <v>684</v>
      </c>
      <c r="BJ19" s="126">
        <f>'Hillpointe Detail'!BJ19+'Sandhill Detail'!BJ19</f>
        <v>682</v>
      </c>
      <c r="BK19" s="126">
        <f>'Hillpointe Detail'!BK19+'Sandhill Detail'!BK19</f>
        <v>682</v>
      </c>
      <c r="BL19" s="126">
        <f>'Hillpointe Detail'!BL19+'Sandhill Detail'!BL19</f>
        <v>682</v>
      </c>
      <c r="BM19" s="126">
        <f>'Hillpointe Detail'!BM19+'Sandhill Detail'!BM19</f>
        <v>682</v>
      </c>
      <c r="BN19" s="126">
        <f>'Hillpointe Detail'!BN19+'Sandhill Detail'!BN19</f>
        <v>705</v>
      </c>
      <c r="BO19" s="126">
        <f>'Hillpointe Detail'!BO19+'Sandhill Detail'!BO19</f>
        <v>699</v>
      </c>
      <c r="BP19" s="126">
        <f>'Hillpointe Detail'!BP19+'Sandhill Detail'!BP19</f>
        <v>697</v>
      </c>
      <c r="BQ19" s="126">
        <f>'Hillpointe Detail'!BQ19+'Sandhill Detail'!BQ19</f>
        <v>693</v>
      </c>
      <c r="BR19" s="126">
        <f>'Hillpointe Detail'!BR19+'Sandhill Detail'!BR19</f>
        <v>689</v>
      </c>
      <c r="BS19" s="126">
        <f>'Hillpointe Detail'!BS19+'Sandhill Detail'!BS19</f>
        <v>693</v>
      </c>
      <c r="BT19" s="126">
        <f>'Hillpointe Detail'!BT19+'Sandhill Detail'!BT19</f>
        <v>694</v>
      </c>
      <c r="BU19" s="126">
        <f>'Hillpointe Detail'!BU19+'Sandhill Detail'!BU19</f>
        <v>694</v>
      </c>
      <c r="BV19" s="126">
        <f>'Hillpointe Detail'!BV19+'Sandhill Detail'!BV19</f>
        <v>692</v>
      </c>
      <c r="BW19" s="126">
        <f>'Hillpointe Detail'!BW19+'Sandhill Detail'!BW19</f>
        <v>692</v>
      </c>
      <c r="BX19" s="126">
        <f>'Hillpointe Detail'!BX19+'Sandhill Detail'!BX19</f>
        <v>692</v>
      </c>
      <c r="BY19" s="27"/>
      <c r="BZ19" s="126">
        <f>'Hillpointe Detail'!BZ19+'Sandhill Detail'!BZ19</f>
        <v>443</v>
      </c>
      <c r="CA19" s="126">
        <f>'Hillpointe Detail'!CA19+'Sandhill Detail'!CA19</f>
        <v>443</v>
      </c>
      <c r="CC19" s="126">
        <f>'Hillpointe Detail'!CC19+'Sandhill Detail'!CC19</f>
        <v>360</v>
      </c>
      <c r="CD19" s="126">
        <f>'Hillpointe Detail'!CD19+'Sandhill Detail'!CD19</f>
        <v>375</v>
      </c>
      <c r="CE19" s="126">
        <f>'Hillpointe Detail'!CE19+'Sandhill Detail'!CE19</f>
        <v>449</v>
      </c>
      <c r="CF19" s="126">
        <f>'Hillpointe Detail'!CF19+'Sandhill Detail'!CF19</f>
        <v>443</v>
      </c>
      <c r="CG19" s="126">
        <f>'Hillpointe Detail'!CG19+'Sandhill Detail'!CG19</f>
        <v>540</v>
      </c>
      <c r="CH19" s="126">
        <f>'Hillpointe Detail'!CH19+'Sandhill Detail'!CH19</f>
        <v>650</v>
      </c>
      <c r="CI19" s="126">
        <f>'Hillpointe Detail'!CI19+'Sandhill Detail'!CI19</f>
        <v>682</v>
      </c>
      <c r="CJ19" s="126">
        <f>'Hillpointe Detail'!CJ19+'Sandhill Detail'!CJ19</f>
        <v>692</v>
      </c>
      <c r="CL19" s="401"/>
    </row>
    <row r="20" spans="1:91" x14ac:dyDescent="0.3">
      <c r="A20" s="415" t="s">
        <v>411</v>
      </c>
      <c r="B20" s="10"/>
      <c r="C20" s="28"/>
      <c r="D20" s="416">
        <f t="shared" ref="D20:X20" si="44">D19/C19-1</f>
        <v>4.1666666666666741E-2</v>
      </c>
      <c r="E20" s="416">
        <f t="shared" si="44"/>
        <v>0</v>
      </c>
      <c r="F20" s="416">
        <f t="shared" si="44"/>
        <v>0.15466666666666673</v>
      </c>
      <c r="G20" s="416">
        <f t="shared" si="44"/>
        <v>3.9260969976905313E-2</v>
      </c>
      <c r="H20" s="416">
        <f t="shared" si="44"/>
        <v>2.2222222222221255E-3</v>
      </c>
      <c r="I20" s="416">
        <f t="shared" si="44"/>
        <v>1.9955654101995624E-2</v>
      </c>
      <c r="J20" s="416">
        <f t="shared" si="44"/>
        <v>-4.3478260869564966E-3</v>
      </c>
      <c r="K20" s="416">
        <f t="shared" si="44"/>
        <v>-4.366812227074246E-3</v>
      </c>
      <c r="L20" s="416">
        <f t="shared" si="44"/>
        <v>0</v>
      </c>
      <c r="M20" s="416">
        <f t="shared" si="44"/>
        <v>-8.7719298245614308E-3</v>
      </c>
      <c r="N20" s="416">
        <f t="shared" si="44"/>
        <v>-4.4247787610619538E-3</v>
      </c>
      <c r="O20" s="416">
        <f t="shared" si="44"/>
        <v>-2.2222222222222365E-3</v>
      </c>
      <c r="P20" s="416">
        <f t="shared" si="44"/>
        <v>0</v>
      </c>
      <c r="Q20" s="416">
        <f t="shared" si="44"/>
        <v>0</v>
      </c>
      <c r="R20" s="416">
        <f t="shared" si="44"/>
        <v>3.1180400890868487E-2</v>
      </c>
      <c r="S20" s="416">
        <f t="shared" si="44"/>
        <v>-6.4794816414687206E-3</v>
      </c>
      <c r="T20" s="416">
        <f t="shared" si="44"/>
        <v>-1.0869565217391353E-2</v>
      </c>
      <c r="U20" s="416">
        <f t="shared" si="44"/>
        <v>-1.098901098901095E-2</v>
      </c>
      <c r="V20" s="416">
        <f t="shared" si="44"/>
        <v>-8.8888888888888351E-3</v>
      </c>
      <c r="W20" s="416">
        <f t="shared" si="44"/>
        <v>6.7264573991030474E-3</v>
      </c>
      <c r="X20" s="416">
        <f t="shared" si="44"/>
        <v>-2.2271714922048602E-3</v>
      </c>
      <c r="Y20" s="416">
        <f t="shared" ref="Y20:BX20" si="45">Y19/X19-1</f>
        <v>-1.1160714285714302E-2</v>
      </c>
      <c r="Z20" s="416">
        <f t="shared" si="45"/>
        <v>0</v>
      </c>
      <c r="AA20" s="416">
        <f t="shared" si="45"/>
        <v>0</v>
      </c>
      <c r="AB20" s="416">
        <f t="shared" si="45"/>
        <v>0</v>
      </c>
      <c r="AC20" s="416">
        <f t="shared" si="45"/>
        <v>0</v>
      </c>
      <c r="AD20" s="416">
        <f t="shared" si="45"/>
        <v>0.24379232505643333</v>
      </c>
      <c r="AE20" s="416">
        <f t="shared" si="45"/>
        <v>-9.0744101633394303E-3</v>
      </c>
      <c r="AF20" s="416">
        <f t="shared" si="45"/>
        <v>-1.831501831501825E-3</v>
      </c>
      <c r="AG20" s="416">
        <f t="shared" si="45"/>
        <v>-5.5045871559632475E-3</v>
      </c>
      <c r="AH20" s="416">
        <f t="shared" si="45"/>
        <v>-7.3800738007380184E-3</v>
      </c>
      <c r="AI20" s="416">
        <f t="shared" si="45"/>
        <v>9.2936802973977439E-3</v>
      </c>
      <c r="AJ20" s="416">
        <f t="shared" si="45"/>
        <v>0</v>
      </c>
      <c r="AK20" s="416">
        <f t="shared" si="45"/>
        <v>-1.8416206261510082E-3</v>
      </c>
      <c r="AL20" s="416">
        <f t="shared" si="45"/>
        <v>-3.6900369003689537E-3</v>
      </c>
      <c r="AM20" s="416">
        <f t="shared" si="45"/>
        <v>0</v>
      </c>
      <c r="AN20" s="416">
        <f t="shared" si="45"/>
        <v>0</v>
      </c>
      <c r="AO20" s="416">
        <f t="shared" si="45"/>
        <v>0</v>
      </c>
      <c r="AP20" s="416">
        <f t="shared" si="45"/>
        <v>0.23333333333333339</v>
      </c>
      <c r="AQ20" s="416">
        <f t="shared" si="45"/>
        <v>-9.009009009009028E-3</v>
      </c>
      <c r="AR20" s="416">
        <f t="shared" si="45"/>
        <v>-6.0606060606060996E-3</v>
      </c>
      <c r="AS20" s="416">
        <f t="shared" si="45"/>
        <v>-4.5731707317072656E-3</v>
      </c>
      <c r="AT20" s="416">
        <f t="shared" si="45"/>
        <v>-6.1255742725880857E-3</v>
      </c>
      <c r="AU20" s="416">
        <f t="shared" si="45"/>
        <v>6.1633281972264253E-3</v>
      </c>
      <c r="AV20" s="416">
        <f t="shared" si="45"/>
        <v>-1.5313935681470214E-3</v>
      </c>
      <c r="AW20" s="416">
        <f t="shared" si="45"/>
        <v>1.5337423312884457E-3</v>
      </c>
      <c r="AX20" s="416">
        <f t="shared" si="45"/>
        <v>-4.5941807044410643E-3</v>
      </c>
      <c r="AY20" s="416">
        <f t="shared" si="45"/>
        <v>0</v>
      </c>
      <c r="AZ20" s="416">
        <f t="shared" si="45"/>
        <v>0</v>
      </c>
      <c r="BA20" s="416">
        <f t="shared" si="45"/>
        <v>0</v>
      </c>
      <c r="BB20" s="416">
        <f t="shared" si="45"/>
        <v>7.0769230769230695E-2</v>
      </c>
      <c r="BC20" s="416">
        <f t="shared" si="45"/>
        <v>-1.0057471264367845E-2</v>
      </c>
      <c r="BD20" s="416">
        <f t="shared" si="45"/>
        <v>-2.9027576197387939E-3</v>
      </c>
      <c r="BE20" s="416">
        <f t="shared" si="45"/>
        <v>-4.366812227074246E-3</v>
      </c>
      <c r="BF20" s="416">
        <f t="shared" si="45"/>
        <v>-4.3859649122807154E-3</v>
      </c>
      <c r="BG20" s="416">
        <f t="shared" si="45"/>
        <v>7.3421439060206151E-3</v>
      </c>
      <c r="BH20" s="416">
        <f t="shared" si="45"/>
        <v>-2.9154518950437192E-3</v>
      </c>
      <c r="BI20" s="416">
        <f t="shared" si="45"/>
        <v>0</v>
      </c>
      <c r="BJ20" s="416">
        <f t="shared" si="45"/>
        <v>-2.9239766081871066E-3</v>
      </c>
      <c r="BK20" s="416">
        <f t="shared" si="45"/>
        <v>0</v>
      </c>
      <c r="BL20" s="416">
        <f t="shared" si="45"/>
        <v>0</v>
      </c>
      <c r="BM20" s="416">
        <f t="shared" si="45"/>
        <v>0</v>
      </c>
      <c r="BN20" s="416">
        <f t="shared" si="45"/>
        <v>3.3724340175953049E-2</v>
      </c>
      <c r="BO20" s="416">
        <f t="shared" si="45"/>
        <v>-8.5106382978723527E-3</v>
      </c>
      <c r="BP20" s="416">
        <f t="shared" si="45"/>
        <v>-2.8612303290415086E-3</v>
      </c>
      <c r="BQ20" s="416">
        <f t="shared" si="45"/>
        <v>-5.7388809182209455E-3</v>
      </c>
      <c r="BR20" s="416">
        <f t="shared" si="45"/>
        <v>-5.7720057720057616E-3</v>
      </c>
      <c r="BS20" s="416">
        <f t="shared" si="45"/>
        <v>5.8055152394775877E-3</v>
      </c>
      <c r="BT20" s="416">
        <f t="shared" si="45"/>
        <v>1.4430014430013571E-3</v>
      </c>
      <c r="BU20" s="416">
        <f t="shared" si="45"/>
        <v>0</v>
      </c>
      <c r="BV20" s="416">
        <f t="shared" si="45"/>
        <v>-2.8818443804035088E-3</v>
      </c>
      <c r="BW20" s="416">
        <f t="shared" si="45"/>
        <v>0</v>
      </c>
      <c r="BX20" s="416">
        <f t="shared" si="45"/>
        <v>0</v>
      </c>
      <c r="BY20" s="27"/>
      <c r="BZ20" s="27"/>
      <c r="CA20" s="27"/>
      <c r="CC20" s="28"/>
    </row>
    <row r="21" spans="1:91" x14ac:dyDescent="0.3">
      <c r="A21" s="23" t="s">
        <v>150</v>
      </c>
      <c r="B21" s="92"/>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91"/>
      <c r="CC21" s="91"/>
      <c r="CD21" s="91"/>
      <c r="CE21" s="91"/>
      <c r="CF21" s="91"/>
      <c r="CG21" s="91"/>
      <c r="CH21" s="91"/>
      <c r="CI21" s="91"/>
      <c r="CJ21" s="91"/>
    </row>
    <row r="22" spans="1:91" x14ac:dyDescent="0.3">
      <c r="A22" s="84" t="s">
        <v>1</v>
      </c>
      <c r="B22" s="6"/>
    </row>
    <row r="23" spans="1:91" x14ac:dyDescent="0.3">
      <c r="A23" s="84" t="s">
        <v>2</v>
      </c>
      <c r="B23" s="10" t="s">
        <v>124</v>
      </c>
      <c r="C23" s="103">
        <v>47.99</v>
      </c>
      <c r="D23" s="103">
        <v>92.04</v>
      </c>
      <c r="E23" s="105">
        <f>'Hillpointe Detail'!E23+'Sandhill Detail'!E23</f>
        <v>4.13</v>
      </c>
      <c r="F23" s="105">
        <f>'Hillpointe Detail'!F23+'Sandhill Detail'!F23</f>
        <v>2.95</v>
      </c>
      <c r="G23" s="105">
        <f>'Hillpointe Detail'!G23+'Sandhill Detail'!G23</f>
        <v>22.34</v>
      </c>
      <c r="H23" s="105">
        <f>'Hillpointe Detail'!H23+'Sandhill Detail'!H23</f>
        <v>20.53</v>
      </c>
      <c r="I23" s="105">
        <f>'Hillpointe Detail'!I23+'Sandhill Detail'!I23</f>
        <v>24.1</v>
      </c>
      <c r="J23" s="105">
        <f>'Hillpointe Detail'!J23+'Sandhill Detail'!J23</f>
        <v>23.73</v>
      </c>
      <c r="K23" s="105">
        <f>'Hillpointe Detail'!K23+'Sandhill Detail'!K23</f>
        <v>21.07</v>
      </c>
      <c r="L23" s="105">
        <f>'Hillpointe Detail'!L23+'Sandhill Detail'!L23</f>
        <v>19.580000000000005</v>
      </c>
      <c r="M23" s="105">
        <f>'Hillpointe Detail'!M23+'Sandhill Detail'!M23</f>
        <v>21.32</v>
      </c>
      <c r="N23" s="105">
        <f>'Hillpointe Detail'!N23+'Sandhill Detail'!N23</f>
        <v>17.510000000000002</v>
      </c>
      <c r="O23" s="105">
        <f>'Hillpointe Detail'!O23+'Sandhill Detail'!O23</f>
        <v>15.76</v>
      </c>
      <c r="P23" s="105">
        <f>'Hillpointe Detail'!P23+'Sandhill Detail'!P23</f>
        <v>26.06</v>
      </c>
      <c r="Q23" s="105">
        <f>'Hillpointe Detail'!Q23+'Sandhill Detail'!Q23</f>
        <v>20.520000000000003</v>
      </c>
      <c r="R23" s="105">
        <f>'Hillpointe Detail'!R23+'Sandhill Detail'!R23</f>
        <v>20.93</v>
      </c>
      <c r="S23" s="105">
        <f>'Hillpointe Detail'!S23+'Sandhill Detail'!S23</f>
        <v>19.62</v>
      </c>
      <c r="T23" s="105">
        <f>'Hillpointe Detail'!T23+'Sandhill Detail'!T23</f>
        <v>18.97</v>
      </c>
      <c r="U23" s="105">
        <f>'Hillpointe Detail'!U23+'Sandhill Detail'!U23</f>
        <v>16.990000000000002</v>
      </c>
      <c r="V23" s="105">
        <f>'Hillpointe Detail'!V23+'Sandhill Detail'!V23</f>
        <v>12.46</v>
      </c>
      <c r="W23" s="105">
        <f>'Hillpointe Detail'!W23+'Sandhill Detail'!W23</f>
        <v>12.06</v>
      </c>
      <c r="X23" s="105">
        <f>'Hillpointe Detail'!X23+'Sandhill Detail'!X23</f>
        <v>9.7899999999999991</v>
      </c>
      <c r="Y23" s="105">
        <f>'Hillpointe Detail'!Y23+'Sandhill Detail'!Y23</f>
        <v>9.67</v>
      </c>
      <c r="Z23" s="105">
        <f>'Hillpointe Detail'!Z23+'Sandhill Detail'!Z23</f>
        <v>9</v>
      </c>
      <c r="AA23" s="105">
        <f>'Hillpointe Detail'!AA23+'Sandhill Detail'!AA23</f>
        <v>9.34</v>
      </c>
      <c r="AB23" s="105">
        <f>'Hillpointe Detail'!AB23+'Sandhill Detail'!AB23</f>
        <v>26.06</v>
      </c>
      <c r="AC23" s="105">
        <f>'Hillpointe Detail'!AC23+'Sandhill Detail'!AC23</f>
        <v>20.520000000000003</v>
      </c>
      <c r="AD23" s="105">
        <f>'Hillpointe Detail'!AD23+'Sandhill Detail'!AD23</f>
        <v>20.93</v>
      </c>
      <c r="AE23" s="105">
        <f>'Hillpointe Detail'!AE23+'Sandhill Detail'!AE23</f>
        <v>19.62</v>
      </c>
      <c r="AF23" s="105">
        <f>'Hillpointe Detail'!AF23+'Sandhill Detail'!AF23</f>
        <v>18.97</v>
      </c>
      <c r="AG23" s="105">
        <f>'Hillpointe Detail'!AG23+'Sandhill Detail'!AG23</f>
        <v>16.990000000000002</v>
      </c>
      <c r="AH23" s="105">
        <f>'Hillpointe Detail'!AH23+'Sandhill Detail'!AH23</f>
        <v>12.46</v>
      </c>
      <c r="AI23" s="105">
        <f>'Hillpointe Detail'!AI23+'Sandhill Detail'!AI23</f>
        <v>12.06</v>
      </c>
      <c r="AJ23" s="105">
        <f>'Hillpointe Detail'!AJ23+'Sandhill Detail'!AJ23</f>
        <v>9.7899999999999991</v>
      </c>
      <c r="AK23" s="105">
        <f>'Hillpointe Detail'!AK23+'Sandhill Detail'!AK23</f>
        <v>9.67</v>
      </c>
      <c r="AL23" s="105">
        <f>'Hillpointe Detail'!AL23+'Sandhill Detail'!AL23</f>
        <v>9</v>
      </c>
      <c r="AM23" s="105">
        <f>'Hillpointe Detail'!AM23+'Sandhill Detail'!AM23</f>
        <v>9.34</v>
      </c>
      <c r="AN23" s="105">
        <f>'Hillpointe Detail'!AN23+'Sandhill Detail'!AN23</f>
        <v>26.06</v>
      </c>
      <c r="AO23" s="105">
        <f>'Hillpointe Detail'!AO23+'Sandhill Detail'!AO23</f>
        <v>20.520000000000003</v>
      </c>
      <c r="AP23" s="105">
        <f>'Hillpointe Detail'!AP23+'Sandhill Detail'!AP23</f>
        <v>20.93</v>
      </c>
      <c r="AQ23" s="105">
        <f>'Hillpointe Detail'!AQ23+'Sandhill Detail'!AQ23</f>
        <v>19.62</v>
      </c>
      <c r="AR23" s="105">
        <f>'Hillpointe Detail'!AR23+'Sandhill Detail'!AR23</f>
        <v>18.97</v>
      </c>
      <c r="AS23" s="105">
        <f>'Hillpointe Detail'!AS23+'Sandhill Detail'!AS23</f>
        <v>16.990000000000002</v>
      </c>
      <c r="AT23" s="105">
        <f>'Hillpointe Detail'!AT23+'Sandhill Detail'!AT23</f>
        <v>12.46</v>
      </c>
      <c r="AU23" s="105">
        <f>'Hillpointe Detail'!AU23+'Sandhill Detail'!AU23</f>
        <v>12.06</v>
      </c>
      <c r="AV23" s="105">
        <f>'Hillpointe Detail'!AV23+'Sandhill Detail'!AV23</f>
        <v>9.7899999999999991</v>
      </c>
      <c r="AW23" s="105">
        <f>'Hillpointe Detail'!AW23+'Sandhill Detail'!AW23</f>
        <v>9.67</v>
      </c>
      <c r="AX23" s="105">
        <f>'Hillpointe Detail'!AX23+'Sandhill Detail'!AX23</f>
        <v>9</v>
      </c>
      <c r="AY23" s="105">
        <f>'Hillpointe Detail'!AY23+'Sandhill Detail'!AY23</f>
        <v>9.34</v>
      </c>
      <c r="AZ23" s="105">
        <f>'Hillpointe Detail'!AZ23+'Sandhill Detail'!AZ23</f>
        <v>26.06</v>
      </c>
      <c r="BA23" s="105">
        <f>'Hillpointe Detail'!BA23+'Sandhill Detail'!BA23</f>
        <v>20.520000000000003</v>
      </c>
      <c r="BB23" s="105">
        <f>'Hillpointe Detail'!BB23+'Sandhill Detail'!BB23</f>
        <v>20.93</v>
      </c>
      <c r="BC23" s="105">
        <f>'Hillpointe Detail'!BC23+'Sandhill Detail'!BC23</f>
        <v>19.62</v>
      </c>
      <c r="BD23" s="105">
        <f>'Hillpointe Detail'!BD23+'Sandhill Detail'!BD23</f>
        <v>18.97</v>
      </c>
      <c r="BE23" s="105">
        <f>'Hillpointe Detail'!BE23+'Sandhill Detail'!BE23</f>
        <v>16.990000000000002</v>
      </c>
      <c r="BF23" s="105">
        <f>'Hillpointe Detail'!BF23+'Sandhill Detail'!BF23</f>
        <v>12.46</v>
      </c>
      <c r="BG23" s="105">
        <f>'Hillpointe Detail'!BG23+'Sandhill Detail'!BG23</f>
        <v>12.06</v>
      </c>
      <c r="BH23" s="105">
        <f>'Hillpointe Detail'!BH23+'Sandhill Detail'!BH23</f>
        <v>9.7899999999999991</v>
      </c>
      <c r="BI23" s="105">
        <f>'Hillpointe Detail'!BI23+'Sandhill Detail'!BI23</f>
        <v>9.67</v>
      </c>
      <c r="BJ23" s="105">
        <f>'Hillpointe Detail'!BJ23+'Sandhill Detail'!BJ23</f>
        <v>9</v>
      </c>
      <c r="BK23" s="105">
        <f>'Hillpointe Detail'!BK23+'Sandhill Detail'!BK23</f>
        <v>9.34</v>
      </c>
      <c r="BL23" s="105">
        <f>'Hillpointe Detail'!BL23+'Sandhill Detail'!BL23</f>
        <v>26.06</v>
      </c>
      <c r="BM23" s="105">
        <f>'Hillpointe Detail'!BM23+'Sandhill Detail'!BM23</f>
        <v>20.520000000000003</v>
      </c>
      <c r="BN23" s="105">
        <f>'Hillpointe Detail'!BN23+'Sandhill Detail'!BN23</f>
        <v>20.93</v>
      </c>
      <c r="BO23" s="105">
        <f>'Hillpointe Detail'!BO23+'Sandhill Detail'!BO23</f>
        <v>19.62</v>
      </c>
      <c r="BP23" s="105">
        <f>'Hillpointe Detail'!BP23+'Sandhill Detail'!BP23</f>
        <v>18.97</v>
      </c>
      <c r="BQ23" s="105">
        <f>'Hillpointe Detail'!BQ23+'Sandhill Detail'!BQ23</f>
        <v>16.990000000000002</v>
      </c>
      <c r="BR23" s="105">
        <f>'Hillpointe Detail'!BR23+'Sandhill Detail'!BR23</f>
        <v>12.46</v>
      </c>
      <c r="BS23" s="105">
        <f>'Hillpointe Detail'!BS23+'Sandhill Detail'!BS23</f>
        <v>12.06</v>
      </c>
      <c r="BT23" s="105">
        <f>'Hillpointe Detail'!BT23+'Sandhill Detail'!BT23</f>
        <v>9.7899999999999991</v>
      </c>
      <c r="BU23" s="105">
        <f>'Hillpointe Detail'!BU23+'Sandhill Detail'!BU23</f>
        <v>9.67</v>
      </c>
      <c r="BV23" s="105">
        <f>'Hillpointe Detail'!BV23+'Sandhill Detail'!BV23</f>
        <v>9</v>
      </c>
      <c r="BW23" s="105">
        <f>'Hillpointe Detail'!BW23+'Sandhill Detail'!BW23</f>
        <v>9.34</v>
      </c>
      <c r="BX23" s="105">
        <f>'Hillpointe Detail'!BX23+'Sandhill Detail'!BX23</f>
        <v>26.06</v>
      </c>
      <c r="BY23" s="8"/>
      <c r="BZ23" s="105">
        <f t="shared" ref="BZ23:BZ57" si="46">SUMIF($B$252:$BY$252,1,$B23:$BY23)</f>
        <v>9.34</v>
      </c>
      <c r="CA23" s="105">
        <f t="shared" ref="CA23:CA57" si="47">SUMIF($B$253:$BY$253,1,$B23:$BY23)</f>
        <v>159.35</v>
      </c>
      <c r="CC23" s="105">
        <f t="shared" ref="CC23:CJ35" si="48">SUMIF($C$3:$BY$3,CC$3,$C23:$BY23)</f>
        <v>47.99</v>
      </c>
      <c r="CD23" s="105">
        <f t="shared" si="48"/>
        <v>92.04</v>
      </c>
      <c r="CE23" s="105">
        <f t="shared" si="48"/>
        <v>219.08</v>
      </c>
      <c r="CF23" s="105">
        <f t="shared" si="48"/>
        <v>185.41</v>
      </c>
      <c r="CG23" s="105">
        <f t="shared" si="48"/>
        <v>185.41</v>
      </c>
      <c r="CH23" s="105">
        <f t="shared" si="48"/>
        <v>185.41</v>
      </c>
      <c r="CI23" s="105">
        <f t="shared" si="48"/>
        <v>185.41</v>
      </c>
      <c r="CJ23" s="105">
        <f t="shared" si="48"/>
        <v>185.41</v>
      </c>
      <c r="CL23" s="105"/>
      <c r="CM23" s="13"/>
    </row>
    <row r="24" spans="1:91" x14ac:dyDescent="0.3">
      <c r="A24" s="84" t="s">
        <v>3</v>
      </c>
      <c r="B24" s="10" t="s">
        <v>124</v>
      </c>
      <c r="C24" s="103">
        <v>0</v>
      </c>
      <c r="D24" s="103">
        <v>128</v>
      </c>
      <c r="E24" s="105">
        <f>'Hillpointe Detail'!E24+'Sandhill Detail'!E24</f>
        <v>0</v>
      </c>
      <c r="F24" s="105">
        <f>'Hillpointe Detail'!F24+'Sandhill Detail'!F24</f>
        <v>61</v>
      </c>
      <c r="G24" s="105">
        <f>'Hillpointe Detail'!G24+'Sandhill Detail'!G24</f>
        <v>154.04</v>
      </c>
      <c r="H24" s="105">
        <f>'Hillpointe Detail'!H24+'Sandhill Detail'!H24</f>
        <v>20</v>
      </c>
      <c r="I24" s="105">
        <f>'Hillpointe Detail'!I24+'Sandhill Detail'!I24</f>
        <v>142</v>
      </c>
      <c r="J24" s="105">
        <f>'Hillpointe Detail'!J24+'Sandhill Detail'!J24</f>
        <v>4.4000000000000004</v>
      </c>
      <c r="K24" s="105">
        <f>'Hillpointe Detail'!K24+'Sandhill Detail'!K24</f>
        <v>0</v>
      </c>
      <c r="L24" s="105">
        <f>'Hillpointe Detail'!L24+'Sandhill Detail'!L24</f>
        <v>27.000000000000057</v>
      </c>
      <c r="M24" s="105">
        <f>'Hillpointe Detail'!M24+'Sandhill Detail'!M24</f>
        <v>0</v>
      </c>
      <c r="N24" s="105">
        <f>'Hillpointe Detail'!N24+'Sandhill Detail'!N24</f>
        <v>0</v>
      </c>
      <c r="O24" s="105">
        <f>'Hillpointe Detail'!O24+'Sandhill Detail'!O24</f>
        <v>0</v>
      </c>
      <c r="P24" s="105">
        <f>'Hillpointe Detail'!P24+'Sandhill Detail'!P24</f>
        <v>0</v>
      </c>
      <c r="Q24" s="105">
        <f>'Hillpointe Detail'!Q24+'Sandhill Detail'!Q24</f>
        <v>-713</v>
      </c>
      <c r="R24" s="105">
        <f>'Hillpointe Detail'!R24+'Sandhill Detail'!R24</f>
        <v>0</v>
      </c>
      <c r="S24" s="105">
        <f>'Hillpointe Detail'!S24+'Sandhill Detail'!S24</f>
        <v>0</v>
      </c>
      <c r="T24" s="105">
        <f>'Hillpointe Detail'!T24+'Sandhill Detail'!T24</f>
        <v>0</v>
      </c>
      <c r="U24" s="105">
        <f>'Hillpointe Detail'!U24+'Sandhill Detail'!U24</f>
        <v>100</v>
      </c>
      <c r="V24" s="105">
        <f>'Hillpointe Detail'!V24+'Sandhill Detail'!V24</f>
        <v>0</v>
      </c>
      <c r="W24" s="105">
        <f>'Hillpointe Detail'!W24+'Sandhill Detail'!W24</f>
        <v>2694.1</v>
      </c>
      <c r="X24" s="105">
        <f>'Hillpointe Detail'!X24+'Sandhill Detail'!X24</f>
        <v>600.01</v>
      </c>
      <c r="Y24" s="105">
        <f>'Hillpointe Detail'!Y24+'Sandhill Detail'!Y24</f>
        <v>-815.11</v>
      </c>
      <c r="Z24" s="105">
        <f>'Hillpointe Detail'!Z24+'Sandhill Detail'!Z24</f>
        <v>0</v>
      </c>
      <c r="AA24" s="105">
        <f>'Hillpointe Detail'!AA24+'Sandhill Detail'!AA24</f>
        <v>0</v>
      </c>
      <c r="AB24" s="105">
        <f>'Hillpointe Detail'!AB24+'Sandhill Detail'!AB24</f>
        <v>0</v>
      </c>
      <c r="AC24" s="105">
        <f>'Hillpointe Detail'!AC24+'Sandhill Detail'!AC24</f>
        <v>-713</v>
      </c>
      <c r="AD24" s="105">
        <f>'Hillpointe Detail'!AD24+'Sandhill Detail'!AD24</f>
        <v>0</v>
      </c>
      <c r="AE24" s="105">
        <f>'Hillpointe Detail'!AE24+'Sandhill Detail'!AE24</f>
        <v>0</v>
      </c>
      <c r="AF24" s="105">
        <f>'Hillpointe Detail'!AF24+'Sandhill Detail'!AF24</f>
        <v>0</v>
      </c>
      <c r="AG24" s="105">
        <f>'Hillpointe Detail'!AG24+'Sandhill Detail'!AG24</f>
        <v>100</v>
      </c>
      <c r="AH24" s="105">
        <f>'Hillpointe Detail'!AH24+'Sandhill Detail'!AH24</f>
        <v>0</v>
      </c>
      <c r="AI24" s="105">
        <f>'Hillpointe Detail'!AI24+'Sandhill Detail'!AI24</f>
        <v>2694.1</v>
      </c>
      <c r="AJ24" s="105">
        <f>'Hillpointe Detail'!AJ24+'Sandhill Detail'!AJ24</f>
        <v>600.01</v>
      </c>
      <c r="AK24" s="105">
        <f>'Hillpointe Detail'!AK24+'Sandhill Detail'!AK24</f>
        <v>-815.11</v>
      </c>
      <c r="AL24" s="105">
        <f>'Hillpointe Detail'!AL24+'Sandhill Detail'!AL24</f>
        <v>0</v>
      </c>
      <c r="AM24" s="105">
        <f>'Hillpointe Detail'!AM24+'Sandhill Detail'!AM24</f>
        <v>0</v>
      </c>
      <c r="AN24" s="105">
        <f>'Hillpointe Detail'!AN24+'Sandhill Detail'!AN24</f>
        <v>0</v>
      </c>
      <c r="AO24" s="105">
        <f>'Hillpointe Detail'!AO24+'Sandhill Detail'!AO24</f>
        <v>-713</v>
      </c>
      <c r="AP24" s="105">
        <f>'Hillpointe Detail'!AP24+'Sandhill Detail'!AP24</f>
        <v>0</v>
      </c>
      <c r="AQ24" s="105">
        <f>'Hillpointe Detail'!AQ24+'Sandhill Detail'!AQ24</f>
        <v>0</v>
      </c>
      <c r="AR24" s="105">
        <f>'Hillpointe Detail'!AR24+'Sandhill Detail'!AR24</f>
        <v>0</v>
      </c>
      <c r="AS24" s="105">
        <f>'Hillpointe Detail'!AS24+'Sandhill Detail'!AS24</f>
        <v>100</v>
      </c>
      <c r="AT24" s="105">
        <f>'Hillpointe Detail'!AT24+'Sandhill Detail'!AT24</f>
        <v>0</v>
      </c>
      <c r="AU24" s="105">
        <f>'Hillpointe Detail'!AU24+'Sandhill Detail'!AU24</f>
        <v>2694.1</v>
      </c>
      <c r="AV24" s="105">
        <f>'Hillpointe Detail'!AV24+'Sandhill Detail'!AV24</f>
        <v>600.01</v>
      </c>
      <c r="AW24" s="105">
        <f>'Hillpointe Detail'!AW24+'Sandhill Detail'!AW24</f>
        <v>-815.11</v>
      </c>
      <c r="AX24" s="105">
        <f>'Hillpointe Detail'!AX24+'Sandhill Detail'!AX24</f>
        <v>0</v>
      </c>
      <c r="AY24" s="105">
        <f>'Hillpointe Detail'!AY24+'Sandhill Detail'!AY24</f>
        <v>0</v>
      </c>
      <c r="AZ24" s="105">
        <f>'Hillpointe Detail'!AZ24+'Sandhill Detail'!AZ24</f>
        <v>0</v>
      </c>
      <c r="BA24" s="105">
        <f>'Hillpointe Detail'!BA24+'Sandhill Detail'!BA24</f>
        <v>-713</v>
      </c>
      <c r="BB24" s="105">
        <f>'Hillpointe Detail'!BB24+'Sandhill Detail'!BB24</f>
        <v>0</v>
      </c>
      <c r="BC24" s="105">
        <f>'Hillpointe Detail'!BC24+'Sandhill Detail'!BC24</f>
        <v>0</v>
      </c>
      <c r="BD24" s="105">
        <f>'Hillpointe Detail'!BD24+'Sandhill Detail'!BD24</f>
        <v>0</v>
      </c>
      <c r="BE24" s="105">
        <f>'Hillpointe Detail'!BE24+'Sandhill Detail'!BE24</f>
        <v>100</v>
      </c>
      <c r="BF24" s="105">
        <f>'Hillpointe Detail'!BF24+'Sandhill Detail'!BF24</f>
        <v>0</v>
      </c>
      <c r="BG24" s="105">
        <f>'Hillpointe Detail'!BG24+'Sandhill Detail'!BG24</f>
        <v>2694.1</v>
      </c>
      <c r="BH24" s="105">
        <f>'Hillpointe Detail'!BH24+'Sandhill Detail'!BH24</f>
        <v>600.01</v>
      </c>
      <c r="BI24" s="105">
        <f>'Hillpointe Detail'!BI24+'Sandhill Detail'!BI24</f>
        <v>-815.11</v>
      </c>
      <c r="BJ24" s="105">
        <f>'Hillpointe Detail'!BJ24+'Sandhill Detail'!BJ24</f>
        <v>0</v>
      </c>
      <c r="BK24" s="105">
        <f>'Hillpointe Detail'!BK24+'Sandhill Detail'!BK24</f>
        <v>0</v>
      </c>
      <c r="BL24" s="105">
        <f>'Hillpointe Detail'!BL24+'Sandhill Detail'!BL24</f>
        <v>0</v>
      </c>
      <c r="BM24" s="105">
        <f>'Hillpointe Detail'!BM24+'Sandhill Detail'!BM24</f>
        <v>-713</v>
      </c>
      <c r="BN24" s="105">
        <f>'Hillpointe Detail'!BN24+'Sandhill Detail'!BN24</f>
        <v>0</v>
      </c>
      <c r="BO24" s="105">
        <f>'Hillpointe Detail'!BO24+'Sandhill Detail'!BO24</f>
        <v>0</v>
      </c>
      <c r="BP24" s="105">
        <f>'Hillpointe Detail'!BP24+'Sandhill Detail'!BP24</f>
        <v>0</v>
      </c>
      <c r="BQ24" s="105">
        <f>'Hillpointe Detail'!BQ24+'Sandhill Detail'!BQ24</f>
        <v>100</v>
      </c>
      <c r="BR24" s="105">
        <f>'Hillpointe Detail'!BR24+'Sandhill Detail'!BR24</f>
        <v>0</v>
      </c>
      <c r="BS24" s="105">
        <f>'Hillpointe Detail'!BS24+'Sandhill Detail'!BS24</f>
        <v>2694.1</v>
      </c>
      <c r="BT24" s="105">
        <f>'Hillpointe Detail'!BT24+'Sandhill Detail'!BT24</f>
        <v>600.01</v>
      </c>
      <c r="BU24" s="105">
        <f>'Hillpointe Detail'!BU24+'Sandhill Detail'!BU24</f>
        <v>-815.11</v>
      </c>
      <c r="BV24" s="105">
        <f>'Hillpointe Detail'!BV24+'Sandhill Detail'!BV24</f>
        <v>0</v>
      </c>
      <c r="BW24" s="105">
        <f>'Hillpointe Detail'!BW24+'Sandhill Detail'!BW24</f>
        <v>0</v>
      </c>
      <c r="BX24" s="105">
        <f>'Hillpointe Detail'!BX24+'Sandhill Detail'!BX24</f>
        <v>0</v>
      </c>
      <c r="BY24" s="8"/>
      <c r="BZ24" s="105">
        <f t="shared" si="46"/>
        <v>0</v>
      </c>
      <c r="CA24" s="105">
        <f t="shared" si="47"/>
        <v>1865.9999999999995</v>
      </c>
      <c r="CC24" s="105">
        <f t="shared" si="48"/>
        <v>0</v>
      </c>
      <c r="CD24" s="105">
        <f t="shared" si="48"/>
        <v>128</v>
      </c>
      <c r="CE24" s="105">
        <f t="shared" si="48"/>
        <v>408.44</v>
      </c>
      <c r="CF24" s="105">
        <f t="shared" si="48"/>
        <v>1865.9999999999995</v>
      </c>
      <c r="CG24" s="105">
        <f t="shared" si="48"/>
        <v>1865.9999999999995</v>
      </c>
      <c r="CH24" s="105">
        <f t="shared" si="48"/>
        <v>1865.9999999999995</v>
      </c>
      <c r="CI24" s="105">
        <f t="shared" si="48"/>
        <v>1865.9999999999995</v>
      </c>
      <c r="CJ24" s="105">
        <f t="shared" si="48"/>
        <v>1865.9999999999995</v>
      </c>
      <c r="CL24" s="105"/>
      <c r="CM24" s="13"/>
    </row>
    <row r="25" spans="1:91" x14ac:dyDescent="0.3">
      <c r="A25" s="84" t="s">
        <v>438</v>
      </c>
      <c r="B25" s="10" t="s">
        <v>124</v>
      </c>
      <c r="C25" s="103">
        <v>0</v>
      </c>
      <c r="D25" s="103">
        <v>0</v>
      </c>
      <c r="E25" s="105">
        <f>'Hillpointe Detail'!E25+'Sandhill Detail'!E25</f>
        <v>0</v>
      </c>
      <c r="F25" s="105">
        <f>'Hillpointe Detail'!F25+'Sandhill Detail'!F25</f>
        <v>0</v>
      </c>
      <c r="G25" s="105">
        <f>'Hillpointe Detail'!G25+'Sandhill Detail'!G25</f>
        <v>0</v>
      </c>
      <c r="H25" s="105">
        <f>'Hillpointe Detail'!H25+'Sandhill Detail'!H25</f>
        <v>0</v>
      </c>
      <c r="I25" s="105">
        <f>'Hillpointe Detail'!I25+'Sandhill Detail'!I25</f>
        <v>0</v>
      </c>
      <c r="J25" s="105">
        <f>'Hillpointe Detail'!J25+'Sandhill Detail'!J25</f>
        <v>0</v>
      </c>
      <c r="K25" s="105">
        <f>'Hillpointe Detail'!K25+'Sandhill Detail'!K25</f>
        <v>0</v>
      </c>
      <c r="L25" s="105">
        <f>'Hillpointe Detail'!L25+'Sandhill Detail'!L25</f>
        <v>0</v>
      </c>
      <c r="M25" s="105">
        <f>'Hillpointe Detail'!M25+'Sandhill Detail'!M25</f>
        <v>0</v>
      </c>
      <c r="N25" s="105">
        <f>'Hillpointe Detail'!N25+'Sandhill Detail'!N25</f>
        <v>0</v>
      </c>
      <c r="O25" s="105">
        <f>'Hillpointe Detail'!O25+'Sandhill Detail'!O25</f>
        <v>0</v>
      </c>
      <c r="P25" s="105">
        <f>'Hillpointe Detail'!P25+'Sandhill Detail'!P25</f>
        <v>0</v>
      </c>
      <c r="Q25" s="105">
        <f>'Hillpointe Detail'!Q25+'Sandhill Detail'!Q25</f>
        <v>0</v>
      </c>
      <c r="R25" s="105">
        <f>'Hillpointe Detail'!R25+'Sandhill Detail'!R25</f>
        <v>0</v>
      </c>
      <c r="S25" s="105">
        <f>'Hillpointe Detail'!S25+'Sandhill Detail'!S25</f>
        <v>0</v>
      </c>
      <c r="T25" s="105">
        <f>'Hillpointe Detail'!T25+'Sandhill Detail'!T25</f>
        <v>0</v>
      </c>
      <c r="U25" s="105">
        <f>'Hillpointe Detail'!U25+'Sandhill Detail'!U25</f>
        <v>0</v>
      </c>
      <c r="V25" s="105">
        <f>'Hillpointe Detail'!V25+'Sandhill Detail'!V25</f>
        <v>0</v>
      </c>
      <c r="W25" s="105">
        <f>'Hillpointe Detail'!W25+'Sandhill Detail'!W25</f>
        <v>0</v>
      </c>
      <c r="X25" s="105">
        <f>'Hillpointe Detail'!X25+'Sandhill Detail'!X25</f>
        <v>0</v>
      </c>
      <c r="Y25" s="105">
        <f>'Hillpointe Detail'!Y25+'Sandhill Detail'!Y25</f>
        <v>0</v>
      </c>
      <c r="Z25" s="105">
        <f>'Hillpointe Detail'!Z25+'Sandhill Detail'!Z25</f>
        <v>0</v>
      </c>
      <c r="AA25" s="105">
        <f>'Hillpointe Detail'!AA25+'Sandhill Detail'!AA25</f>
        <v>6</v>
      </c>
      <c r="AB25" s="105">
        <f>'Hillpointe Detail'!AB25+'Sandhill Detail'!AB25</f>
        <v>0</v>
      </c>
      <c r="AC25" s="105">
        <f>'Hillpointe Detail'!AC25+'Sandhill Detail'!AC25</f>
        <v>0</v>
      </c>
      <c r="AD25" s="105">
        <f>'Hillpointe Detail'!AD25+'Sandhill Detail'!AD25</f>
        <v>0</v>
      </c>
      <c r="AE25" s="105">
        <f>'Hillpointe Detail'!AE25+'Sandhill Detail'!AE25</f>
        <v>0</v>
      </c>
      <c r="AF25" s="105">
        <f>'Hillpointe Detail'!AF25+'Sandhill Detail'!AF25</f>
        <v>0</v>
      </c>
      <c r="AG25" s="105">
        <f>'Hillpointe Detail'!AG25+'Sandhill Detail'!AG25</f>
        <v>0</v>
      </c>
      <c r="AH25" s="105">
        <f>'Hillpointe Detail'!AH25+'Sandhill Detail'!AH25</f>
        <v>0</v>
      </c>
      <c r="AI25" s="105">
        <f>'Hillpointe Detail'!AI25+'Sandhill Detail'!AI25</f>
        <v>0</v>
      </c>
      <c r="AJ25" s="105">
        <f>'Hillpointe Detail'!AJ25+'Sandhill Detail'!AJ25</f>
        <v>0</v>
      </c>
      <c r="AK25" s="105">
        <f>'Hillpointe Detail'!AK25+'Sandhill Detail'!AK25</f>
        <v>0</v>
      </c>
      <c r="AL25" s="105">
        <f>'Hillpointe Detail'!AL25+'Sandhill Detail'!AL25</f>
        <v>0</v>
      </c>
      <c r="AM25" s="105">
        <f>'Hillpointe Detail'!AM25+'Sandhill Detail'!AM25</f>
        <v>6</v>
      </c>
      <c r="AN25" s="105">
        <f>'Hillpointe Detail'!AN25+'Sandhill Detail'!AN25</f>
        <v>0</v>
      </c>
      <c r="AO25" s="105">
        <f>'Hillpointe Detail'!AO25+'Sandhill Detail'!AO25</f>
        <v>0</v>
      </c>
      <c r="AP25" s="105">
        <f>'Hillpointe Detail'!AP25+'Sandhill Detail'!AP25</f>
        <v>0</v>
      </c>
      <c r="AQ25" s="105">
        <f>'Hillpointe Detail'!AQ25+'Sandhill Detail'!AQ25</f>
        <v>0</v>
      </c>
      <c r="AR25" s="105">
        <f>'Hillpointe Detail'!AR25+'Sandhill Detail'!AR25</f>
        <v>0</v>
      </c>
      <c r="AS25" s="105">
        <f>'Hillpointe Detail'!AS25+'Sandhill Detail'!AS25</f>
        <v>0</v>
      </c>
      <c r="AT25" s="105">
        <f>'Hillpointe Detail'!AT25+'Sandhill Detail'!AT25</f>
        <v>0</v>
      </c>
      <c r="AU25" s="105">
        <f>'Hillpointe Detail'!AU25+'Sandhill Detail'!AU25</f>
        <v>0</v>
      </c>
      <c r="AV25" s="105">
        <f>'Hillpointe Detail'!AV25+'Sandhill Detail'!AV25</f>
        <v>0</v>
      </c>
      <c r="AW25" s="105">
        <f>'Hillpointe Detail'!AW25+'Sandhill Detail'!AW25</f>
        <v>0</v>
      </c>
      <c r="AX25" s="105">
        <f>'Hillpointe Detail'!AX25+'Sandhill Detail'!AX25</f>
        <v>0</v>
      </c>
      <c r="AY25" s="105">
        <f>'Hillpointe Detail'!AY25+'Sandhill Detail'!AY25</f>
        <v>6</v>
      </c>
      <c r="AZ25" s="105">
        <f>'Hillpointe Detail'!AZ25+'Sandhill Detail'!AZ25</f>
        <v>0</v>
      </c>
      <c r="BA25" s="105">
        <f>'Hillpointe Detail'!BA25+'Sandhill Detail'!BA25</f>
        <v>0</v>
      </c>
      <c r="BB25" s="105">
        <f>'Hillpointe Detail'!BB25+'Sandhill Detail'!BB25</f>
        <v>0</v>
      </c>
      <c r="BC25" s="105">
        <f>'Hillpointe Detail'!BC25+'Sandhill Detail'!BC25</f>
        <v>0</v>
      </c>
      <c r="BD25" s="105">
        <f>'Hillpointe Detail'!BD25+'Sandhill Detail'!BD25</f>
        <v>0</v>
      </c>
      <c r="BE25" s="105">
        <f>'Hillpointe Detail'!BE25+'Sandhill Detail'!BE25</f>
        <v>0</v>
      </c>
      <c r="BF25" s="105">
        <f>'Hillpointe Detail'!BF25+'Sandhill Detail'!BF25</f>
        <v>0</v>
      </c>
      <c r="BG25" s="105">
        <f>'Hillpointe Detail'!BG25+'Sandhill Detail'!BG25</f>
        <v>0</v>
      </c>
      <c r="BH25" s="105">
        <f>'Hillpointe Detail'!BH25+'Sandhill Detail'!BH25</f>
        <v>0</v>
      </c>
      <c r="BI25" s="105">
        <f>'Hillpointe Detail'!BI25+'Sandhill Detail'!BI25</f>
        <v>0</v>
      </c>
      <c r="BJ25" s="105">
        <f>'Hillpointe Detail'!BJ25+'Sandhill Detail'!BJ25</f>
        <v>0</v>
      </c>
      <c r="BK25" s="105">
        <f>'Hillpointe Detail'!BK25+'Sandhill Detail'!BK25</f>
        <v>6</v>
      </c>
      <c r="BL25" s="105">
        <f>'Hillpointe Detail'!BL25+'Sandhill Detail'!BL25</f>
        <v>0</v>
      </c>
      <c r="BM25" s="105">
        <f>'Hillpointe Detail'!BM25+'Sandhill Detail'!BM25</f>
        <v>0</v>
      </c>
      <c r="BN25" s="105">
        <f>'Hillpointe Detail'!BN25+'Sandhill Detail'!BN25</f>
        <v>0</v>
      </c>
      <c r="BO25" s="105">
        <f>'Hillpointe Detail'!BO25+'Sandhill Detail'!BO25</f>
        <v>0</v>
      </c>
      <c r="BP25" s="105">
        <f>'Hillpointe Detail'!BP25+'Sandhill Detail'!BP25</f>
        <v>0</v>
      </c>
      <c r="BQ25" s="105">
        <f>'Hillpointe Detail'!BQ25+'Sandhill Detail'!BQ25</f>
        <v>0</v>
      </c>
      <c r="BR25" s="105">
        <f>'Hillpointe Detail'!BR25+'Sandhill Detail'!BR25</f>
        <v>0</v>
      </c>
      <c r="BS25" s="105">
        <f>'Hillpointe Detail'!BS25+'Sandhill Detail'!BS25</f>
        <v>0</v>
      </c>
      <c r="BT25" s="105">
        <f>'Hillpointe Detail'!BT25+'Sandhill Detail'!BT25</f>
        <v>0</v>
      </c>
      <c r="BU25" s="105">
        <f>'Hillpointe Detail'!BU25+'Sandhill Detail'!BU25</f>
        <v>0</v>
      </c>
      <c r="BV25" s="105">
        <f>'Hillpointe Detail'!BV25+'Sandhill Detail'!BV25</f>
        <v>0</v>
      </c>
      <c r="BW25" s="105">
        <f>'Hillpointe Detail'!BW25+'Sandhill Detail'!BW25</f>
        <v>6</v>
      </c>
      <c r="BX25" s="105">
        <f>'Hillpointe Detail'!BX25+'Sandhill Detail'!BX25</f>
        <v>0</v>
      </c>
      <c r="BY25" s="8"/>
      <c r="BZ25" s="105">
        <f t="shared" si="46"/>
        <v>6</v>
      </c>
      <c r="CA25" s="105">
        <f t="shared" si="47"/>
        <v>6</v>
      </c>
      <c r="CC25" s="105">
        <f t="shared" si="48"/>
        <v>0</v>
      </c>
      <c r="CD25" s="105">
        <f t="shared" si="48"/>
        <v>0</v>
      </c>
      <c r="CE25" s="105">
        <f t="shared" si="48"/>
        <v>0</v>
      </c>
      <c r="CF25" s="105">
        <f t="shared" si="48"/>
        <v>6</v>
      </c>
      <c r="CG25" s="105">
        <f t="shared" si="48"/>
        <v>6</v>
      </c>
      <c r="CH25" s="105">
        <f t="shared" si="48"/>
        <v>6</v>
      </c>
      <c r="CI25" s="105">
        <f t="shared" si="48"/>
        <v>6</v>
      </c>
      <c r="CJ25" s="105">
        <f t="shared" si="48"/>
        <v>6</v>
      </c>
      <c r="CL25" s="105"/>
      <c r="CM25" s="13"/>
    </row>
    <row r="26" spans="1:91" x14ac:dyDescent="0.3">
      <c r="A26" s="84" t="s">
        <v>326</v>
      </c>
      <c r="B26" s="10" t="s">
        <v>124</v>
      </c>
      <c r="C26" s="103">
        <v>0</v>
      </c>
      <c r="D26" s="103">
        <v>0</v>
      </c>
      <c r="E26" s="105">
        <f>'Hillpointe Detail'!E26+'Sandhill Detail'!E26</f>
        <v>0</v>
      </c>
      <c r="F26" s="105">
        <f>'Hillpointe Detail'!F26+'Sandhill Detail'!F26</f>
        <v>0</v>
      </c>
      <c r="G26" s="105">
        <f>'Hillpointe Detail'!G26+'Sandhill Detail'!G26</f>
        <v>0</v>
      </c>
      <c r="H26" s="105">
        <f>'Hillpointe Detail'!H26+'Sandhill Detail'!H26</f>
        <v>0</v>
      </c>
      <c r="I26" s="105">
        <f>'Hillpointe Detail'!I26+'Sandhill Detail'!I26</f>
        <v>0</v>
      </c>
      <c r="J26" s="105">
        <f>'Hillpointe Detail'!J26+'Sandhill Detail'!J26</f>
        <v>0</v>
      </c>
      <c r="K26" s="105">
        <f>'Hillpointe Detail'!K26+'Sandhill Detail'!K26</f>
        <v>0</v>
      </c>
      <c r="L26" s="105">
        <f>'Hillpointe Detail'!L26+'Sandhill Detail'!L26</f>
        <v>0</v>
      </c>
      <c r="M26" s="105">
        <f>'Hillpointe Detail'!M26+'Sandhill Detail'!M26</f>
        <v>718</v>
      </c>
      <c r="N26" s="105">
        <f>'Hillpointe Detail'!N26+'Sandhill Detail'!N26</f>
        <v>0</v>
      </c>
      <c r="O26" s="105">
        <f>'Hillpointe Detail'!O26+'Sandhill Detail'!O26</f>
        <v>0</v>
      </c>
      <c r="P26" s="105">
        <f>'Hillpointe Detail'!P26+'Sandhill Detail'!P26</f>
        <v>0</v>
      </c>
      <c r="Q26" s="105">
        <f>'Hillpointe Detail'!Q26+'Sandhill Detail'!Q26</f>
        <v>0</v>
      </c>
      <c r="R26" s="105">
        <f>'Hillpointe Detail'!R26+'Sandhill Detail'!R26</f>
        <v>0</v>
      </c>
      <c r="S26" s="105">
        <f>'Hillpointe Detail'!S26+'Sandhill Detail'!S26</f>
        <v>967.75</v>
      </c>
      <c r="T26" s="105">
        <f>'Hillpointe Detail'!T26+'Sandhill Detail'!T26</f>
        <v>0</v>
      </c>
      <c r="U26" s="105">
        <f>'Hillpointe Detail'!U26+'Sandhill Detail'!U26</f>
        <v>0</v>
      </c>
      <c r="V26" s="105">
        <f>'Hillpointe Detail'!V26+'Sandhill Detail'!V26</f>
        <v>0</v>
      </c>
      <c r="W26" s="105">
        <f>'Hillpointe Detail'!W26+'Sandhill Detail'!W26</f>
        <v>0</v>
      </c>
      <c r="X26" s="105">
        <f>'Hillpointe Detail'!X26+'Sandhill Detail'!X26</f>
        <v>0</v>
      </c>
      <c r="Y26" s="105">
        <f>'Hillpointe Detail'!Y26+'Sandhill Detail'!Y26</f>
        <v>0</v>
      </c>
      <c r="Z26" s="105">
        <f>'Hillpointe Detail'!Z26+'Sandhill Detail'!Z26</f>
        <v>879.3</v>
      </c>
      <c r="AA26" s="105">
        <f>'Hillpointe Detail'!AA26+'Sandhill Detail'!AA26</f>
        <v>200</v>
      </c>
      <c r="AB26" s="105">
        <f>'Hillpointe Detail'!AB26+'Sandhill Detail'!AB26</f>
        <v>0</v>
      </c>
      <c r="AC26" s="105">
        <f>'Hillpointe Detail'!AC26+'Sandhill Detail'!AC26</f>
        <v>0</v>
      </c>
      <c r="AD26" s="105">
        <f>'Hillpointe Detail'!AD26+'Sandhill Detail'!AD26</f>
        <v>0</v>
      </c>
      <c r="AE26" s="105">
        <f>'Hillpointe Detail'!AE26+'Sandhill Detail'!AE26</f>
        <v>967.75</v>
      </c>
      <c r="AF26" s="105">
        <f>'Hillpointe Detail'!AF26+'Sandhill Detail'!AF26</f>
        <v>0</v>
      </c>
      <c r="AG26" s="105">
        <f>'Hillpointe Detail'!AG26+'Sandhill Detail'!AG26</f>
        <v>0</v>
      </c>
      <c r="AH26" s="105">
        <f>'Hillpointe Detail'!AH26+'Sandhill Detail'!AH26</f>
        <v>0</v>
      </c>
      <c r="AI26" s="105">
        <f>'Hillpointe Detail'!AI26+'Sandhill Detail'!AI26</f>
        <v>0</v>
      </c>
      <c r="AJ26" s="105">
        <f>'Hillpointe Detail'!AJ26+'Sandhill Detail'!AJ26</f>
        <v>0</v>
      </c>
      <c r="AK26" s="105">
        <f>'Hillpointe Detail'!AK26+'Sandhill Detail'!AK26</f>
        <v>0</v>
      </c>
      <c r="AL26" s="105">
        <f>'Hillpointe Detail'!AL26+'Sandhill Detail'!AL26</f>
        <v>879.3</v>
      </c>
      <c r="AM26" s="105">
        <f>'Hillpointe Detail'!AM26+'Sandhill Detail'!AM26</f>
        <v>200</v>
      </c>
      <c r="AN26" s="105">
        <f>'Hillpointe Detail'!AN26+'Sandhill Detail'!AN26</f>
        <v>0</v>
      </c>
      <c r="AO26" s="105">
        <f>'Hillpointe Detail'!AO26+'Sandhill Detail'!AO26</f>
        <v>0</v>
      </c>
      <c r="AP26" s="105">
        <f>'Hillpointe Detail'!AP26+'Sandhill Detail'!AP26</f>
        <v>0</v>
      </c>
      <c r="AQ26" s="105">
        <f>'Hillpointe Detail'!AQ26+'Sandhill Detail'!AQ26</f>
        <v>967.75</v>
      </c>
      <c r="AR26" s="105">
        <f>'Hillpointe Detail'!AR26+'Sandhill Detail'!AR26</f>
        <v>0</v>
      </c>
      <c r="AS26" s="105">
        <f>'Hillpointe Detail'!AS26+'Sandhill Detail'!AS26</f>
        <v>0</v>
      </c>
      <c r="AT26" s="105">
        <f>'Hillpointe Detail'!AT26+'Sandhill Detail'!AT26</f>
        <v>0</v>
      </c>
      <c r="AU26" s="105">
        <f>'Hillpointe Detail'!AU26+'Sandhill Detail'!AU26</f>
        <v>0</v>
      </c>
      <c r="AV26" s="105">
        <f>'Hillpointe Detail'!AV26+'Sandhill Detail'!AV26</f>
        <v>0</v>
      </c>
      <c r="AW26" s="105">
        <f>'Hillpointe Detail'!AW26+'Sandhill Detail'!AW26</f>
        <v>0</v>
      </c>
      <c r="AX26" s="105">
        <f>'Hillpointe Detail'!AX26+'Sandhill Detail'!AX26</f>
        <v>879.3</v>
      </c>
      <c r="AY26" s="105">
        <f>'Hillpointe Detail'!AY26+'Sandhill Detail'!AY26</f>
        <v>200</v>
      </c>
      <c r="AZ26" s="105">
        <f>'Hillpointe Detail'!AZ26+'Sandhill Detail'!AZ26</f>
        <v>0</v>
      </c>
      <c r="BA26" s="105">
        <f>'Hillpointe Detail'!BA26+'Sandhill Detail'!BA26</f>
        <v>0</v>
      </c>
      <c r="BB26" s="105">
        <f>'Hillpointe Detail'!BB26+'Sandhill Detail'!BB26</f>
        <v>0</v>
      </c>
      <c r="BC26" s="105">
        <f>'Hillpointe Detail'!BC26+'Sandhill Detail'!BC26</f>
        <v>967.75</v>
      </c>
      <c r="BD26" s="105">
        <f>'Hillpointe Detail'!BD26+'Sandhill Detail'!BD26</f>
        <v>0</v>
      </c>
      <c r="BE26" s="105">
        <f>'Hillpointe Detail'!BE26+'Sandhill Detail'!BE26</f>
        <v>0</v>
      </c>
      <c r="BF26" s="105">
        <f>'Hillpointe Detail'!BF26+'Sandhill Detail'!BF26</f>
        <v>0</v>
      </c>
      <c r="BG26" s="105">
        <f>'Hillpointe Detail'!BG26+'Sandhill Detail'!BG26</f>
        <v>0</v>
      </c>
      <c r="BH26" s="105">
        <f>'Hillpointe Detail'!BH26+'Sandhill Detail'!BH26</f>
        <v>0</v>
      </c>
      <c r="BI26" s="105">
        <f>'Hillpointe Detail'!BI26+'Sandhill Detail'!BI26</f>
        <v>0</v>
      </c>
      <c r="BJ26" s="105">
        <f>'Hillpointe Detail'!BJ26+'Sandhill Detail'!BJ26</f>
        <v>879.3</v>
      </c>
      <c r="BK26" s="105">
        <f>'Hillpointe Detail'!BK26+'Sandhill Detail'!BK26</f>
        <v>200</v>
      </c>
      <c r="BL26" s="105">
        <f>'Hillpointe Detail'!BL26+'Sandhill Detail'!BL26</f>
        <v>0</v>
      </c>
      <c r="BM26" s="105">
        <f>'Hillpointe Detail'!BM26+'Sandhill Detail'!BM26</f>
        <v>0</v>
      </c>
      <c r="BN26" s="105">
        <f>'Hillpointe Detail'!BN26+'Sandhill Detail'!BN26</f>
        <v>0</v>
      </c>
      <c r="BO26" s="105">
        <f>'Hillpointe Detail'!BO26+'Sandhill Detail'!BO26</f>
        <v>967.75</v>
      </c>
      <c r="BP26" s="105">
        <f>'Hillpointe Detail'!BP26+'Sandhill Detail'!BP26</f>
        <v>0</v>
      </c>
      <c r="BQ26" s="105">
        <f>'Hillpointe Detail'!BQ26+'Sandhill Detail'!BQ26</f>
        <v>0</v>
      </c>
      <c r="BR26" s="105">
        <f>'Hillpointe Detail'!BR26+'Sandhill Detail'!BR26</f>
        <v>0</v>
      </c>
      <c r="BS26" s="105">
        <f>'Hillpointe Detail'!BS26+'Sandhill Detail'!BS26</f>
        <v>0</v>
      </c>
      <c r="BT26" s="105">
        <f>'Hillpointe Detail'!BT26+'Sandhill Detail'!BT26</f>
        <v>0</v>
      </c>
      <c r="BU26" s="105">
        <f>'Hillpointe Detail'!BU26+'Sandhill Detail'!BU26</f>
        <v>0</v>
      </c>
      <c r="BV26" s="105">
        <f>'Hillpointe Detail'!BV26+'Sandhill Detail'!BV26</f>
        <v>879.3</v>
      </c>
      <c r="BW26" s="105">
        <f>'Hillpointe Detail'!BW26+'Sandhill Detail'!BW26</f>
        <v>200</v>
      </c>
      <c r="BX26" s="105">
        <f>'Hillpointe Detail'!BX26+'Sandhill Detail'!BX26</f>
        <v>0</v>
      </c>
      <c r="BY26" s="8"/>
      <c r="BZ26" s="105">
        <f t="shared" si="46"/>
        <v>200</v>
      </c>
      <c r="CA26" s="105">
        <f t="shared" si="47"/>
        <v>2047.05</v>
      </c>
      <c r="CC26" s="105">
        <f t="shared" si="48"/>
        <v>0</v>
      </c>
      <c r="CD26" s="105">
        <f t="shared" si="48"/>
        <v>0</v>
      </c>
      <c r="CE26" s="105">
        <f t="shared" si="48"/>
        <v>718</v>
      </c>
      <c r="CF26" s="105">
        <f t="shared" si="48"/>
        <v>2047.05</v>
      </c>
      <c r="CG26" s="105">
        <f t="shared" si="48"/>
        <v>2047.05</v>
      </c>
      <c r="CH26" s="105">
        <f t="shared" si="48"/>
        <v>2047.05</v>
      </c>
      <c r="CI26" s="105">
        <f t="shared" si="48"/>
        <v>2047.05</v>
      </c>
      <c r="CJ26" s="105">
        <f t="shared" si="48"/>
        <v>2047.05</v>
      </c>
      <c r="CL26" s="105"/>
      <c r="CM26" s="13"/>
    </row>
    <row r="27" spans="1:91" x14ac:dyDescent="0.3">
      <c r="A27" s="84" t="s">
        <v>350</v>
      </c>
      <c r="B27" s="10" t="s">
        <v>124</v>
      </c>
      <c r="C27" s="103">
        <v>0</v>
      </c>
      <c r="D27" s="103">
        <v>0</v>
      </c>
      <c r="E27" s="105">
        <f>'Hillpointe Detail'!E27+'Sandhill Detail'!E27</f>
        <v>0</v>
      </c>
      <c r="F27" s="105">
        <f>'Hillpointe Detail'!F27+'Sandhill Detail'!F27</f>
        <v>0</v>
      </c>
      <c r="G27" s="105">
        <f>'Hillpointe Detail'!G27+'Sandhill Detail'!G27</f>
        <v>0</v>
      </c>
      <c r="H27" s="105">
        <f>'Hillpointe Detail'!H27+'Sandhill Detail'!H27</f>
        <v>0</v>
      </c>
      <c r="I27" s="105">
        <f>'Hillpointe Detail'!I27+'Sandhill Detail'!I27</f>
        <v>0</v>
      </c>
      <c r="J27" s="105">
        <f>'Hillpointe Detail'!J27+'Sandhill Detail'!J27</f>
        <v>0</v>
      </c>
      <c r="K27" s="105">
        <f>'Hillpointe Detail'!K27+'Sandhill Detail'!K27</f>
        <v>0</v>
      </c>
      <c r="L27" s="105">
        <f>'Hillpointe Detail'!L27+'Sandhill Detail'!L27</f>
        <v>0</v>
      </c>
      <c r="M27" s="105">
        <f>'Hillpointe Detail'!M27+'Sandhill Detail'!M27</f>
        <v>0</v>
      </c>
      <c r="N27" s="105">
        <f>'Hillpointe Detail'!N27+'Sandhill Detail'!N27</f>
        <v>0</v>
      </c>
      <c r="O27" s="105">
        <f>'Hillpointe Detail'!O27+'Sandhill Detail'!O27</f>
        <v>0</v>
      </c>
      <c r="P27" s="105">
        <f>'Hillpointe Detail'!P27+'Sandhill Detail'!P27</f>
        <v>0</v>
      </c>
      <c r="Q27" s="105">
        <f>'Hillpointe Detail'!Q27+'Sandhill Detail'!Q27</f>
        <v>0</v>
      </c>
      <c r="R27" s="105">
        <f>'Hillpointe Detail'!R27+'Sandhill Detail'!R27</f>
        <v>0</v>
      </c>
      <c r="S27" s="105">
        <f>'Hillpointe Detail'!S27+'Sandhill Detail'!S27</f>
        <v>0</v>
      </c>
      <c r="T27" s="105">
        <f>'Hillpointe Detail'!T27+'Sandhill Detail'!T27</f>
        <v>0</v>
      </c>
      <c r="U27" s="105">
        <f>'Hillpointe Detail'!U27+'Sandhill Detail'!U27</f>
        <v>0</v>
      </c>
      <c r="V27" s="105">
        <f>'Hillpointe Detail'!V27+'Sandhill Detail'!V27</f>
        <v>0</v>
      </c>
      <c r="W27" s="105">
        <f>'Hillpointe Detail'!W27+'Sandhill Detail'!W27</f>
        <v>127.5</v>
      </c>
      <c r="X27" s="105">
        <f>'Hillpointe Detail'!X27+'Sandhill Detail'!X27</f>
        <v>0</v>
      </c>
      <c r="Y27" s="105">
        <f>'Hillpointe Detail'!Y27+'Sandhill Detail'!Y27</f>
        <v>0</v>
      </c>
      <c r="Z27" s="105">
        <f>'Hillpointe Detail'!Z27+'Sandhill Detail'!Z27</f>
        <v>0</v>
      </c>
      <c r="AA27" s="105">
        <f>'Hillpointe Detail'!AA27+'Sandhill Detail'!AA27</f>
        <v>0</v>
      </c>
      <c r="AB27" s="105">
        <f>'Hillpointe Detail'!AB27+'Sandhill Detail'!AB27</f>
        <v>0</v>
      </c>
      <c r="AC27" s="105">
        <f>'Hillpointe Detail'!AC27+'Sandhill Detail'!AC27</f>
        <v>0</v>
      </c>
      <c r="AD27" s="105">
        <f>'Hillpointe Detail'!AD27+'Sandhill Detail'!AD27</f>
        <v>0</v>
      </c>
      <c r="AE27" s="105">
        <f>'Hillpointe Detail'!AE27+'Sandhill Detail'!AE27</f>
        <v>0</v>
      </c>
      <c r="AF27" s="105">
        <f>'Hillpointe Detail'!AF27+'Sandhill Detail'!AF27</f>
        <v>0</v>
      </c>
      <c r="AG27" s="105">
        <f>'Hillpointe Detail'!AG27+'Sandhill Detail'!AG27</f>
        <v>0</v>
      </c>
      <c r="AH27" s="105">
        <f>'Hillpointe Detail'!AH27+'Sandhill Detail'!AH27</f>
        <v>0</v>
      </c>
      <c r="AI27" s="105">
        <f>'Hillpointe Detail'!AI27+'Sandhill Detail'!AI27</f>
        <v>127.5</v>
      </c>
      <c r="AJ27" s="105">
        <f>'Hillpointe Detail'!AJ27+'Sandhill Detail'!AJ27</f>
        <v>0</v>
      </c>
      <c r="AK27" s="105">
        <f>'Hillpointe Detail'!AK27+'Sandhill Detail'!AK27</f>
        <v>0</v>
      </c>
      <c r="AL27" s="105">
        <f>'Hillpointe Detail'!AL27+'Sandhill Detail'!AL27</f>
        <v>0</v>
      </c>
      <c r="AM27" s="105">
        <f>'Hillpointe Detail'!AM27+'Sandhill Detail'!AM27</f>
        <v>0</v>
      </c>
      <c r="AN27" s="105">
        <f>'Hillpointe Detail'!AN27+'Sandhill Detail'!AN27</f>
        <v>0</v>
      </c>
      <c r="AO27" s="105">
        <f>'Hillpointe Detail'!AO27+'Sandhill Detail'!AO27</f>
        <v>0</v>
      </c>
      <c r="AP27" s="105">
        <f>'Hillpointe Detail'!AP27+'Sandhill Detail'!AP27</f>
        <v>0</v>
      </c>
      <c r="AQ27" s="105">
        <f>'Hillpointe Detail'!AQ27+'Sandhill Detail'!AQ27</f>
        <v>0</v>
      </c>
      <c r="AR27" s="105">
        <f>'Hillpointe Detail'!AR27+'Sandhill Detail'!AR27</f>
        <v>0</v>
      </c>
      <c r="AS27" s="105">
        <f>'Hillpointe Detail'!AS27+'Sandhill Detail'!AS27</f>
        <v>0</v>
      </c>
      <c r="AT27" s="105">
        <f>'Hillpointe Detail'!AT27+'Sandhill Detail'!AT27</f>
        <v>0</v>
      </c>
      <c r="AU27" s="105">
        <f>'Hillpointe Detail'!AU27+'Sandhill Detail'!AU27</f>
        <v>127.5</v>
      </c>
      <c r="AV27" s="105">
        <f>'Hillpointe Detail'!AV27+'Sandhill Detail'!AV27</f>
        <v>0</v>
      </c>
      <c r="AW27" s="105">
        <f>'Hillpointe Detail'!AW27+'Sandhill Detail'!AW27</f>
        <v>0</v>
      </c>
      <c r="AX27" s="105">
        <f>'Hillpointe Detail'!AX27+'Sandhill Detail'!AX27</f>
        <v>0</v>
      </c>
      <c r="AY27" s="105">
        <f>'Hillpointe Detail'!AY27+'Sandhill Detail'!AY27</f>
        <v>0</v>
      </c>
      <c r="AZ27" s="105">
        <f>'Hillpointe Detail'!AZ27+'Sandhill Detail'!AZ27</f>
        <v>0</v>
      </c>
      <c r="BA27" s="105">
        <f>'Hillpointe Detail'!BA27+'Sandhill Detail'!BA27</f>
        <v>0</v>
      </c>
      <c r="BB27" s="105">
        <f>'Hillpointe Detail'!BB27+'Sandhill Detail'!BB27</f>
        <v>0</v>
      </c>
      <c r="BC27" s="105">
        <f>'Hillpointe Detail'!BC27+'Sandhill Detail'!BC27</f>
        <v>0</v>
      </c>
      <c r="BD27" s="105">
        <f>'Hillpointe Detail'!BD27+'Sandhill Detail'!BD27</f>
        <v>0</v>
      </c>
      <c r="BE27" s="105">
        <f>'Hillpointe Detail'!BE27+'Sandhill Detail'!BE27</f>
        <v>0</v>
      </c>
      <c r="BF27" s="105">
        <f>'Hillpointe Detail'!BF27+'Sandhill Detail'!BF27</f>
        <v>0</v>
      </c>
      <c r="BG27" s="105">
        <f>'Hillpointe Detail'!BG27+'Sandhill Detail'!BG27</f>
        <v>127.5</v>
      </c>
      <c r="BH27" s="105">
        <f>'Hillpointe Detail'!BH27+'Sandhill Detail'!BH27</f>
        <v>0</v>
      </c>
      <c r="BI27" s="105">
        <f>'Hillpointe Detail'!BI27+'Sandhill Detail'!BI27</f>
        <v>0</v>
      </c>
      <c r="BJ27" s="105">
        <f>'Hillpointe Detail'!BJ27+'Sandhill Detail'!BJ27</f>
        <v>0</v>
      </c>
      <c r="BK27" s="105">
        <f>'Hillpointe Detail'!BK27+'Sandhill Detail'!BK27</f>
        <v>0</v>
      </c>
      <c r="BL27" s="105">
        <f>'Hillpointe Detail'!BL27+'Sandhill Detail'!BL27</f>
        <v>0</v>
      </c>
      <c r="BM27" s="105">
        <f>'Hillpointe Detail'!BM27+'Sandhill Detail'!BM27</f>
        <v>0</v>
      </c>
      <c r="BN27" s="105">
        <f>'Hillpointe Detail'!BN27+'Sandhill Detail'!BN27</f>
        <v>0</v>
      </c>
      <c r="BO27" s="105">
        <f>'Hillpointe Detail'!BO27+'Sandhill Detail'!BO27</f>
        <v>0</v>
      </c>
      <c r="BP27" s="105">
        <f>'Hillpointe Detail'!BP27+'Sandhill Detail'!BP27</f>
        <v>0</v>
      </c>
      <c r="BQ27" s="105">
        <f>'Hillpointe Detail'!BQ27+'Sandhill Detail'!BQ27</f>
        <v>0</v>
      </c>
      <c r="BR27" s="105">
        <f>'Hillpointe Detail'!BR27+'Sandhill Detail'!BR27</f>
        <v>0</v>
      </c>
      <c r="BS27" s="105">
        <f>'Hillpointe Detail'!BS27+'Sandhill Detail'!BS27</f>
        <v>127.5</v>
      </c>
      <c r="BT27" s="105">
        <f>'Hillpointe Detail'!BT27+'Sandhill Detail'!BT27</f>
        <v>0</v>
      </c>
      <c r="BU27" s="105">
        <f>'Hillpointe Detail'!BU27+'Sandhill Detail'!BU27</f>
        <v>0</v>
      </c>
      <c r="BV27" s="105">
        <f>'Hillpointe Detail'!BV27+'Sandhill Detail'!BV27</f>
        <v>0</v>
      </c>
      <c r="BW27" s="105">
        <f>'Hillpointe Detail'!BW27+'Sandhill Detail'!BW27</f>
        <v>0</v>
      </c>
      <c r="BX27" s="105">
        <f>'Hillpointe Detail'!BX27+'Sandhill Detail'!BX27</f>
        <v>0</v>
      </c>
      <c r="BY27" s="8"/>
      <c r="BZ27" s="105">
        <f t="shared" si="46"/>
        <v>0</v>
      </c>
      <c r="CA27" s="105">
        <f t="shared" si="47"/>
        <v>127.5</v>
      </c>
      <c r="CC27" s="105">
        <f t="shared" si="48"/>
        <v>0</v>
      </c>
      <c r="CD27" s="105">
        <f t="shared" si="48"/>
        <v>0</v>
      </c>
      <c r="CE27" s="105">
        <f t="shared" si="48"/>
        <v>0</v>
      </c>
      <c r="CF27" s="105">
        <f t="shared" si="48"/>
        <v>127.5</v>
      </c>
      <c r="CG27" s="105">
        <f t="shared" si="48"/>
        <v>127.5</v>
      </c>
      <c r="CH27" s="105">
        <f t="shared" si="48"/>
        <v>127.5</v>
      </c>
      <c r="CI27" s="105">
        <f t="shared" si="48"/>
        <v>127.5</v>
      </c>
      <c r="CJ27" s="105">
        <f t="shared" si="48"/>
        <v>127.5</v>
      </c>
      <c r="CL27" s="105"/>
      <c r="CM27" s="13"/>
    </row>
    <row r="28" spans="1:91" x14ac:dyDescent="0.3">
      <c r="A28" s="84" t="s">
        <v>417</v>
      </c>
      <c r="B28" s="10" t="s">
        <v>124</v>
      </c>
      <c r="C28" s="103">
        <v>0</v>
      </c>
      <c r="D28" s="103">
        <v>0</v>
      </c>
      <c r="E28" s="105">
        <f>'Hillpointe Detail'!E28+'Sandhill Detail'!E28</f>
        <v>0</v>
      </c>
      <c r="F28" s="105">
        <f>'Hillpointe Detail'!F28+'Sandhill Detail'!F28</f>
        <v>0</v>
      </c>
      <c r="G28" s="105">
        <f>'Hillpointe Detail'!G28+'Sandhill Detail'!G28</f>
        <v>0</v>
      </c>
      <c r="H28" s="105">
        <f>'Hillpointe Detail'!H28+'Sandhill Detail'!H28</f>
        <v>0</v>
      </c>
      <c r="I28" s="105">
        <f>'Hillpointe Detail'!I28+'Sandhill Detail'!I28</f>
        <v>0</v>
      </c>
      <c r="J28" s="105">
        <f>'Hillpointe Detail'!J28+'Sandhill Detail'!J28</f>
        <v>0</v>
      </c>
      <c r="K28" s="105">
        <f>'Hillpointe Detail'!K28+'Sandhill Detail'!K28</f>
        <v>0</v>
      </c>
      <c r="L28" s="105">
        <f>'Hillpointe Detail'!L28+'Sandhill Detail'!L28</f>
        <v>0</v>
      </c>
      <c r="M28" s="105">
        <f>'Hillpointe Detail'!M28+'Sandhill Detail'!M28</f>
        <v>0</v>
      </c>
      <c r="N28" s="105">
        <f>'Hillpointe Detail'!N28+'Sandhill Detail'!N28</f>
        <v>0</v>
      </c>
      <c r="O28" s="105">
        <f>'Hillpointe Detail'!O28+'Sandhill Detail'!O28</f>
        <v>0</v>
      </c>
      <c r="P28" s="105">
        <f>'Hillpointe Detail'!P28+'Sandhill Detail'!P28</f>
        <v>0</v>
      </c>
      <c r="Q28" s="105">
        <f>'Hillpointe Detail'!Q28+'Sandhill Detail'!Q28</f>
        <v>0</v>
      </c>
      <c r="R28" s="105">
        <f>'Hillpointe Detail'!R28+'Sandhill Detail'!R28</f>
        <v>0</v>
      </c>
      <c r="S28" s="105">
        <f>'Hillpointe Detail'!S28+'Sandhill Detail'!S28</f>
        <v>0</v>
      </c>
      <c r="T28" s="105">
        <f>'Hillpointe Detail'!T28+'Sandhill Detail'!T28</f>
        <v>0</v>
      </c>
      <c r="U28" s="105">
        <f>'Hillpointe Detail'!U28+'Sandhill Detail'!U28</f>
        <v>0</v>
      </c>
      <c r="V28" s="105">
        <f>'Hillpointe Detail'!V28+'Sandhill Detail'!V28</f>
        <v>0</v>
      </c>
      <c r="W28" s="105">
        <f>'Hillpointe Detail'!W28+'Sandhill Detail'!W28</f>
        <v>0</v>
      </c>
      <c r="X28" s="105">
        <f>'Hillpointe Detail'!X28+'Sandhill Detail'!X28</f>
        <v>0</v>
      </c>
      <c r="Y28" s="105">
        <f>'Hillpointe Detail'!Y28+'Sandhill Detail'!Y28</f>
        <v>915.74</v>
      </c>
      <c r="Z28" s="105">
        <f>'Hillpointe Detail'!Z28+'Sandhill Detail'!Z28</f>
        <v>271.3</v>
      </c>
      <c r="AA28" s="105">
        <f>'Hillpointe Detail'!AA28+'Sandhill Detail'!AA28</f>
        <v>472.25</v>
      </c>
      <c r="AB28" s="105">
        <f>'Hillpointe Detail'!AB28+'Sandhill Detail'!AB28</f>
        <v>0</v>
      </c>
      <c r="AC28" s="105">
        <f>'Hillpointe Detail'!AC28+'Sandhill Detail'!AC28</f>
        <v>0</v>
      </c>
      <c r="AD28" s="105">
        <f>'Hillpointe Detail'!AD28+'Sandhill Detail'!AD28</f>
        <v>0</v>
      </c>
      <c r="AE28" s="105">
        <f>'Hillpointe Detail'!AE28+'Sandhill Detail'!AE28</f>
        <v>0</v>
      </c>
      <c r="AF28" s="105">
        <f>'Hillpointe Detail'!AF28+'Sandhill Detail'!AF28</f>
        <v>0</v>
      </c>
      <c r="AG28" s="105">
        <f>'Hillpointe Detail'!AG28+'Sandhill Detail'!AG28</f>
        <v>0</v>
      </c>
      <c r="AH28" s="105">
        <f>'Hillpointe Detail'!AH28+'Sandhill Detail'!AH28</f>
        <v>0</v>
      </c>
      <c r="AI28" s="105">
        <f>'Hillpointe Detail'!AI28+'Sandhill Detail'!AI28</f>
        <v>0</v>
      </c>
      <c r="AJ28" s="105">
        <f>'Hillpointe Detail'!AJ28+'Sandhill Detail'!AJ28</f>
        <v>0</v>
      </c>
      <c r="AK28" s="105">
        <f>'Hillpointe Detail'!AK28+'Sandhill Detail'!AK28</f>
        <v>915.74</v>
      </c>
      <c r="AL28" s="105">
        <f>'Hillpointe Detail'!AL28+'Sandhill Detail'!AL28</f>
        <v>271.3</v>
      </c>
      <c r="AM28" s="105">
        <f>'Hillpointe Detail'!AM28+'Sandhill Detail'!AM28</f>
        <v>472.25</v>
      </c>
      <c r="AN28" s="105">
        <f>'Hillpointe Detail'!AN28+'Sandhill Detail'!AN28</f>
        <v>0</v>
      </c>
      <c r="AO28" s="105">
        <f>'Hillpointe Detail'!AO28+'Sandhill Detail'!AO28</f>
        <v>0</v>
      </c>
      <c r="AP28" s="105">
        <f>'Hillpointe Detail'!AP28+'Sandhill Detail'!AP28</f>
        <v>0</v>
      </c>
      <c r="AQ28" s="105">
        <f>'Hillpointe Detail'!AQ28+'Sandhill Detail'!AQ28</f>
        <v>0</v>
      </c>
      <c r="AR28" s="105">
        <f>'Hillpointe Detail'!AR28+'Sandhill Detail'!AR28</f>
        <v>0</v>
      </c>
      <c r="AS28" s="105">
        <f>'Hillpointe Detail'!AS28+'Sandhill Detail'!AS28</f>
        <v>0</v>
      </c>
      <c r="AT28" s="105">
        <f>'Hillpointe Detail'!AT28+'Sandhill Detail'!AT28</f>
        <v>0</v>
      </c>
      <c r="AU28" s="105">
        <f>'Hillpointe Detail'!AU28+'Sandhill Detail'!AU28</f>
        <v>0</v>
      </c>
      <c r="AV28" s="105">
        <f>'Hillpointe Detail'!AV28+'Sandhill Detail'!AV28</f>
        <v>0</v>
      </c>
      <c r="AW28" s="105">
        <f>'Hillpointe Detail'!AW28+'Sandhill Detail'!AW28</f>
        <v>915.74</v>
      </c>
      <c r="AX28" s="105">
        <f>'Hillpointe Detail'!AX28+'Sandhill Detail'!AX28</f>
        <v>271.3</v>
      </c>
      <c r="AY28" s="105">
        <f>'Hillpointe Detail'!AY28+'Sandhill Detail'!AY28</f>
        <v>472.25</v>
      </c>
      <c r="AZ28" s="105">
        <f>'Hillpointe Detail'!AZ28+'Sandhill Detail'!AZ28</f>
        <v>0</v>
      </c>
      <c r="BA28" s="105">
        <f>'Hillpointe Detail'!BA28+'Sandhill Detail'!BA28</f>
        <v>0</v>
      </c>
      <c r="BB28" s="105">
        <f>'Hillpointe Detail'!BB28+'Sandhill Detail'!BB28</f>
        <v>0</v>
      </c>
      <c r="BC28" s="105">
        <f>'Hillpointe Detail'!BC28+'Sandhill Detail'!BC28</f>
        <v>0</v>
      </c>
      <c r="BD28" s="105">
        <f>'Hillpointe Detail'!BD28+'Sandhill Detail'!BD28</f>
        <v>0</v>
      </c>
      <c r="BE28" s="105">
        <f>'Hillpointe Detail'!BE28+'Sandhill Detail'!BE28</f>
        <v>0</v>
      </c>
      <c r="BF28" s="105">
        <f>'Hillpointe Detail'!BF28+'Sandhill Detail'!BF28</f>
        <v>0</v>
      </c>
      <c r="BG28" s="105">
        <f>'Hillpointe Detail'!BG28+'Sandhill Detail'!BG28</f>
        <v>0</v>
      </c>
      <c r="BH28" s="105">
        <f>'Hillpointe Detail'!BH28+'Sandhill Detail'!BH28</f>
        <v>0</v>
      </c>
      <c r="BI28" s="105">
        <f>'Hillpointe Detail'!BI28+'Sandhill Detail'!BI28</f>
        <v>915.74</v>
      </c>
      <c r="BJ28" s="105">
        <f>'Hillpointe Detail'!BJ28+'Sandhill Detail'!BJ28</f>
        <v>271.3</v>
      </c>
      <c r="BK28" s="105">
        <f>'Hillpointe Detail'!BK28+'Sandhill Detail'!BK28</f>
        <v>472.25</v>
      </c>
      <c r="BL28" s="105">
        <f>'Hillpointe Detail'!BL28+'Sandhill Detail'!BL28</f>
        <v>0</v>
      </c>
      <c r="BM28" s="105">
        <f>'Hillpointe Detail'!BM28+'Sandhill Detail'!BM28</f>
        <v>0</v>
      </c>
      <c r="BN28" s="105">
        <f>'Hillpointe Detail'!BN28+'Sandhill Detail'!BN28</f>
        <v>0</v>
      </c>
      <c r="BO28" s="105">
        <f>'Hillpointe Detail'!BO28+'Sandhill Detail'!BO28</f>
        <v>0</v>
      </c>
      <c r="BP28" s="105">
        <f>'Hillpointe Detail'!BP28+'Sandhill Detail'!BP28</f>
        <v>0</v>
      </c>
      <c r="BQ28" s="105">
        <f>'Hillpointe Detail'!BQ28+'Sandhill Detail'!BQ28</f>
        <v>0</v>
      </c>
      <c r="BR28" s="105">
        <f>'Hillpointe Detail'!BR28+'Sandhill Detail'!BR28</f>
        <v>0</v>
      </c>
      <c r="BS28" s="105">
        <f>'Hillpointe Detail'!BS28+'Sandhill Detail'!BS28</f>
        <v>0</v>
      </c>
      <c r="BT28" s="105">
        <f>'Hillpointe Detail'!BT28+'Sandhill Detail'!BT28</f>
        <v>0</v>
      </c>
      <c r="BU28" s="105">
        <f>'Hillpointe Detail'!BU28+'Sandhill Detail'!BU28</f>
        <v>915.74</v>
      </c>
      <c r="BV28" s="105">
        <f>'Hillpointe Detail'!BV28+'Sandhill Detail'!BV28</f>
        <v>271.3</v>
      </c>
      <c r="BW28" s="105">
        <f>'Hillpointe Detail'!BW28+'Sandhill Detail'!BW28</f>
        <v>472.25</v>
      </c>
      <c r="BX28" s="105">
        <f>'Hillpointe Detail'!BX28+'Sandhill Detail'!BX28</f>
        <v>0</v>
      </c>
      <c r="BY28" s="8"/>
      <c r="BZ28" s="105">
        <f t="shared" si="46"/>
        <v>472.25</v>
      </c>
      <c r="CA28" s="105">
        <f t="shared" si="47"/>
        <v>1659.29</v>
      </c>
      <c r="CC28" s="105">
        <f t="shared" si="48"/>
        <v>0</v>
      </c>
      <c r="CD28" s="105">
        <f t="shared" si="48"/>
        <v>0</v>
      </c>
      <c r="CE28" s="105">
        <f t="shared" si="48"/>
        <v>0</v>
      </c>
      <c r="CF28" s="105">
        <f t="shared" si="48"/>
        <v>1659.29</v>
      </c>
      <c r="CG28" s="105">
        <f t="shared" si="48"/>
        <v>1659.29</v>
      </c>
      <c r="CH28" s="105">
        <f t="shared" si="48"/>
        <v>1659.29</v>
      </c>
      <c r="CI28" s="105">
        <f t="shared" si="48"/>
        <v>1659.29</v>
      </c>
      <c r="CJ28" s="105">
        <f t="shared" si="48"/>
        <v>1659.29</v>
      </c>
      <c r="CL28" s="105"/>
      <c r="CM28" s="13"/>
    </row>
    <row r="29" spans="1:91" x14ac:dyDescent="0.3">
      <c r="A29" s="84" t="s">
        <v>437</v>
      </c>
      <c r="B29" s="10" t="s">
        <v>124</v>
      </c>
      <c r="C29" s="103">
        <v>0</v>
      </c>
      <c r="D29" s="103">
        <v>0</v>
      </c>
      <c r="E29" s="105">
        <f>'Hillpointe Detail'!E29+'Sandhill Detail'!E29</f>
        <v>0</v>
      </c>
      <c r="F29" s="105">
        <f>'Hillpointe Detail'!F29+'Sandhill Detail'!F29</f>
        <v>0</v>
      </c>
      <c r="G29" s="105">
        <f>'Hillpointe Detail'!G29+'Sandhill Detail'!G29</f>
        <v>0</v>
      </c>
      <c r="H29" s="105">
        <f>'Hillpointe Detail'!H29+'Sandhill Detail'!H29</f>
        <v>0</v>
      </c>
      <c r="I29" s="105">
        <f>'Hillpointe Detail'!I29+'Sandhill Detail'!I29</f>
        <v>0</v>
      </c>
      <c r="J29" s="105">
        <f>'Hillpointe Detail'!J29+'Sandhill Detail'!J29</f>
        <v>0</v>
      </c>
      <c r="K29" s="105">
        <f>'Hillpointe Detail'!K29+'Sandhill Detail'!K29</f>
        <v>0</v>
      </c>
      <c r="L29" s="105">
        <f>'Hillpointe Detail'!L29+'Sandhill Detail'!L29</f>
        <v>0</v>
      </c>
      <c r="M29" s="105">
        <f>'Hillpointe Detail'!M29+'Sandhill Detail'!M29</f>
        <v>0</v>
      </c>
      <c r="N29" s="105">
        <f>'Hillpointe Detail'!N29+'Sandhill Detail'!N29</f>
        <v>0</v>
      </c>
      <c r="O29" s="105">
        <f>'Hillpointe Detail'!O29+'Sandhill Detail'!O29</f>
        <v>0</v>
      </c>
      <c r="P29" s="105">
        <f>'Hillpointe Detail'!P29+'Sandhill Detail'!P29</f>
        <v>0</v>
      </c>
      <c r="Q29" s="105">
        <f>'Hillpointe Detail'!Q29+'Sandhill Detail'!Q29</f>
        <v>0</v>
      </c>
      <c r="R29" s="105">
        <f>'Hillpointe Detail'!R29+'Sandhill Detail'!R29</f>
        <v>0</v>
      </c>
      <c r="S29" s="105">
        <f>'Hillpointe Detail'!S29+'Sandhill Detail'!S29</f>
        <v>0</v>
      </c>
      <c r="T29" s="105">
        <f>'Hillpointe Detail'!T29+'Sandhill Detail'!T29</f>
        <v>0</v>
      </c>
      <c r="U29" s="105">
        <f>'Hillpointe Detail'!U29+'Sandhill Detail'!U29</f>
        <v>0</v>
      </c>
      <c r="V29" s="105">
        <f>'Hillpointe Detail'!V29+'Sandhill Detail'!V29</f>
        <v>0</v>
      </c>
      <c r="W29" s="105">
        <f>'Hillpointe Detail'!W29+'Sandhill Detail'!W29</f>
        <v>0</v>
      </c>
      <c r="X29" s="105">
        <f>'Hillpointe Detail'!X29+'Sandhill Detail'!X29</f>
        <v>0</v>
      </c>
      <c r="Y29" s="105">
        <f>'Hillpointe Detail'!Y29+'Sandhill Detail'!Y29</f>
        <v>0</v>
      </c>
      <c r="Z29" s="105">
        <f>'Hillpointe Detail'!Z29+'Sandhill Detail'!Z29</f>
        <v>513</v>
      </c>
      <c r="AA29" s="105">
        <f>'Hillpointe Detail'!AA29+'Sandhill Detail'!AA29</f>
        <v>0</v>
      </c>
      <c r="AB29" s="105">
        <f>'Hillpointe Detail'!AB29+'Sandhill Detail'!AB29</f>
        <v>0</v>
      </c>
      <c r="AC29" s="105">
        <f>'Hillpointe Detail'!AC29+'Sandhill Detail'!AC29</f>
        <v>0</v>
      </c>
      <c r="AD29" s="105">
        <f>'Hillpointe Detail'!AD29+'Sandhill Detail'!AD29</f>
        <v>0</v>
      </c>
      <c r="AE29" s="105">
        <f>'Hillpointe Detail'!AE29+'Sandhill Detail'!AE29</f>
        <v>0</v>
      </c>
      <c r="AF29" s="105">
        <f>'Hillpointe Detail'!AF29+'Sandhill Detail'!AF29</f>
        <v>0</v>
      </c>
      <c r="AG29" s="105">
        <f>'Hillpointe Detail'!AG29+'Sandhill Detail'!AG29</f>
        <v>0</v>
      </c>
      <c r="AH29" s="105">
        <f>'Hillpointe Detail'!AH29+'Sandhill Detail'!AH29</f>
        <v>0</v>
      </c>
      <c r="AI29" s="105">
        <f>'Hillpointe Detail'!AI29+'Sandhill Detail'!AI29</f>
        <v>0</v>
      </c>
      <c r="AJ29" s="105">
        <f>'Hillpointe Detail'!AJ29+'Sandhill Detail'!AJ29</f>
        <v>0</v>
      </c>
      <c r="AK29" s="105">
        <f>'Hillpointe Detail'!AK29+'Sandhill Detail'!AK29</f>
        <v>0</v>
      </c>
      <c r="AL29" s="105">
        <f>'Hillpointe Detail'!AL29+'Sandhill Detail'!AL29</f>
        <v>513</v>
      </c>
      <c r="AM29" s="105">
        <f>'Hillpointe Detail'!AM29+'Sandhill Detail'!AM29</f>
        <v>0</v>
      </c>
      <c r="AN29" s="105">
        <f>'Hillpointe Detail'!AN29+'Sandhill Detail'!AN29</f>
        <v>0</v>
      </c>
      <c r="AO29" s="105">
        <f>'Hillpointe Detail'!AO29+'Sandhill Detail'!AO29</f>
        <v>0</v>
      </c>
      <c r="AP29" s="105">
        <f>'Hillpointe Detail'!AP29+'Sandhill Detail'!AP29</f>
        <v>0</v>
      </c>
      <c r="AQ29" s="105">
        <f>'Hillpointe Detail'!AQ29+'Sandhill Detail'!AQ29</f>
        <v>0</v>
      </c>
      <c r="AR29" s="105">
        <f>'Hillpointe Detail'!AR29+'Sandhill Detail'!AR29</f>
        <v>0</v>
      </c>
      <c r="AS29" s="105">
        <f>'Hillpointe Detail'!AS29+'Sandhill Detail'!AS29</f>
        <v>0</v>
      </c>
      <c r="AT29" s="105">
        <f>'Hillpointe Detail'!AT29+'Sandhill Detail'!AT29</f>
        <v>0</v>
      </c>
      <c r="AU29" s="105">
        <f>'Hillpointe Detail'!AU29+'Sandhill Detail'!AU29</f>
        <v>0</v>
      </c>
      <c r="AV29" s="105">
        <f>'Hillpointe Detail'!AV29+'Sandhill Detail'!AV29</f>
        <v>0</v>
      </c>
      <c r="AW29" s="105">
        <f>'Hillpointe Detail'!AW29+'Sandhill Detail'!AW29</f>
        <v>0</v>
      </c>
      <c r="AX29" s="105">
        <f>'Hillpointe Detail'!AX29+'Sandhill Detail'!AX29</f>
        <v>513</v>
      </c>
      <c r="AY29" s="105">
        <f>'Hillpointe Detail'!AY29+'Sandhill Detail'!AY29</f>
        <v>0</v>
      </c>
      <c r="AZ29" s="105">
        <f>'Hillpointe Detail'!AZ29+'Sandhill Detail'!AZ29</f>
        <v>0</v>
      </c>
      <c r="BA29" s="105">
        <f>'Hillpointe Detail'!BA29+'Sandhill Detail'!BA29</f>
        <v>0</v>
      </c>
      <c r="BB29" s="105">
        <f>'Hillpointe Detail'!BB29+'Sandhill Detail'!BB29</f>
        <v>0</v>
      </c>
      <c r="BC29" s="105">
        <f>'Hillpointe Detail'!BC29+'Sandhill Detail'!BC29</f>
        <v>0</v>
      </c>
      <c r="BD29" s="105">
        <f>'Hillpointe Detail'!BD29+'Sandhill Detail'!BD29</f>
        <v>0</v>
      </c>
      <c r="BE29" s="105">
        <f>'Hillpointe Detail'!BE29+'Sandhill Detail'!BE29</f>
        <v>0</v>
      </c>
      <c r="BF29" s="105">
        <f>'Hillpointe Detail'!BF29+'Sandhill Detail'!BF29</f>
        <v>0</v>
      </c>
      <c r="BG29" s="105">
        <f>'Hillpointe Detail'!BG29+'Sandhill Detail'!BG29</f>
        <v>0</v>
      </c>
      <c r="BH29" s="105">
        <f>'Hillpointe Detail'!BH29+'Sandhill Detail'!BH29</f>
        <v>0</v>
      </c>
      <c r="BI29" s="105">
        <f>'Hillpointe Detail'!BI29+'Sandhill Detail'!BI29</f>
        <v>0</v>
      </c>
      <c r="BJ29" s="105">
        <f>'Hillpointe Detail'!BJ29+'Sandhill Detail'!BJ29</f>
        <v>513</v>
      </c>
      <c r="BK29" s="105">
        <f>'Hillpointe Detail'!BK29+'Sandhill Detail'!BK29</f>
        <v>0</v>
      </c>
      <c r="BL29" s="105">
        <f>'Hillpointe Detail'!BL29+'Sandhill Detail'!BL29</f>
        <v>0</v>
      </c>
      <c r="BM29" s="105">
        <f>'Hillpointe Detail'!BM29+'Sandhill Detail'!BM29</f>
        <v>0</v>
      </c>
      <c r="BN29" s="105">
        <f>'Hillpointe Detail'!BN29+'Sandhill Detail'!BN29</f>
        <v>0</v>
      </c>
      <c r="BO29" s="105">
        <f>'Hillpointe Detail'!BO29+'Sandhill Detail'!BO29</f>
        <v>0</v>
      </c>
      <c r="BP29" s="105">
        <f>'Hillpointe Detail'!BP29+'Sandhill Detail'!BP29</f>
        <v>0</v>
      </c>
      <c r="BQ29" s="105">
        <f>'Hillpointe Detail'!BQ29+'Sandhill Detail'!BQ29</f>
        <v>0</v>
      </c>
      <c r="BR29" s="105">
        <f>'Hillpointe Detail'!BR29+'Sandhill Detail'!BR29</f>
        <v>0</v>
      </c>
      <c r="BS29" s="105">
        <f>'Hillpointe Detail'!BS29+'Sandhill Detail'!BS29</f>
        <v>0</v>
      </c>
      <c r="BT29" s="105">
        <f>'Hillpointe Detail'!BT29+'Sandhill Detail'!BT29</f>
        <v>0</v>
      </c>
      <c r="BU29" s="105">
        <f>'Hillpointe Detail'!BU29+'Sandhill Detail'!BU29</f>
        <v>0</v>
      </c>
      <c r="BV29" s="105">
        <f>'Hillpointe Detail'!BV29+'Sandhill Detail'!BV29</f>
        <v>513</v>
      </c>
      <c r="BW29" s="105">
        <f>'Hillpointe Detail'!BW29+'Sandhill Detail'!BW29</f>
        <v>0</v>
      </c>
      <c r="BX29" s="105">
        <f>'Hillpointe Detail'!BX29+'Sandhill Detail'!BX29</f>
        <v>0</v>
      </c>
      <c r="BY29" s="8"/>
      <c r="BZ29" s="105">
        <f t="shared" si="46"/>
        <v>0</v>
      </c>
      <c r="CA29" s="105">
        <f t="shared" si="47"/>
        <v>513</v>
      </c>
      <c r="CC29" s="105">
        <f t="shared" si="48"/>
        <v>0</v>
      </c>
      <c r="CD29" s="105">
        <f t="shared" si="48"/>
        <v>0</v>
      </c>
      <c r="CE29" s="105">
        <f t="shared" si="48"/>
        <v>0</v>
      </c>
      <c r="CF29" s="105">
        <f t="shared" si="48"/>
        <v>513</v>
      </c>
      <c r="CG29" s="105">
        <f t="shared" si="48"/>
        <v>513</v>
      </c>
      <c r="CH29" s="105">
        <f t="shared" si="48"/>
        <v>513</v>
      </c>
      <c r="CI29" s="105">
        <f t="shared" si="48"/>
        <v>513</v>
      </c>
      <c r="CJ29" s="105">
        <f t="shared" si="48"/>
        <v>513</v>
      </c>
      <c r="CL29" s="105"/>
      <c r="CM29" s="13"/>
    </row>
    <row r="30" spans="1:91" x14ac:dyDescent="0.3">
      <c r="A30" s="84" t="s">
        <v>322</v>
      </c>
      <c r="B30" s="10" t="s">
        <v>124</v>
      </c>
      <c r="C30" s="103">
        <v>0</v>
      </c>
      <c r="D30" s="103">
        <v>0</v>
      </c>
      <c r="E30" s="105">
        <f>'Hillpointe Detail'!E30+'Sandhill Detail'!E30</f>
        <v>0</v>
      </c>
      <c r="F30" s="105">
        <f>'Hillpointe Detail'!F30+'Sandhill Detail'!F30</f>
        <v>0</v>
      </c>
      <c r="G30" s="105">
        <f>'Hillpointe Detail'!G30+'Sandhill Detail'!G30</f>
        <v>0</v>
      </c>
      <c r="H30" s="105">
        <f>'Hillpointe Detail'!H30+'Sandhill Detail'!H30</f>
        <v>0</v>
      </c>
      <c r="I30" s="105">
        <f>'Hillpointe Detail'!I30+'Sandhill Detail'!I30</f>
        <v>0</v>
      </c>
      <c r="J30" s="105">
        <f>'Hillpointe Detail'!J30+'Sandhill Detail'!J30</f>
        <v>0</v>
      </c>
      <c r="K30" s="105">
        <f>'Hillpointe Detail'!K30+'Sandhill Detail'!K30</f>
        <v>0</v>
      </c>
      <c r="L30" s="105">
        <f>'Hillpointe Detail'!L30+'Sandhill Detail'!L30</f>
        <v>0</v>
      </c>
      <c r="M30" s="105">
        <f>'Hillpointe Detail'!M30+'Sandhill Detail'!M30</f>
        <v>215</v>
      </c>
      <c r="N30" s="105">
        <f>'Hillpointe Detail'!N30+'Sandhill Detail'!N30</f>
        <v>0</v>
      </c>
      <c r="O30" s="105">
        <f>'Hillpointe Detail'!O30+'Sandhill Detail'!O30</f>
        <v>0</v>
      </c>
      <c r="P30" s="105">
        <f>'Hillpointe Detail'!P30+'Sandhill Detail'!P30</f>
        <v>0</v>
      </c>
      <c r="Q30" s="105">
        <f>'Hillpointe Detail'!Q30+'Sandhill Detail'!Q30</f>
        <v>0</v>
      </c>
      <c r="R30" s="105">
        <f>'Hillpointe Detail'!R30+'Sandhill Detail'!R30</f>
        <v>0</v>
      </c>
      <c r="S30" s="105">
        <f>'Hillpointe Detail'!S30+'Sandhill Detail'!S30</f>
        <v>0</v>
      </c>
      <c r="T30" s="105">
        <f>'Hillpointe Detail'!T30+'Sandhill Detail'!T30</f>
        <v>1705</v>
      </c>
      <c r="U30" s="105">
        <f>'Hillpointe Detail'!U30+'Sandhill Detail'!U30</f>
        <v>435.25</v>
      </c>
      <c r="V30" s="105">
        <f>'Hillpointe Detail'!V30+'Sandhill Detail'!V30</f>
        <v>0</v>
      </c>
      <c r="W30" s="105">
        <f>'Hillpointe Detail'!W30+'Sandhill Detail'!W30</f>
        <v>520</v>
      </c>
      <c r="X30" s="105">
        <f>'Hillpointe Detail'!X30+'Sandhill Detail'!X30</f>
        <v>300</v>
      </c>
      <c r="Y30" s="105">
        <f>'Hillpointe Detail'!Y30+'Sandhill Detail'!Y30</f>
        <v>1291</v>
      </c>
      <c r="Z30" s="105">
        <f>'Hillpointe Detail'!Z30+'Sandhill Detail'!Z30</f>
        <v>231.5</v>
      </c>
      <c r="AA30" s="105">
        <f>'Hillpointe Detail'!AA30+'Sandhill Detail'!AA30</f>
        <v>168</v>
      </c>
      <c r="AB30" s="105">
        <f>'Hillpointe Detail'!AB30+'Sandhill Detail'!AB30</f>
        <v>0</v>
      </c>
      <c r="AC30" s="105">
        <f>'Hillpointe Detail'!AC30+'Sandhill Detail'!AC30</f>
        <v>0</v>
      </c>
      <c r="AD30" s="105">
        <f>'Hillpointe Detail'!AD30+'Sandhill Detail'!AD30</f>
        <v>0</v>
      </c>
      <c r="AE30" s="105">
        <f>'Hillpointe Detail'!AE30+'Sandhill Detail'!AE30</f>
        <v>0</v>
      </c>
      <c r="AF30" s="105">
        <f>'Hillpointe Detail'!AF30+'Sandhill Detail'!AF30</f>
        <v>1705</v>
      </c>
      <c r="AG30" s="105">
        <f>'Hillpointe Detail'!AG30+'Sandhill Detail'!AG30</f>
        <v>435.25</v>
      </c>
      <c r="AH30" s="105">
        <f>'Hillpointe Detail'!AH30+'Sandhill Detail'!AH30</f>
        <v>0</v>
      </c>
      <c r="AI30" s="105">
        <f>'Hillpointe Detail'!AI30+'Sandhill Detail'!AI30</f>
        <v>520</v>
      </c>
      <c r="AJ30" s="105">
        <f>'Hillpointe Detail'!AJ30+'Sandhill Detail'!AJ30</f>
        <v>300</v>
      </c>
      <c r="AK30" s="105">
        <f>'Hillpointe Detail'!AK30+'Sandhill Detail'!AK30</f>
        <v>1291</v>
      </c>
      <c r="AL30" s="105">
        <f>'Hillpointe Detail'!AL30+'Sandhill Detail'!AL30</f>
        <v>231.5</v>
      </c>
      <c r="AM30" s="105">
        <f>'Hillpointe Detail'!AM30+'Sandhill Detail'!AM30</f>
        <v>168</v>
      </c>
      <c r="AN30" s="105">
        <f>'Hillpointe Detail'!AN30+'Sandhill Detail'!AN30</f>
        <v>0</v>
      </c>
      <c r="AO30" s="105">
        <f>'Hillpointe Detail'!AO30+'Sandhill Detail'!AO30</f>
        <v>0</v>
      </c>
      <c r="AP30" s="105">
        <f>'Hillpointe Detail'!AP30+'Sandhill Detail'!AP30</f>
        <v>0</v>
      </c>
      <c r="AQ30" s="105">
        <f>'Hillpointe Detail'!AQ30+'Sandhill Detail'!AQ30</f>
        <v>0</v>
      </c>
      <c r="AR30" s="105">
        <f>'Hillpointe Detail'!AR30+'Sandhill Detail'!AR30</f>
        <v>1705</v>
      </c>
      <c r="AS30" s="105">
        <f>'Hillpointe Detail'!AS30+'Sandhill Detail'!AS30</f>
        <v>435.25</v>
      </c>
      <c r="AT30" s="105">
        <f>'Hillpointe Detail'!AT30+'Sandhill Detail'!AT30</f>
        <v>0</v>
      </c>
      <c r="AU30" s="105">
        <f>'Hillpointe Detail'!AU30+'Sandhill Detail'!AU30</f>
        <v>520</v>
      </c>
      <c r="AV30" s="105">
        <f>'Hillpointe Detail'!AV30+'Sandhill Detail'!AV30</f>
        <v>300</v>
      </c>
      <c r="AW30" s="105">
        <f>'Hillpointe Detail'!AW30+'Sandhill Detail'!AW30</f>
        <v>1291</v>
      </c>
      <c r="AX30" s="105">
        <f>'Hillpointe Detail'!AX30+'Sandhill Detail'!AX30</f>
        <v>231.5</v>
      </c>
      <c r="AY30" s="105">
        <f>'Hillpointe Detail'!AY30+'Sandhill Detail'!AY30</f>
        <v>168</v>
      </c>
      <c r="AZ30" s="105">
        <f>'Hillpointe Detail'!AZ30+'Sandhill Detail'!AZ30</f>
        <v>0</v>
      </c>
      <c r="BA30" s="105">
        <f>'Hillpointe Detail'!BA30+'Sandhill Detail'!BA30</f>
        <v>0</v>
      </c>
      <c r="BB30" s="105">
        <f>'Hillpointe Detail'!BB30+'Sandhill Detail'!BB30</f>
        <v>0</v>
      </c>
      <c r="BC30" s="105">
        <f>'Hillpointe Detail'!BC30+'Sandhill Detail'!BC30</f>
        <v>0</v>
      </c>
      <c r="BD30" s="105">
        <f>'Hillpointe Detail'!BD30+'Sandhill Detail'!BD30</f>
        <v>1705</v>
      </c>
      <c r="BE30" s="105">
        <f>'Hillpointe Detail'!BE30+'Sandhill Detail'!BE30</f>
        <v>435.25</v>
      </c>
      <c r="BF30" s="105">
        <f>'Hillpointe Detail'!BF30+'Sandhill Detail'!BF30</f>
        <v>0</v>
      </c>
      <c r="BG30" s="105">
        <f>'Hillpointe Detail'!BG30+'Sandhill Detail'!BG30</f>
        <v>520</v>
      </c>
      <c r="BH30" s="105">
        <f>'Hillpointe Detail'!BH30+'Sandhill Detail'!BH30</f>
        <v>300</v>
      </c>
      <c r="BI30" s="105">
        <f>'Hillpointe Detail'!BI30+'Sandhill Detail'!BI30</f>
        <v>1291</v>
      </c>
      <c r="BJ30" s="105">
        <f>'Hillpointe Detail'!BJ30+'Sandhill Detail'!BJ30</f>
        <v>231.5</v>
      </c>
      <c r="BK30" s="105">
        <f>'Hillpointe Detail'!BK30+'Sandhill Detail'!BK30</f>
        <v>168</v>
      </c>
      <c r="BL30" s="105">
        <f>'Hillpointe Detail'!BL30+'Sandhill Detail'!BL30</f>
        <v>0</v>
      </c>
      <c r="BM30" s="105">
        <f>'Hillpointe Detail'!BM30+'Sandhill Detail'!BM30</f>
        <v>0</v>
      </c>
      <c r="BN30" s="105">
        <f>'Hillpointe Detail'!BN30+'Sandhill Detail'!BN30</f>
        <v>0</v>
      </c>
      <c r="BO30" s="105">
        <f>'Hillpointe Detail'!BO30+'Sandhill Detail'!BO30</f>
        <v>0</v>
      </c>
      <c r="BP30" s="105">
        <f>'Hillpointe Detail'!BP30+'Sandhill Detail'!BP30</f>
        <v>1705</v>
      </c>
      <c r="BQ30" s="105">
        <f>'Hillpointe Detail'!BQ30+'Sandhill Detail'!BQ30</f>
        <v>435.25</v>
      </c>
      <c r="BR30" s="105">
        <f>'Hillpointe Detail'!BR30+'Sandhill Detail'!BR30</f>
        <v>0</v>
      </c>
      <c r="BS30" s="105">
        <f>'Hillpointe Detail'!BS30+'Sandhill Detail'!BS30</f>
        <v>520</v>
      </c>
      <c r="BT30" s="105">
        <f>'Hillpointe Detail'!BT30+'Sandhill Detail'!BT30</f>
        <v>300</v>
      </c>
      <c r="BU30" s="105">
        <f>'Hillpointe Detail'!BU30+'Sandhill Detail'!BU30</f>
        <v>1291</v>
      </c>
      <c r="BV30" s="105">
        <f>'Hillpointe Detail'!BV30+'Sandhill Detail'!BV30</f>
        <v>231.5</v>
      </c>
      <c r="BW30" s="105">
        <f>'Hillpointe Detail'!BW30+'Sandhill Detail'!BW30</f>
        <v>168</v>
      </c>
      <c r="BX30" s="105">
        <f>'Hillpointe Detail'!BX30+'Sandhill Detail'!BX30</f>
        <v>0</v>
      </c>
      <c r="BY30" s="8"/>
      <c r="BZ30" s="105">
        <f t="shared" si="46"/>
        <v>168</v>
      </c>
      <c r="CA30" s="105">
        <f t="shared" si="47"/>
        <v>4650.75</v>
      </c>
      <c r="CC30" s="105">
        <f t="shared" si="48"/>
        <v>0</v>
      </c>
      <c r="CD30" s="105">
        <f t="shared" si="48"/>
        <v>0</v>
      </c>
      <c r="CE30" s="105">
        <f t="shared" si="48"/>
        <v>215</v>
      </c>
      <c r="CF30" s="105">
        <f t="shared" si="48"/>
        <v>4650.75</v>
      </c>
      <c r="CG30" s="105">
        <f t="shared" si="48"/>
        <v>4650.75</v>
      </c>
      <c r="CH30" s="105">
        <f t="shared" si="48"/>
        <v>4650.75</v>
      </c>
      <c r="CI30" s="105">
        <f t="shared" si="48"/>
        <v>4650.75</v>
      </c>
      <c r="CJ30" s="105">
        <f t="shared" si="48"/>
        <v>4650.75</v>
      </c>
      <c r="CL30" s="105"/>
      <c r="CM30" s="13"/>
    </row>
    <row r="31" spans="1:91" x14ac:dyDescent="0.3">
      <c r="A31" s="84" t="s">
        <v>4</v>
      </c>
      <c r="B31" s="10" t="s">
        <v>124</v>
      </c>
      <c r="C31" s="140">
        <v>5902.33</v>
      </c>
      <c r="D31" s="140">
        <v>7692.7800000000007</v>
      </c>
      <c r="E31" s="141">
        <f>'Hillpointe Detail'!E31+'Sandhill Detail'!E31</f>
        <v>0</v>
      </c>
      <c r="F31" s="141">
        <f>'Hillpointe Detail'!F31+'Sandhill Detail'!F31</f>
        <v>234.01000000000002</v>
      </c>
      <c r="G31" s="141">
        <f>'Hillpointe Detail'!G31+'Sandhill Detail'!G31</f>
        <v>435</v>
      </c>
      <c r="H31" s="141">
        <f>'Hillpointe Detail'!H31+'Sandhill Detail'!H31</f>
        <v>30</v>
      </c>
      <c r="I31" s="141">
        <f>'Hillpointe Detail'!I31+'Sandhill Detail'!I31</f>
        <v>28</v>
      </c>
      <c r="J31" s="141">
        <f>'Hillpointe Detail'!J31+'Sandhill Detail'!J31</f>
        <v>23</v>
      </c>
      <c r="K31" s="141">
        <f>'Hillpointe Detail'!K31+'Sandhill Detail'!K31</f>
        <v>24</v>
      </c>
      <c r="L31" s="141">
        <f>'Hillpointe Detail'!L31+'Sandhill Detail'!L31</f>
        <v>67</v>
      </c>
      <c r="M31" s="141">
        <f>'Hillpointe Detail'!M31+'Sandhill Detail'!M31</f>
        <v>76</v>
      </c>
      <c r="N31" s="141">
        <f>'Hillpointe Detail'!N31+'Sandhill Detail'!N31</f>
        <v>8</v>
      </c>
      <c r="O31" s="141">
        <f>'Hillpointe Detail'!O31+'Sandhill Detail'!O31</f>
        <v>16</v>
      </c>
      <c r="P31" s="141">
        <f>'Hillpointe Detail'!P31+'Sandhill Detail'!P31</f>
        <v>380.5</v>
      </c>
      <c r="Q31" s="141">
        <f>'Hillpointe Detail'!Q31+'Sandhill Detail'!Q31</f>
        <v>0</v>
      </c>
      <c r="R31" s="141">
        <f>'Hillpointe Detail'!R31+'Sandhill Detail'!R31</f>
        <v>0</v>
      </c>
      <c r="S31" s="141">
        <f>'Hillpointe Detail'!S31+'Sandhill Detail'!S31</f>
        <v>0</v>
      </c>
      <c r="T31" s="141">
        <f>'Hillpointe Detail'!T31+'Sandhill Detail'!T31</f>
        <v>0</v>
      </c>
      <c r="U31" s="141">
        <f>'Hillpointe Detail'!U31+'Sandhill Detail'!U31</f>
        <v>0</v>
      </c>
      <c r="V31" s="141">
        <f>'Hillpointe Detail'!V31+'Sandhill Detail'!V31</f>
        <v>0</v>
      </c>
      <c r="W31" s="141">
        <f>'Hillpointe Detail'!W31+'Sandhill Detail'!W31</f>
        <v>36</v>
      </c>
      <c r="X31" s="141">
        <f>'Hillpointe Detail'!X31+'Sandhill Detail'!X31</f>
        <v>150</v>
      </c>
      <c r="Y31" s="141">
        <f>'Hillpointe Detail'!Y31+'Sandhill Detail'!Y31</f>
        <v>18.25</v>
      </c>
      <c r="Z31" s="141">
        <f>'Hillpointe Detail'!Z31+'Sandhill Detail'!Z31</f>
        <v>0</v>
      </c>
      <c r="AA31" s="141">
        <f>'Hillpointe Detail'!AA31+'Sandhill Detail'!AA31</f>
        <v>0</v>
      </c>
      <c r="AB31" s="141">
        <f>'Hillpointe Detail'!AB31+'Sandhill Detail'!AB31</f>
        <v>380.5</v>
      </c>
      <c r="AC31" s="141">
        <f>'Hillpointe Detail'!AC31+'Sandhill Detail'!AC31</f>
        <v>0</v>
      </c>
      <c r="AD31" s="141">
        <f>'Hillpointe Detail'!AD31+'Sandhill Detail'!AD31</f>
        <v>0</v>
      </c>
      <c r="AE31" s="141">
        <f>'Hillpointe Detail'!AE31+'Sandhill Detail'!AE31</f>
        <v>0</v>
      </c>
      <c r="AF31" s="141">
        <f>'Hillpointe Detail'!AF31+'Sandhill Detail'!AF31</f>
        <v>0</v>
      </c>
      <c r="AG31" s="141">
        <f>'Hillpointe Detail'!AG31+'Sandhill Detail'!AG31</f>
        <v>0</v>
      </c>
      <c r="AH31" s="141">
        <f>'Hillpointe Detail'!AH31+'Sandhill Detail'!AH31</f>
        <v>0</v>
      </c>
      <c r="AI31" s="141">
        <f>'Hillpointe Detail'!AI31+'Sandhill Detail'!AI31</f>
        <v>36</v>
      </c>
      <c r="AJ31" s="141">
        <f>'Hillpointe Detail'!AJ31+'Sandhill Detail'!AJ31</f>
        <v>150</v>
      </c>
      <c r="AK31" s="141">
        <f>'Hillpointe Detail'!AK31+'Sandhill Detail'!AK31</f>
        <v>18.25</v>
      </c>
      <c r="AL31" s="141">
        <f>'Hillpointe Detail'!AL31+'Sandhill Detail'!AL31</f>
        <v>0</v>
      </c>
      <c r="AM31" s="141">
        <f>'Hillpointe Detail'!AM31+'Sandhill Detail'!AM31</f>
        <v>0</v>
      </c>
      <c r="AN31" s="141">
        <f>'Hillpointe Detail'!AN31+'Sandhill Detail'!AN31</f>
        <v>380.5</v>
      </c>
      <c r="AO31" s="141">
        <f>'Hillpointe Detail'!AO31+'Sandhill Detail'!AO31</f>
        <v>0</v>
      </c>
      <c r="AP31" s="141">
        <f>'Hillpointe Detail'!AP31+'Sandhill Detail'!AP31</f>
        <v>0</v>
      </c>
      <c r="AQ31" s="141">
        <f>'Hillpointe Detail'!AQ31+'Sandhill Detail'!AQ31</f>
        <v>0</v>
      </c>
      <c r="AR31" s="141">
        <f>'Hillpointe Detail'!AR31+'Sandhill Detail'!AR31</f>
        <v>0</v>
      </c>
      <c r="AS31" s="141">
        <f>'Hillpointe Detail'!AS31+'Sandhill Detail'!AS31</f>
        <v>0</v>
      </c>
      <c r="AT31" s="141">
        <f>'Hillpointe Detail'!AT31+'Sandhill Detail'!AT31</f>
        <v>0</v>
      </c>
      <c r="AU31" s="141">
        <f>'Hillpointe Detail'!AU31+'Sandhill Detail'!AU31</f>
        <v>36</v>
      </c>
      <c r="AV31" s="141">
        <f>'Hillpointe Detail'!AV31+'Sandhill Detail'!AV31</f>
        <v>150</v>
      </c>
      <c r="AW31" s="141">
        <f>'Hillpointe Detail'!AW31+'Sandhill Detail'!AW31</f>
        <v>18.25</v>
      </c>
      <c r="AX31" s="141">
        <f>'Hillpointe Detail'!AX31+'Sandhill Detail'!AX31</f>
        <v>0</v>
      </c>
      <c r="AY31" s="141">
        <f>'Hillpointe Detail'!AY31+'Sandhill Detail'!AY31</f>
        <v>0</v>
      </c>
      <c r="AZ31" s="141">
        <f>'Hillpointe Detail'!AZ31+'Sandhill Detail'!AZ31</f>
        <v>380.5</v>
      </c>
      <c r="BA31" s="141">
        <f>'Hillpointe Detail'!BA31+'Sandhill Detail'!BA31</f>
        <v>0</v>
      </c>
      <c r="BB31" s="141">
        <f>'Hillpointe Detail'!BB31+'Sandhill Detail'!BB31</f>
        <v>0</v>
      </c>
      <c r="BC31" s="141">
        <f>'Hillpointe Detail'!BC31+'Sandhill Detail'!BC31</f>
        <v>0</v>
      </c>
      <c r="BD31" s="141">
        <f>'Hillpointe Detail'!BD31+'Sandhill Detail'!BD31</f>
        <v>0</v>
      </c>
      <c r="BE31" s="141">
        <f>'Hillpointe Detail'!BE31+'Sandhill Detail'!BE31</f>
        <v>0</v>
      </c>
      <c r="BF31" s="141">
        <f>'Hillpointe Detail'!BF31+'Sandhill Detail'!BF31</f>
        <v>0</v>
      </c>
      <c r="BG31" s="141">
        <f>'Hillpointe Detail'!BG31+'Sandhill Detail'!BG31</f>
        <v>36</v>
      </c>
      <c r="BH31" s="141">
        <f>'Hillpointe Detail'!BH31+'Sandhill Detail'!BH31</f>
        <v>150</v>
      </c>
      <c r="BI31" s="141">
        <f>'Hillpointe Detail'!BI31+'Sandhill Detail'!BI31</f>
        <v>18.25</v>
      </c>
      <c r="BJ31" s="141">
        <f>'Hillpointe Detail'!BJ31+'Sandhill Detail'!BJ31</f>
        <v>0</v>
      </c>
      <c r="BK31" s="141">
        <f>'Hillpointe Detail'!BK31+'Sandhill Detail'!BK31</f>
        <v>0</v>
      </c>
      <c r="BL31" s="141">
        <f>'Hillpointe Detail'!BL31+'Sandhill Detail'!BL31</f>
        <v>380.5</v>
      </c>
      <c r="BM31" s="141">
        <f>'Hillpointe Detail'!BM31+'Sandhill Detail'!BM31</f>
        <v>0</v>
      </c>
      <c r="BN31" s="141">
        <f>'Hillpointe Detail'!BN31+'Sandhill Detail'!BN31</f>
        <v>0</v>
      </c>
      <c r="BO31" s="141">
        <f>'Hillpointe Detail'!BO31+'Sandhill Detail'!BO31</f>
        <v>0</v>
      </c>
      <c r="BP31" s="141">
        <f>'Hillpointe Detail'!BP31+'Sandhill Detail'!BP31</f>
        <v>0</v>
      </c>
      <c r="BQ31" s="141">
        <f>'Hillpointe Detail'!BQ31+'Sandhill Detail'!BQ31</f>
        <v>0</v>
      </c>
      <c r="BR31" s="141">
        <f>'Hillpointe Detail'!BR31+'Sandhill Detail'!BR31</f>
        <v>0</v>
      </c>
      <c r="BS31" s="141">
        <f>'Hillpointe Detail'!BS31+'Sandhill Detail'!BS31</f>
        <v>36</v>
      </c>
      <c r="BT31" s="141">
        <f>'Hillpointe Detail'!BT31+'Sandhill Detail'!BT31</f>
        <v>150</v>
      </c>
      <c r="BU31" s="141">
        <f>'Hillpointe Detail'!BU31+'Sandhill Detail'!BU31</f>
        <v>18.25</v>
      </c>
      <c r="BV31" s="141">
        <f>'Hillpointe Detail'!BV31+'Sandhill Detail'!BV31</f>
        <v>0</v>
      </c>
      <c r="BW31" s="141">
        <f>'Hillpointe Detail'!BW31+'Sandhill Detail'!BW31</f>
        <v>0</v>
      </c>
      <c r="BX31" s="141">
        <f>'Hillpointe Detail'!BX31+'Sandhill Detail'!BX31</f>
        <v>380.5</v>
      </c>
      <c r="BY31" s="8"/>
      <c r="BZ31" s="141">
        <f t="shared" si="46"/>
        <v>0</v>
      </c>
      <c r="CA31" s="141">
        <f t="shared" si="47"/>
        <v>204.25</v>
      </c>
      <c r="CC31" s="141">
        <f t="shared" si="48"/>
        <v>5902.33</v>
      </c>
      <c r="CD31" s="141">
        <f t="shared" si="48"/>
        <v>7692.7800000000007</v>
      </c>
      <c r="CE31" s="141">
        <f t="shared" si="48"/>
        <v>1321.51</v>
      </c>
      <c r="CF31" s="141">
        <f t="shared" si="48"/>
        <v>584.75</v>
      </c>
      <c r="CG31" s="141">
        <f t="shared" si="48"/>
        <v>584.75</v>
      </c>
      <c r="CH31" s="141">
        <f t="shared" si="48"/>
        <v>584.75</v>
      </c>
      <c r="CI31" s="141">
        <f t="shared" si="48"/>
        <v>584.75</v>
      </c>
      <c r="CJ31" s="141">
        <f t="shared" si="48"/>
        <v>584.75</v>
      </c>
      <c r="CL31" s="105"/>
      <c r="CM31" s="13"/>
    </row>
    <row r="32" spans="1:91" x14ac:dyDescent="0.3">
      <c r="A32" s="84" t="s">
        <v>5</v>
      </c>
      <c r="B32" s="10"/>
      <c r="C32" s="103">
        <v>5902.33</v>
      </c>
      <c r="D32" s="103">
        <v>7820.7800000000007</v>
      </c>
      <c r="E32" s="105">
        <f>'Hillpointe Detail'!E32+'Sandhill Detail'!E32</f>
        <v>0</v>
      </c>
      <c r="F32" s="105">
        <f>'Hillpointe Detail'!F32+'Sandhill Detail'!F32</f>
        <v>295.01</v>
      </c>
      <c r="G32" s="105">
        <f>'Hillpointe Detail'!G32+'Sandhill Detail'!G32</f>
        <v>589.04</v>
      </c>
      <c r="H32" s="105">
        <f>'Hillpointe Detail'!H32+'Sandhill Detail'!H32</f>
        <v>50</v>
      </c>
      <c r="I32" s="105">
        <f>'Hillpointe Detail'!I32+'Sandhill Detail'!I32</f>
        <v>170</v>
      </c>
      <c r="J32" s="105">
        <f>'Hillpointe Detail'!J32+'Sandhill Detail'!J32</f>
        <v>27.4</v>
      </c>
      <c r="K32" s="105">
        <f>'Hillpointe Detail'!K32+'Sandhill Detail'!K32</f>
        <v>24</v>
      </c>
      <c r="L32" s="105">
        <f>'Hillpointe Detail'!L32+'Sandhill Detail'!L32</f>
        <v>94.000000000000057</v>
      </c>
      <c r="M32" s="105">
        <f>'Hillpointe Detail'!M32+'Sandhill Detail'!M32</f>
        <v>1009</v>
      </c>
      <c r="N32" s="105">
        <f>'Hillpointe Detail'!N32+'Sandhill Detail'!N32</f>
        <v>8</v>
      </c>
      <c r="O32" s="105">
        <f>'Hillpointe Detail'!O32+'Sandhill Detail'!O32</f>
        <v>16</v>
      </c>
      <c r="P32" s="105">
        <f>'Hillpointe Detail'!P32+'Sandhill Detail'!P32</f>
        <v>380.5</v>
      </c>
      <c r="Q32" s="105">
        <f>'Hillpointe Detail'!Q32+'Sandhill Detail'!Q32</f>
        <v>-713</v>
      </c>
      <c r="R32" s="105">
        <f>'Hillpointe Detail'!R32+'Sandhill Detail'!R32</f>
        <v>0</v>
      </c>
      <c r="S32" s="105">
        <f>'Hillpointe Detail'!S32+'Sandhill Detail'!S32</f>
        <v>967.75</v>
      </c>
      <c r="T32" s="105">
        <f>'Hillpointe Detail'!T32+'Sandhill Detail'!T32</f>
        <v>1705</v>
      </c>
      <c r="U32" s="105">
        <f>'Hillpointe Detail'!U32+'Sandhill Detail'!U32</f>
        <v>535.25</v>
      </c>
      <c r="V32" s="105">
        <f>'Hillpointe Detail'!V32+'Sandhill Detail'!V32</f>
        <v>0</v>
      </c>
      <c r="W32" s="105">
        <f>'Hillpointe Detail'!W32+'Sandhill Detail'!W32</f>
        <v>3377.6</v>
      </c>
      <c r="X32" s="105">
        <f>'Hillpointe Detail'!X32+'Sandhill Detail'!X32</f>
        <v>1050.01</v>
      </c>
      <c r="Y32" s="105">
        <f>'Hillpointe Detail'!Y32+'Sandhill Detail'!Y32</f>
        <v>1409.88</v>
      </c>
      <c r="Z32" s="105">
        <f>'Hillpointe Detail'!Z32+'Sandhill Detail'!Z32</f>
        <v>1895.1</v>
      </c>
      <c r="AA32" s="105">
        <f>'Hillpointe Detail'!AA32+'Sandhill Detail'!AA32</f>
        <v>846.25</v>
      </c>
      <c r="AB32" s="105">
        <f>'Hillpointe Detail'!AB32+'Sandhill Detail'!AB32</f>
        <v>380.5</v>
      </c>
      <c r="AC32" s="105">
        <f>'Hillpointe Detail'!AC32+'Sandhill Detail'!AC32</f>
        <v>-713</v>
      </c>
      <c r="AD32" s="105">
        <f>'Hillpointe Detail'!AD32+'Sandhill Detail'!AD32</f>
        <v>0</v>
      </c>
      <c r="AE32" s="105">
        <f>'Hillpointe Detail'!AE32+'Sandhill Detail'!AE32</f>
        <v>967.75</v>
      </c>
      <c r="AF32" s="105">
        <f>'Hillpointe Detail'!AF32+'Sandhill Detail'!AF32</f>
        <v>1705</v>
      </c>
      <c r="AG32" s="105">
        <f>'Hillpointe Detail'!AG32+'Sandhill Detail'!AG32</f>
        <v>535.25</v>
      </c>
      <c r="AH32" s="105">
        <f>'Hillpointe Detail'!AH32+'Sandhill Detail'!AH32</f>
        <v>0</v>
      </c>
      <c r="AI32" s="105">
        <f>'Hillpointe Detail'!AI32+'Sandhill Detail'!AI32</f>
        <v>3377.6</v>
      </c>
      <c r="AJ32" s="105">
        <f>'Hillpointe Detail'!AJ32+'Sandhill Detail'!AJ32</f>
        <v>1050.01</v>
      </c>
      <c r="AK32" s="105">
        <f>'Hillpointe Detail'!AK32+'Sandhill Detail'!AK32</f>
        <v>1409.88</v>
      </c>
      <c r="AL32" s="105">
        <f>'Hillpointe Detail'!AL32+'Sandhill Detail'!AL32</f>
        <v>1895.1</v>
      </c>
      <c r="AM32" s="105">
        <f>'Hillpointe Detail'!AM32+'Sandhill Detail'!AM32</f>
        <v>846.25</v>
      </c>
      <c r="AN32" s="105">
        <f>'Hillpointe Detail'!AN32+'Sandhill Detail'!AN32</f>
        <v>380.5</v>
      </c>
      <c r="AO32" s="105">
        <f>'Hillpointe Detail'!AO32+'Sandhill Detail'!AO32</f>
        <v>-713</v>
      </c>
      <c r="AP32" s="105">
        <f>'Hillpointe Detail'!AP32+'Sandhill Detail'!AP32</f>
        <v>0</v>
      </c>
      <c r="AQ32" s="105">
        <f>'Hillpointe Detail'!AQ32+'Sandhill Detail'!AQ32</f>
        <v>967.75</v>
      </c>
      <c r="AR32" s="105">
        <f>'Hillpointe Detail'!AR32+'Sandhill Detail'!AR32</f>
        <v>1705</v>
      </c>
      <c r="AS32" s="105">
        <f>'Hillpointe Detail'!AS32+'Sandhill Detail'!AS32</f>
        <v>535.25</v>
      </c>
      <c r="AT32" s="105">
        <f>'Hillpointe Detail'!AT32+'Sandhill Detail'!AT32</f>
        <v>0</v>
      </c>
      <c r="AU32" s="105">
        <f>'Hillpointe Detail'!AU32+'Sandhill Detail'!AU32</f>
        <v>3377.6</v>
      </c>
      <c r="AV32" s="105">
        <f>'Hillpointe Detail'!AV32+'Sandhill Detail'!AV32</f>
        <v>1050.01</v>
      </c>
      <c r="AW32" s="105">
        <f>'Hillpointe Detail'!AW32+'Sandhill Detail'!AW32</f>
        <v>1409.88</v>
      </c>
      <c r="AX32" s="105">
        <f>'Hillpointe Detail'!AX32+'Sandhill Detail'!AX32</f>
        <v>1895.1</v>
      </c>
      <c r="AY32" s="105">
        <f>'Hillpointe Detail'!AY32+'Sandhill Detail'!AY32</f>
        <v>846.25</v>
      </c>
      <c r="AZ32" s="105">
        <f>'Hillpointe Detail'!AZ32+'Sandhill Detail'!AZ32</f>
        <v>380.5</v>
      </c>
      <c r="BA32" s="105">
        <f>'Hillpointe Detail'!BA32+'Sandhill Detail'!BA32</f>
        <v>-713</v>
      </c>
      <c r="BB32" s="105">
        <f>'Hillpointe Detail'!BB32+'Sandhill Detail'!BB32</f>
        <v>0</v>
      </c>
      <c r="BC32" s="105">
        <f>'Hillpointe Detail'!BC32+'Sandhill Detail'!BC32</f>
        <v>967.75</v>
      </c>
      <c r="BD32" s="105">
        <f>'Hillpointe Detail'!BD32+'Sandhill Detail'!BD32</f>
        <v>1705</v>
      </c>
      <c r="BE32" s="105">
        <f>'Hillpointe Detail'!BE32+'Sandhill Detail'!BE32</f>
        <v>535.25</v>
      </c>
      <c r="BF32" s="105">
        <f>'Hillpointe Detail'!BF32+'Sandhill Detail'!BF32</f>
        <v>0</v>
      </c>
      <c r="BG32" s="105">
        <f>'Hillpointe Detail'!BG32+'Sandhill Detail'!BG32</f>
        <v>3377.6</v>
      </c>
      <c r="BH32" s="105">
        <f>'Hillpointe Detail'!BH32+'Sandhill Detail'!BH32</f>
        <v>1050.01</v>
      </c>
      <c r="BI32" s="105">
        <f>'Hillpointe Detail'!BI32+'Sandhill Detail'!BI32</f>
        <v>1409.88</v>
      </c>
      <c r="BJ32" s="105">
        <f>'Hillpointe Detail'!BJ32+'Sandhill Detail'!BJ32</f>
        <v>1895.1</v>
      </c>
      <c r="BK32" s="105">
        <f>'Hillpointe Detail'!BK32+'Sandhill Detail'!BK32</f>
        <v>846.25</v>
      </c>
      <c r="BL32" s="105">
        <f>'Hillpointe Detail'!BL32+'Sandhill Detail'!BL32</f>
        <v>380.5</v>
      </c>
      <c r="BM32" s="105">
        <f>'Hillpointe Detail'!BM32+'Sandhill Detail'!BM32</f>
        <v>-713</v>
      </c>
      <c r="BN32" s="105">
        <f>'Hillpointe Detail'!BN32+'Sandhill Detail'!BN32</f>
        <v>0</v>
      </c>
      <c r="BO32" s="105">
        <f>'Hillpointe Detail'!BO32+'Sandhill Detail'!BO32</f>
        <v>967.75</v>
      </c>
      <c r="BP32" s="105">
        <f>'Hillpointe Detail'!BP32+'Sandhill Detail'!BP32</f>
        <v>1705</v>
      </c>
      <c r="BQ32" s="105">
        <f>'Hillpointe Detail'!BQ32+'Sandhill Detail'!BQ32</f>
        <v>535.25</v>
      </c>
      <c r="BR32" s="105">
        <f>'Hillpointe Detail'!BR32+'Sandhill Detail'!BR32</f>
        <v>0</v>
      </c>
      <c r="BS32" s="105">
        <f>'Hillpointe Detail'!BS32+'Sandhill Detail'!BS32</f>
        <v>3377.6</v>
      </c>
      <c r="BT32" s="105">
        <f>'Hillpointe Detail'!BT32+'Sandhill Detail'!BT32</f>
        <v>1050.01</v>
      </c>
      <c r="BU32" s="105">
        <f>'Hillpointe Detail'!BU32+'Sandhill Detail'!BU32</f>
        <v>1409.88</v>
      </c>
      <c r="BV32" s="105">
        <f>'Hillpointe Detail'!BV32+'Sandhill Detail'!BV32</f>
        <v>1895.1</v>
      </c>
      <c r="BW32" s="105">
        <f>'Hillpointe Detail'!BW32+'Sandhill Detail'!BW32</f>
        <v>846.25</v>
      </c>
      <c r="BX32" s="105">
        <f>'Hillpointe Detail'!BX32+'Sandhill Detail'!BX32</f>
        <v>380.5</v>
      </c>
      <c r="BY32" s="8"/>
      <c r="BZ32" s="105">
        <f t="shared" si="46"/>
        <v>846.25</v>
      </c>
      <c r="CA32" s="105">
        <f t="shared" si="47"/>
        <v>11073.840000000002</v>
      </c>
      <c r="CC32" s="105">
        <f t="shared" si="48"/>
        <v>5902.33</v>
      </c>
      <c r="CD32" s="105">
        <f t="shared" si="48"/>
        <v>7820.7800000000007</v>
      </c>
      <c r="CE32" s="105">
        <f t="shared" si="48"/>
        <v>2662.95</v>
      </c>
      <c r="CF32" s="105">
        <f t="shared" si="48"/>
        <v>11454.340000000002</v>
      </c>
      <c r="CG32" s="105">
        <f t="shared" si="48"/>
        <v>11454.340000000002</v>
      </c>
      <c r="CH32" s="105">
        <f t="shared" si="48"/>
        <v>11454.340000000002</v>
      </c>
      <c r="CI32" s="105">
        <f t="shared" si="48"/>
        <v>11454.340000000002</v>
      </c>
      <c r="CJ32" s="105">
        <f t="shared" si="48"/>
        <v>11454.340000000002</v>
      </c>
      <c r="CL32" s="105"/>
      <c r="CM32" s="13"/>
    </row>
    <row r="33" spans="1:91" x14ac:dyDescent="0.3">
      <c r="A33" s="84" t="s">
        <v>337</v>
      </c>
      <c r="B33" s="10" t="s">
        <v>124</v>
      </c>
      <c r="C33" s="103">
        <v>0</v>
      </c>
      <c r="D33" s="103">
        <v>0</v>
      </c>
      <c r="E33" s="105">
        <f>'Hillpointe Detail'!E33+'Sandhill Detail'!E33</f>
        <v>0</v>
      </c>
      <c r="F33" s="105">
        <f>'Hillpointe Detail'!F33+'Sandhill Detail'!F33</f>
        <v>0</v>
      </c>
      <c r="G33" s="105">
        <f>'Hillpointe Detail'!G33+'Sandhill Detail'!G33</f>
        <v>0</v>
      </c>
      <c r="H33" s="105">
        <f>'Hillpointe Detail'!H33+'Sandhill Detail'!H33</f>
        <v>0</v>
      </c>
      <c r="I33" s="105">
        <f>'Hillpointe Detail'!I33+'Sandhill Detail'!I33</f>
        <v>0</v>
      </c>
      <c r="J33" s="105">
        <f>'Hillpointe Detail'!J33+'Sandhill Detail'!J33</f>
        <v>0</v>
      </c>
      <c r="K33" s="105">
        <f>'Hillpointe Detail'!K33+'Sandhill Detail'!K33</f>
        <v>0</v>
      </c>
      <c r="L33" s="105">
        <f>'Hillpointe Detail'!L33+'Sandhill Detail'!L33</f>
        <v>0</v>
      </c>
      <c r="M33" s="105">
        <f>'Hillpointe Detail'!M33+'Sandhill Detail'!M33</f>
        <v>0</v>
      </c>
      <c r="N33" s="105">
        <f>'Hillpointe Detail'!N33+'Sandhill Detail'!N33</f>
        <v>0</v>
      </c>
      <c r="O33" s="105">
        <f>'Hillpointe Detail'!O33+'Sandhill Detail'!O33</f>
        <v>0</v>
      </c>
      <c r="P33" s="105">
        <f>'Hillpointe Detail'!P33+'Sandhill Detail'!P33</f>
        <v>0</v>
      </c>
      <c r="Q33" s="105">
        <f>'Hillpointe Detail'!Q33+'Sandhill Detail'!Q33</f>
        <v>0</v>
      </c>
      <c r="R33" s="105">
        <f>'Hillpointe Detail'!R33+'Sandhill Detail'!R33</f>
        <v>0</v>
      </c>
      <c r="S33" s="105">
        <f>'Hillpointe Detail'!S33+'Sandhill Detail'!S33</f>
        <v>218</v>
      </c>
      <c r="T33" s="105">
        <f>'Hillpointe Detail'!T33+'Sandhill Detail'!T33</f>
        <v>166.06</v>
      </c>
      <c r="U33" s="105">
        <f>'Hillpointe Detail'!U33+'Sandhill Detail'!U33</f>
        <v>426.85</v>
      </c>
      <c r="V33" s="105">
        <f>'Hillpointe Detail'!V33+'Sandhill Detail'!V33</f>
        <v>0</v>
      </c>
      <c r="W33" s="105">
        <f>'Hillpointe Detail'!W33+'Sandhill Detail'!W33</f>
        <v>422.5</v>
      </c>
      <c r="X33" s="105">
        <f>'Hillpointe Detail'!X33+'Sandhill Detail'!X33</f>
        <v>0</v>
      </c>
      <c r="Y33" s="105">
        <f>'Hillpointe Detail'!Y33+'Sandhill Detail'!Y33</f>
        <v>1175.94</v>
      </c>
      <c r="Z33" s="105">
        <f>'Hillpointe Detail'!Z33+'Sandhill Detail'!Z33</f>
        <v>2.4500000000000002</v>
      </c>
      <c r="AA33" s="105">
        <f>'Hillpointe Detail'!AA33+'Sandhill Detail'!AA33</f>
        <v>135</v>
      </c>
      <c r="AB33" s="105">
        <f>'Hillpointe Detail'!AB33+'Sandhill Detail'!AB33</f>
        <v>0</v>
      </c>
      <c r="AC33" s="105">
        <f>'Hillpointe Detail'!AC33+'Sandhill Detail'!AC33</f>
        <v>0</v>
      </c>
      <c r="AD33" s="105">
        <f>'Hillpointe Detail'!AD33+'Sandhill Detail'!AD33</f>
        <v>0</v>
      </c>
      <c r="AE33" s="105">
        <f>'Hillpointe Detail'!AE33+'Sandhill Detail'!AE33</f>
        <v>218</v>
      </c>
      <c r="AF33" s="105">
        <f>'Hillpointe Detail'!AF33+'Sandhill Detail'!AF33</f>
        <v>166.06</v>
      </c>
      <c r="AG33" s="105">
        <f>'Hillpointe Detail'!AG33+'Sandhill Detail'!AG33</f>
        <v>426.85</v>
      </c>
      <c r="AH33" s="105">
        <f>'Hillpointe Detail'!AH33+'Sandhill Detail'!AH33</f>
        <v>0</v>
      </c>
      <c r="AI33" s="105">
        <f>'Hillpointe Detail'!AI33+'Sandhill Detail'!AI33</f>
        <v>422.5</v>
      </c>
      <c r="AJ33" s="105">
        <f>'Hillpointe Detail'!AJ33+'Sandhill Detail'!AJ33</f>
        <v>0</v>
      </c>
      <c r="AK33" s="105">
        <f>'Hillpointe Detail'!AK33+'Sandhill Detail'!AK33</f>
        <v>1175.94</v>
      </c>
      <c r="AL33" s="105">
        <f>'Hillpointe Detail'!AL33+'Sandhill Detail'!AL33</f>
        <v>2.4500000000000002</v>
      </c>
      <c r="AM33" s="105">
        <f>'Hillpointe Detail'!AM33+'Sandhill Detail'!AM33</f>
        <v>135</v>
      </c>
      <c r="AN33" s="105">
        <f>'Hillpointe Detail'!AN33+'Sandhill Detail'!AN33</f>
        <v>0</v>
      </c>
      <c r="AO33" s="105">
        <f>'Hillpointe Detail'!AO33+'Sandhill Detail'!AO33</f>
        <v>0</v>
      </c>
      <c r="AP33" s="105">
        <f>'Hillpointe Detail'!AP33+'Sandhill Detail'!AP33</f>
        <v>0</v>
      </c>
      <c r="AQ33" s="105">
        <f>'Hillpointe Detail'!AQ33+'Sandhill Detail'!AQ33</f>
        <v>218</v>
      </c>
      <c r="AR33" s="105">
        <f>'Hillpointe Detail'!AR33+'Sandhill Detail'!AR33</f>
        <v>166.06</v>
      </c>
      <c r="AS33" s="105">
        <f>'Hillpointe Detail'!AS33+'Sandhill Detail'!AS33</f>
        <v>426.85</v>
      </c>
      <c r="AT33" s="105">
        <f>'Hillpointe Detail'!AT33+'Sandhill Detail'!AT33</f>
        <v>0</v>
      </c>
      <c r="AU33" s="105">
        <f>'Hillpointe Detail'!AU33+'Sandhill Detail'!AU33</f>
        <v>422.5</v>
      </c>
      <c r="AV33" s="105">
        <f>'Hillpointe Detail'!AV33+'Sandhill Detail'!AV33</f>
        <v>0</v>
      </c>
      <c r="AW33" s="105">
        <f>'Hillpointe Detail'!AW33+'Sandhill Detail'!AW33</f>
        <v>1175.94</v>
      </c>
      <c r="AX33" s="105">
        <f>'Hillpointe Detail'!AX33+'Sandhill Detail'!AX33</f>
        <v>2.4500000000000002</v>
      </c>
      <c r="AY33" s="105">
        <f>'Hillpointe Detail'!AY33+'Sandhill Detail'!AY33</f>
        <v>135</v>
      </c>
      <c r="AZ33" s="105">
        <f>'Hillpointe Detail'!AZ33+'Sandhill Detail'!AZ33</f>
        <v>0</v>
      </c>
      <c r="BA33" s="105">
        <f>'Hillpointe Detail'!BA33+'Sandhill Detail'!BA33</f>
        <v>0</v>
      </c>
      <c r="BB33" s="105">
        <f>'Hillpointe Detail'!BB33+'Sandhill Detail'!BB33</f>
        <v>0</v>
      </c>
      <c r="BC33" s="105">
        <f>'Hillpointe Detail'!BC33+'Sandhill Detail'!BC33</f>
        <v>218</v>
      </c>
      <c r="BD33" s="105">
        <f>'Hillpointe Detail'!BD33+'Sandhill Detail'!BD33</f>
        <v>166.06</v>
      </c>
      <c r="BE33" s="105">
        <f>'Hillpointe Detail'!BE33+'Sandhill Detail'!BE33</f>
        <v>426.85</v>
      </c>
      <c r="BF33" s="105">
        <f>'Hillpointe Detail'!BF33+'Sandhill Detail'!BF33</f>
        <v>0</v>
      </c>
      <c r="BG33" s="105">
        <f>'Hillpointe Detail'!BG33+'Sandhill Detail'!BG33</f>
        <v>422.5</v>
      </c>
      <c r="BH33" s="105">
        <f>'Hillpointe Detail'!BH33+'Sandhill Detail'!BH33</f>
        <v>0</v>
      </c>
      <c r="BI33" s="105">
        <f>'Hillpointe Detail'!BI33+'Sandhill Detail'!BI33</f>
        <v>1175.94</v>
      </c>
      <c r="BJ33" s="105">
        <f>'Hillpointe Detail'!BJ33+'Sandhill Detail'!BJ33</f>
        <v>2.4500000000000002</v>
      </c>
      <c r="BK33" s="105">
        <f>'Hillpointe Detail'!BK33+'Sandhill Detail'!BK33</f>
        <v>135</v>
      </c>
      <c r="BL33" s="105">
        <f>'Hillpointe Detail'!BL33+'Sandhill Detail'!BL33</f>
        <v>0</v>
      </c>
      <c r="BM33" s="105">
        <f>'Hillpointe Detail'!BM33+'Sandhill Detail'!BM33</f>
        <v>0</v>
      </c>
      <c r="BN33" s="105">
        <f>'Hillpointe Detail'!BN33+'Sandhill Detail'!BN33</f>
        <v>0</v>
      </c>
      <c r="BO33" s="105">
        <f>'Hillpointe Detail'!BO33+'Sandhill Detail'!BO33</f>
        <v>218</v>
      </c>
      <c r="BP33" s="105">
        <f>'Hillpointe Detail'!BP33+'Sandhill Detail'!BP33</f>
        <v>166.06</v>
      </c>
      <c r="BQ33" s="105">
        <f>'Hillpointe Detail'!BQ33+'Sandhill Detail'!BQ33</f>
        <v>426.85</v>
      </c>
      <c r="BR33" s="105">
        <f>'Hillpointe Detail'!BR33+'Sandhill Detail'!BR33</f>
        <v>0</v>
      </c>
      <c r="BS33" s="105">
        <f>'Hillpointe Detail'!BS33+'Sandhill Detail'!BS33</f>
        <v>422.5</v>
      </c>
      <c r="BT33" s="105">
        <f>'Hillpointe Detail'!BT33+'Sandhill Detail'!BT33</f>
        <v>0</v>
      </c>
      <c r="BU33" s="105">
        <f>'Hillpointe Detail'!BU33+'Sandhill Detail'!BU33</f>
        <v>1175.94</v>
      </c>
      <c r="BV33" s="105">
        <f>'Hillpointe Detail'!BV33+'Sandhill Detail'!BV33</f>
        <v>2.4500000000000002</v>
      </c>
      <c r="BW33" s="105">
        <f>'Hillpointe Detail'!BW33+'Sandhill Detail'!BW33</f>
        <v>135</v>
      </c>
      <c r="BX33" s="105">
        <f>'Hillpointe Detail'!BX33+'Sandhill Detail'!BX33</f>
        <v>0</v>
      </c>
      <c r="BY33" s="8"/>
      <c r="BZ33" s="105">
        <f t="shared" si="46"/>
        <v>135</v>
      </c>
      <c r="CA33" s="105">
        <f t="shared" si="47"/>
        <v>2546.8000000000002</v>
      </c>
      <c r="CC33" s="105">
        <f t="shared" si="48"/>
        <v>0</v>
      </c>
      <c r="CD33" s="105">
        <f t="shared" si="48"/>
        <v>0</v>
      </c>
      <c r="CE33" s="105">
        <f t="shared" si="48"/>
        <v>0</v>
      </c>
      <c r="CF33" s="105">
        <f t="shared" si="48"/>
        <v>2546.8000000000002</v>
      </c>
      <c r="CG33" s="105">
        <f t="shared" si="48"/>
        <v>2546.8000000000002</v>
      </c>
      <c r="CH33" s="105">
        <f t="shared" si="48"/>
        <v>2546.8000000000002</v>
      </c>
      <c r="CI33" s="105">
        <f t="shared" si="48"/>
        <v>2546.8000000000002</v>
      </c>
      <c r="CJ33" s="105">
        <f t="shared" si="48"/>
        <v>2546.8000000000002</v>
      </c>
      <c r="CL33" s="105"/>
      <c r="CM33" s="13"/>
    </row>
    <row r="34" spans="1:91" x14ac:dyDescent="0.3">
      <c r="A34" s="84" t="s">
        <v>348</v>
      </c>
      <c r="B34" s="10" t="s">
        <v>124</v>
      </c>
      <c r="C34" s="103">
        <v>0</v>
      </c>
      <c r="D34" s="103">
        <v>0</v>
      </c>
      <c r="E34" s="105">
        <f>'Hillpointe Detail'!E34+'Sandhill Detail'!E34</f>
        <v>0</v>
      </c>
      <c r="F34" s="105">
        <f>'Hillpointe Detail'!F34+'Sandhill Detail'!F34</f>
        <v>0</v>
      </c>
      <c r="G34" s="105">
        <f>'Hillpointe Detail'!G34+'Sandhill Detail'!G34</f>
        <v>0</v>
      </c>
      <c r="H34" s="105">
        <f>'Hillpointe Detail'!H34+'Sandhill Detail'!H34</f>
        <v>0</v>
      </c>
      <c r="I34" s="105">
        <f>'Hillpointe Detail'!I34+'Sandhill Detail'!I34</f>
        <v>0</v>
      </c>
      <c r="J34" s="105">
        <f>'Hillpointe Detail'!J34+'Sandhill Detail'!J34</f>
        <v>0</v>
      </c>
      <c r="K34" s="105">
        <f>'Hillpointe Detail'!K34+'Sandhill Detail'!K34</f>
        <v>0</v>
      </c>
      <c r="L34" s="105">
        <f>'Hillpointe Detail'!L34+'Sandhill Detail'!L34</f>
        <v>0</v>
      </c>
      <c r="M34" s="105">
        <f>'Hillpointe Detail'!M34+'Sandhill Detail'!M34</f>
        <v>0</v>
      </c>
      <c r="N34" s="105">
        <f>'Hillpointe Detail'!N34+'Sandhill Detail'!N34</f>
        <v>0</v>
      </c>
      <c r="O34" s="105">
        <f>'Hillpointe Detail'!O34+'Sandhill Detail'!O34</f>
        <v>0</v>
      </c>
      <c r="P34" s="105">
        <f>'Hillpointe Detail'!P34+'Sandhill Detail'!P34</f>
        <v>0</v>
      </c>
      <c r="Q34" s="105">
        <f>'Hillpointe Detail'!Q34+'Sandhill Detail'!Q34</f>
        <v>0</v>
      </c>
      <c r="R34" s="105">
        <f>'Hillpointe Detail'!R34+'Sandhill Detail'!R34</f>
        <v>0</v>
      </c>
      <c r="S34" s="105">
        <f>'Hillpointe Detail'!S34+'Sandhill Detail'!S34</f>
        <v>0</v>
      </c>
      <c r="T34" s="105">
        <f>'Hillpointe Detail'!T34+'Sandhill Detail'!T34</f>
        <v>1297.5</v>
      </c>
      <c r="U34" s="105">
        <f>'Hillpointe Detail'!U34+'Sandhill Detail'!U34</f>
        <v>0</v>
      </c>
      <c r="V34" s="105">
        <f>'Hillpointe Detail'!V34+'Sandhill Detail'!V34</f>
        <v>0</v>
      </c>
      <c r="W34" s="105">
        <f>'Hillpointe Detail'!W34+'Sandhill Detail'!W34</f>
        <v>0</v>
      </c>
      <c r="X34" s="105">
        <f>'Hillpointe Detail'!X34+'Sandhill Detail'!X34</f>
        <v>0</v>
      </c>
      <c r="Y34" s="105">
        <f>'Hillpointe Detail'!Y34+'Sandhill Detail'!Y34</f>
        <v>0</v>
      </c>
      <c r="Z34" s="105">
        <f>'Hillpointe Detail'!Z34+'Sandhill Detail'!Z34</f>
        <v>0</v>
      </c>
      <c r="AA34" s="105">
        <f>'Hillpointe Detail'!AA34+'Sandhill Detail'!AA34</f>
        <v>0</v>
      </c>
      <c r="AB34" s="105">
        <f>'Hillpointe Detail'!AB34+'Sandhill Detail'!AB34</f>
        <v>0</v>
      </c>
      <c r="AC34" s="105">
        <f>'Hillpointe Detail'!AC34+'Sandhill Detail'!AC34</f>
        <v>0</v>
      </c>
      <c r="AD34" s="105">
        <f>'Hillpointe Detail'!AD34+'Sandhill Detail'!AD34</f>
        <v>0</v>
      </c>
      <c r="AE34" s="105">
        <f>'Hillpointe Detail'!AE34+'Sandhill Detail'!AE34</f>
        <v>0</v>
      </c>
      <c r="AF34" s="105">
        <f>'Hillpointe Detail'!AF34+'Sandhill Detail'!AF34</f>
        <v>1297.5</v>
      </c>
      <c r="AG34" s="105">
        <f>'Hillpointe Detail'!AG34+'Sandhill Detail'!AG34</f>
        <v>0</v>
      </c>
      <c r="AH34" s="105">
        <f>'Hillpointe Detail'!AH34+'Sandhill Detail'!AH34</f>
        <v>0</v>
      </c>
      <c r="AI34" s="105">
        <f>'Hillpointe Detail'!AI34+'Sandhill Detail'!AI34</f>
        <v>0</v>
      </c>
      <c r="AJ34" s="105">
        <f>'Hillpointe Detail'!AJ34+'Sandhill Detail'!AJ34</f>
        <v>0</v>
      </c>
      <c r="AK34" s="105">
        <f>'Hillpointe Detail'!AK34+'Sandhill Detail'!AK34</f>
        <v>0</v>
      </c>
      <c r="AL34" s="105">
        <f>'Hillpointe Detail'!AL34+'Sandhill Detail'!AL34</f>
        <v>0</v>
      </c>
      <c r="AM34" s="105">
        <f>'Hillpointe Detail'!AM34+'Sandhill Detail'!AM34</f>
        <v>0</v>
      </c>
      <c r="AN34" s="105">
        <f>'Hillpointe Detail'!AN34+'Sandhill Detail'!AN34</f>
        <v>0</v>
      </c>
      <c r="AO34" s="105">
        <f>'Hillpointe Detail'!AO34+'Sandhill Detail'!AO34</f>
        <v>0</v>
      </c>
      <c r="AP34" s="105">
        <f>'Hillpointe Detail'!AP34+'Sandhill Detail'!AP34</f>
        <v>0</v>
      </c>
      <c r="AQ34" s="105">
        <f>'Hillpointe Detail'!AQ34+'Sandhill Detail'!AQ34</f>
        <v>0</v>
      </c>
      <c r="AR34" s="105">
        <f>'Hillpointe Detail'!AR34+'Sandhill Detail'!AR34</f>
        <v>1297.5</v>
      </c>
      <c r="AS34" s="105">
        <f>'Hillpointe Detail'!AS34+'Sandhill Detail'!AS34</f>
        <v>0</v>
      </c>
      <c r="AT34" s="105">
        <f>'Hillpointe Detail'!AT34+'Sandhill Detail'!AT34</f>
        <v>0</v>
      </c>
      <c r="AU34" s="105">
        <f>'Hillpointe Detail'!AU34+'Sandhill Detail'!AU34</f>
        <v>0</v>
      </c>
      <c r="AV34" s="105">
        <f>'Hillpointe Detail'!AV34+'Sandhill Detail'!AV34</f>
        <v>0</v>
      </c>
      <c r="AW34" s="105">
        <f>'Hillpointe Detail'!AW34+'Sandhill Detail'!AW34</f>
        <v>0</v>
      </c>
      <c r="AX34" s="105">
        <f>'Hillpointe Detail'!AX34+'Sandhill Detail'!AX34</f>
        <v>0</v>
      </c>
      <c r="AY34" s="105">
        <f>'Hillpointe Detail'!AY34+'Sandhill Detail'!AY34</f>
        <v>0</v>
      </c>
      <c r="AZ34" s="105">
        <f>'Hillpointe Detail'!AZ34+'Sandhill Detail'!AZ34</f>
        <v>0</v>
      </c>
      <c r="BA34" s="105">
        <f>'Hillpointe Detail'!BA34+'Sandhill Detail'!BA34</f>
        <v>0</v>
      </c>
      <c r="BB34" s="105">
        <f>'Hillpointe Detail'!BB34+'Sandhill Detail'!BB34</f>
        <v>0</v>
      </c>
      <c r="BC34" s="105">
        <f>'Hillpointe Detail'!BC34+'Sandhill Detail'!BC34</f>
        <v>0</v>
      </c>
      <c r="BD34" s="105">
        <f>'Hillpointe Detail'!BD34+'Sandhill Detail'!BD34</f>
        <v>1297.5</v>
      </c>
      <c r="BE34" s="105">
        <f>'Hillpointe Detail'!BE34+'Sandhill Detail'!BE34</f>
        <v>0</v>
      </c>
      <c r="BF34" s="105">
        <f>'Hillpointe Detail'!BF34+'Sandhill Detail'!BF34</f>
        <v>0</v>
      </c>
      <c r="BG34" s="105">
        <f>'Hillpointe Detail'!BG34+'Sandhill Detail'!BG34</f>
        <v>0</v>
      </c>
      <c r="BH34" s="105">
        <f>'Hillpointe Detail'!BH34+'Sandhill Detail'!BH34</f>
        <v>0</v>
      </c>
      <c r="BI34" s="105">
        <f>'Hillpointe Detail'!BI34+'Sandhill Detail'!BI34</f>
        <v>0</v>
      </c>
      <c r="BJ34" s="105">
        <f>'Hillpointe Detail'!BJ34+'Sandhill Detail'!BJ34</f>
        <v>0</v>
      </c>
      <c r="BK34" s="105">
        <f>'Hillpointe Detail'!BK34+'Sandhill Detail'!BK34</f>
        <v>0</v>
      </c>
      <c r="BL34" s="105">
        <f>'Hillpointe Detail'!BL34+'Sandhill Detail'!BL34</f>
        <v>0</v>
      </c>
      <c r="BM34" s="105">
        <f>'Hillpointe Detail'!BM34+'Sandhill Detail'!BM34</f>
        <v>0</v>
      </c>
      <c r="BN34" s="105">
        <f>'Hillpointe Detail'!BN34+'Sandhill Detail'!BN34</f>
        <v>0</v>
      </c>
      <c r="BO34" s="105">
        <f>'Hillpointe Detail'!BO34+'Sandhill Detail'!BO34</f>
        <v>0</v>
      </c>
      <c r="BP34" s="105">
        <f>'Hillpointe Detail'!BP34+'Sandhill Detail'!BP34</f>
        <v>1297.5</v>
      </c>
      <c r="BQ34" s="105">
        <f>'Hillpointe Detail'!BQ34+'Sandhill Detail'!BQ34</f>
        <v>0</v>
      </c>
      <c r="BR34" s="105">
        <f>'Hillpointe Detail'!BR34+'Sandhill Detail'!BR34</f>
        <v>0</v>
      </c>
      <c r="BS34" s="105">
        <f>'Hillpointe Detail'!BS34+'Sandhill Detail'!BS34</f>
        <v>0</v>
      </c>
      <c r="BT34" s="105">
        <f>'Hillpointe Detail'!BT34+'Sandhill Detail'!BT34</f>
        <v>0</v>
      </c>
      <c r="BU34" s="105">
        <f>'Hillpointe Detail'!BU34+'Sandhill Detail'!BU34</f>
        <v>0</v>
      </c>
      <c r="BV34" s="105">
        <f>'Hillpointe Detail'!BV34+'Sandhill Detail'!BV34</f>
        <v>0</v>
      </c>
      <c r="BW34" s="105">
        <f>'Hillpointe Detail'!BW34+'Sandhill Detail'!BW34</f>
        <v>0</v>
      </c>
      <c r="BX34" s="105">
        <f>'Hillpointe Detail'!BX34+'Sandhill Detail'!BX34</f>
        <v>0</v>
      </c>
      <c r="BY34" s="8"/>
      <c r="BZ34" s="105">
        <f t="shared" si="46"/>
        <v>0</v>
      </c>
      <c r="CA34" s="105">
        <f t="shared" si="47"/>
        <v>1297.5</v>
      </c>
      <c r="CC34" s="105">
        <f t="shared" si="48"/>
        <v>0</v>
      </c>
      <c r="CD34" s="105">
        <f t="shared" si="48"/>
        <v>0</v>
      </c>
      <c r="CE34" s="105">
        <f t="shared" si="48"/>
        <v>0</v>
      </c>
      <c r="CF34" s="105">
        <f t="shared" si="48"/>
        <v>1297.5</v>
      </c>
      <c r="CG34" s="105">
        <f t="shared" si="48"/>
        <v>1297.5</v>
      </c>
      <c r="CH34" s="105">
        <f t="shared" si="48"/>
        <v>1297.5</v>
      </c>
      <c r="CI34" s="105">
        <f t="shared" si="48"/>
        <v>1297.5</v>
      </c>
      <c r="CJ34" s="105">
        <f t="shared" si="48"/>
        <v>1297.5</v>
      </c>
      <c r="CL34" s="105"/>
      <c r="CM34" s="13"/>
    </row>
    <row r="35" spans="1:91" x14ac:dyDescent="0.3">
      <c r="A35" s="84" t="s">
        <v>6</v>
      </c>
      <c r="B35" s="10" t="s">
        <v>124</v>
      </c>
      <c r="C35" s="103">
        <v>1548.23</v>
      </c>
      <c r="D35" s="103">
        <v>1244.54</v>
      </c>
      <c r="E35" s="105">
        <f>'Hillpointe Detail'!E35+'Sandhill Detail'!E35</f>
        <v>0</v>
      </c>
      <c r="F35" s="105">
        <f>'Hillpointe Detail'!F35+'Sandhill Detail'!F35</f>
        <v>0</v>
      </c>
      <c r="G35" s="105">
        <f>'Hillpointe Detail'!G35+'Sandhill Detail'!G35</f>
        <v>0</v>
      </c>
      <c r="H35" s="105">
        <f>'Hillpointe Detail'!H35+'Sandhill Detail'!H35</f>
        <v>0</v>
      </c>
      <c r="I35" s="105">
        <f>'Hillpointe Detail'!I35+'Sandhill Detail'!I35</f>
        <v>0</v>
      </c>
      <c r="J35" s="105">
        <f>'Hillpointe Detail'!J35+'Sandhill Detail'!J35</f>
        <v>0</v>
      </c>
      <c r="K35" s="105">
        <f>'Hillpointe Detail'!K35+'Sandhill Detail'!K35</f>
        <v>152.86000000000001</v>
      </c>
      <c r="L35" s="105">
        <f>'Hillpointe Detail'!L35+'Sandhill Detail'!L35</f>
        <v>0</v>
      </c>
      <c r="M35" s="105">
        <f>'Hillpointe Detail'!M35+'Sandhill Detail'!M35</f>
        <v>0</v>
      </c>
      <c r="N35" s="105">
        <f>'Hillpointe Detail'!N35+'Sandhill Detail'!N35</f>
        <v>0</v>
      </c>
      <c r="O35" s="105">
        <f>'Hillpointe Detail'!O35+'Sandhill Detail'!O35</f>
        <v>21.2</v>
      </c>
      <c r="P35" s="105">
        <f>'Hillpointe Detail'!P35+'Sandhill Detail'!P35</f>
        <v>0</v>
      </c>
      <c r="Q35" s="105">
        <f>'Hillpointe Detail'!Q35+'Sandhill Detail'!Q35</f>
        <v>0</v>
      </c>
      <c r="R35" s="105">
        <f>'Hillpointe Detail'!R35+'Sandhill Detail'!R35</f>
        <v>0</v>
      </c>
      <c r="S35" s="105">
        <f>'Hillpointe Detail'!S35+'Sandhill Detail'!S35</f>
        <v>0</v>
      </c>
      <c r="T35" s="105">
        <f>'Hillpointe Detail'!T35+'Sandhill Detail'!T35</f>
        <v>0</v>
      </c>
      <c r="U35" s="105">
        <f>'Hillpointe Detail'!U35+'Sandhill Detail'!U35</f>
        <v>0</v>
      </c>
      <c r="V35" s="105">
        <f>'Hillpointe Detail'!V35+'Sandhill Detail'!V35</f>
        <v>0</v>
      </c>
      <c r="W35" s="105">
        <f>'Hillpointe Detail'!W35+'Sandhill Detail'!W35</f>
        <v>701.25</v>
      </c>
      <c r="X35" s="105">
        <f>'Hillpointe Detail'!X35+'Sandhill Detail'!X35</f>
        <v>0</v>
      </c>
      <c r="Y35" s="105">
        <f>'Hillpointe Detail'!Y35+'Sandhill Detail'!Y35</f>
        <v>0</v>
      </c>
      <c r="Z35" s="105">
        <f>'Hillpointe Detail'!Z35+'Sandhill Detail'!Z35</f>
        <v>0</v>
      </c>
      <c r="AA35" s="105">
        <f>'Hillpointe Detail'!AA35+'Sandhill Detail'!AA35</f>
        <v>0</v>
      </c>
      <c r="AB35" s="105">
        <f>'Hillpointe Detail'!AB35+'Sandhill Detail'!AB35</f>
        <v>0</v>
      </c>
      <c r="AC35" s="105">
        <f>'Hillpointe Detail'!AC35+'Sandhill Detail'!AC35</f>
        <v>0</v>
      </c>
      <c r="AD35" s="105">
        <f>'Hillpointe Detail'!AD35+'Sandhill Detail'!AD35</f>
        <v>0</v>
      </c>
      <c r="AE35" s="105">
        <f>'Hillpointe Detail'!AE35+'Sandhill Detail'!AE35</f>
        <v>0</v>
      </c>
      <c r="AF35" s="105">
        <f>'Hillpointe Detail'!AF35+'Sandhill Detail'!AF35</f>
        <v>0</v>
      </c>
      <c r="AG35" s="105">
        <f>'Hillpointe Detail'!AG35+'Sandhill Detail'!AG35</f>
        <v>0</v>
      </c>
      <c r="AH35" s="105">
        <f>'Hillpointe Detail'!AH35+'Sandhill Detail'!AH35</f>
        <v>0</v>
      </c>
      <c r="AI35" s="105">
        <f>'Hillpointe Detail'!AI35+'Sandhill Detail'!AI35</f>
        <v>701.25</v>
      </c>
      <c r="AJ35" s="105">
        <f>'Hillpointe Detail'!AJ35+'Sandhill Detail'!AJ35</f>
        <v>0</v>
      </c>
      <c r="AK35" s="105">
        <f>'Hillpointe Detail'!AK35+'Sandhill Detail'!AK35</f>
        <v>0</v>
      </c>
      <c r="AL35" s="105">
        <f>'Hillpointe Detail'!AL35+'Sandhill Detail'!AL35</f>
        <v>0</v>
      </c>
      <c r="AM35" s="105">
        <f>'Hillpointe Detail'!AM35+'Sandhill Detail'!AM35</f>
        <v>0</v>
      </c>
      <c r="AN35" s="105">
        <f>'Hillpointe Detail'!AN35+'Sandhill Detail'!AN35</f>
        <v>0</v>
      </c>
      <c r="AO35" s="105">
        <f>'Hillpointe Detail'!AO35+'Sandhill Detail'!AO35</f>
        <v>0</v>
      </c>
      <c r="AP35" s="105">
        <f>'Hillpointe Detail'!AP35+'Sandhill Detail'!AP35</f>
        <v>0</v>
      </c>
      <c r="AQ35" s="105">
        <f>'Hillpointe Detail'!AQ35+'Sandhill Detail'!AQ35</f>
        <v>0</v>
      </c>
      <c r="AR35" s="105">
        <f>'Hillpointe Detail'!AR35+'Sandhill Detail'!AR35</f>
        <v>0</v>
      </c>
      <c r="AS35" s="105">
        <f>'Hillpointe Detail'!AS35+'Sandhill Detail'!AS35</f>
        <v>0</v>
      </c>
      <c r="AT35" s="105">
        <f>'Hillpointe Detail'!AT35+'Sandhill Detail'!AT35</f>
        <v>0</v>
      </c>
      <c r="AU35" s="105">
        <f>'Hillpointe Detail'!AU35+'Sandhill Detail'!AU35</f>
        <v>701.25</v>
      </c>
      <c r="AV35" s="105">
        <f>'Hillpointe Detail'!AV35+'Sandhill Detail'!AV35</f>
        <v>0</v>
      </c>
      <c r="AW35" s="105">
        <f>'Hillpointe Detail'!AW35+'Sandhill Detail'!AW35</f>
        <v>0</v>
      </c>
      <c r="AX35" s="105">
        <f>'Hillpointe Detail'!AX35+'Sandhill Detail'!AX35</f>
        <v>0</v>
      </c>
      <c r="AY35" s="105">
        <f>'Hillpointe Detail'!AY35+'Sandhill Detail'!AY35</f>
        <v>0</v>
      </c>
      <c r="AZ35" s="105">
        <f>'Hillpointe Detail'!AZ35+'Sandhill Detail'!AZ35</f>
        <v>0</v>
      </c>
      <c r="BA35" s="105">
        <f>'Hillpointe Detail'!BA35+'Sandhill Detail'!BA35</f>
        <v>0</v>
      </c>
      <c r="BB35" s="105">
        <f>'Hillpointe Detail'!BB35+'Sandhill Detail'!BB35</f>
        <v>0</v>
      </c>
      <c r="BC35" s="105">
        <f>'Hillpointe Detail'!BC35+'Sandhill Detail'!BC35</f>
        <v>0</v>
      </c>
      <c r="BD35" s="105">
        <f>'Hillpointe Detail'!BD35+'Sandhill Detail'!BD35</f>
        <v>0</v>
      </c>
      <c r="BE35" s="105">
        <f>'Hillpointe Detail'!BE35+'Sandhill Detail'!BE35</f>
        <v>0</v>
      </c>
      <c r="BF35" s="105">
        <f>'Hillpointe Detail'!BF35+'Sandhill Detail'!BF35</f>
        <v>0</v>
      </c>
      <c r="BG35" s="105">
        <f>'Hillpointe Detail'!BG35+'Sandhill Detail'!BG35</f>
        <v>701.25</v>
      </c>
      <c r="BH35" s="105">
        <f>'Hillpointe Detail'!BH35+'Sandhill Detail'!BH35</f>
        <v>0</v>
      </c>
      <c r="BI35" s="105">
        <f>'Hillpointe Detail'!BI35+'Sandhill Detail'!BI35</f>
        <v>0</v>
      </c>
      <c r="BJ35" s="105">
        <f>'Hillpointe Detail'!BJ35+'Sandhill Detail'!BJ35</f>
        <v>0</v>
      </c>
      <c r="BK35" s="105">
        <f>'Hillpointe Detail'!BK35+'Sandhill Detail'!BK35</f>
        <v>0</v>
      </c>
      <c r="BL35" s="105">
        <f>'Hillpointe Detail'!BL35+'Sandhill Detail'!BL35</f>
        <v>0</v>
      </c>
      <c r="BM35" s="105">
        <f>'Hillpointe Detail'!BM35+'Sandhill Detail'!BM35</f>
        <v>0</v>
      </c>
      <c r="BN35" s="105">
        <f>'Hillpointe Detail'!BN35+'Sandhill Detail'!BN35</f>
        <v>0</v>
      </c>
      <c r="BO35" s="105">
        <f>'Hillpointe Detail'!BO35+'Sandhill Detail'!BO35</f>
        <v>0</v>
      </c>
      <c r="BP35" s="105">
        <f>'Hillpointe Detail'!BP35+'Sandhill Detail'!BP35</f>
        <v>0</v>
      </c>
      <c r="BQ35" s="105">
        <f>'Hillpointe Detail'!BQ35+'Sandhill Detail'!BQ35</f>
        <v>0</v>
      </c>
      <c r="BR35" s="105">
        <f>'Hillpointe Detail'!BR35+'Sandhill Detail'!BR35</f>
        <v>0</v>
      </c>
      <c r="BS35" s="105">
        <f>'Hillpointe Detail'!BS35+'Sandhill Detail'!BS35</f>
        <v>701.25</v>
      </c>
      <c r="BT35" s="105">
        <f>'Hillpointe Detail'!BT35+'Sandhill Detail'!BT35</f>
        <v>0</v>
      </c>
      <c r="BU35" s="105">
        <f>'Hillpointe Detail'!BU35+'Sandhill Detail'!BU35</f>
        <v>0</v>
      </c>
      <c r="BV35" s="105">
        <f>'Hillpointe Detail'!BV35+'Sandhill Detail'!BV35</f>
        <v>0</v>
      </c>
      <c r="BW35" s="105">
        <f>'Hillpointe Detail'!BW35+'Sandhill Detail'!BW35</f>
        <v>0</v>
      </c>
      <c r="BX35" s="105">
        <f>'Hillpointe Detail'!BX35+'Sandhill Detail'!BX35</f>
        <v>0</v>
      </c>
      <c r="BY35" s="8"/>
      <c r="BZ35" s="105">
        <f t="shared" si="46"/>
        <v>0</v>
      </c>
      <c r="CA35" s="105">
        <f t="shared" si="47"/>
        <v>701.25</v>
      </c>
      <c r="CC35" s="105">
        <f t="shared" si="48"/>
        <v>1548.23</v>
      </c>
      <c r="CD35" s="105">
        <f t="shared" si="48"/>
        <v>1244.54</v>
      </c>
      <c r="CE35" s="105">
        <f t="shared" si="48"/>
        <v>174.06</v>
      </c>
      <c r="CF35" s="105">
        <f t="shared" si="48"/>
        <v>701.25</v>
      </c>
      <c r="CG35" s="105">
        <f t="shared" si="48"/>
        <v>701.25</v>
      </c>
      <c r="CH35" s="105">
        <f t="shared" si="48"/>
        <v>701.25</v>
      </c>
      <c r="CI35" s="105">
        <f t="shared" si="48"/>
        <v>701.25</v>
      </c>
      <c r="CJ35" s="105">
        <f t="shared" si="48"/>
        <v>701.25</v>
      </c>
      <c r="CL35" s="105"/>
      <c r="CM35" s="13"/>
    </row>
    <row r="36" spans="1:91" x14ac:dyDescent="0.3">
      <c r="A36" s="84" t="s">
        <v>7</v>
      </c>
      <c r="B36" s="10" t="s">
        <v>124</v>
      </c>
      <c r="C36" s="103">
        <v>70397.91</v>
      </c>
      <c r="D36" s="103">
        <v>82072.97</v>
      </c>
      <c r="E36" s="105">
        <f>'Hillpointe Detail'!E36+'Sandhill Detail'!E36</f>
        <v>0</v>
      </c>
      <c r="F36" s="105">
        <f>'Hillpointe Detail'!F36+'Sandhill Detail'!F36</f>
        <v>2562</v>
      </c>
      <c r="G36" s="105">
        <f>'Hillpointe Detail'!G36+'Sandhill Detail'!G36</f>
        <v>236</v>
      </c>
      <c r="H36" s="105">
        <f>'Hillpointe Detail'!H36+'Sandhill Detail'!H36</f>
        <v>0</v>
      </c>
      <c r="I36" s="105">
        <f>'Hillpointe Detail'!I36+'Sandhill Detail'!I36</f>
        <v>0</v>
      </c>
      <c r="J36" s="105">
        <f>'Hillpointe Detail'!J36+'Sandhill Detail'!J36</f>
        <v>0</v>
      </c>
      <c r="K36" s="105">
        <f>'Hillpointe Detail'!K36+'Sandhill Detail'!K36</f>
        <v>0</v>
      </c>
      <c r="L36" s="105">
        <f>'Hillpointe Detail'!L36+'Sandhill Detail'!L36</f>
        <v>0</v>
      </c>
      <c r="M36" s="105">
        <f>'Hillpointe Detail'!M36+'Sandhill Detail'!M36</f>
        <v>0</v>
      </c>
      <c r="N36" s="105">
        <f>'Hillpointe Detail'!N36+'Sandhill Detail'!N36</f>
        <v>10</v>
      </c>
      <c r="O36" s="105">
        <f>'Hillpointe Detail'!O36+'Sandhill Detail'!O36</f>
        <v>150</v>
      </c>
      <c r="P36" s="105">
        <f>'Hillpointe Detail'!P36+'Sandhill Detail'!P36</f>
        <v>0</v>
      </c>
      <c r="Q36" s="105">
        <f>'Hillpointe Detail'!Q36+'Sandhill Detail'!Q36</f>
        <v>0</v>
      </c>
      <c r="R36" s="105">
        <f>'Hillpointe Detail'!R36+'Sandhill Detail'!R36</f>
        <v>0</v>
      </c>
      <c r="S36" s="105">
        <f>'Hillpointe Detail'!S36+'Sandhill Detail'!S36</f>
        <v>0</v>
      </c>
      <c r="T36" s="105">
        <f>'Hillpointe Detail'!T36+'Sandhill Detail'!T36</f>
        <v>0</v>
      </c>
      <c r="U36" s="105">
        <f>'Hillpointe Detail'!U36+'Sandhill Detail'!U36</f>
        <v>0</v>
      </c>
      <c r="V36" s="105">
        <f>'Hillpointe Detail'!V36+'Sandhill Detail'!V36</f>
        <v>0</v>
      </c>
      <c r="W36" s="105">
        <f>'Hillpointe Detail'!W36+'Sandhill Detail'!W36</f>
        <v>0</v>
      </c>
      <c r="X36" s="105">
        <f>'Hillpointe Detail'!X36+'Sandhill Detail'!X36</f>
        <v>0</v>
      </c>
      <c r="Y36" s="105">
        <f>'Hillpointe Detail'!Y36+'Sandhill Detail'!Y36</f>
        <v>0</v>
      </c>
      <c r="Z36" s="105">
        <f>'Hillpointe Detail'!Z36+'Sandhill Detail'!Z36</f>
        <v>0</v>
      </c>
      <c r="AA36" s="105">
        <f>'Hillpointe Detail'!AA36+'Sandhill Detail'!AA36</f>
        <v>0</v>
      </c>
      <c r="AB36" s="105">
        <f>'Hillpointe Detail'!AB36+'Sandhill Detail'!AB36</f>
        <v>0</v>
      </c>
      <c r="AC36" s="105">
        <f>'Hillpointe Detail'!AC36+'Sandhill Detail'!AC36</f>
        <v>670098.30999999994</v>
      </c>
      <c r="AD36" s="105">
        <f>'Hillpointe Detail'!AD36+'Sandhill Detail'!AD36</f>
        <v>0</v>
      </c>
      <c r="AE36" s="105">
        <f>'Hillpointe Detail'!AE36+'Sandhill Detail'!AE36</f>
        <v>0</v>
      </c>
      <c r="AF36" s="105">
        <f>'Hillpointe Detail'!AF36+'Sandhill Detail'!AF36</f>
        <v>0</v>
      </c>
      <c r="AG36" s="105">
        <f>'Hillpointe Detail'!AG36+'Sandhill Detail'!AG36</f>
        <v>0</v>
      </c>
      <c r="AH36" s="105">
        <f>'Hillpointe Detail'!AH36+'Sandhill Detail'!AH36</f>
        <v>0</v>
      </c>
      <c r="AI36" s="105">
        <f>'Hillpointe Detail'!AI36+'Sandhill Detail'!AI36</f>
        <v>0</v>
      </c>
      <c r="AJ36" s="105">
        <f>'Hillpointe Detail'!AJ36+'Sandhill Detail'!AJ36</f>
        <v>0</v>
      </c>
      <c r="AK36" s="105">
        <f>'Hillpointe Detail'!AK36+'Sandhill Detail'!AK36</f>
        <v>0</v>
      </c>
      <c r="AL36" s="105">
        <f>'Hillpointe Detail'!AL36+'Sandhill Detail'!AL36</f>
        <v>0</v>
      </c>
      <c r="AM36" s="105">
        <f>'Hillpointe Detail'!AM36+'Sandhill Detail'!AM36</f>
        <v>0</v>
      </c>
      <c r="AN36" s="105">
        <f>'Hillpointe Detail'!AN36+'Sandhill Detail'!AN36</f>
        <v>0</v>
      </c>
      <c r="AO36" s="105">
        <f>'Hillpointe Detail'!AO36+'Sandhill Detail'!AO36</f>
        <v>0</v>
      </c>
      <c r="AP36" s="105">
        <f>'Hillpointe Detail'!AP36+'Sandhill Detail'!AP36</f>
        <v>0</v>
      </c>
      <c r="AQ36" s="105">
        <f>'Hillpointe Detail'!AQ36+'Sandhill Detail'!AQ36</f>
        <v>0</v>
      </c>
      <c r="AR36" s="105">
        <f>'Hillpointe Detail'!AR36+'Sandhill Detail'!AR36</f>
        <v>0</v>
      </c>
      <c r="AS36" s="105">
        <f>'Hillpointe Detail'!AS36+'Sandhill Detail'!AS36</f>
        <v>0</v>
      </c>
      <c r="AT36" s="105">
        <f>'Hillpointe Detail'!AT36+'Sandhill Detail'!AT36</f>
        <v>0</v>
      </c>
      <c r="AU36" s="105">
        <f>'Hillpointe Detail'!AU36+'Sandhill Detail'!AU36</f>
        <v>0</v>
      </c>
      <c r="AV36" s="105">
        <f>'Hillpointe Detail'!AV36+'Sandhill Detail'!AV36</f>
        <v>0</v>
      </c>
      <c r="AW36" s="105">
        <f>'Hillpointe Detail'!AW36+'Sandhill Detail'!AW36</f>
        <v>0</v>
      </c>
      <c r="AX36" s="105">
        <f>'Hillpointe Detail'!AX36+'Sandhill Detail'!AX36</f>
        <v>0</v>
      </c>
      <c r="AY36" s="105">
        <f>'Hillpointe Detail'!AY36+'Sandhill Detail'!AY36</f>
        <v>0</v>
      </c>
      <c r="AZ36" s="105">
        <f>'Hillpointe Detail'!AZ36+'Sandhill Detail'!AZ36</f>
        <v>0</v>
      </c>
      <c r="BA36" s="105">
        <f>'Hillpointe Detail'!BA36+'Sandhill Detail'!BA36</f>
        <v>0</v>
      </c>
      <c r="BB36" s="105">
        <f>'Hillpointe Detail'!BB36+'Sandhill Detail'!BB36</f>
        <v>0</v>
      </c>
      <c r="BC36" s="105">
        <f>'Hillpointe Detail'!BC36+'Sandhill Detail'!BC36</f>
        <v>0</v>
      </c>
      <c r="BD36" s="105">
        <f>'Hillpointe Detail'!BD36+'Sandhill Detail'!BD36</f>
        <v>0</v>
      </c>
      <c r="BE36" s="105">
        <f>'Hillpointe Detail'!BE36+'Sandhill Detail'!BE36</f>
        <v>0</v>
      </c>
      <c r="BF36" s="105">
        <f>'Hillpointe Detail'!BF36+'Sandhill Detail'!BF36</f>
        <v>0</v>
      </c>
      <c r="BG36" s="105">
        <f>'Hillpointe Detail'!BG36+'Sandhill Detail'!BG36</f>
        <v>0</v>
      </c>
      <c r="BH36" s="105">
        <f>'Hillpointe Detail'!BH36+'Sandhill Detail'!BH36</f>
        <v>0</v>
      </c>
      <c r="BI36" s="105">
        <f>'Hillpointe Detail'!BI36+'Sandhill Detail'!BI36</f>
        <v>0</v>
      </c>
      <c r="BJ36" s="105">
        <f>'Hillpointe Detail'!BJ36+'Sandhill Detail'!BJ36</f>
        <v>0</v>
      </c>
      <c r="BK36" s="105">
        <f>'Hillpointe Detail'!BK36+'Sandhill Detail'!BK36</f>
        <v>0</v>
      </c>
      <c r="BL36" s="105">
        <f>'Hillpointe Detail'!BL36+'Sandhill Detail'!BL36</f>
        <v>0</v>
      </c>
      <c r="BM36" s="105">
        <f>'Hillpointe Detail'!BM36+'Sandhill Detail'!BM36</f>
        <v>0</v>
      </c>
      <c r="BN36" s="105">
        <f>'Hillpointe Detail'!BN36+'Sandhill Detail'!BN36</f>
        <v>0</v>
      </c>
      <c r="BO36" s="105">
        <f>'Hillpointe Detail'!BO36+'Sandhill Detail'!BO36</f>
        <v>0</v>
      </c>
      <c r="BP36" s="105">
        <f>'Hillpointe Detail'!BP36+'Sandhill Detail'!BP36</f>
        <v>0</v>
      </c>
      <c r="BQ36" s="105">
        <f>'Hillpointe Detail'!BQ36+'Sandhill Detail'!BQ36</f>
        <v>0</v>
      </c>
      <c r="BR36" s="105">
        <f>'Hillpointe Detail'!BR36+'Sandhill Detail'!BR36</f>
        <v>0</v>
      </c>
      <c r="BS36" s="105">
        <f>'Hillpointe Detail'!BS36+'Sandhill Detail'!BS36</f>
        <v>0</v>
      </c>
      <c r="BT36" s="105">
        <f>'Hillpointe Detail'!BT36+'Sandhill Detail'!BT36</f>
        <v>0</v>
      </c>
      <c r="BU36" s="105">
        <f>'Hillpointe Detail'!BU36+'Sandhill Detail'!BU36</f>
        <v>0</v>
      </c>
      <c r="BV36" s="105">
        <f>'Hillpointe Detail'!BV36+'Sandhill Detail'!BV36</f>
        <v>0</v>
      </c>
      <c r="BW36" s="105">
        <f>'Hillpointe Detail'!BW36+'Sandhill Detail'!BW36</f>
        <v>0</v>
      </c>
      <c r="BX36" s="105">
        <f>'Hillpointe Detail'!BX36+'Sandhill Detail'!BX36</f>
        <v>0</v>
      </c>
      <c r="BY36" s="8"/>
      <c r="BZ36" s="105">
        <f t="shared" si="46"/>
        <v>0</v>
      </c>
      <c r="CA36" s="105">
        <f t="shared" si="47"/>
        <v>0</v>
      </c>
      <c r="CC36" s="105">
        <f t="shared" ref="CC36:CJ45" si="49">SUMIF($C$3:$BY$3,CC$3,$C36:$BY36)</f>
        <v>70397.91</v>
      </c>
      <c r="CD36" s="105">
        <f t="shared" si="49"/>
        <v>82072.97</v>
      </c>
      <c r="CE36" s="105">
        <f t="shared" si="49"/>
        <v>2958</v>
      </c>
      <c r="CF36" s="105">
        <f t="shared" si="49"/>
        <v>0</v>
      </c>
      <c r="CG36" s="105">
        <f t="shared" si="49"/>
        <v>670098.30999999994</v>
      </c>
      <c r="CH36" s="105">
        <f t="shared" si="49"/>
        <v>0</v>
      </c>
      <c r="CI36" s="105">
        <f t="shared" si="49"/>
        <v>0</v>
      </c>
      <c r="CJ36" s="105">
        <f t="shared" si="49"/>
        <v>0</v>
      </c>
      <c r="CL36" s="105"/>
      <c r="CM36" s="13"/>
    </row>
    <row r="37" spans="1:91" x14ac:dyDescent="0.3">
      <c r="A37" s="84" t="s">
        <v>335</v>
      </c>
      <c r="B37" s="10" t="s">
        <v>124</v>
      </c>
      <c r="C37" s="103">
        <v>0</v>
      </c>
      <c r="D37" s="103">
        <v>0</v>
      </c>
      <c r="E37" s="105">
        <f>'Hillpointe Detail'!E37+'Sandhill Detail'!E37</f>
        <v>0</v>
      </c>
      <c r="F37" s="105">
        <f>'Hillpointe Detail'!F37+'Sandhill Detail'!F37</f>
        <v>0</v>
      </c>
      <c r="G37" s="105">
        <f>'Hillpointe Detail'!G37+'Sandhill Detail'!G37</f>
        <v>0</v>
      </c>
      <c r="H37" s="105">
        <f>'Hillpointe Detail'!H37+'Sandhill Detail'!H37</f>
        <v>0</v>
      </c>
      <c r="I37" s="105">
        <f>'Hillpointe Detail'!I37+'Sandhill Detail'!I37</f>
        <v>0</v>
      </c>
      <c r="J37" s="105">
        <f>'Hillpointe Detail'!J37+'Sandhill Detail'!J37</f>
        <v>0</v>
      </c>
      <c r="K37" s="105">
        <f>'Hillpointe Detail'!K37+'Sandhill Detail'!K37</f>
        <v>0</v>
      </c>
      <c r="L37" s="105">
        <f>'Hillpointe Detail'!L37+'Sandhill Detail'!L37</f>
        <v>0</v>
      </c>
      <c r="M37" s="105">
        <f>'Hillpointe Detail'!M37+'Sandhill Detail'!M37</f>
        <v>0</v>
      </c>
      <c r="N37" s="105">
        <f>'Hillpointe Detail'!N37+'Sandhill Detail'!N37</f>
        <v>0</v>
      </c>
      <c r="O37" s="105">
        <f>'Hillpointe Detail'!O37+'Sandhill Detail'!O37</f>
        <v>0</v>
      </c>
      <c r="P37" s="105">
        <f>'Hillpointe Detail'!P37+'Sandhill Detail'!P37</f>
        <v>0</v>
      </c>
      <c r="Q37" s="105">
        <f>'Hillpointe Detail'!Q37+'Sandhill Detail'!Q37</f>
        <v>1000</v>
      </c>
      <c r="R37" s="105">
        <f>'Hillpointe Detail'!R37+'Sandhill Detail'!R37</f>
        <v>0</v>
      </c>
      <c r="S37" s="105">
        <f>'Hillpointe Detail'!S37+'Sandhill Detail'!S37</f>
        <v>0</v>
      </c>
      <c r="T37" s="105">
        <f>'Hillpointe Detail'!T37+'Sandhill Detail'!T37</f>
        <v>0</v>
      </c>
      <c r="U37" s="105">
        <f>'Hillpointe Detail'!U37+'Sandhill Detail'!U37</f>
        <v>0</v>
      </c>
      <c r="V37" s="105">
        <f>'Hillpointe Detail'!V37+'Sandhill Detail'!V37</f>
        <v>0</v>
      </c>
      <c r="W37" s="105">
        <f>'Hillpointe Detail'!W37+'Sandhill Detail'!W37</f>
        <v>0</v>
      </c>
      <c r="X37" s="105">
        <f>'Hillpointe Detail'!X37+'Sandhill Detail'!X37</f>
        <v>0</v>
      </c>
      <c r="Y37" s="105">
        <f>'Hillpointe Detail'!Y37+'Sandhill Detail'!Y37</f>
        <v>0</v>
      </c>
      <c r="Z37" s="105">
        <f>'Hillpointe Detail'!Z37+'Sandhill Detail'!Z37</f>
        <v>0</v>
      </c>
      <c r="AA37" s="105">
        <f>'Hillpointe Detail'!AA37+'Sandhill Detail'!AA37</f>
        <v>0</v>
      </c>
      <c r="AB37" s="105">
        <f>'Hillpointe Detail'!AB37+'Sandhill Detail'!AB37</f>
        <v>0</v>
      </c>
      <c r="AC37" s="105">
        <f>'Hillpointe Detail'!AC37+'Sandhill Detail'!AC37</f>
        <v>1000</v>
      </c>
      <c r="AD37" s="105">
        <f>'Hillpointe Detail'!AD37+'Sandhill Detail'!AD37</f>
        <v>0</v>
      </c>
      <c r="AE37" s="105">
        <f>'Hillpointe Detail'!AE37+'Sandhill Detail'!AE37</f>
        <v>0</v>
      </c>
      <c r="AF37" s="105">
        <f>'Hillpointe Detail'!AF37+'Sandhill Detail'!AF37</f>
        <v>0</v>
      </c>
      <c r="AG37" s="105">
        <f>'Hillpointe Detail'!AG37+'Sandhill Detail'!AG37</f>
        <v>0</v>
      </c>
      <c r="AH37" s="105">
        <f>'Hillpointe Detail'!AH37+'Sandhill Detail'!AH37</f>
        <v>0</v>
      </c>
      <c r="AI37" s="105">
        <f>'Hillpointe Detail'!AI37+'Sandhill Detail'!AI37</f>
        <v>0</v>
      </c>
      <c r="AJ37" s="105">
        <f>'Hillpointe Detail'!AJ37+'Sandhill Detail'!AJ37</f>
        <v>0</v>
      </c>
      <c r="AK37" s="105">
        <f>'Hillpointe Detail'!AK37+'Sandhill Detail'!AK37</f>
        <v>0</v>
      </c>
      <c r="AL37" s="105">
        <f>'Hillpointe Detail'!AL37+'Sandhill Detail'!AL37</f>
        <v>0</v>
      </c>
      <c r="AM37" s="105">
        <f>'Hillpointe Detail'!AM37+'Sandhill Detail'!AM37</f>
        <v>0</v>
      </c>
      <c r="AN37" s="105">
        <f>'Hillpointe Detail'!AN37+'Sandhill Detail'!AN37</f>
        <v>0</v>
      </c>
      <c r="AO37" s="105">
        <f>'Hillpointe Detail'!AO37+'Sandhill Detail'!AO37</f>
        <v>1000</v>
      </c>
      <c r="AP37" s="105">
        <f>'Hillpointe Detail'!AP37+'Sandhill Detail'!AP37</f>
        <v>0</v>
      </c>
      <c r="AQ37" s="105">
        <f>'Hillpointe Detail'!AQ37+'Sandhill Detail'!AQ37</f>
        <v>0</v>
      </c>
      <c r="AR37" s="105">
        <f>'Hillpointe Detail'!AR37+'Sandhill Detail'!AR37</f>
        <v>0</v>
      </c>
      <c r="AS37" s="105">
        <f>'Hillpointe Detail'!AS37+'Sandhill Detail'!AS37</f>
        <v>0</v>
      </c>
      <c r="AT37" s="105">
        <f>'Hillpointe Detail'!AT37+'Sandhill Detail'!AT37</f>
        <v>0</v>
      </c>
      <c r="AU37" s="105">
        <f>'Hillpointe Detail'!AU37+'Sandhill Detail'!AU37</f>
        <v>0</v>
      </c>
      <c r="AV37" s="105">
        <f>'Hillpointe Detail'!AV37+'Sandhill Detail'!AV37</f>
        <v>0</v>
      </c>
      <c r="AW37" s="105">
        <f>'Hillpointe Detail'!AW37+'Sandhill Detail'!AW37</f>
        <v>0</v>
      </c>
      <c r="AX37" s="105">
        <f>'Hillpointe Detail'!AX37+'Sandhill Detail'!AX37</f>
        <v>0</v>
      </c>
      <c r="AY37" s="105">
        <f>'Hillpointe Detail'!AY37+'Sandhill Detail'!AY37</f>
        <v>0</v>
      </c>
      <c r="AZ37" s="105">
        <f>'Hillpointe Detail'!AZ37+'Sandhill Detail'!AZ37</f>
        <v>0</v>
      </c>
      <c r="BA37" s="105">
        <f>'Hillpointe Detail'!BA37+'Sandhill Detail'!BA37</f>
        <v>1000</v>
      </c>
      <c r="BB37" s="105">
        <f>'Hillpointe Detail'!BB37+'Sandhill Detail'!BB37</f>
        <v>0</v>
      </c>
      <c r="BC37" s="105">
        <f>'Hillpointe Detail'!BC37+'Sandhill Detail'!BC37</f>
        <v>0</v>
      </c>
      <c r="BD37" s="105">
        <f>'Hillpointe Detail'!BD37+'Sandhill Detail'!BD37</f>
        <v>0</v>
      </c>
      <c r="BE37" s="105">
        <f>'Hillpointe Detail'!BE37+'Sandhill Detail'!BE37</f>
        <v>0</v>
      </c>
      <c r="BF37" s="105">
        <f>'Hillpointe Detail'!BF37+'Sandhill Detail'!BF37</f>
        <v>0</v>
      </c>
      <c r="BG37" s="105">
        <f>'Hillpointe Detail'!BG37+'Sandhill Detail'!BG37</f>
        <v>0</v>
      </c>
      <c r="BH37" s="105">
        <f>'Hillpointe Detail'!BH37+'Sandhill Detail'!BH37</f>
        <v>0</v>
      </c>
      <c r="BI37" s="105">
        <f>'Hillpointe Detail'!BI37+'Sandhill Detail'!BI37</f>
        <v>0</v>
      </c>
      <c r="BJ37" s="105">
        <f>'Hillpointe Detail'!BJ37+'Sandhill Detail'!BJ37</f>
        <v>0</v>
      </c>
      <c r="BK37" s="105">
        <f>'Hillpointe Detail'!BK37+'Sandhill Detail'!BK37</f>
        <v>0</v>
      </c>
      <c r="BL37" s="105">
        <f>'Hillpointe Detail'!BL37+'Sandhill Detail'!BL37</f>
        <v>0</v>
      </c>
      <c r="BM37" s="105">
        <f>'Hillpointe Detail'!BM37+'Sandhill Detail'!BM37</f>
        <v>1000</v>
      </c>
      <c r="BN37" s="105">
        <f>'Hillpointe Detail'!BN37+'Sandhill Detail'!BN37</f>
        <v>0</v>
      </c>
      <c r="BO37" s="105">
        <f>'Hillpointe Detail'!BO37+'Sandhill Detail'!BO37</f>
        <v>0</v>
      </c>
      <c r="BP37" s="105">
        <f>'Hillpointe Detail'!BP37+'Sandhill Detail'!BP37</f>
        <v>0</v>
      </c>
      <c r="BQ37" s="105">
        <f>'Hillpointe Detail'!BQ37+'Sandhill Detail'!BQ37</f>
        <v>0</v>
      </c>
      <c r="BR37" s="105">
        <f>'Hillpointe Detail'!BR37+'Sandhill Detail'!BR37</f>
        <v>0</v>
      </c>
      <c r="BS37" s="105">
        <f>'Hillpointe Detail'!BS37+'Sandhill Detail'!BS37</f>
        <v>0</v>
      </c>
      <c r="BT37" s="105">
        <f>'Hillpointe Detail'!BT37+'Sandhill Detail'!BT37</f>
        <v>0</v>
      </c>
      <c r="BU37" s="105">
        <f>'Hillpointe Detail'!BU37+'Sandhill Detail'!BU37</f>
        <v>0</v>
      </c>
      <c r="BV37" s="105">
        <f>'Hillpointe Detail'!BV37+'Sandhill Detail'!BV37</f>
        <v>0</v>
      </c>
      <c r="BW37" s="105">
        <f>'Hillpointe Detail'!BW37+'Sandhill Detail'!BW37</f>
        <v>0</v>
      </c>
      <c r="BX37" s="105">
        <f>'Hillpointe Detail'!BX37+'Sandhill Detail'!BX37</f>
        <v>0</v>
      </c>
      <c r="BY37" s="8"/>
      <c r="BZ37" s="105">
        <f t="shared" si="46"/>
        <v>0</v>
      </c>
      <c r="CA37" s="105">
        <f t="shared" si="47"/>
        <v>1000</v>
      </c>
      <c r="CC37" s="105">
        <f t="shared" si="49"/>
        <v>0</v>
      </c>
      <c r="CD37" s="105">
        <f t="shared" si="49"/>
        <v>0</v>
      </c>
      <c r="CE37" s="105">
        <f t="shared" si="49"/>
        <v>0</v>
      </c>
      <c r="CF37" s="105">
        <f t="shared" si="49"/>
        <v>1000</v>
      </c>
      <c r="CG37" s="105">
        <f t="shared" si="49"/>
        <v>1000</v>
      </c>
      <c r="CH37" s="105">
        <f t="shared" si="49"/>
        <v>1000</v>
      </c>
      <c r="CI37" s="105">
        <f t="shared" si="49"/>
        <v>1000</v>
      </c>
      <c r="CJ37" s="105">
        <f t="shared" si="49"/>
        <v>1000</v>
      </c>
      <c r="CL37" s="105"/>
      <c r="CM37" s="13"/>
    </row>
    <row r="38" spans="1:91" x14ac:dyDescent="0.3">
      <c r="A38" s="84" t="s">
        <v>8</v>
      </c>
      <c r="B38" s="10" t="s">
        <v>126</v>
      </c>
      <c r="C38" s="103">
        <v>19524.98</v>
      </c>
      <c r="D38" s="103">
        <v>31518.29</v>
      </c>
      <c r="E38" s="105">
        <f>'Hillpointe Detail'!E38+'Sandhill Detail'!E38</f>
        <v>0</v>
      </c>
      <c r="F38" s="105">
        <f>'Hillpointe Detail'!F38+'Sandhill Detail'!F38</f>
        <v>500034</v>
      </c>
      <c r="G38" s="105">
        <f>'Hillpointe Detail'!G38+'Sandhill Detail'!G38</f>
        <v>2000</v>
      </c>
      <c r="H38" s="105">
        <f>'Hillpointe Detail'!H38+'Sandhill Detail'!H38</f>
        <v>0</v>
      </c>
      <c r="I38" s="105">
        <f>'Hillpointe Detail'!I38+'Sandhill Detail'!I38</f>
        <v>0</v>
      </c>
      <c r="J38" s="105">
        <f>'Hillpointe Detail'!J38+'Sandhill Detail'!J38</f>
        <v>15.5</v>
      </c>
      <c r="K38" s="105">
        <f>'Hillpointe Detail'!K38+'Sandhill Detail'!K38</f>
        <v>0</v>
      </c>
      <c r="L38" s="105">
        <f>'Hillpointe Detail'!L38+'Sandhill Detail'!L38</f>
        <v>65.000000000014552</v>
      </c>
      <c r="M38" s="105">
        <f>'Hillpointe Detail'!M38+'Sandhill Detail'!M38</f>
        <v>0</v>
      </c>
      <c r="N38" s="105">
        <f>'Hillpointe Detail'!N38+'Sandhill Detail'!N38</f>
        <v>0</v>
      </c>
      <c r="O38" s="105">
        <f>'Hillpointe Detail'!O38+'Sandhill Detail'!O38</f>
        <v>0</v>
      </c>
      <c r="P38" s="105">
        <f>'Hillpointe Detail'!P38+'Sandhill Detail'!P38</f>
        <v>0</v>
      </c>
      <c r="Q38" s="105">
        <f>'Hillpointe Detail'!Q38+'Sandhill Detail'!Q38</f>
        <v>0</v>
      </c>
      <c r="R38" s="105">
        <f>'Hillpointe Detail'!R38+'Sandhill Detail'!R38</f>
        <v>0</v>
      </c>
      <c r="S38" s="105">
        <f>'Hillpointe Detail'!S38+'Sandhill Detail'!S38</f>
        <v>0</v>
      </c>
      <c r="T38" s="105">
        <f>'Hillpointe Detail'!T38+'Sandhill Detail'!T38</f>
        <v>0</v>
      </c>
      <c r="U38" s="105">
        <f>'Hillpointe Detail'!U38+'Sandhill Detail'!U38</f>
        <v>260</v>
      </c>
      <c r="V38" s="105">
        <f>'Hillpointe Detail'!V38+'Sandhill Detail'!V38</f>
        <v>40</v>
      </c>
      <c r="W38" s="105">
        <f>'Hillpointe Detail'!W38+'Sandhill Detail'!W38</f>
        <v>0</v>
      </c>
      <c r="X38" s="105">
        <f>'Hillpointe Detail'!X38+'Sandhill Detail'!X38</f>
        <v>0</v>
      </c>
      <c r="Y38" s="105">
        <f>'Hillpointe Detail'!Y38+'Sandhill Detail'!Y38</f>
        <v>0</v>
      </c>
      <c r="Z38" s="105">
        <f>'Hillpointe Detail'!Z38+'Sandhill Detail'!Z38</f>
        <v>0</v>
      </c>
      <c r="AA38" s="105">
        <f>'Hillpointe Detail'!AA38+'Sandhill Detail'!AA38</f>
        <v>520.07000000000005</v>
      </c>
      <c r="AB38" s="105">
        <f>'Hillpointe Detail'!AB38+'Sandhill Detail'!AB38</f>
        <v>0</v>
      </c>
      <c r="AC38" s="105">
        <f>'Hillpointe Detail'!AC38+'Sandhill Detail'!AC38</f>
        <v>0</v>
      </c>
      <c r="AD38" s="105">
        <f>'Hillpointe Detail'!AD38+'Sandhill Detail'!AD38</f>
        <v>0</v>
      </c>
      <c r="AE38" s="105">
        <f>'Hillpointe Detail'!AE38+'Sandhill Detail'!AE38</f>
        <v>0</v>
      </c>
      <c r="AF38" s="105">
        <f>'Hillpointe Detail'!AF38+'Sandhill Detail'!AF38</f>
        <v>0</v>
      </c>
      <c r="AG38" s="105">
        <f>'Hillpointe Detail'!AG38+'Sandhill Detail'!AG38</f>
        <v>260</v>
      </c>
      <c r="AH38" s="105">
        <f>'Hillpointe Detail'!AH38+'Sandhill Detail'!AH38</f>
        <v>40</v>
      </c>
      <c r="AI38" s="105">
        <f>'Hillpointe Detail'!AI38+'Sandhill Detail'!AI38</f>
        <v>0</v>
      </c>
      <c r="AJ38" s="105">
        <f>'Hillpointe Detail'!AJ38+'Sandhill Detail'!AJ38</f>
        <v>0</v>
      </c>
      <c r="AK38" s="105">
        <f>'Hillpointe Detail'!AK38+'Sandhill Detail'!AK38</f>
        <v>0</v>
      </c>
      <c r="AL38" s="105">
        <f>'Hillpointe Detail'!AL38+'Sandhill Detail'!AL38</f>
        <v>0</v>
      </c>
      <c r="AM38" s="105">
        <f>'Hillpointe Detail'!AM38+'Sandhill Detail'!AM38</f>
        <v>520.07000000000005</v>
      </c>
      <c r="AN38" s="105">
        <f>'Hillpointe Detail'!AN38+'Sandhill Detail'!AN38</f>
        <v>0</v>
      </c>
      <c r="AO38" s="105">
        <f>'Hillpointe Detail'!AO38+'Sandhill Detail'!AO38</f>
        <v>0</v>
      </c>
      <c r="AP38" s="105">
        <f>'Hillpointe Detail'!AP38+'Sandhill Detail'!AP38</f>
        <v>0</v>
      </c>
      <c r="AQ38" s="105">
        <f>'Hillpointe Detail'!AQ38+'Sandhill Detail'!AQ38</f>
        <v>0</v>
      </c>
      <c r="AR38" s="105">
        <f>'Hillpointe Detail'!AR38+'Sandhill Detail'!AR38</f>
        <v>0</v>
      </c>
      <c r="AS38" s="105">
        <f>'Hillpointe Detail'!AS38+'Sandhill Detail'!AS38</f>
        <v>260</v>
      </c>
      <c r="AT38" s="105">
        <f>'Hillpointe Detail'!AT38+'Sandhill Detail'!AT38</f>
        <v>40</v>
      </c>
      <c r="AU38" s="105">
        <f>'Hillpointe Detail'!AU38+'Sandhill Detail'!AU38</f>
        <v>0</v>
      </c>
      <c r="AV38" s="105">
        <f>'Hillpointe Detail'!AV38+'Sandhill Detail'!AV38</f>
        <v>0</v>
      </c>
      <c r="AW38" s="105">
        <f>'Hillpointe Detail'!AW38+'Sandhill Detail'!AW38</f>
        <v>0</v>
      </c>
      <c r="AX38" s="105">
        <f>'Hillpointe Detail'!AX38+'Sandhill Detail'!AX38</f>
        <v>0</v>
      </c>
      <c r="AY38" s="105">
        <f>'Hillpointe Detail'!AY38+'Sandhill Detail'!AY38</f>
        <v>520.07000000000005</v>
      </c>
      <c r="AZ38" s="105">
        <f>'Hillpointe Detail'!AZ38+'Sandhill Detail'!AZ38</f>
        <v>0</v>
      </c>
      <c r="BA38" s="105">
        <f>'Hillpointe Detail'!BA38+'Sandhill Detail'!BA38</f>
        <v>0</v>
      </c>
      <c r="BB38" s="105">
        <f>'Hillpointe Detail'!BB38+'Sandhill Detail'!BB38</f>
        <v>0</v>
      </c>
      <c r="BC38" s="105">
        <f>'Hillpointe Detail'!BC38+'Sandhill Detail'!BC38</f>
        <v>0</v>
      </c>
      <c r="BD38" s="105">
        <f>'Hillpointe Detail'!BD38+'Sandhill Detail'!BD38</f>
        <v>0</v>
      </c>
      <c r="BE38" s="105">
        <f>'Hillpointe Detail'!BE38+'Sandhill Detail'!BE38</f>
        <v>260</v>
      </c>
      <c r="BF38" s="105">
        <f>'Hillpointe Detail'!BF38+'Sandhill Detail'!BF38</f>
        <v>40</v>
      </c>
      <c r="BG38" s="105">
        <f>'Hillpointe Detail'!BG38+'Sandhill Detail'!BG38</f>
        <v>0</v>
      </c>
      <c r="BH38" s="105">
        <f>'Hillpointe Detail'!BH38+'Sandhill Detail'!BH38</f>
        <v>0</v>
      </c>
      <c r="BI38" s="105">
        <f>'Hillpointe Detail'!BI38+'Sandhill Detail'!BI38</f>
        <v>0</v>
      </c>
      <c r="BJ38" s="105">
        <f>'Hillpointe Detail'!BJ38+'Sandhill Detail'!BJ38</f>
        <v>0</v>
      </c>
      <c r="BK38" s="105">
        <f>'Hillpointe Detail'!BK38+'Sandhill Detail'!BK38</f>
        <v>520.07000000000005</v>
      </c>
      <c r="BL38" s="105">
        <f>'Hillpointe Detail'!BL38+'Sandhill Detail'!BL38</f>
        <v>0</v>
      </c>
      <c r="BM38" s="105">
        <f>'Hillpointe Detail'!BM38+'Sandhill Detail'!BM38</f>
        <v>0</v>
      </c>
      <c r="BN38" s="105">
        <f>'Hillpointe Detail'!BN38+'Sandhill Detail'!BN38</f>
        <v>0</v>
      </c>
      <c r="BO38" s="105">
        <f>'Hillpointe Detail'!BO38+'Sandhill Detail'!BO38</f>
        <v>0</v>
      </c>
      <c r="BP38" s="105">
        <f>'Hillpointe Detail'!BP38+'Sandhill Detail'!BP38</f>
        <v>0</v>
      </c>
      <c r="BQ38" s="105">
        <f>'Hillpointe Detail'!BQ38+'Sandhill Detail'!BQ38</f>
        <v>260</v>
      </c>
      <c r="BR38" s="105">
        <f>'Hillpointe Detail'!BR38+'Sandhill Detail'!BR38</f>
        <v>40</v>
      </c>
      <c r="BS38" s="105">
        <f>'Hillpointe Detail'!BS38+'Sandhill Detail'!BS38</f>
        <v>0</v>
      </c>
      <c r="BT38" s="105">
        <f>'Hillpointe Detail'!BT38+'Sandhill Detail'!BT38</f>
        <v>0</v>
      </c>
      <c r="BU38" s="105">
        <f>'Hillpointe Detail'!BU38+'Sandhill Detail'!BU38</f>
        <v>0</v>
      </c>
      <c r="BV38" s="105">
        <f>'Hillpointe Detail'!BV38+'Sandhill Detail'!BV38</f>
        <v>0</v>
      </c>
      <c r="BW38" s="105">
        <f>'Hillpointe Detail'!BW38+'Sandhill Detail'!BW38</f>
        <v>520.07000000000005</v>
      </c>
      <c r="BX38" s="105">
        <f>'Hillpointe Detail'!BX38+'Sandhill Detail'!BX38</f>
        <v>0</v>
      </c>
      <c r="BY38" s="8"/>
      <c r="BZ38" s="105">
        <f t="shared" si="46"/>
        <v>520.07000000000005</v>
      </c>
      <c r="CA38" s="105">
        <f t="shared" si="47"/>
        <v>820.07</v>
      </c>
      <c r="CC38" s="105">
        <f t="shared" si="49"/>
        <v>19524.98</v>
      </c>
      <c r="CD38" s="105">
        <f t="shared" si="49"/>
        <v>31518.29</v>
      </c>
      <c r="CE38" s="105">
        <f t="shared" si="49"/>
        <v>502114.5</v>
      </c>
      <c r="CF38" s="105">
        <f t="shared" si="49"/>
        <v>820.07</v>
      </c>
      <c r="CG38" s="105">
        <f t="shared" si="49"/>
        <v>820.07</v>
      </c>
      <c r="CH38" s="105">
        <f t="shared" si="49"/>
        <v>820.07</v>
      </c>
      <c r="CI38" s="105">
        <f t="shared" si="49"/>
        <v>820.07</v>
      </c>
      <c r="CJ38" s="105">
        <f t="shared" si="49"/>
        <v>820.07</v>
      </c>
      <c r="CL38" s="105"/>
      <c r="CM38" s="13"/>
    </row>
    <row r="39" spans="1:91" x14ac:dyDescent="0.3">
      <c r="A39" s="84" t="s">
        <v>9</v>
      </c>
      <c r="B39" s="10" t="s">
        <v>127</v>
      </c>
      <c r="C39" s="103">
        <v>7185.52</v>
      </c>
      <c r="D39" s="103">
        <v>46496.81</v>
      </c>
      <c r="E39" s="105">
        <f>'Hillpointe Detail'!E39+'Sandhill Detail'!E39</f>
        <v>0</v>
      </c>
      <c r="F39" s="105">
        <f>'Hillpointe Detail'!F39+'Sandhill Detail'!F39</f>
        <v>494</v>
      </c>
      <c r="G39" s="105">
        <f>'Hillpointe Detail'!G39+'Sandhill Detail'!G39</f>
        <v>3097</v>
      </c>
      <c r="H39" s="105">
        <f>'Hillpointe Detail'!H39+'Sandhill Detail'!H39</f>
        <v>2798</v>
      </c>
      <c r="I39" s="105">
        <f>'Hillpointe Detail'!I39+'Sandhill Detail'!I39</f>
        <v>1780</v>
      </c>
      <c r="J39" s="105">
        <f>'Hillpointe Detail'!J39+'Sandhill Detail'!J39</f>
        <v>1708</v>
      </c>
      <c r="K39" s="105">
        <f>'Hillpointe Detail'!K39+'Sandhill Detail'!K39</f>
        <v>1947</v>
      </c>
      <c r="L39" s="105">
        <f>'Hillpointe Detail'!L39+'Sandhill Detail'!L39</f>
        <v>3682</v>
      </c>
      <c r="M39" s="105">
        <f>'Hillpointe Detail'!M39+'Sandhill Detail'!M39</f>
        <v>3257</v>
      </c>
      <c r="N39" s="105">
        <f>'Hillpointe Detail'!N39+'Sandhill Detail'!N39</f>
        <v>3125</v>
      </c>
      <c r="O39" s="105">
        <f>'Hillpointe Detail'!O39+'Sandhill Detail'!O39</f>
        <v>5052</v>
      </c>
      <c r="P39" s="105">
        <f>'Hillpointe Detail'!P39+'Sandhill Detail'!P39</f>
        <v>960.5</v>
      </c>
      <c r="Q39" s="105">
        <f>'Hillpointe Detail'!Q39+'Sandhill Detail'!Q39</f>
        <v>1601</v>
      </c>
      <c r="R39" s="105">
        <f>'Hillpointe Detail'!R39+'Sandhill Detail'!R39</f>
        <v>2874.5</v>
      </c>
      <c r="S39" s="105">
        <f>'Hillpointe Detail'!S39+'Sandhill Detail'!S39</f>
        <v>3882.51</v>
      </c>
      <c r="T39" s="105">
        <f>'Hillpointe Detail'!T39+'Sandhill Detail'!T39</f>
        <v>3765.49</v>
      </c>
      <c r="U39" s="105">
        <f>'Hillpointe Detail'!U39+'Sandhill Detail'!U39</f>
        <v>2178</v>
      </c>
      <c r="V39" s="105">
        <f>'Hillpointe Detail'!V39+'Sandhill Detail'!V39</f>
        <v>3082.5</v>
      </c>
      <c r="W39" s="105">
        <f>'Hillpointe Detail'!W39+'Sandhill Detail'!W39</f>
        <v>3558.25</v>
      </c>
      <c r="X39" s="105">
        <f>'Hillpointe Detail'!X39+'Sandhill Detail'!X39</f>
        <v>7056.5</v>
      </c>
      <c r="Y39" s="105">
        <f>'Hillpointe Detail'!Y39+'Sandhill Detail'!Y39</f>
        <v>6423.55</v>
      </c>
      <c r="Z39" s="105">
        <f>'Hillpointe Detail'!Z39+'Sandhill Detail'!Z39</f>
        <v>2358.91</v>
      </c>
      <c r="AA39" s="105">
        <f>'Hillpointe Detail'!AA39+'Sandhill Detail'!AA39</f>
        <v>3328.3999999999996</v>
      </c>
      <c r="AB39" s="105">
        <f>'Hillpointe Detail'!AB39+'Sandhill Detail'!AB39</f>
        <v>960.5</v>
      </c>
      <c r="AC39" s="105">
        <f>'Hillpointe Detail'!AC39+'Sandhill Detail'!AC39</f>
        <v>2668.3333333333335</v>
      </c>
      <c r="AD39" s="105">
        <f>'Hillpointe Detail'!AD39+'Sandhill Detail'!AD39</f>
        <v>4790.8333333333339</v>
      </c>
      <c r="AE39" s="105">
        <f>'Hillpointe Detail'!AE39+'Sandhill Detail'!AE39</f>
        <v>6470.85</v>
      </c>
      <c r="AF39" s="105">
        <f>'Hillpointe Detail'!AF39+'Sandhill Detail'!AF39</f>
        <v>6275.8166666666657</v>
      </c>
      <c r="AG39" s="105">
        <f>'Hillpointe Detail'!AG39+'Sandhill Detail'!AG39</f>
        <v>3630</v>
      </c>
      <c r="AH39" s="105">
        <f>'Hillpointe Detail'!AH39+'Sandhill Detail'!AH39</f>
        <v>5137.5000000000009</v>
      </c>
      <c r="AI39" s="105">
        <f>'Hillpointe Detail'!AI39+'Sandhill Detail'!AI39</f>
        <v>5930.416666666667</v>
      </c>
      <c r="AJ39" s="105">
        <f>'Hillpointe Detail'!AJ39+'Sandhill Detail'!AJ39</f>
        <v>11760.833333333332</v>
      </c>
      <c r="AK39" s="105">
        <f>'Hillpointe Detail'!AK39+'Sandhill Detail'!AK39</f>
        <v>10705.916666666668</v>
      </c>
      <c r="AL39" s="105">
        <f>'Hillpointe Detail'!AL39+'Sandhill Detail'!AL39</f>
        <v>3931.5166666666664</v>
      </c>
      <c r="AM39" s="105">
        <f>'Hillpointe Detail'!AM39+'Sandhill Detail'!AM39</f>
        <v>5547.333333333333</v>
      </c>
      <c r="AN39" s="105">
        <f>'Hillpointe Detail'!AN39+'Sandhill Detail'!AN39</f>
        <v>1600.8333333333335</v>
      </c>
      <c r="AO39" s="105">
        <f>'Hillpointe Detail'!AO39+'Sandhill Detail'!AO39</f>
        <v>3202</v>
      </c>
      <c r="AP39" s="105">
        <f>'Hillpointe Detail'!AP39+'Sandhill Detail'!AP39</f>
        <v>5749</v>
      </c>
      <c r="AQ39" s="105">
        <f>'Hillpointe Detail'!AQ39+'Sandhill Detail'!AQ39</f>
        <v>7765.02</v>
      </c>
      <c r="AR39" s="105">
        <f>'Hillpointe Detail'!AR39+'Sandhill Detail'!AR39</f>
        <v>7530.98</v>
      </c>
      <c r="AS39" s="105">
        <f>'Hillpointe Detail'!AS39+'Sandhill Detail'!AS39</f>
        <v>4356</v>
      </c>
      <c r="AT39" s="105">
        <f>'Hillpointe Detail'!AT39+'Sandhill Detail'!AT39</f>
        <v>6165.0000000000009</v>
      </c>
      <c r="AU39" s="105">
        <f>'Hillpointe Detail'!AU39+'Sandhill Detail'!AU39</f>
        <v>7116.5</v>
      </c>
      <c r="AV39" s="105">
        <f>'Hillpointe Detail'!AV39+'Sandhill Detail'!AV39</f>
        <v>14113</v>
      </c>
      <c r="AW39" s="105">
        <f>'Hillpointe Detail'!AW39+'Sandhill Detail'!AW39</f>
        <v>12847.1</v>
      </c>
      <c r="AX39" s="105">
        <f>'Hillpointe Detail'!AX39+'Sandhill Detail'!AX39</f>
        <v>4717.82</v>
      </c>
      <c r="AY39" s="105">
        <f>'Hillpointe Detail'!AY39+'Sandhill Detail'!AY39</f>
        <v>6656.7999999999993</v>
      </c>
      <c r="AZ39" s="105">
        <f>'Hillpointe Detail'!AZ39+'Sandhill Detail'!AZ39</f>
        <v>1921</v>
      </c>
      <c r="BA39" s="105">
        <f>'Hillpointe Detail'!BA39+'Sandhill Detail'!BA39</f>
        <v>3362.1</v>
      </c>
      <c r="BB39" s="105">
        <f>'Hillpointe Detail'!BB39+'Sandhill Detail'!BB39</f>
        <v>6036.4500000000007</v>
      </c>
      <c r="BC39" s="105">
        <f>'Hillpointe Detail'!BC39+'Sandhill Detail'!BC39</f>
        <v>8153.2710000000006</v>
      </c>
      <c r="BD39" s="105">
        <f>'Hillpointe Detail'!BD39+'Sandhill Detail'!BD39</f>
        <v>7907.5289999999995</v>
      </c>
      <c r="BE39" s="105">
        <f>'Hillpointe Detail'!BE39+'Sandhill Detail'!BE39</f>
        <v>4573.8</v>
      </c>
      <c r="BF39" s="105">
        <f>'Hillpointe Detail'!BF39+'Sandhill Detail'!BF39</f>
        <v>6473.2500000000018</v>
      </c>
      <c r="BG39" s="105">
        <f>'Hillpointe Detail'!BG39+'Sandhill Detail'!BG39</f>
        <v>7472.3249999999998</v>
      </c>
      <c r="BH39" s="105">
        <f>'Hillpointe Detail'!BH39+'Sandhill Detail'!BH39</f>
        <v>14818.65</v>
      </c>
      <c r="BI39" s="105">
        <f>'Hillpointe Detail'!BI39+'Sandhill Detail'!BI39</f>
        <v>13489.455</v>
      </c>
      <c r="BJ39" s="105">
        <f>'Hillpointe Detail'!BJ39+'Sandhill Detail'!BJ39</f>
        <v>4953.7110000000002</v>
      </c>
      <c r="BK39" s="105">
        <f>'Hillpointe Detail'!BK39+'Sandhill Detail'!BK39</f>
        <v>6989.6399999999994</v>
      </c>
      <c r="BL39" s="105">
        <f>'Hillpointe Detail'!BL39+'Sandhill Detail'!BL39</f>
        <v>2017.0500000000002</v>
      </c>
      <c r="BM39" s="105">
        <f>'Hillpointe Detail'!BM39+'Sandhill Detail'!BM39</f>
        <v>3530.2050000000004</v>
      </c>
      <c r="BN39" s="105">
        <f>'Hillpointe Detail'!BN39+'Sandhill Detail'!BN39</f>
        <v>6338.2725000000009</v>
      </c>
      <c r="BO39" s="105">
        <f>'Hillpointe Detail'!BO39+'Sandhill Detail'!BO39</f>
        <v>8560.9345500000018</v>
      </c>
      <c r="BP39" s="105">
        <f>'Hillpointe Detail'!BP39+'Sandhill Detail'!BP39</f>
        <v>8302.9054500000002</v>
      </c>
      <c r="BQ39" s="105">
        <f>'Hillpointe Detail'!BQ39+'Sandhill Detail'!BQ39</f>
        <v>4802.4900000000007</v>
      </c>
      <c r="BR39" s="105">
        <f>'Hillpointe Detail'!BR39+'Sandhill Detail'!BR39</f>
        <v>6796.9125000000022</v>
      </c>
      <c r="BS39" s="105">
        <f>'Hillpointe Detail'!BS39+'Sandhill Detail'!BS39</f>
        <v>7845.9412499999999</v>
      </c>
      <c r="BT39" s="105">
        <f>'Hillpointe Detail'!BT39+'Sandhill Detail'!BT39</f>
        <v>15559.5825</v>
      </c>
      <c r="BU39" s="105">
        <f>'Hillpointe Detail'!BU39+'Sandhill Detail'!BU39</f>
        <v>14163.927750000001</v>
      </c>
      <c r="BV39" s="105">
        <f>'Hillpointe Detail'!BV39+'Sandhill Detail'!BV39</f>
        <v>5201.3965500000004</v>
      </c>
      <c r="BW39" s="105">
        <f>'Hillpointe Detail'!BW39+'Sandhill Detail'!BW39</f>
        <v>7339.1219999999994</v>
      </c>
      <c r="BX39" s="105">
        <f>'Hillpointe Detail'!BX39+'Sandhill Detail'!BX39</f>
        <v>2117.9025000000001</v>
      </c>
      <c r="BY39" s="8"/>
      <c r="BZ39" s="105">
        <f t="shared" si="46"/>
        <v>3328.3999999999996</v>
      </c>
      <c r="CA39" s="105">
        <f t="shared" si="47"/>
        <v>40109.610000000008</v>
      </c>
      <c r="CC39" s="105">
        <f t="shared" si="49"/>
        <v>7185.52</v>
      </c>
      <c r="CD39" s="105">
        <f t="shared" si="49"/>
        <v>46496.81</v>
      </c>
      <c r="CE39" s="105">
        <f t="shared" si="49"/>
        <v>27900.5</v>
      </c>
      <c r="CF39" s="105">
        <f t="shared" si="49"/>
        <v>41070.110000000008</v>
      </c>
      <c r="CG39" s="105">
        <f t="shared" si="49"/>
        <v>68450.18333333332</v>
      </c>
      <c r="CH39" s="105">
        <f t="shared" si="49"/>
        <v>82140.220000000016</v>
      </c>
      <c r="CI39" s="105">
        <f t="shared" si="49"/>
        <v>86247.231</v>
      </c>
      <c r="CJ39" s="105">
        <f t="shared" si="49"/>
        <v>90559.592550000016</v>
      </c>
      <c r="CL39" s="105"/>
      <c r="CM39" s="13"/>
    </row>
    <row r="40" spans="1:91" x14ac:dyDescent="0.3">
      <c r="A40" s="84" t="s">
        <v>10</v>
      </c>
      <c r="B40" s="10" t="s">
        <v>127</v>
      </c>
      <c r="C40" s="103">
        <v>0</v>
      </c>
      <c r="D40" s="103">
        <v>0</v>
      </c>
      <c r="E40" s="105">
        <f>'Hillpointe Detail'!E40+'Sandhill Detail'!E40</f>
        <v>0</v>
      </c>
      <c r="F40" s="105">
        <f>'Hillpointe Detail'!F40+'Sandhill Detail'!F40</f>
        <v>0</v>
      </c>
      <c r="G40" s="105">
        <f>'Hillpointe Detail'!G40+'Sandhill Detail'!G40</f>
        <v>0</v>
      </c>
      <c r="H40" s="105">
        <f>'Hillpointe Detail'!H40+'Sandhill Detail'!H40</f>
        <v>2300</v>
      </c>
      <c r="I40" s="105">
        <f>'Hillpointe Detail'!I40+'Sandhill Detail'!I40</f>
        <v>0</v>
      </c>
      <c r="J40" s="105">
        <f>'Hillpointe Detail'!J40+'Sandhill Detail'!J40</f>
        <v>0</v>
      </c>
      <c r="K40" s="105">
        <f>'Hillpointe Detail'!K40+'Sandhill Detail'!K40</f>
        <v>0</v>
      </c>
      <c r="L40" s="105">
        <f>'Hillpointe Detail'!L40+'Sandhill Detail'!L40</f>
        <v>0</v>
      </c>
      <c r="M40" s="105">
        <f>'Hillpointe Detail'!M40+'Sandhill Detail'!M40</f>
        <v>0</v>
      </c>
      <c r="N40" s="105">
        <f>'Hillpointe Detail'!N40+'Sandhill Detail'!N40</f>
        <v>0</v>
      </c>
      <c r="O40" s="105">
        <f>'Hillpointe Detail'!O40+'Sandhill Detail'!O40</f>
        <v>0</v>
      </c>
      <c r="P40" s="105">
        <f>'Hillpointe Detail'!P40+'Sandhill Detail'!P40</f>
        <v>0</v>
      </c>
      <c r="Q40" s="105">
        <f>'Hillpointe Detail'!Q40+'Sandhill Detail'!Q40</f>
        <v>0</v>
      </c>
      <c r="R40" s="105">
        <f>'Hillpointe Detail'!R40+'Sandhill Detail'!R40</f>
        <v>0</v>
      </c>
      <c r="S40" s="105">
        <f>'Hillpointe Detail'!S40+'Sandhill Detail'!S40</f>
        <v>0</v>
      </c>
      <c r="T40" s="105">
        <f>'Hillpointe Detail'!T40+'Sandhill Detail'!T40</f>
        <v>0</v>
      </c>
      <c r="U40" s="105">
        <f>'Hillpointe Detail'!U40+'Sandhill Detail'!U40</f>
        <v>0</v>
      </c>
      <c r="V40" s="105">
        <f>'Hillpointe Detail'!V40+'Sandhill Detail'!V40</f>
        <v>0</v>
      </c>
      <c r="W40" s="105">
        <f>'Hillpointe Detail'!W40+'Sandhill Detail'!W40</f>
        <v>0</v>
      </c>
      <c r="X40" s="105">
        <f>'Hillpointe Detail'!X40+'Sandhill Detail'!X40</f>
        <v>0</v>
      </c>
      <c r="Y40" s="105">
        <f>'Hillpointe Detail'!Y40+'Sandhill Detail'!Y40</f>
        <v>0</v>
      </c>
      <c r="Z40" s="105">
        <f>'Hillpointe Detail'!Z40+'Sandhill Detail'!Z40</f>
        <v>0</v>
      </c>
      <c r="AA40" s="105">
        <f>'Hillpointe Detail'!AA40+'Sandhill Detail'!AA40</f>
        <v>0</v>
      </c>
      <c r="AB40" s="105">
        <f>'Hillpointe Detail'!AB40+'Sandhill Detail'!AB40</f>
        <v>0</v>
      </c>
      <c r="AC40" s="105">
        <f>'Hillpointe Detail'!AC40+'Sandhill Detail'!AC40</f>
        <v>0</v>
      </c>
      <c r="AD40" s="105">
        <f>'Hillpointe Detail'!AD40+'Sandhill Detail'!AD40</f>
        <v>0</v>
      </c>
      <c r="AE40" s="105">
        <f>'Hillpointe Detail'!AE40+'Sandhill Detail'!AE40</f>
        <v>0</v>
      </c>
      <c r="AF40" s="105">
        <f>'Hillpointe Detail'!AF40+'Sandhill Detail'!AF40</f>
        <v>0</v>
      </c>
      <c r="AG40" s="105">
        <f>'Hillpointe Detail'!AG40+'Sandhill Detail'!AG40</f>
        <v>0</v>
      </c>
      <c r="AH40" s="105">
        <f>'Hillpointe Detail'!AH40+'Sandhill Detail'!AH40</f>
        <v>0</v>
      </c>
      <c r="AI40" s="105">
        <f>'Hillpointe Detail'!AI40+'Sandhill Detail'!AI40</f>
        <v>0</v>
      </c>
      <c r="AJ40" s="105">
        <f>'Hillpointe Detail'!AJ40+'Sandhill Detail'!AJ40</f>
        <v>0</v>
      </c>
      <c r="AK40" s="105">
        <f>'Hillpointe Detail'!AK40+'Sandhill Detail'!AK40</f>
        <v>0</v>
      </c>
      <c r="AL40" s="105">
        <f>'Hillpointe Detail'!AL40+'Sandhill Detail'!AL40</f>
        <v>0</v>
      </c>
      <c r="AM40" s="105">
        <f>'Hillpointe Detail'!AM40+'Sandhill Detail'!AM40</f>
        <v>0</v>
      </c>
      <c r="AN40" s="105">
        <f>'Hillpointe Detail'!AN40+'Sandhill Detail'!AN40</f>
        <v>0</v>
      </c>
      <c r="AO40" s="105">
        <f>'Hillpointe Detail'!AO40+'Sandhill Detail'!AO40</f>
        <v>0</v>
      </c>
      <c r="AP40" s="105">
        <f>'Hillpointe Detail'!AP40+'Sandhill Detail'!AP40</f>
        <v>0</v>
      </c>
      <c r="AQ40" s="105">
        <f>'Hillpointe Detail'!AQ40+'Sandhill Detail'!AQ40</f>
        <v>0</v>
      </c>
      <c r="AR40" s="105">
        <f>'Hillpointe Detail'!AR40+'Sandhill Detail'!AR40</f>
        <v>0</v>
      </c>
      <c r="AS40" s="105">
        <f>'Hillpointe Detail'!AS40+'Sandhill Detail'!AS40</f>
        <v>0</v>
      </c>
      <c r="AT40" s="105">
        <f>'Hillpointe Detail'!AT40+'Sandhill Detail'!AT40</f>
        <v>0</v>
      </c>
      <c r="AU40" s="105">
        <f>'Hillpointe Detail'!AU40+'Sandhill Detail'!AU40</f>
        <v>0</v>
      </c>
      <c r="AV40" s="105">
        <f>'Hillpointe Detail'!AV40+'Sandhill Detail'!AV40</f>
        <v>0</v>
      </c>
      <c r="AW40" s="105">
        <f>'Hillpointe Detail'!AW40+'Sandhill Detail'!AW40</f>
        <v>0</v>
      </c>
      <c r="AX40" s="105">
        <f>'Hillpointe Detail'!AX40+'Sandhill Detail'!AX40</f>
        <v>0</v>
      </c>
      <c r="AY40" s="105">
        <f>'Hillpointe Detail'!AY40+'Sandhill Detail'!AY40</f>
        <v>0</v>
      </c>
      <c r="AZ40" s="105">
        <f>'Hillpointe Detail'!AZ40+'Sandhill Detail'!AZ40</f>
        <v>0</v>
      </c>
      <c r="BA40" s="105">
        <f>'Hillpointe Detail'!BA40+'Sandhill Detail'!BA40</f>
        <v>0</v>
      </c>
      <c r="BB40" s="105">
        <f>'Hillpointe Detail'!BB40+'Sandhill Detail'!BB40</f>
        <v>0</v>
      </c>
      <c r="BC40" s="105">
        <f>'Hillpointe Detail'!BC40+'Sandhill Detail'!BC40</f>
        <v>0</v>
      </c>
      <c r="BD40" s="105">
        <f>'Hillpointe Detail'!BD40+'Sandhill Detail'!BD40</f>
        <v>0</v>
      </c>
      <c r="BE40" s="105">
        <f>'Hillpointe Detail'!BE40+'Sandhill Detail'!BE40</f>
        <v>0</v>
      </c>
      <c r="BF40" s="105">
        <f>'Hillpointe Detail'!BF40+'Sandhill Detail'!BF40</f>
        <v>0</v>
      </c>
      <c r="BG40" s="105">
        <f>'Hillpointe Detail'!BG40+'Sandhill Detail'!BG40</f>
        <v>0</v>
      </c>
      <c r="BH40" s="105">
        <f>'Hillpointe Detail'!BH40+'Sandhill Detail'!BH40</f>
        <v>0</v>
      </c>
      <c r="BI40" s="105">
        <f>'Hillpointe Detail'!BI40+'Sandhill Detail'!BI40</f>
        <v>0</v>
      </c>
      <c r="BJ40" s="105">
        <f>'Hillpointe Detail'!BJ40+'Sandhill Detail'!BJ40</f>
        <v>0</v>
      </c>
      <c r="BK40" s="105">
        <f>'Hillpointe Detail'!BK40+'Sandhill Detail'!BK40</f>
        <v>0</v>
      </c>
      <c r="BL40" s="105">
        <f>'Hillpointe Detail'!BL40+'Sandhill Detail'!BL40</f>
        <v>0</v>
      </c>
      <c r="BM40" s="105">
        <f>'Hillpointe Detail'!BM40+'Sandhill Detail'!BM40</f>
        <v>0</v>
      </c>
      <c r="BN40" s="105">
        <f>'Hillpointe Detail'!BN40+'Sandhill Detail'!BN40</f>
        <v>0</v>
      </c>
      <c r="BO40" s="105">
        <f>'Hillpointe Detail'!BO40+'Sandhill Detail'!BO40</f>
        <v>0</v>
      </c>
      <c r="BP40" s="105">
        <f>'Hillpointe Detail'!BP40+'Sandhill Detail'!BP40</f>
        <v>0</v>
      </c>
      <c r="BQ40" s="105">
        <f>'Hillpointe Detail'!BQ40+'Sandhill Detail'!BQ40</f>
        <v>0</v>
      </c>
      <c r="BR40" s="105">
        <f>'Hillpointe Detail'!BR40+'Sandhill Detail'!BR40</f>
        <v>0</v>
      </c>
      <c r="BS40" s="105">
        <f>'Hillpointe Detail'!BS40+'Sandhill Detail'!BS40</f>
        <v>0</v>
      </c>
      <c r="BT40" s="105">
        <f>'Hillpointe Detail'!BT40+'Sandhill Detail'!BT40</f>
        <v>0</v>
      </c>
      <c r="BU40" s="105">
        <f>'Hillpointe Detail'!BU40+'Sandhill Detail'!BU40</f>
        <v>0</v>
      </c>
      <c r="BV40" s="105">
        <f>'Hillpointe Detail'!BV40+'Sandhill Detail'!BV40</f>
        <v>0</v>
      </c>
      <c r="BW40" s="105">
        <f>'Hillpointe Detail'!BW40+'Sandhill Detail'!BW40</f>
        <v>0</v>
      </c>
      <c r="BX40" s="105">
        <f>'Hillpointe Detail'!BX40+'Sandhill Detail'!BX40</f>
        <v>0</v>
      </c>
      <c r="BY40" s="8"/>
      <c r="BZ40" s="105">
        <f t="shared" si="46"/>
        <v>0</v>
      </c>
      <c r="CA40" s="105">
        <f t="shared" si="47"/>
        <v>0</v>
      </c>
      <c r="CC40" s="105">
        <f t="shared" si="49"/>
        <v>0</v>
      </c>
      <c r="CD40" s="105">
        <f t="shared" si="49"/>
        <v>0</v>
      </c>
      <c r="CE40" s="105">
        <f t="shared" si="49"/>
        <v>2300</v>
      </c>
      <c r="CF40" s="105">
        <f t="shared" si="49"/>
        <v>0</v>
      </c>
      <c r="CG40" s="105">
        <f t="shared" si="49"/>
        <v>0</v>
      </c>
      <c r="CH40" s="105">
        <f t="shared" si="49"/>
        <v>0</v>
      </c>
      <c r="CI40" s="105">
        <f t="shared" si="49"/>
        <v>0</v>
      </c>
      <c r="CJ40" s="105">
        <f t="shared" si="49"/>
        <v>0</v>
      </c>
      <c r="CL40" s="105"/>
      <c r="CM40" s="13"/>
    </row>
    <row r="41" spans="1:91" x14ac:dyDescent="0.3">
      <c r="A41" s="84" t="s">
        <v>351</v>
      </c>
      <c r="B41" s="10" t="s">
        <v>124</v>
      </c>
      <c r="C41" s="103">
        <v>0</v>
      </c>
      <c r="D41" s="103">
        <v>0</v>
      </c>
      <c r="E41" s="105">
        <f>'Hillpointe Detail'!E41+'Sandhill Detail'!E41</f>
        <v>0</v>
      </c>
      <c r="F41" s="105">
        <f>'Hillpointe Detail'!F41+'Sandhill Detail'!F41</f>
        <v>0</v>
      </c>
      <c r="G41" s="105">
        <f>'Hillpointe Detail'!G41+'Sandhill Detail'!G41</f>
        <v>0</v>
      </c>
      <c r="H41" s="105">
        <f>'Hillpointe Detail'!H41+'Sandhill Detail'!H41</f>
        <v>0</v>
      </c>
      <c r="I41" s="105">
        <f>'Hillpointe Detail'!I41+'Sandhill Detail'!I41</f>
        <v>0</v>
      </c>
      <c r="J41" s="105">
        <f>'Hillpointe Detail'!J41+'Sandhill Detail'!J41</f>
        <v>0</v>
      </c>
      <c r="K41" s="105">
        <f>'Hillpointe Detail'!K41+'Sandhill Detail'!K41</f>
        <v>0</v>
      </c>
      <c r="L41" s="105">
        <f>'Hillpointe Detail'!L41+'Sandhill Detail'!L41</f>
        <v>0</v>
      </c>
      <c r="M41" s="105">
        <f>'Hillpointe Detail'!M41+'Sandhill Detail'!M41</f>
        <v>0</v>
      </c>
      <c r="N41" s="105">
        <f>'Hillpointe Detail'!N41+'Sandhill Detail'!N41</f>
        <v>0</v>
      </c>
      <c r="O41" s="105">
        <f>'Hillpointe Detail'!O41+'Sandhill Detail'!O41</f>
        <v>0</v>
      </c>
      <c r="P41" s="105">
        <f>'Hillpointe Detail'!P41+'Sandhill Detail'!P41</f>
        <v>0</v>
      </c>
      <c r="Q41" s="105">
        <f>'Hillpointe Detail'!Q41+'Sandhill Detail'!Q41</f>
        <v>0</v>
      </c>
      <c r="R41" s="105">
        <f>'Hillpointe Detail'!R41+'Sandhill Detail'!R41</f>
        <v>0</v>
      </c>
      <c r="S41" s="105">
        <f>'Hillpointe Detail'!S41+'Sandhill Detail'!S41</f>
        <v>0</v>
      </c>
      <c r="T41" s="105">
        <f>'Hillpointe Detail'!T41+'Sandhill Detail'!T41</f>
        <v>0</v>
      </c>
      <c r="U41" s="105">
        <f>'Hillpointe Detail'!U41+'Sandhill Detail'!U41</f>
        <v>0</v>
      </c>
      <c r="V41" s="105">
        <f>'Hillpointe Detail'!V41+'Sandhill Detail'!V41</f>
        <v>0</v>
      </c>
      <c r="W41" s="105">
        <f>'Hillpointe Detail'!W41+'Sandhill Detail'!W41</f>
        <v>10</v>
      </c>
      <c r="X41" s="105">
        <f>'Hillpointe Detail'!X41+'Sandhill Detail'!X41</f>
        <v>420</v>
      </c>
      <c r="Y41" s="105">
        <f>'Hillpointe Detail'!Y41+'Sandhill Detail'!Y41</f>
        <v>0</v>
      </c>
      <c r="Z41" s="105">
        <f>'Hillpointe Detail'!Z41+'Sandhill Detail'!Z41</f>
        <v>0</v>
      </c>
      <c r="AA41" s="105">
        <f>'Hillpointe Detail'!AA41+'Sandhill Detail'!AA41</f>
        <v>53</v>
      </c>
      <c r="AB41" s="105">
        <f>'Hillpointe Detail'!AB41+'Sandhill Detail'!AB41</f>
        <v>0</v>
      </c>
      <c r="AC41" s="105">
        <f>'Hillpointe Detail'!AC41+'Sandhill Detail'!AC41</f>
        <v>0</v>
      </c>
      <c r="AD41" s="105">
        <f>'Hillpointe Detail'!AD41+'Sandhill Detail'!AD41</f>
        <v>0</v>
      </c>
      <c r="AE41" s="105">
        <f>'Hillpointe Detail'!AE41+'Sandhill Detail'!AE41</f>
        <v>0</v>
      </c>
      <c r="AF41" s="105">
        <f>'Hillpointe Detail'!AF41+'Sandhill Detail'!AF41</f>
        <v>0</v>
      </c>
      <c r="AG41" s="105">
        <f>'Hillpointe Detail'!AG41+'Sandhill Detail'!AG41</f>
        <v>0</v>
      </c>
      <c r="AH41" s="105">
        <f>'Hillpointe Detail'!AH41+'Sandhill Detail'!AH41</f>
        <v>0</v>
      </c>
      <c r="AI41" s="105">
        <f>'Hillpointe Detail'!AI41+'Sandhill Detail'!AI41</f>
        <v>10</v>
      </c>
      <c r="AJ41" s="105">
        <f>'Hillpointe Detail'!AJ41+'Sandhill Detail'!AJ41</f>
        <v>420</v>
      </c>
      <c r="AK41" s="105">
        <f>'Hillpointe Detail'!AK41+'Sandhill Detail'!AK41</f>
        <v>0</v>
      </c>
      <c r="AL41" s="105">
        <f>'Hillpointe Detail'!AL41+'Sandhill Detail'!AL41</f>
        <v>0</v>
      </c>
      <c r="AM41" s="105">
        <f>'Hillpointe Detail'!AM41+'Sandhill Detail'!AM41</f>
        <v>53</v>
      </c>
      <c r="AN41" s="105">
        <f>'Hillpointe Detail'!AN41+'Sandhill Detail'!AN41</f>
        <v>0</v>
      </c>
      <c r="AO41" s="105">
        <f>'Hillpointe Detail'!AO41+'Sandhill Detail'!AO41</f>
        <v>0</v>
      </c>
      <c r="AP41" s="105">
        <f>'Hillpointe Detail'!AP41+'Sandhill Detail'!AP41</f>
        <v>0</v>
      </c>
      <c r="AQ41" s="105">
        <f>'Hillpointe Detail'!AQ41+'Sandhill Detail'!AQ41</f>
        <v>0</v>
      </c>
      <c r="AR41" s="105">
        <f>'Hillpointe Detail'!AR41+'Sandhill Detail'!AR41</f>
        <v>0</v>
      </c>
      <c r="AS41" s="105">
        <f>'Hillpointe Detail'!AS41+'Sandhill Detail'!AS41</f>
        <v>0</v>
      </c>
      <c r="AT41" s="105">
        <f>'Hillpointe Detail'!AT41+'Sandhill Detail'!AT41</f>
        <v>0</v>
      </c>
      <c r="AU41" s="105">
        <f>'Hillpointe Detail'!AU41+'Sandhill Detail'!AU41</f>
        <v>10</v>
      </c>
      <c r="AV41" s="105">
        <f>'Hillpointe Detail'!AV41+'Sandhill Detail'!AV41</f>
        <v>420</v>
      </c>
      <c r="AW41" s="105">
        <f>'Hillpointe Detail'!AW41+'Sandhill Detail'!AW41</f>
        <v>0</v>
      </c>
      <c r="AX41" s="105">
        <f>'Hillpointe Detail'!AX41+'Sandhill Detail'!AX41</f>
        <v>0</v>
      </c>
      <c r="AY41" s="105">
        <f>'Hillpointe Detail'!AY41+'Sandhill Detail'!AY41</f>
        <v>53</v>
      </c>
      <c r="AZ41" s="105">
        <f>'Hillpointe Detail'!AZ41+'Sandhill Detail'!AZ41</f>
        <v>0</v>
      </c>
      <c r="BA41" s="105">
        <f>'Hillpointe Detail'!BA41+'Sandhill Detail'!BA41</f>
        <v>0</v>
      </c>
      <c r="BB41" s="105">
        <f>'Hillpointe Detail'!BB41+'Sandhill Detail'!BB41</f>
        <v>0</v>
      </c>
      <c r="BC41" s="105">
        <f>'Hillpointe Detail'!BC41+'Sandhill Detail'!BC41</f>
        <v>0</v>
      </c>
      <c r="BD41" s="105">
        <f>'Hillpointe Detail'!BD41+'Sandhill Detail'!BD41</f>
        <v>0</v>
      </c>
      <c r="BE41" s="105">
        <f>'Hillpointe Detail'!BE41+'Sandhill Detail'!BE41</f>
        <v>0</v>
      </c>
      <c r="BF41" s="105">
        <f>'Hillpointe Detail'!BF41+'Sandhill Detail'!BF41</f>
        <v>0</v>
      </c>
      <c r="BG41" s="105">
        <f>'Hillpointe Detail'!BG41+'Sandhill Detail'!BG41</f>
        <v>10</v>
      </c>
      <c r="BH41" s="105">
        <f>'Hillpointe Detail'!BH41+'Sandhill Detail'!BH41</f>
        <v>420</v>
      </c>
      <c r="BI41" s="105">
        <f>'Hillpointe Detail'!BI41+'Sandhill Detail'!BI41</f>
        <v>0</v>
      </c>
      <c r="BJ41" s="105">
        <f>'Hillpointe Detail'!BJ41+'Sandhill Detail'!BJ41</f>
        <v>0</v>
      </c>
      <c r="BK41" s="105">
        <f>'Hillpointe Detail'!BK41+'Sandhill Detail'!BK41</f>
        <v>53</v>
      </c>
      <c r="BL41" s="105">
        <f>'Hillpointe Detail'!BL41+'Sandhill Detail'!BL41</f>
        <v>0</v>
      </c>
      <c r="BM41" s="105">
        <f>'Hillpointe Detail'!BM41+'Sandhill Detail'!BM41</f>
        <v>0</v>
      </c>
      <c r="BN41" s="105">
        <f>'Hillpointe Detail'!BN41+'Sandhill Detail'!BN41</f>
        <v>0</v>
      </c>
      <c r="BO41" s="105">
        <f>'Hillpointe Detail'!BO41+'Sandhill Detail'!BO41</f>
        <v>0</v>
      </c>
      <c r="BP41" s="105">
        <f>'Hillpointe Detail'!BP41+'Sandhill Detail'!BP41</f>
        <v>0</v>
      </c>
      <c r="BQ41" s="105">
        <f>'Hillpointe Detail'!BQ41+'Sandhill Detail'!BQ41</f>
        <v>0</v>
      </c>
      <c r="BR41" s="105">
        <f>'Hillpointe Detail'!BR41+'Sandhill Detail'!BR41</f>
        <v>0</v>
      </c>
      <c r="BS41" s="105">
        <f>'Hillpointe Detail'!BS41+'Sandhill Detail'!BS41</f>
        <v>10</v>
      </c>
      <c r="BT41" s="105">
        <f>'Hillpointe Detail'!BT41+'Sandhill Detail'!BT41</f>
        <v>420</v>
      </c>
      <c r="BU41" s="105">
        <f>'Hillpointe Detail'!BU41+'Sandhill Detail'!BU41</f>
        <v>0</v>
      </c>
      <c r="BV41" s="105">
        <f>'Hillpointe Detail'!BV41+'Sandhill Detail'!BV41</f>
        <v>0</v>
      </c>
      <c r="BW41" s="105">
        <f>'Hillpointe Detail'!BW41+'Sandhill Detail'!BW41</f>
        <v>53</v>
      </c>
      <c r="BX41" s="105">
        <f>'Hillpointe Detail'!BX41+'Sandhill Detail'!BX41</f>
        <v>0</v>
      </c>
      <c r="BY41" s="8"/>
      <c r="BZ41" s="105">
        <f t="shared" si="46"/>
        <v>53</v>
      </c>
      <c r="CA41" s="105">
        <f t="shared" si="47"/>
        <v>483</v>
      </c>
      <c r="CC41" s="105">
        <f t="shared" si="49"/>
        <v>0</v>
      </c>
      <c r="CD41" s="105">
        <f t="shared" si="49"/>
        <v>0</v>
      </c>
      <c r="CE41" s="105">
        <f t="shared" si="49"/>
        <v>0</v>
      </c>
      <c r="CF41" s="105">
        <f t="shared" si="49"/>
        <v>483</v>
      </c>
      <c r="CG41" s="105">
        <f t="shared" si="49"/>
        <v>483</v>
      </c>
      <c r="CH41" s="105">
        <f t="shared" si="49"/>
        <v>483</v>
      </c>
      <c r="CI41" s="105">
        <f t="shared" si="49"/>
        <v>483</v>
      </c>
      <c r="CJ41" s="105">
        <f t="shared" si="49"/>
        <v>483</v>
      </c>
      <c r="CL41" s="105"/>
      <c r="CM41" s="13"/>
    </row>
    <row r="42" spans="1:91" x14ac:dyDescent="0.3">
      <c r="A42" s="84" t="s">
        <v>11</v>
      </c>
      <c r="B42" s="10" t="s">
        <v>124</v>
      </c>
      <c r="C42" s="103">
        <v>0</v>
      </c>
      <c r="D42" s="103">
        <v>0</v>
      </c>
      <c r="E42" s="105">
        <f>'Hillpointe Detail'!E42+'Sandhill Detail'!E42</f>
        <v>0</v>
      </c>
      <c r="F42" s="105">
        <f>'Hillpointe Detail'!F42+'Sandhill Detail'!F42</f>
        <v>0</v>
      </c>
      <c r="G42" s="105">
        <f>'Hillpointe Detail'!G42+'Sandhill Detail'!G42</f>
        <v>319</v>
      </c>
      <c r="H42" s="105">
        <f>'Hillpointe Detail'!H42+'Sandhill Detail'!H42</f>
        <v>120</v>
      </c>
      <c r="I42" s="105">
        <f>'Hillpointe Detail'!I42+'Sandhill Detail'!I42</f>
        <v>20</v>
      </c>
      <c r="J42" s="105">
        <f>'Hillpointe Detail'!J42+'Sandhill Detail'!J42</f>
        <v>10</v>
      </c>
      <c r="K42" s="105">
        <f>'Hillpointe Detail'!K42+'Sandhill Detail'!K42</f>
        <v>0</v>
      </c>
      <c r="L42" s="105">
        <f>'Hillpointe Detail'!L42+'Sandhill Detail'!L42</f>
        <v>10.000000000000014</v>
      </c>
      <c r="M42" s="105">
        <f>'Hillpointe Detail'!M42+'Sandhill Detail'!M42</f>
        <v>0</v>
      </c>
      <c r="N42" s="105">
        <f>'Hillpointe Detail'!N42+'Sandhill Detail'!N42</f>
        <v>0</v>
      </c>
      <c r="O42" s="105">
        <f>'Hillpointe Detail'!O42+'Sandhill Detail'!O42</f>
        <v>20</v>
      </c>
      <c r="P42" s="105">
        <f>'Hillpointe Detail'!P42+'Sandhill Detail'!P42</f>
        <v>0</v>
      </c>
      <c r="Q42" s="105">
        <f>'Hillpointe Detail'!Q42+'Sandhill Detail'!Q42</f>
        <v>0</v>
      </c>
      <c r="R42" s="105">
        <f>'Hillpointe Detail'!R42+'Sandhill Detail'!R42</f>
        <v>0</v>
      </c>
      <c r="S42" s="105">
        <f>'Hillpointe Detail'!S42+'Sandhill Detail'!S42</f>
        <v>0</v>
      </c>
      <c r="T42" s="105">
        <f>'Hillpointe Detail'!T42+'Sandhill Detail'!T42</f>
        <v>340</v>
      </c>
      <c r="U42" s="105">
        <f>'Hillpointe Detail'!U42+'Sandhill Detail'!U42</f>
        <v>130</v>
      </c>
      <c r="V42" s="105">
        <f>'Hillpointe Detail'!V42+'Sandhill Detail'!V42</f>
        <v>0</v>
      </c>
      <c r="W42" s="105">
        <f>'Hillpointe Detail'!W42+'Sandhill Detail'!W42</f>
        <v>0</v>
      </c>
      <c r="X42" s="105">
        <f>'Hillpointe Detail'!X42+'Sandhill Detail'!X42</f>
        <v>0</v>
      </c>
      <c r="Y42" s="105">
        <f>'Hillpointe Detail'!Y42+'Sandhill Detail'!Y42</f>
        <v>0</v>
      </c>
      <c r="Z42" s="105">
        <f>'Hillpointe Detail'!Z42+'Sandhill Detail'!Z42</f>
        <v>0</v>
      </c>
      <c r="AA42" s="105">
        <f>'Hillpointe Detail'!AA42+'Sandhill Detail'!AA42</f>
        <v>0</v>
      </c>
      <c r="AB42" s="105">
        <f>'Hillpointe Detail'!AB42+'Sandhill Detail'!AB42</f>
        <v>0</v>
      </c>
      <c r="AC42" s="105">
        <f>'Hillpointe Detail'!AC42+'Sandhill Detail'!AC42</f>
        <v>0</v>
      </c>
      <c r="AD42" s="105">
        <f>'Hillpointe Detail'!AD42+'Sandhill Detail'!AD42</f>
        <v>0</v>
      </c>
      <c r="AE42" s="105">
        <f>'Hillpointe Detail'!AE42+'Sandhill Detail'!AE42</f>
        <v>0</v>
      </c>
      <c r="AF42" s="105">
        <f>'Hillpointe Detail'!AF42+'Sandhill Detail'!AF42</f>
        <v>340</v>
      </c>
      <c r="AG42" s="105">
        <f>'Hillpointe Detail'!AG42+'Sandhill Detail'!AG42</f>
        <v>130</v>
      </c>
      <c r="AH42" s="105">
        <f>'Hillpointe Detail'!AH42+'Sandhill Detail'!AH42</f>
        <v>0</v>
      </c>
      <c r="AI42" s="105">
        <f>'Hillpointe Detail'!AI42+'Sandhill Detail'!AI42</f>
        <v>0</v>
      </c>
      <c r="AJ42" s="105">
        <f>'Hillpointe Detail'!AJ42+'Sandhill Detail'!AJ42</f>
        <v>0</v>
      </c>
      <c r="AK42" s="105">
        <f>'Hillpointe Detail'!AK42+'Sandhill Detail'!AK42</f>
        <v>0</v>
      </c>
      <c r="AL42" s="105">
        <f>'Hillpointe Detail'!AL42+'Sandhill Detail'!AL42</f>
        <v>0</v>
      </c>
      <c r="AM42" s="105">
        <f>'Hillpointe Detail'!AM42+'Sandhill Detail'!AM42</f>
        <v>0</v>
      </c>
      <c r="AN42" s="105">
        <f>'Hillpointe Detail'!AN42+'Sandhill Detail'!AN42</f>
        <v>0</v>
      </c>
      <c r="AO42" s="105">
        <f>'Hillpointe Detail'!AO42+'Sandhill Detail'!AO42</f>
        <v>0</v>
      </c>
      <c r="AP42" s="105">
        <f>'Hillpointe Detail'!AP42+'Sandhill Detail'!AP42</f>
        <v>0</v>
      </c>
      <c r="AQ42" s="105">
        <f>'Hillpointe Detail'!AQ42+'Sandhill Detail'!AQ42</f>
        <v>0</v>
      </c>
      <c r="AR42" s="105">
        <f>'Hillpointe Detail'!AR42+'Sandhill Detail'!AR42</f>
        <v>340</v>
      </c>
      <c r="AS42" s="105">
        <f>'Hillpointe Detail'!AS42+'Sandhill Detail'!AS42</f>
        <v>130</v>
      </c>
      <c r="AT42" s="105">
        <f>'Hillpointe Detail'!AT42+'Sandhill Detail'!AT42</f>
        <v>0</v>
      </c>
      <c r="AU42" s="105">
        <f>'Hillpointe Detail'!AU42+'Sandhill Detail'!AU42</f>
        <v>0</v>
      </c>
      <c r="AV42" s="105">
        <f>'Hillpointe Detail'!AV42+'Sandhill Detail'!AV42</f>
        <v>0</v>
      </c>
      <c r="AW42" s="105">
        <f>'Hillpointe Detail'!AW42+'Sandhill Detail'!AW42</f>
        <v>0</v>
      </c>
      <c r="AX42" s="105">
        <f>'Hillpointe Detail'!AX42+'Sandhill Detail'!AX42</f>
        <v>0</v>
      </c>
      <c r="AY42" s="105">
        <f>'Hillpointe Detail'!AY42+'Sandhill Detail'!AY42</f>
        <v>0</v>
      </c>
      <c r="AZ42" s="105">
        <f>'Hillpointe Detail'!AZ42+'Sandhill Detail'!AZ42</f>
        <v>0</v>
      </c>
      <c r="BA42" s="105">
        <f>'Hillpointe Detail'!BA42+'Sandhill Detail'!BA42</f>
        <v>0</v>
      </c>
      <c r="BB42" s="105">
        <f>'Hillpointe Detail'!BB42+'Sandhill Detail'!BB42</f>
        <v>0</v>
      </c>
      <c r="BC42" s="105">
        <f>'Hillpointe Detail'!BC42+'Sandhill Detail'!BC42</f>
        <v>0</v>
      </c>
      <c r="BD42" s="105">
        <f>'Hillpointe Detail'!BD42+'Sandhill Detail'!BD42</f>
        <v>340</v>
      </c>
      <c r="BE42" s="105">
        <f>'Hillpointe Detail'!BE42+'Sandhill Detail'!BE42</f>
        <v>130</v>
      </c>
      <c r="BF42" s="105">
        <f>'Hillpointe Detail'!BF42+'Sandhill Detail'!BF42</f>
        <v>0</v>
      </c>
      <c r="BG42" s="105">
        <f>'Hillpointe Detail'!BG42+'Sandhill Detail'!BG42</f>
        <v>0</v>
      </c>
      <c r="BH42" s="105">
        <f>'Hillpointe Detail'!BH42+'Sandhill Detail'!BH42</f>
        <v>0</v>
      </c>
      <c r="BI42" s="105">
        <f>'Hillpointe Detail'!BI42+'Sandhill Detail'!BI42</f>
        <v>0</v>
      </c>
      <c r="BJ42" s="105">
        <f>'Hillpointe Detail'!BJ42+'Sandhill Detail'!BJ42</f>
        <v>0</v>
      </c>
      <c r="BK42" s="105">
        <f>'Hillpointe Detail'!BK42+'Sandhill Detail'!BK42</f>
        <v>0</v>
      </c>
      <c r="BL42" s="105">
        <f>'Hillpointe Detail'!BL42+'Sandhill Detail'!BL42</f>
        <v>0</v>
      </c>
      <c r="BM42" s="105">
        <f>'Hillpointe Detail'!BM42+'Sandhill Detail'!BM42</f>
        <v>0</v>
      </c>
      <c r="BN42" s="105">
        <f>'Hillpointe Detail'!BN42+'Sandhill Detail'!BN42</f>
        <v>0</v>
      </c>
      <c r="BO42" s="105">
        <f>'Hillpointe Detail'!BO42+'Sandhill Detail'!BO42</f>
        <v>0</v>
      </c>
      <c r="BP42" s="105">
        <f>'Hillpointe Detail'!BP42+'Sandhill Detail'!BP42</f>
        <v>340</v>
      </c>
      <c r="BQ42" s="105">
        <f>'Hillpointe Detail'!BQ42+'Sandhill Detail'!BQ42</f>
        <v>130</v>
      </c>
      <c r="BR42" s="105">
        <f>'Hillpointe Detail'!BR42+'Sandhill Detail'!BR42</f>
        <v>0</v>
      </c>
      <c r="BS42" s="105">
        <f>'Hillpointe Detail'!BS42+'Sandhill Detail'!BS42</f>
        <v>0</v>
      </c>
      <c r="BT42" s="105">
        <f>'Hillpointe Detail'!BT42+'Sandhill Detail'!BT42</f>
        <v>0</v>
      </c>
      <c r="BU42" s="105">
        <f>'Hillpointe Detail'!BU42+'Sandhill Detail'!BU42</f>
        <v>0</v>
      </c>
      <c r="BV42" s="105">
        <f>'Hillpointe Detail'!BV42+'Sandhill Detail'!BV42</f>
        <v>0</v>
      </c>
      <c r="BW42" s="105">
        <f>'Hillpointe Detail'!BW42+'Sandhill Detail'!BW42</f>
        <v>0</v>
      </c>
      <c r="BX42" s="105">
        <f>'Hillpointe Detail'!BX42+'Sandhill Detail'!BX42</f>
        <v>0</v>
      </c>
      <c r="BY42" s="8"/>
      <c r="BZ42" s="105">
        <f t="shared" si="46"/>
        <v>0</v>
      </c>
      <c r="CA42" s="105">
        <f t="shared" si="47"/>
        <v>470</v>
      </c>
      <c r="CC42" s="105">
        <f t="shared" si="49"/>
        <v>0</v>
      </c>
      <c r="CD42" s="105">
        <f t="shared" si="49"/>
        <v>0</v>
      </c>
      <c r="CE42" s="105">
        <f t="shared" si="49"/>
        <v>499</v>
      </c>
      <c r="CF42" s="105">
        <f t="shared" si="49"/>
        <v>470</v>
      </c>
      <c r="CG42" s="105">
        <f t="shared" si="49"/>
        <v>470</v>
      </c>
      <c r="CH42" s="105">
        <f t="shared" si="49"/>
        <v>470</v>
      </c>
      <c r="CI42" s="105">
        <f t="shared" si="49"/>
        <v>470</v>
      </c>
      <c r="CJ42" s="105">
        <f t="shared" si="49"/>
        <v>470</v>
      </c>
      <c r="CL42" s="105"/>
      <c r="CM42" s="13"/>
    </row>
    <row r="43" spans="1:91" x14ac:dyDescent="0.3">
      <c r="A43" s="84" t="s">
        <v>323</v>
      </c>
      <c r="B43" s="10" t="s">
        <v>124</v>
      </c>
      <c r="C43" s="103">
        <v>0</v>
      </c>
      <c r="D43" s="103">
        <v>0</v>
      </c>
      <c r="E43" s="105">
        <f>'Hillpointe Detail'!E43+'Sandhill Detail'!E43</f>
        <v>0</v>
      </c>
      <c r="F43" s="105">
        <f>'Hillpointe Detail'!F43+'Sandhill Detail'!F43</f>
        <v>0</v>
      </c>
      <c r="G43" s="105">
        <f>'Hillpointe Detail'!G43+'Sandhill Detail'!G43</f>
        <v>0</v>
      </c>
      <c r="H43" s="105">
        <f>'Hillpointe Detail'!H43+'Sandhill Detail'!H43</f>
        <v>0</v>
      </c>
      <c r="I43" s="105">
        <f>'Hillpointe Detail'!I43+'Sandhill Detail'!I43</f>
        <v>0</v>
      </c>
      <c r="J43" s="105">
        <f>'Hillpointe Detail'!J43+'Sandhill Detail'!J43</f>
        <v>0</v>
      </c>
      <c r="K43" s="105">
        <f>'Hillpointe Detail'!K43+'Sandhill Detail'!K43</f>
        <v>0</v>
      </c>
      <c r="L43" s="105">
        <f>'Hillpointe Detail'!L43+'Sandhill Detail'!L43</f>
        <v>0</v>
      </c>
      <c r="M43" s="105">
        <f>'Hillpointe Detail'!M43+'Sandhill Detail'!M43</f>
        <v>1595</v>
      </c>
      <c r="N43" s="105">
        <f>'Hillpointe Detail'!N43+'Sandhill Detail'!N43</f>
        <v>120</v>
      </c>
      <c r="O43" s="105">
        <f>'Hillpointe Detail'!O43+'Sandhill Detail'!O43</f>
        <v>100</v>
      </c>
      <c r="P43" s="105">
        <f>'Hillpointe Detail'!P43+'Sandhill Detail'!P43</f>
        <v>0</v>
      </c>
      <c r="Q43" s="105">
        <f>'Hillpointe Detail'!Q43+'Sandhill Detail'!Q43</f>
        <v>0</v>
      </c>
      <c r="R43" s="105">
        <f>'Hillpointe Detail'!R43+'Sandhill Detail'!R43</f>
        <v>0</v>
      </c>
      <c r="S43" s="105">
        <f>'Hillpointe Detail'!S43+'Sandhill Detail'!S43</f>
        <v>750</v>
      </c>
      <c r="T43" s="105">
        <f>'Hillpointe Detail'!T43+'Sandhill Detail'!T43</f>
        <v>0</v>
      </c>
      <c r="U43" s="105">
        <f>'Hillpointe Detail'!U43+'Sandhill Detail'!U43</f>
        <v>223.25</v>
      </c>
      <c r="V43" s="105">
        <f>'Hillpointe Detail'!V43+'Sandhill Detail'!V43</f>
        <v>0</v>
      </c>
      <c r="W43" s="105">
        <f>'Hillpointe Detail'!W43+'Sandhill Detail'!W43</f>
        <v>5266</v>
      </c>
      <c r="X43" s="105">
        <f>'Hillpointe Detail'!X43+'Sandhill Detail'!X43</f>
        <v>1285</v>
      </c>
      <c r="Y43" s="105">
        <f>'Hillpointe Detail'!Y43+'Sandhill Detail'!Y43</f>
        <v>1425</v>
      </c>
      <c r="Z43" s="105">
        <f>'Hillpointe Detail'!Z43+'Sandhill Detail'!Z43</f>
        <v>880</v>
      </c>
      <c r="AA43" s="105">
        <f>'Hillpointe Detail'!AA43+'Sandhill Detail'!AA43</f>
        <v>140</v>
      </c>
      <c r="AB43" s="105">
        <f>'Hillpointe Detail'!AB43+'Sandhill Detail'!AB43</f>
        <v>0</v>
      </c>
      <c r="AC43" s="105">
        <f>'Hillpointe Detail'!AC43+'Sandhill Detail'!AC43</f>
        <v>0</v>
      </c>
      <c r="AD43" s="105">
        <f>'Hillpointe Detail'!AD43+'Sandhill Detail'!AD43</f>
        <v>0</v>
      </c>
      <c r="AE43" s="105">
        <f>'Hillpointe Detail'!AE43+'Sandhill Detail'!AE43</f>
        <v>750</v>
      </c>
      <c r="AF43" s="105">
        <f>'Hillpointe Detail'!AF43+'Sandhill Detail'!AF43</f>
        <v>0</v>
      </c>
      <c r="AG43" s="105">
        <f>'Hillpointe Detail'!AG43+'Sandhill Detail'!AG43</f>
        <v>223.25</v>
      </c>
      <c r="AH43" s="105">
        <f>'Hillpointe Detail'!AH43+'Sandhill Detail'!AH43</f>
        <v>0</v>
      </c>
      <c r="AI43" s="105">
        <f>'Hillpointe Detail'!AI43+'Sandhill Detail'!AI43</f>
        <v>5266</v>
      </c>
      <c r="AJ43" s="105">
        <f>'Hillpointe Detail'!AJ43+'Sandhill Detail'!AJ43</f>
        <v>1285</v>
      </c>
      <c r="AK43" s="105">
        <f>'Hillpointe Detail'!AK43+'Sandhill Detail'!AK43</f>
        <v>1425</v>
      </c>
      <c r="AL43" s="105">
        <f>'Hillpointe Detail'!AL43+'Sandhill Detail'!AL43</f>
        <v>880</v>
      </c>
      <c r="AM43" s="105">
        <f>'Hillpointe Detail'!AM43+'Sandhill Detail'!AM43</f>
        <v>140</v>
      </c>
      <c r="AN43" s="105">
        <f>'Hillpointe Detail'!AN43+'Sandhill Detail'!AN43</f>
        <v>0</v>
      </c>
      <c r="AO43" s="105">
        <f>'Hillpointe Detail'!AO43+'Sandhill Detail'!AO43</f>
        <v>0</v>
      </c>
      <c r="AP43" s="105">
        <f>'Hillpointe Detail'!AP43+'Sandhill Detail'!AP43</f>
        <v>0</v>
      </c>
      <c r="AQ43" s="105">
        <f>'Hillpointe Detail'!AQ43+'Sandhill Detail'!AQ43</f>
        <v>750</v>
      </c>
      <c r="AR43" s="105">
        <f>'Hillpointe Detail'!AR43+'Sandhill Detail'!AR43</f>
        <v>0</v>
      </c>
      <c r="AS43" s="105">
        <f>'Hillpointe Detail'!AS43+'Sandhill Detail'!AS43</f>
        <v>223.25</v>
      </c>
      <c r="AT43" s="105">
        <f>'Hillpointe Detail'!AT43+'Sandhill Detail'!AT43</f>
        <v>0</v>
      </c>
      <c r="AU43" s="105">
        <f>'Hillpointe Detail'!AU43+'Sandhill Detail'!AU43</f>
        <v>5266</v>
      </c>
      <c r="AV43" s="105">
        <f>'Hillpointe Detail'!AV43+'Sandhill Detail'!AV43</f>
        <v>1285</v>
      </c>
      <c r="AW43" s="105">
        <f>'Hillpointe Detail'!AW43+'Sandhill Detail'!AW43</f>
        <v>1425</v>
      </c>
      <c r="AX43" s="105">
        <f>'Hillpointe Detail'!AX43+'Sandhill Detail'!AX43</f>
        <v>880</v>
      </c>
      <c r="AY43" s="105">
        <f>'Hillpointe Detail'!AY43+'Sandhill Detail'!AY43</f>
        <v>140</v>
      </c>
      <c r="AZ43" s="105">
        <f>'Hillpointe Detail'!AZ43+'Sandhill Detail'!AZ43</f>
        <v>0</v>
      </c>
      <c r="BA43" s="105">
        <f>'Hillpointe Detail'!BA43+'Sandhill Detail'!BA43</f>
        <v>0</v>
      </c>
      <c r="BB43" s="105">
        <f>'Hillpointe Detail'!BB43+'Sandhill Detail'!BB43</f>
        <v>0</v>
      </c>
      <c r="BC43" s="105">
        <f>'Hillpointe Detail'!BC43+'Sandhill Detail'!BC43</f>
        <v>750</v>
      </c>
      <c r="BD43" s="105">
        <f>'Hillpointe Detail'!BD43+'Sandhill Detail'!BD43</f>
        <v>0</v>
      </c>
      <c r="BE43" s="105">
        <f>'Hillpointe Detail'!BE43+'Sandhill Detail'!BE43</f>
        <v>223.25</v>
      </c>
      <c r="BF43" s="105">
        <f>'Hillpointe Detail'!BF43+'Sandhill Detail'!BF43</f>
        <v>0</v>
      </c>
      <c r="BG43" s="105">
        <f>'Hillpointe Detail'!BG43+'Sandhill Detail'!BG43</f>
        <v>5266</v>
      </c>
      <c r="BH43" s="105">
        <f>'Hillpointe Detail'!BH43+'Sandhill Detail'!BH43</f>
        <v>1285</v>
      </c>
      <c r="BI43" s="105">
        <f>'Hillpointe Detail'!BI43+'Sandhill Detail'!BI43</f>
        <v>1425</v>
      </c>
      <c r="BJ43" s="105">
        <f>'Hillpointe Detail'!BJ43+'Sandhill Detail'!BJ43</f>
        <v>880</v>
      </c>
      <c r="BK43" s="105">
        <f>'Hillpointe Detail'!BK43+'Sandhill Detail'!BK43</f>
        <v>140</v>
      </c>
      <c r="BL43" s="105">
        <f>'Hillpointe Detail'!BL43+'Sandhill Detail'!BL43</f>
        <v>0</v>
      </c>
      <c r="BM43" s="105">
        <f>'Hillpointe Detail'!BM43+'Sandhill Detail'!BM43</f>
        <v>0</v>
      </c>
      <c r="BN43" s="105">
        <f>'Hillpointe Detail'!BN43+'Sandhill Detail'!BN43</f>
        <v>0</v>
      </c>
      <c r="BO43" s="105">
        <f>'Hillpointe Detail'!BO43+'Sandhill Detail'!BO43</f>
        <v>750</v>
      </c>
      <c r="BP43" s="105">
        <f>'Hillpointe Detail'!BP43+'Sandhill Detail'!BP43</f>
        <v>0</v>
      </c>
      <c r="BQ43" s="105">
        <f>'Hillpointe Detail'!BQ43+'Sandhill Detail'!BQ43</f>
        <v>223.25</v>
      </c>
      <c r="BR43" s="105">
        <f>'Hillpointe Detail'!BR43+'Sandhill Detail'!BR43</f>
        <v>0</v>
      </c>
      <c r="BS43" s="105">
        <f>'Hillpointe Detail'!BS43+'Sandhill Detail'!BS43</f>
        <v>5266</v>
      </c>
      <c r="BT43" s="105">
        <f>'Hillpointe Detail'!BT43+'Sandhill Detail'!BT43</f>
        <v>1285</v>
      </c>
      <c r="BU43" s="105">
        <f>'Hillpointe Detail'!BU43+'Sandhill Detail'!BU43</f>
        <v>1425</v>
      </c>
      <c r="BV43" s="105">
        <f>'Hillpointe Detail'!BV43+'Sandhill Detail'!BV43</f>
        <v>880</v>
      </c>
      <c r="BW43" s="105">
        <f>'Hillpointe Detail'!BW43+'Sandhill Detail'!BW43</f>
        <v>140</v>
      </c>
      <c r="BX43" s="105">
        <f>'Hillpointe Detail'!BX43+'Sandhill Detail'!BX43</f>
        <v>0</v>
      </c>
      <c r="BY43" s="8"/>
      <c r="BZ43" s="105">
        <f t="shared" si="46"/>
        <v>140</v>
      </c>
      <c r="CA43" s="105">
        <f t="shared" si="47"/>
        <v>9969.25</v>
      </c>
      <c r="CC43" s="105">
        <f t="shared" si="49"/>
        <v>0</v>
      </c>
      <c r="CD43" s="105">
        <f t="shared" si="49"/>
        <v>0</v>
      </c>
      <c r="CE43" s="105">
        <f t="shared" si="49"/>
        <v>1815</v>
      </c>
      <c r="CF43" s="105">
        <f t="shared" si="49"/>
        <v>9969.25</v>
      </c>
      <c r="CG43" s="105">
        <f t="shared" si="49"/>
        <v>9969.25</v>
      </c>
      <c r="CH43" s="105">
        <f t="shared" si="49"/>
        <v>9969.25</v>
      </c>
      <c r="CI43" s="105">
        <f t="shared" si="49"/>
        <v>9969.25</v>
      </c>
      <c r="CJ43" s="105">
        <f t="shared" si="49"/>
        <v>9969.25</v>
      </c>
      <c r="CL43" s="105"/>
      <c r="CM43" s="13"/>
    </row>
    <row r="44" spans="1:91" x14ac:dyDescent="0.3">
      <c r="A44" s="84" t="s">
        <v>12</v>
      </c>
      <c r="B44" s="10" t="s">
        <v>124</v>
      </c>
      <c r="C44" s="103">
        <v>0</v>
      </c>
      <c r="D44" s="103">
        <v>10968.19</v>
      </c>
      <c r="E44" s="105">
        <f>'Hillpointe Detail'!E44+'Sandhill Detail'!E44</f>
        <v>-10968.19</v>
      </c>
      <c r="F44" s="105">
        <f>'Hillpointe Detail'!F44+'Sandhill Detail'!F44</f>
        <v>0</v>
      </c>
      <c r="G44" s="105">
        <f>'Hillpointe Detail'!G44+'Sandhill Detail'!G44</f>
        <v>0</v>
      </c>
      <c r="H44" s="105">
        <f>'Hillpointe Detail'!H44+'Sandhill Detail'!H44</f>
        <v>0</v>
      </c>
      <c r="I44" s="105">
        <f>'Hillpointe Detail'!I44+'Sandhill Detail'!I44</f>
        <v>0</v>
      </c>
      <c r="J44" s="105">
        <f>'Hillpointe Detail'!J44+'Sandhill Detail'!J44</f>
        <v>0</v>
      </c>
      <c r="K44" s="105">
        <f>'Hillpointe Detail'!K44+'Sandhill Detail'!K44</f>
        <v>0</v>
      </c>
      <c r="L44" s="105">
        <f>'Hillpointe Detail'!L44+'Sandhill Detail'!L44</f>
        <v>0</v>
      </c>
      <c r="M44" s="105">
        <f>'Hillpointe Detail'!M44+'Sandhill Detail'!M44</f>
        <v>11545.23</v>
      </c>
      <c r="N44" s="105">
        <f>'Hillpointe Detail'!N44+'Sandhill Detail'!N44</f>
        <v>0</v>
      </c>
      <c r="O44" s="105">
        <f>'Hillpointe Detail'!O44+'Sandhill Detail'!O44</f>
        <v>0</v>
      </c>
      <c r="P44" s="105">
        <f>'Hillpointe Detail'!P44+'Sandhill Detail'!P44</f>
        <v>0</v>
      </c>
      <c r="Q44" s="105">
        <f>'Hillpointe Detail'!Q44+'Sandhill Detail'!Q44</f>
        <v>0</v>
      </c>
      <c r="R44" s="105">
        <f>'Hillpointe Detail'!R44+'Sandhill Detail'!R44</f>
        <v>0</v>
      </c>
      <c r="S44" s="105">
        <f>'Hillpointe Detail'!S44+'Sandhill Detail'!S44</f>
        <v>0</v>
      </c>
      <c r="T44" s="105">
        <f>'Hillpointe Detail'!T44+'Sandhill Detail'!T44</f>
        <v>0</v>
      </c>
      <c r="U44" s="105">
        <f>'Hillpointe Detail'!U44+'Sandhill Detail'!U44</f>
        <v>0</v>
      </c>
      <c r="V44" s="105">
        <f>'Hillpointe Detail'!V44+'Sandhill Detail'!V44</f>
        <v>0</v>
      </c>
      <c r="W44" s="105">
        <f>'Hillpointe Detail'!W44+'Sandhill Detail'!W44</f>
        <v>0</v>
      </c>
      <c r="X44" s="105">
        <f>'Hillpointe Detail'!X44+'Sandhill Detail'!X44</f>
        <v>0</v>
      </c>
      <c r="Y44" s="105">
        <f>'Hillpointe Detail'!Y44+'Sandhill Detail'!Y44</f>
        <v>0</v>
      </c>
      <c r="Z44" s="105">
        <f>'Hillpointe Detail'!Z44+'Sandhill Detail'!Z44</f>
        <v>0</v>
      </c>
      <c r="AA44" s="105">
        <f>'Hillpointe Detail'!AA44+'Sandhill Detail'!AA44</f>
        <v>0</v>
      </c>
      <c r="AB44" s="105">
        <f>'Hillpointe Detail'!AB44+'Sandhill Detail'!AB44</f>
        <v>0</v>
      </c>
      <c r="AC44" s="105">
        <f>'Hillpointe Detail'!AC44+'Sandhill Detail'!AC44</f>
        <v>0</v>
      </c>
      <c r="AD44" s="105">
        <f>'Hillpointe Detail'!AD44+'Sandhill Detail'!AD44</f>
        <v>0</v>
      </c>
      <c r="AE44" s="105">
        <f>'Hillpointe Detail'!AE44+'Sandhill Detail'!AE44</f>
        <v>0</v>
      </c>
      <c r="AF44" s="105">
        <f>'Hillpointe Detail'!AF44+'Sandhill Detail'!AF44</f>
        <v>0</v>
      </c>
      <c r="AG44" s="105">
        <f>'Hillpointe Detail'!AG44+'Sandhill Detail'!AG44</f>
        <v>0</v>
      </c>
      <c r="AH44" s="105">
        <f>'Hillpointe Detail'!AH44+'Sandhill Detail'!AH44</f>
        <v>0</v>
      </c>
      <c r="AI44" s="105">
        <f>'Hillpointe Detail'!AI44+'Sandhill Detail'!AI44</f>
        <v>0</v>
      </c>
      <c r="AJ44" s="105">
        <f>'Hillpointe Detail'!AJ44+'Sandhill Detail'!AJ44</f>
        <v>0</v>
      </c>
      <c r="AK44" s="105">
        <f>'Hillpointe Detail'!AK44+'Sandhill Detail'!AK44</f>
        <v>0</v>
      </c>
      <c r="AL44" s="105">
        <f>'Hillpointe Detail'!AL44+'Sandhill Detail'!AL44</f>
        <v>0</v>
      </c>
      <c r="AM44" s="105">
        <f>'Hillpointe Detail'!AM44+'Sandhill Detail'!AM44</f>
        <v>0</v>
      </c>
      <c r="AN44" s="105">
        <f>'Hillpointe Detail'!AN44+'Sandhill Detail'!AN44</f>
        <v>0</v>
      </c>
      <c r="AO44" s="105">
        <f>'Hillpointe Detail'!AO44+'Sandhill Detail'!AO44</f>
        <v>0</v>
      </c>
      <c r="AP44" s="105">
        <f>'Hillpointe Detail'!AP44+'Sandhill Detail'!AP44</f>
        <v>0</v>
      </c>
      <c r="AQ44" s="105">
        <f>'Hillpointe Detail'!AQ44+'Sandhill Detail'!AQ44</f>
        <v>0</v>
      </c>
      <c r="AR44" s="105">
        <f>'Hillpointe Detail'!AR44+'Sandhill Detail'!AR44</f>
        <v>0</v>
      </c>
      <c r="AS44" s="105">
        <f>'Hillpointe Detail'!AS44+'Sandhill Detail'!AS44</f>
        <v>0</v>
      </c>
      <c r="AT44" s="105">
        <f>'Hillpointe Detail'!AT44+'Sandhill Detail'!AT44</f>
        <v>0</v>
      </c>
      <c r="AU44" s="105">
        <f>'Hillpointe Detail'!AU44+'Sandhill Detail'!AU44</f>
        <v>0</v>
      </c>
      <c r="AV44" s="105">
        <f>'Hillpointe Detail'!AV44+'Sandhill Detail'!AV44</f>
        <v>0</v>
      </c>
      <c r="AW44" s="105">
        <f>'Hillpointe Detail'!AW44+'Sandhill Detail'!AW44</f>
        <v>0</v>
      </c>
      <c r="AX44" s="105">
        <f>'Hillpointe Detail'!AX44+'Sandhill Detail'!AX44</f>
        <v>0</v>
      </c>
      <c r="AY44" s="105">
        <f>'Hillpointe Detail'!AY44+'Sandhill Detail'!AY44</f>
        <v>0</v>
      </c>
      <c r="AZ44" s="105">
        <f>'Hillpointe Detail'!AZ44+'Sandhill Detail'!AZ44</f>
        <v>0</v>
      </c>
      <c r="BA44" s="105">
        <f>'Hillpointe Detail'!BA44+'Sandhill Detail'!BA44</f>
        <v>0</v>
      </c>
      <c r="BB44" s="105">
        <f>'Hillpointe Detail'!BB44+'Sandhill Detail'!BB44</f>
        <v>0</v>
      </c>
      <c r="BC44" s="105">
        <f>'Hillpointe Detail'!BC44+'Sandhill Detail'!BC44</f>
        <v>0</v>
      </c>
      <c r="BD44" s="105">
        <f>'Hillpointe Detail'!BD44+'Sandhill Detail'!BD44</f>
        <v>0</v>
      </c>
      <c r="BE44" s="105">
        <f>'Hillpointe Detail'!BE44+'Sandhill Detail'!BE44</f>
        <v>0</v>
      </c>
      <c r="BF44" s="105">
        <f>'Hillpointe Detail'!BF44+'Sandhill Detail'!BF44</f>
        <v>0</v>
      </c>
      <c r="BG44" s="105">
        <f>'Hillpointe Detail'!BG44+'Sandhill Detail'!BG44</f>
        <v>0</v>
      </c>
      <c r="BH44" s="105">
        <f>'Hillpointe Detail'!BH44+'Sandhill Detail'!BH44</f>
        <v>0</v>
      </c>
      <c r="BI44" s="105">
        <f>'Hillpointe Detail'!BI44+'Sandhill Detail'!BI44</f>
        <v>0</v>
      </c>
      <c r="BJ44" s="105">
        <f>'Hillpointe Detail'!BJ44+'Sandhill Detail'!BJ44</f>
        <v>0</v>
      </c>
      <c r="BK44" s="105">
        <f>'Hillpointe Detail'!BK44+'Sandhill Detail'!BK44</f>
        <v>0</v>
      </c>
      <c r="BL44" s="105">
        <f>'Hillpointe Detail'!BL44+'Sandhill Detail'!BL44</f>
        <v>0</v>
      </c>
      <c r="BM44" s="105">
        <f>'Hillpointe Detail'!BM44+'Sandhill Detail'!BM44</f>
        <v>0</v>
      </c>
      <c r="BN44" s="105">
        <f>'Hillpointe Detail'!BN44+'Sandhill Detail'!BN44</f>
        <v>0</v>
      </c>
      <c r="BO44" s="105">
        <f>'Hillpointe Detail'!BO44+'Sandhill Detail'!BO44</f>
        <v>0</v>
      </c>
      <c r="BP44" s="105">
        <f>'Hillpointe Detail'!BP44+'Sandhill Detail'!BP44</f>
        <v>0</v>
      </c>
      <c r="BQ44" s="105">
        <f>'Hillpointe Detail'!BQ44+'Sandhill Detail'!BQ44</f>
        <v>0</v>
      </c>
      <c r="BR44" s="105">
        <f>'Hillpointe Detail'!BR44+'Sandhill Detail'!BR44</f>
        <v>0</v>
      </c>
      <c r="BS44" s="105">
        <f>'Hillpointe Detail'!BS44+'Sandhill Detail'!BS44</f>
        <v>0</v>
      </c>
      <c r="BT44" s="105">
        <f>'Hillpointe Detail'!BT44+'Sandhill Detail'!BT44</f>
        <v>0</v>
      </c>
      <c r="BU44" s="105">
        <f>'Hillpointe Detail'!BU44+'Sandhill Detail'!BU44</f>
        <v>0</v>
      </c>
      <c r="BV44" s="105">
        <f>'Hillpointe Detail'!BV44+'Sandhill Detail'!BV44</f>
        <v>0</v>
      </c>
      <c r="BW44" s="105">
        <f>'Hillpointe Detail'!BW44+'Sandhill Detail'!BW44</f>
        <v>0</v>
      </c>
      <c r="BX44" s="105">
        <f>'Hillpointe Detail'!BX44+'Sandhill Detail'!BX44</f>
        <v>0</v>
      </c>
      <c r="BY44" s="8"/>
      <c r="BZ44" s="105">
        <f t="shared" si="46"/>
        <v>0</v>
      </c>
      <c r="CA44" s="105">
        <f t="shared" si="47"/>
        <v>0</v>
      </c>
      <c r="CC44" s="105">
        <f t="shared" si="49"/>
        <v>0</v>
      </c>
      <c r="CD44" s="105">
        <f t="shared" si="49"/>
        <v>10968.19</v>
      </c>
      <c r="CE44" s="105">
        <f t="shared" si="49"/>
        <v>577.03999999999905</v>
      </c>
      <c r="CF44" s="105">
        <f t="shared" si="49"/>
        <v>0</v>
      </c>
      <c r="CG44" s="105">
        <f t="shared" si="49"/>
        <v>0</v>
      </c>
      <c r="CH44" s="105">
        <f t="shared" si="49"/>
        <v>0</v>
      </c>
      <c r="CI44" s="105">
        <f t="shared" si="49"/>
        <v>0</v>
      </c>
      <c r="CJ44" s="105">
        <f t="shared" si="49"/>
        <v>0</v>
      </c>
      <c r="CL44" s="105"/>
      <c r="CM44" s="13"/>
    </row>
    <row r="45" spans="1:91" x14ac:dyDescent="0.3">
      <c r="A45" s="84" t="s">
        <v>13</v>
      </c>
      <c r="B45" s="10" t="s">
        <v>125</v>
      </c>
      <c r="C45" s="103">
        <v>2560359.09</v>
      </c>
      <c r="D45" s="103">
        <v>2941675.29</v>
      </c>
      <c r="E45" s="105">
        <f>'Hillpointe Detail'!E45+'Sandhill Detail'!E45</f>
        <v>446665.5</v>
      </c>
      <c r="F45" s="105">
        <f>'Hillpointe Detail'!F45+'Sandhill Detail'!F45</f>
        <v>0</v>
      </c>
      <c r="G45" s="105">
        <f>'Hillpointe Detail'!G45+'Sandhill Detail'!G45</f>
        <v>216575.82</v>
      </c>
      <c r="H45" s="105">
        <f>'Hillpointe Detail'!H45+'Sandhill Detail'!H45</f>
        <v>618861.75</v>
      </c>
      <c r="I45" s="105">
        <f>'Hillpointe Detail'!I45+'Sandhill Detail'!I45</f>
        <v>0</v>
      </c>
      <c r="J45" s="105">
        <f>'Hillpointe Detail'!J45+'Sandhill Detail'!J45</f>
        <v>535724.38</v>
      </c>
      <c r="K45" s="105">
        <f>'Hillpointe Detail'!K45+'Sandhill Detail'!K45</f>
        <v>0</v>
      </c>
      <c r="L45" s="105">
        <f>'Hillpointe Detail'!L45+'Sandhill Detail'!L45</f>
        <v>301629.08</v>
      </c>
      <c r="M45" s="105">
        <f>'Hillpointe Detail'!M45+'Sandhill Detail'!M45</f>
        <v>276303.90999999997</v>
      </c>
      <c r="N45" s="105">
        <f>'Hillpointe Detail'!N45+'Sandhill Detail'!N45</f>
        <v>583398.67000000004</v>
      </c>
      <c r="O45" s="105">
        <f>'Hillpointe Detail'!O45+'Sandhill Detail'!O45</f>
        <v>4382.2700000000004</v>
      </c>
      <c r="P45" s="105">
        <f>'Hillpointe Detail'!P45+'Sandhill Detail'!P45</f>
        <v>347870.21</v>
      </c>
      <c r="Q45" s="105">
        <f>'Hillpointe Detail'!Q45+'Sandhill Detail'!Q45</f>
        <v>212494.19</v>
      </c>
      <c r="R45" s="105">
        <f>'Hillpointe Detail'!R45+'Sandhill Detail'!R45</f>
        <v>266207.96999999997</v>
      </c>
      <c r="S45" s="105">
        <f>'Hillpointe Detail'!S45+'Sandhill Detail'!S45</f>
        <v>266418.64999999997</v>
      </c>
      <c r="T45" s="105">
        <f>'Hillpointe Detail'!T45+'Sandhill Detail'!T45</f>
        <v>256314.23999999999</v>
      </c>
      <c r="U45" s="105">
        <f>'Hillpointe Detail'!U45+'Sandhill Detail'!U45</f>
        <v>320245.57</v>
      </c>
      <c r="V45" s="105">
        <f>'Hillpointe Detail'!V45+'Sandhill Detail'!V45</f>
        <v>277109.40999999997</v>
      </c>
      <c r="W45" s="105">
        <f>'Hillpointe Detail'!W45+'Sandhill Detail'!W45</f>
        <v>277109.40999999997</v>
      </c>
      <c r="X45" s="105">
        <f>'Hillpointe Detail'!X45+'Sandhill Detail'!X45</f>
        <v>252620.62</v>
      </c>
      <c r="Y45" s="105">
        <f>'Hillpointe Detail'!Y45+'Sandhill Detail'!Y45</f>
        <v>271044.78999999998</v>
      </c>
      <c r="Z45" s="105">
        <f>'Hillpointe Detail'!Z45+'Sandhill Detail'!Z45</f>
        <v>264242.63</v>
      </c>
      <c r="AA45" s="105">
        <f>'Hillpointe Detail'!AA45+'Sandhill Detail'!AA45</f>
        <v>274845.52</v>
      </c>
      <c r="AB45" s="105">
        <f>'Hillpointe Detail'!AB45+'Sandhill Detail'!AB45</f>
        <v>268019.79916666669</v>
      </c>
      <c r="AC45" s="105">
        <f>'Hillpointe Detail'!AC45+'Sandhill Detail'!AC45</f>
        <v>268019.79916666669</v>
      </c>
      <c r="AD45" s="105">
        <f>'Hillpointe Detail'!AD45+'Sandhill Detail'!AD45</f>
        <v>337794.67005658342</v>
      </c>
      <c r="AE45" s="105">
        <f>'Hillpointe Detail'!AE45+'Sandhill Detail'!AE45</f>
        <v>334729.38266950002</v>
      </c>
      <c r="AF45" s="105">
        <f>'Hillpointe Detail'!AF45+'Sandhill Detail'!AF45</f>
        <v>334116.32519208337</v>
      </c>
      <c r="AG45" s="105">
        <f>'Hillpointe Detail'!AG45+'Sandhill Detail'!AG45</f>
        <v>332277.15275983338</v>
      </c>
      <c r="AH45" s="105">
        <f>'Hillpointe Detail'!AH45+'Sandhill Detail'!AH45</f>
        <v>329824.92285016668</v>
      </c>
      <c r="AI45" s="105">
        <f>'Hillpointe Detail'!AI45+'Sandhill Detail'!AI45</f>
        <v>332890.21023725002</v>
      </c>
      <c r="AJ45" s="105">
        <f>'Hillpointe Detail'!AJ45+'Sandhill Detail'!AJ45</f>
        <v>332890.21023725002</v>
      </c>
      <c r="AK45" s="105">
        <f>'Hillpointe Detail'!AK45+'Sandhill Detail'!AK45</f>
        <v>332277.15275983338</v>
      </c>
      <c r="AL45" s="105">
        <f>'Hillpointe Detail'!AL45+'Sandhill Detail'!AL45</f>
        <v>331051.03780500003</v>
      </c>
      <c r="AM45" s="105">
        <f>'Hillpointe Detail'!AM45+'Sandhill Detail'!AM45</f>
        <v>331051.03780500003</v>
      </c>
      <c r="AN45" s="105">
        <f>'Hillpointe Detail'!AN45+'Sandhill Detail'!AN45</f>
        <v>331051.03780500003</v>
      </c>
      <c r="AO45" s="105">
        <f>'Hillpointe Detail'!AO45+'Sandhill Detail'!AO45</f>
        <v>331051.03780500003</v>
      </c>
      <c r="AP45" s="105">
        <f>'Hillpointe Detail'!AP45+'Sandhill Detail'!AP45</f>
        <v>420545.16835828504</v>
      </c>
      <c r="AQ45" s="105">
        <f>'Hillpointe Detail'!AQ45+'Sandhill Detail'!AQ45</f>
        <v>416756.47314785002</v>
      </c>
      <c r="AR45" s="105">
        <f>'Hillpointe Detail'!AR45+'Sandhill Detail'!AR45</f>
        <v>414230.67634089338</v>
      </c>
      <c r="AS45" s="105">
        <f>'Hillpointe Detail'!AS45+'Sandhill Detail'!AS45</f>
        <v>412336.32873567584</v>
      </c>
      <c r="AT45" s="105">
        <f>'Hillpointe Detail'!AT45+'Sandhill Detail'!AT45</f>
        <v>409810.5319287192</v>
      </c>
      <c r="AU45" s="105">
        <f>'Hillpointe Detail'!AU45+'Sandhill Detail'!AU45</f>
        <v>412336.32873567584</v>
      </c>
      <c r="AV45" s="105">
        <f>'Hillpointe Detail'!AV45+'Sandhill Detail'!AV45</f>
        <v>411704.87953393668</v>
      </c>
      <c r="AW45" s="105">
        <f>'Hillpointe Detail'!AW45+'Sandhill Detail'!AW45</f>
        <v>412336.32873567584</v>
      </c>
      <c r="AX45" s="105">
        <f>'Hillpointe Detail'!AX45+'Sandhill Detail'!AX45</f>
        <v>410441.98113045836</v>
      </c>
      <c r="AY45" s="105">
        <f>'Hillpointe Detail'!AY45+'Sandhill Detail'!AY45</f>
        <v>410441.98113045836</v>
      </c>
      <c r="AZ45" s="105">
        <f>'Hillpointe Detail'!AZ45+'Sandhill Detail'!AZ45</f>
        <v>410441.98113045836</v>
      </c>
      <c r="BA45" s="105">
        <f>'Hillpointe Detail'!BA45+'Sandhill Detail'!BA45</f>
        <v>410441.98113045836</v>
      </c>
      <c r="BB45" s="105">
        <f>'Hillpointe Detail'!BB45+'Sandhill Detail'!BB45</f>
        <v>447179.69568764314</v>
      </c>
      <c r="BC45" s="105">
        <f>'Hillpointe Detail'!BC45+'Sandhill Detail'!BC45</f>
        <v>442682.19874825591</v>
      </c>
      <c r="BD45" s="105">
        <f>'Hillpointe Detail'!BD45+'Sandhill Detail'!BD45</f>
        <v>441397.1996227167</v>
      </c>
      <c r="BE45" s="105">
        <f>'Hillpointe Detail'!BE45+'Sandhill Detail'!BE45</f>
        <v>439469.70093440788</v>
      </c>
      <c r="BF45" s="105">
        <f>'Hillpointe Detail'!BF45+'Sandhill Detail'!BF45</f>
        <v>437542.20224609913</v>
      </c>
      <c r="BG45" s="105">
        <f>'Hillpointe Detail'!BG45+'Sandhill Detail'!BG45</f>
        <v>440754.70005994709</v>
      </c>
      <c r="BH45" s="105">
        <f>'Hillpointe Detail'!BH45+'Sandhill Detail'!BH45</f>
        <v>439469.70093440788</v>
      </c>
      <c r="BI45" s="105">
        <f>'Hillpointe Detail'!BI45+'Sandhill Detail'!BI45</f>
        <v>439469.70093440788</v>
      </c>
      <c r="BJ45" s="105">
        <f>'Hillpointe Detail'!BJ45+'Sandhill Detail'!BJ45</f>
        <v>438184.70180886867</v>
      </c>
      <c r="BK45" s="105">
        <f>'Hillpointe Detail'!BK45+'Sandhill Detail'!BK45</f>
        <v>438184.70180886867</v>
      </c>
      <c r="BL45" s="105">
        <f>'Hillpointe Detail'!BL45+'Sandhill Detail'!BL45</f>
        <v>438184.70180886867</v>
      </c>
      <c r="BM45" s="105">
        <f>'Hillpointe Detail'!BM45+'Sandhill Detail'!BM45</f>
        <v>438184.70180886867</v>
      </c>
      <c r="BN45" s="105">
        <f>'Hillpointe Detail'!BN45+'Sandhill Detail'!BN45</f>
        <v>458624.21914947667</v>
      </c>
      <c r="BO45" s="105">
        <f>'Hillpointe Detail'!BO45+'Sandhill Detail'!BO45</f>
        <v>454721.03430565132</v>
      </c>
      <c r="BP45" s="105">
        <f>'Hillpointe Detail'!BP45+'Sandhill Detail'!BP45</f>
        <v>453419.97269104287</v>
      </c>
      <c r="BQ45" s="105">
        <f>'Hillpointe Detail'!BQ45+'Sandhill Detail'!BQ45</f>
        <v>450817.84946182597</v>
      </c>
      <c r="BR45" s="105">
        <f>'Hillpointe Detail'!BR45+'Sandhill Detail'!BR45</f>
        <v>448215.72623260907</v>
      </c>
      <c r="BS45" s="105">
        <f>'Hillpointe Detail'!BS45+'Sandhill Detail'!BS45</f>
        <v>450817.84946182597</v>
      </c>
      <c r="BT45" s="105">
        <f>'Hillpointe Detail'!BT45+'Sandhill Detail'!BT45</f>
        <v>451468.38026913023</v>
      </c>
      <c r="BU45" s="105">
        <f>'Hillpointe Detail'!BU45+'Sandhill Detail'!BU45</f>
        <v>451468.38026913023</v>
      </c>
      <c r="BV45" s="105">
        <f>'Hillpointe Detail'!BV45+'Sandhill Detail'!BV45</f>
        <v>450167.31865452178</v>
      </c>
      <c r="BW45" s="105">
        <f>'Hillpointe Detail'!BW45+'Sandhill Detail'!BW45</f>
        <v>450167.31865452178</v>
      </c>
      <c r="BX45" s="105">
        <f>'Hillpointe Detail'!BX45+'Sandhill Detail'!BX45</f>
        <v>450167.31865452178</v>
      </c>
      <c r="BY45" s="8"/>
      <c r="BZ45" s="105">
        <f t="shared" si="46"/>
        <v>274845.52</v>
      </c>
      <c r="CA45" s="105">
        <f t="shared" si="47"/>
        <v>2938652.9999999995</v>
      </c>
      <c r="CC45" s="105">
        <f t="shared" si="49"/>
        <v>2560359.09</v>
      </c>
      <c r="CD45" s="105">
        <f t="shared" si="49"/>
        <v>2941675.29</v>
      </c>
      <c r="CE45" s="105">
        <f t="shared" si="49"/>
        <v>3331411.5900000003</v>
      </c>
      <c r="CF45" s="105">
        <f t="shared" si="49"/>
        <v>3206672.7991666663</v>
      </c>
      <c r="CG45" s="105">
        <f t="shared" si="49"/>
        <v>3927972.9393441668</v>
      </c>
      <c r="CH45" s="105">
        <f t="shared" si="49"/>
        <v>4872433.6967130862</v>
      </c>
      <c r="CI45" s="105">
        <f t="shared" si="49"/>
        <v>5252961.1857249504</v>
      </c>
      <c r="CJ45" s="105">
        <f t="shared" si="49"/>
        <v>5408240.0696131252</v>
      </c>
      <c r="CL45" s="105"/>
      <c r="CM45" s="13"/>
    </row>
    <row r="46" spans="1:91" x14ac:dyDescent="0.3">
      <c r="A46" s="84" t="s">
        <v>312</v>
      </c>
      <c r="B46" s="10" t="s">
        <v>256</v>
      </c>
      <c r="C46" s="103">
        <v>75954.34</v>
      </c>
      <c r="D46" s="103">
        <v>1891.79</v>
      </c>
      <c r="E46" s="105">
        <f>'Hillpointe Detail'!E46+'Sandhill Detail'!E46</f>
        <v>0</v>
      </c>
      <c r="F46" s="105">
        <f>'Hillpointe Detail'!F46+'Sandhill Detail'!F46</f>
        <v>0</v>
      </c>
      <c r="G46" s="105">
        <f>'Hillpointe Detail'!G46+'Sandhill Detail'!G46</f>
        <v>18846.02</v>
      </c>
      <c r="H46" s="105">
        <f>'Hillpointe Detail'!H46+'Sandhill Detail'!H46</f>
        <v>0</v>
      </c>
      <c r="I46" s="105">
        <f>'Hillpointe Detail'!I46+'Sandhill Detail'!I46</f>
        <v>19377.690000000002</v>
      </c>
      <c r="J46" s="105">
        <f>'Hillpointe Detail'!J46+'Sandhill Detail'!J46</f>
        <v>0</v>
      </c>
      <c r="K46" s="105">
        <f>'Hillpointe Detail'!K46+'Sandhill Detail'!K46</f>
        <v>0</v>
      </c>
      <c r="L46" s="105">
        <f>'Hillpointe Detail'!L46+'Sandhill Detail'!L46</f>
        <v>19377.689999999995</v>
      </c>
      <c r="M46" s="105">
        <f>'Hillpointe Detail'!M46+'Sandhill Detail'!M46</f>
        <v>0</v>
      </c>
      <c r="N46" s="105">
        <f>'Hillpointe Detail'!N46+'Sandhill Detail'!N46</f>
        <v>0</v>
      </c>
      <c r="O46" s="105">
        <f>'Hillpointe Detail'!O46+'Sandhill Detail'!O46</f>
        <v>0</v>
      </c>
      <c r="P46" s="105">
        <f>'Hillpointe Detail'!P46+'Sandhill Detail'!P46</f>
        <v>30406.85</v>
      </c>
      <c r="Q46" s="105">
        <f>'Hillpointe Detail'!Q46+'Sandhill Detail'!Q46</f>
        <v>0</v>
      </c>
      <c r="R46" s="105">
        <f>'Hillpointe Detail'!R46+'Sandhill Detail'!R46</f>
        <v>20665.400000000001</v>
      </c>
      <c r="S46" s="105">
        <f>'Hillpointe Detail'!S46+'Sandhill Detail'!S46</f>
        <v>0</v>
      </c>
      <c r="T46" s="105">
        <f>'Hillpointe Detail'!T46+'Sandhill Detail'!T46</f>
        <v>0</v>
      </c>
      <c r="U46" s="105">
        <f>'Hillpointe Detail'!U46+'Sandhill Detail'!U46</f>
        <v>20665.400000000001</v>
      </c>
      <c r="V46" s="105">
        <f>'Hillpointe Detail'!V46+'Sandhill Detail'!V46</f>
        <v>0</v>
      </c>
      <c r="W46" s="105">
        <f>'Hillpointe Detail'!W46+'Sandhill Detail'!W46</f>
        <v>0</v>
      </c>
      <c r="X46" s="105">
        <f>'Hillpointe Detail'!X46+'Sandhill Detail'!X46</f>
        <v>20665.400000000001</v>
      </c>
      <c r="Y46" s="105">
        <f>'Hillpointe Detail'!Y46+'Sandhill Detail'!Y46</f>
        <v>0</v>
      </c>
      <c r="Z46" s="105">
        <f>'Hillpointe Detail'!Z46+'Sandhill Detail'!Z46</f>
        <v>0</v>
      </c>
      <c r="AA46" s="105">
        <f>'Hillpointe Detail'!AA46+'Sandhill Detail'!AA46</f>
        <v>20665.400000000001</v>
      </c>
      <c r="AB46" s="105">
        <f>'Hillpointe Detail'!AB46+'Sandhill Detail'!AB46</f>
        <v>9741.4500000000007</v>
      </c>
      <c r="AC46" s="105">
        <f>'Hillpointe Detail'!AC46+'Sandhill Detail'!AC46</f>
        <v>0</v>
      </c>
      <c r="AD46" s="105">
        <f>'Hillpointe Detail'!AD46+'Sandhill Detail'!AD46</f>
        <v>20940.249820000005</v>
      </c>
      <c r="AE46" s="105">
        <f>'Hillpointe Detail'!AE46+'Sandhill Detail'!AE46</f>
        <v>0</v>
      </c>
      <c r="AF46" s="105">
        <f>'Hillpointe Detail'!AF46+'Sandhill Detail'!AF46</f>
        <v>0</v>
      </c>
      <c r="AG46" s="105">
        <f>'Hillpointe Detail'!AG46+'Sandhill Detail'!AG46</f>
        <v>20940.249820000005</v>
      </c>
      <c r="AH46" s="105">
        <f>'Hillpointe Detail'!AH46+'Sandhill Detail'!AH46</f>
        <v>0</v>
      </c>
      <c r="AI46" s="105">
        <f>'Hillpointe Detail'!AI46+'Sandhill Detail'!AI46</f>
        <v>0</v>
      </c>
      <c r="AJ46" s="105">
        <f>'Hillpointe Detail'!AJ46+'Sandhill Detail'!AJ46</f>
        <v>20940.249820000005</v>
      </c>
      <c r="AK46" s="105">
        <f>'Hillpointe Detail'!AK46+'Sandhill Detail'!AK46</f>
        <v>0</v>
      </c>
      <c r="AL46" s="105">
        <f>'Hillpointe Detail'!AL46+'Sandhill Detail'!AL46</f>
        <v>0</v>
      </c>
      <c r="AM46" s="105">
        <f>'Hillpointe Detail'!AM46+'Sandhill Detail'!AM46</f>
        <v>20940.249820000005</v>
      </c>
      <c r="AN46" s="105">
        <f>'Hillpointe Detail'!AN46+'Sandhill Detail'!AN46</f>
        <v>9871.0112850000005</v>
      </c>
      <c r="AO46" s="105">
        <f>'Hillpointe Detail'!AO46+'Sandhill Detail'!AO46</f>
        <v>0</v>
      </c>
      <c r="AP46" s="105">
        <f>'Hillpointe Detail'!AP46+'Sandhill Detail'!AP46</f>
        <v>21568.457314600004</v>
      </c>
      <c r="AQ46" s="105">
        <f>'Hillpointe Detail'!AQ46+'Sandhill Detail'!AQ46</f>
        <v>0</v>
      </c>
      <c r="AR46" s="105">
        <f>'Hillpointe Detail'!AR46+'Sandhill Detail'!AR46</f>
        <v>0</v>
      </c>
      <c r="AS46" s="105">
        <f>'Hillpointe Detail'!AS46+'Sandhill Detail'!AS46</f>
        <v>21568.457314600004</v>
      </c>
      <c r="AT46" s="105">
        <f>'Hillpointe Detail'!AT46+'Sandhill Detail'!AT46</f>
        <v>0</v>
      </c>
      <c r="AU46" s="105">
        <f>'Hillpointe Detail'!AU46+'Sandhill Detail'!AU46</f>
        <v>0</v>
      </c>
      <c r="AV46" s="105">
        <f>'Hillpointe Detail'!AV46+'Sandhill Detail'!AV46</f>
        <v>21568.457314600004</v>
      </c>
      <c r="AW46" s="105">
        <f>'Hillpointe Detail'!AW46+'Sandhill Detail'!AW46</f>
        <v>0</v>
      </c>
      <c r="AX46" s="105">
        <f>'Hillpointe Detail'!AX46+'Sandhill Detail'!AX46</f>
        <v>0</v>
      </c>
      <c r="AY46" s="105">
        <f>'Hillpointe Detail'!AY46+'Sandhill Detail'!AY46</f>
        <v>21568.457314600004</v>
      </c>
      <c r="AZ46" s="105">
        <f>'Hillpointe Detail'!AZ46+'Sandhill Detail'!AZ46</f>
        <v>10167.14162355</v>
      </c>
      <c r="BA46" s="105">
        <f>'Hillpointe Detail'!BA46+'Sandhill Detail'!BA46</f>
        <v>0</v>
      </c>
      <c r="BB46" s="105">
        <f>'Hillpointe Detail'!BB46+'Sandhill Detail'!BB46</f>
        <v>21945.905317605502</v>
      </c>
      <c r="BC46" s="105">
        <f>'Hillpointe Detail'!BC46+'Sandhill Detail'!BC46</f>
        <v>0</v>
      </c>
      <c r="BD46" s="105">
        <f>'Hillpointe Detail'!BD46+'Sandhill Detail'!BD46</f>
        <v>0</v>
      </c>
      <c r="BE46" s="105">
        <f>'Hillpointe Detail'!BE46+'Sandhill Detail'!BE46</f>
        <v>21945.905317605502</v>
      </c>
      <c r="BF46" s="105">
        <f>'Hillpointe Detail'!BF46+'Sandhill Detail'!BF46</f>
        <v>0</v>
      </c>
      <c r="BG46" s="105">
        <f>'Hillpointe Detail'!BG46+'Sandhill Detail'!BG46</f>
        <v>0</v>
      </c>
      <c r="BH46" s="105">
        <f>'Hillpointe Detail'!BH46+'Sandhill Detail'!BH46</f>
        <v>21945.905317605502</v>
      </c>
      <c r="BI46" s="105">
        <f>'Hillpointe Detail'!BI46+'Sandhill Detail'!BI46</f>
        <v>0</v>
      </c>
      <c r="BJ46" s="105">
        <f>'Hillpointe Detail'!BJ46+'Sandhill Detail'!BJ46</f>
        <v>0</v>
      </c>
      <c r="BK46" s="105">
        <f>'Hillpointe Detail'!BK46+'Sandhill Detail'!BK46</f>
        <v>21945.905317605502</v>
      </c>
      <c r="BL46" s="105">
        <f>'Hillpointe Detail'!BL46+'Sandhill Detail'!BL46</f>
        <v>10345.066601962128</v>
      </c>
      <c r="BM46" s="105">
        <f>'Hillpointe Detail'!BM46+'Sandhill Detail'!BM46</f>
        <v>0</v>
      </c>
      <c r="BN46" s="105">
        <f>'Hillpointe Detail'!BN46+'Sandhill Detail'!BN46</f>
        <v>22220.229134075569</v>
      </c>
      <c r="BO46" s="105">
        <f>'Hillpointe Detail'!BO46+'Sandhill Detail'!BO46</f>
        <v>0</v>
      </c>
      <c r="BP46" s="105">
        <f>'Hillpointe Detail'!BP46+'Sandhill Detail'!BP46</f>
        <v>0</v>
      </c>
      <c r="BQ46" s="105">
        <f>'Hillpointe Detail'!BQ46+'Sandhill Detail'!BQ46</f>
        <v>22220.229134075569</v>
      </c>
      <c r="BR46" s="105">
        <f>'Hillpointe Detail'!BR46+'Sandhill Detail'!BR46</f>
        <v>0</v>
      </c>
      <c r="BS46" s="105">
        <f>'Hillpointe Detail'!BS46+'Sandhill Detail'!BS46</f>
        <v>0</v>
      </c>
      <c r="BT46" s="105">
        <f>'Hillpointe Detail'!BT46+'Sandhill Detail'!BT46</f>
        <v>22220.229134075569</v>
      </c>
      <c r="BU46" s="105">
        <f>'Hillpointe Detail'!BU46+'Sandhill Detail'!BU46</f>
        <v>0</v>
      </c>
      <c r="BV46" s="105">
        <f>'Hillpointe Detail'!BV46+'Sandhill Detail'!BV46</f>
        <v>0</v>
      </c>
      <c r="BW46" s="105">
        <f>'Hillpointe Detail'!BW46+'Sandhill Detail'!BW46</f>
        <v>22220.229134075569</v>
      </c>
      <c r="BX46" s="105">
        <f>'Hillpointe Detail'!BX46+'Sandhill Detail'!BX46</f>
        <v>10474.379934486653</v>
      </c>
      <c r="BY46" s="8"/>
      <c r="BZ46" s="105">
        <f t="shared" si="46"/>
        <v>20665.400000000001</v>
      </c>
      <c r="CA46" s="105">
        <f t="shared" si="47"/>
        <v>82661.600000000006</v>
      </c>
      <c r="CC46" s="105">
        <f t="shared" ref="CC46:CJ57" si="50">SUMIF($C$3:$BY$3,CC$3,$C46:$BY46)</f>
        <v>75954.34</v>
      </c>
      <c r="CD46" s="105">
        <f t="shared" si="50"/>
        <v>1891.79</v>
      </c>
      <c r="CE46" s="105">
        <f t="shared" si="50"/>
        <v>88008.25</v>
      </c>
      <c r="CF46" s="105">
        <f t="shared" si="50"/>
        <v>92403.05</v>
      </c>
      <c r="CG46" s="105">
        <f t="shared" si="50"/>
        <v>93632.010565000019</v>
      </c>
      <c r="CH46" s="105">
        <f t="shared" si="50"/>
        <v>96440.970881950023</v>
      </c>
      <c r="CI46" s="105">
        <f t="shared" si="50"/>
        <v>98128.687872384136</v>
      </c>
      <c r="CJ46" s="105">
        <f t="shared" si="50"/>
        <v>99355.296470788933</v>
      </c>
      <c r="CL46" s="105"/>
      <c r="CM46" s="13"/>
    </row>
    <row r="47" spans="1:91" x14ac:dyDescent="0.3">
      <c r="A47" s="84" t="s">
        <v>347</v>
      </c>
      <c r="B47" s="10" t="s">
        <v>126</v>
      </c>
      <c r="C47" s="103">
        <v>0</v>
      </c>
      <c r="D47" s="103">
        <v>0</v>
      </c>
      <c r="E47" s="105">
        <f>'Hillpointe Detail'!E47+'Sandhill Detail'!E47</f>
        <v>0</v>
      </c>
      <c r="F47" s="105">
        <f>'Hillpointe Detail'!F47+'Sandhill Detail'!F47</f>
        <v>0</v>
      </c>
      <c r="G47" s="105">
        <f>'Hillpointe Detail'!G47+'Sandhill Detail'!G47</f>
        <v>0</v>
      </c>
      <c r="H47" s="105">
        <f>'Hillpointe Detail'!H47+'Sandhill Detail'!H47</f>
        <v>0</v>
      </c>
      <c r="I47" s="105">
        <f>'Hillpointe Detail'!I47+'Sandhill Detail'!I47</f>
        <v>0</v>
      </c>
      <c r="J47" s="105">
        <f>'Hillpointe Detail'!J47+'Sandhill Detail'!J47</f>
        <v>0</v>
      </c>
      <c r="K47" s="105">
        <f>'Hillpointe Detail'!K47+'Sandhill Detail'!K47</f>
        <v>0</v>
      </c>
      <c r="L47" s="105">
        <f>'Hillpointe Detail'!L47+'Sandhill Detail'!L47</f>
        <v>0</v>
      </c>
      <c r="M47" s="105">
        <f>'Hillpointe Detail'!M47+'Sandhill Detail'!M47</f>
        <v>0</v>
      </c>
      <c r="N47" s="105">
        <f>'Hillpointe Detail'!N47+'Sandhill Detail'!N47</f>
        <v>0</v>
      </c>
      <c r="O47" s="105">
        <f>'Hillpointe Detail'!O47+'Sandhill Detail'!O47</f>
        <v>0</v>
      </c>
      <c r="P47" s="105">
        <f>'Hillpointe Detail'!P47+'Sandhill Detail'!P47</f>
        <v>0</v>
      </c>
      <c r="Q47" s="105">
        <f>'Hillpointe Detail'!Q47+'Sandhill Detail'!Q47</f>
        <v>0</v>
      </c>
      <c r="R47" s="105">
        <f>'Hillpointe Detail'!R47+'Sandhill Detail'!R47</f>
        <v>0</v>
      </c>
      <c r="S47" s="105">
        <f>'Hillpointe Detail'!S47+'Sandhill Detail'!S47</f>
        <v>500000</v>
      </c>
      <c r="T47" s="105">
        <f>'Hillpointe Detail'!T47+'Sandhill Detail'!T47</f>
        <v>0</v>
      </c>
      <c r="U47" s="105">
        <f>'Hillpointe Detail'!U47+'Sandhill Detail'!U47</f>
        <v>0</v>
      </c>
      <c r="V47" s="105">
        <f>'Hillpointe Detail'!V47+'Sandhill Detail'!V47</f>
        <v>0</v>
      </c>
      <c r="W47" s="105">
        <f>'Hillpointe Detail'!W47+'Sandhill Detail'!W47</f>
        <v>0</v>
      </c>
      <c r="X47" s="105">
        <f>'Hillpointe Detail'!X47+'Sandhill Detail'!X47</f>
        <v>0</v>
      </c>
      <c r="Y47" s="105">
        <f>'Hillpointe Detail'!Y47+'Sandhill Detail'!Y47</f>
        <v>0</v>
      </c>
      <c r="Z47" s="105">
        <f>'Hillpointe Detail'!Z47+'Sandhill Detail'!Z47</f>
        <v>0</v>
      </c>
      <c r="AA47" s="105">
        <f>'Hillpointe Detail'!AA47+'Sandhill Detail'!AA47</f>
        <v>0</v>
      </c>
      <c r="AB47" s="105">
        <f>'Hillpointe Detail'!AB47+'Sandhill Detail'!AB47</f>
        <v>0</v>
      </c>
      <c r="AC47" s="105">
        <f>'Hillpointe Detail'!AC47+'Sandhill Detail'!AC47</f>
        <v>0</v>
      </c>
      <c r="AD47" s="105">
        <f>'Hillpointe Detail'!AD47+'Sandhill Detail'!AD47</f>
        <v>0</v>
      </c>
      <c r="AE47" s="105">
        <f>'Hillpointe Detail'!AE47+'Sandhill Detail'!AE47</f>
        <v>500000</v>
      </c>
      <c r="AF47" s="105">
        <f>'Hillpointe Detail'!AF47+'Sandhill Detail'!AF47</f>
        <v>0</v>
      </c>
      <c r="AG47" s="105">
        <f>'Hillpointe Detail'!AG47+'Sandhill Detail'!AG47</f>
        <v>0</v>
      </c>
      <c r="AH47" s="105">
        <f>'Hillpointe Detail'!AH47+'Sandhill Detail'!AH47</f>
        <v>0</v>
      </c>
      <c r="AI47" s="105">
        <f>'Hillpointe Detail'!AI47+'Sandhill Detail'!AI47</f>
        <v>0</v>
      </c>
      <c r="AJ47" s="105">
        <f>'Hillpointe Detail'!AJ47+'Sandhill Detail'!AJ47</f>
        <v>0</v>
      </c>
      <c r="AK47" s="105">
        <f>'Hillpointe Detail'!AK47+'Sandhill Detail'!AK47</f>
        <v>0</v>
      </c>
      <c r="AL47" s="105">
        <f>'Hillpointe Detail'!AL47+'Sandhill Detail'!AL47</f>
        <v>0</v>
      </c>
      <c r="AM47" s="105">
        <f>'Hillpointe Detail'!AM47+'Sandhill Detail'!AM47</f>
        <v>0</v>
      </c>
      <c r="AN47" s="105">
        <f>'Hillpointe Detail'!AN47+'Sandhill Detail'!AN47</f>
        <v>0</v>
      </c>
      <c r="AO47" s="105">
        <f>'Hillpointe Detail'!AO47+'Sandhill Detail'!AO47</f>
        <v>0</v>
      </c>
      <c r="AP47" s="105">
        <f>'Hillpointe Detail'!AP47+'Sandhill Detail'!AP47</f>
        <v>0</v>
      </c>
      <c r="AQ47" s="105">
        <f>'Hillpointe Detail'!AQ47+'Sandhill Detail'!AQ47</f>
        <v>500000</v>
      </c>
      <c r="AR47" s="105">
        <f>'Hillpointe Detail'!AR47+'Sandhill Detail'!AR47</f>
        <v>0</v>
      </c>
      <c r="AS47" s="105">
        <f>'Hillpointe Detail'!AS47+'Sandhill Detail'!AS47</f>
        <v>0</v>
      </c>
      <c r="AT47" s="105">
        <f>'Hillpointe Detail'!AT47+'Sandhill Detail'!AT47</f>
        <v>0</v>
      </c>
      <c r="AU47" s="105">
        <f>'Hillpointe Detail'!AU47+'Sandhill Detail'!AU47</f>
        <v>0</v>
      </c>
      <c r="AV47" s="105">
        <f>'Hillpointe Detail'!AV47+'Sandhill Detail'!AV47</f>
        <v>0</v>
      </c>
      <c r="AW47" s="105">
        <f>'Hillpointe Detail'!AW47+'Sandhill Detail'!AW47</f>
        <v>0</v>
      </c>
      <c r="AX47" s="105">
        <f>'Hillpointe Detail'!AX47+'Sandhill Detail'!AX47</f>
        <v>0</v>
      </c>
      <c r="AY47" s="105">
        <f>'Hillpointe Detail'!AY47+'Sandhill Detail'!AY47</f>
        <v>0</v>
      </c>
      <c r="AZ47" s="105">
        <f>'Hillpointe Detail'!AZ47+'Sandhill Detail'!AZ47</f>
        <v>0</v>
      </c>
      <c r="BA47" s="105">
        <f>'Hillpointe Detail'!BA47+'Sandhill Detail'!BA47</f>
        <v>0</v>
      </c>
      <c r="BB47" s="105">
        <f>'Hillpointe Detail'!BB47+'Sandhill Detail'!BB47</f>
        <v>0</v>
      </c>
      <c r="BC47" s="105">
        <f>'Hillpointe Detail'!BC47+'Sandhill Detail'!BC47</f>
        <v>500000</v>
      </c>
      <c r="BD47" s="105">
        <f>'Hillpointe Detail'!BD47+'Sandhill Detail'!BD47</f>
        <v>0</v>
      </c>
      <c r="BE47" s="105">
        <f>'Hillpointe Detail'!BE47+'Sandhill Detail'!BE47</f>
        <v>0</v>
      </c>
      <c r="BF47" s="105">
        <f>'Hillpointe Detail'!BF47+'Sandhill Detail'!BF47</f>
        <v>0</v>
      </c>
      <c r="BG47" s="105">
        <f>'Hillpointe Detail'!BG47+'Sandhill Detail'!BG47</f>
        <v>0</v>
      </c>
      <c r="BH47" s="105">
        <f>'Hillpointe Detail'!BH47+'Sandhill Detail'!BH47</f>
        <v>0</v>
      </c>
      <c r="BI47" s="105">
        <f>'Hillpointe Detail'!BI47+'Sandhill Detail'!BI47</f>
        <v>0</v>
      </c>
      <c r="BJ47" s="105">
        <f>'Hillpointe Detail'!BJ47+'Sandhill Detail'!BJ47</f>
        <v>0</v>
      </c>
      <c r="BK47" s="105">
        <f>'Hillpointe Detail'!BK47+'Sandhill Detail'!BK47</f>
        <v>0</v>
      </c>
      <c r="BL47" s="105">
        <f>'Hillpointe Detail'!BL47+'Sandhill Detail'!BL47</f>
        <v>0</v>
      </c>
      <c r="BM47" s="105">
        <f>'Hillpointe Detail'!BM47+'Sandhill Detail'!BM47</f>
        <v>0</v>
      </c>
      <c r="BN47" s="105">
        <f>'Hillpointe Detail'!BN47+'Sandhill Detail'!BN47</f>
        <v>0</v>
      </c>
      <c r="BO47" s="105">
        <f>'Hillpointe Detail'!BO47+'Sandhill Detail'!BO47</f>
        <v>500000</v>
      </c>
      <c r="BP47" s="105">
        <f>'Hillpointe Detail'!BP47+'Sandhill Detail'!BP47</f>
        <v>0</v>
      </c>
      <c r="BQ47" s="105">
        <f>'Hillpointe Detail'!BQ47+'Sandhill Detail'!BQ47</f>
        <v>0</v>
      </c>
      <c r="BR47" s="105">
        <f>'Hillpointe Detail'!BR47+'Sandhill Detail'!BR47</f>
        <v>0</v>
      </c>
      <c r="BS47" s="105">
        <f>'Hillpointe Detail'!BS47+'Sandhill Detail'!BS47</f>
        <v>0</v>
      </c>
      <c r="BT47" s="105">
        <f>'Hillpointe Detail'!BT47+'Sandhill Detail'!BT47</f>
        <v>0</v>
      </c>
      <c r="BU47" s="105">
        <f>'Hillpointe Detail'!BU47+'Sandhill Detail'!BU47</f>
        <v>0</v>
      </c>
      <c r="BV47" s="105">
        <f>'Hillpointe Detail'!BV47+'Sandhill Detail'!BV47</f>
        <v>0</v>
      </c>
      <c r="BW47" s="105">
        <f>'Hillpointe Detail'!BW47+'Sandhill Detail'!BW47</f>
        <v>0</v>
      </c>
      <c r="BX47" s="105">
        <f>'Hillpointe Detail'!BX47+'Sandhill Detail'!BX47</f>
        <v>0</v>
      </c>
      <c r="BY47" s="8"/>
      <c r="BZ47" s="105">
        <f t="shared" si="46"/>
        <v>0</v>
      </c>
      <c r="CA47" s="105">
        <f t="shared" si="47"/>
        <v>500000</v>
      </c>
      <c r="CC47" s="105">
        <f t="shared" si="50"/>
        <v>0</v>
      </c>
      <c r="CD47" s="105">
        <f t="shared" si="50"/>
        <v>0</v>
      </c>
      <c r="CE47" s="105">
        <f t="shared" si="50"/>
        <v>0</v>
      </c>
      <c r="CF47" s="105">
        <f t="shared" si="50"/>
        <v>500000</v>
      </c>
      <c r="CG47" s="105">
        <f t="shared" si="50"/>
        <v>500000</v>
      </c>
      <c r="CH47" s="105">
        <f t="shared" si="50"/>
        <v>500000</v>
      </c>
      <c r="CI47" s="105">
        <f t="shared" si="50"/>
        <v>500000</v>
      </c>
      <c r="CJ47" s="105">
        <f t="shared" si="50"/>
        <v>500000</v>
      </c>
      <c r="CL47" s="105"/>
      <c r="CM47" s="13"/>
    </row>
    <row r="48" spans="1:91" x14ac:dyDescent="0.3">
      <c r="A48" s="84" t="s">
        <v>14</v>
      </c>
      <c r="B48" s="10" t="s">
        <v>126</v>
      </c>
      <c r="C48" s="103">
        <v>113599.31</v>
      </c>
      <c r="D48" s="103">
        <v>11963.07</v>
      </c>
      <c r="E48" s="105">
        <f>'Hillpointe Detail'!E48+'Sandhill Detail'!E48</f>
        <v>0</v>
      </c>
      <c r="F48" s="105">
        <f>'Hillpointe Detail'!F48+'Sandhill Detail'!F48</f>
        <v>0</v>
      </c>
      <c r="G48" s="105">
        <f>'Hillpointe Detail'!G48+'Sandhill Detail'!G48</f>
        <v>0</v>
      </c>
      <c r="H48" s="105">
        <f>'Hillpointe Detail'!H48+'Sandhill Detail'!H48</f>
        <v>14545.23</v>
      </c>
      <c r="I48" s="105">
        <f>'Hillpointe Detail'!I48+'Sandhill Detail'!I48</f>
        <v>0</v>
      </c>
      <c r="J48" s="105">
        <f>'Hillpointe Detail'!J48+'Sandhill Detail'!J48</f>
        <v>0</v>
      </c>
      <c r="K48" s="105">
        <f>'Hillpointe Detail'!K48+'Sandhill Detail'!K48</f>
        <v>0</v>
      </c>
      <c r="L48" s="105">
        <f>'Hillpointe Detail'!L48+'Sandhill Detail'!L48</f>
        <v>11005.400000000001</v>
      </c>
      <c r="M48" s="105">
        <f>'Hillpointe Detail'!M48+'Sandhill Detail'!M48</f>
        <v>-11545.230000000003</v>
      </c>
      <c r="N48" s="105">
        <f>'Hillpointe Detail'!N48+'Sandhill Detail'!N48</f>
        <v>0</v>
      </c>
      <c r="O48" s="105">
        <f>'Hillpointe Detail'!O48+'Sandhill Detail'!O48</f>
        <v>0</v>
      </c>
      <c r="P48" s="105">
        <f>'Hillpointe Detail'!P48+'Sandhill Detail'!P48</f>
        <v>16382.859999999999</v>
      </c>
      <c r="Q48" s="105">
        <f>'Hillpointe Detail'!Q48+'Sandhill Detail'!Q48</f>
        <v>0</v>
      </c>
      <c r="R48" s="105">
        <f>'Hillpointe Detail'!R48+'Sandhill Detail'!R48</f>
        <v>0</v>
      </c>
      <c r="S48" s="105">
        <f>'Hillpointe Detail'!S48+'Sandhill Detail'!S48</f>
        <v>0</v>
      </c>
      <c r="T48" s="105">
        <f>'Hillpointe Detail'!T48+'Sandhill Detail'!T48</f>
        <v>47528.22</v>
      </c>
      <c r="U48" s="105">
        <f>'Hillpointe Detail'!U48+'Sandhill Detail'!U48</f>
        <v>0</v>
      </c>
      <c r="V48" s="105">
        <f>'Hillpointe Detail'!V48+'Sandhill Detail'!V48</f>
        <v>0</v>
      </c>
      <c r="W48" s="105">
        <f>'Hillpointe Detail'!W48+'Sandhill Detail'!W48</f>
        <v>11991.52</v>
      </c>
      <c r="X48" s="105">
        <f>'Hillpointe Detail'!X48+'Sandhill Detail'!X48</f>
        <v>0</v>
      </c>
      <c r="Y48" s="105">
        <f>'Hillpointe Detail'!Y48+'Sandhill Detail'!Y48</f>
        <v>0</v>
      </c>
      <c r="Z48" s="105">
        <f>'Hillpointe Detail'!Z48+'Sandhill Detail'!Z48</f>
        <v>12292</v>
      </c>
      <c r="AA48" s="105">
        <f>'Hillpointe Detail'!AA48+'Sandhill Detail'!AA48</f>
        <v>0</v>
      </c>
      <c r="AB48" s="105">
        <f>'Hillpointe Detail'!AB48+'Sandhill Detail'!AB48</f>
        <v>110975.00000000001</v>
      </c>
      <c r="AC48" s="105">
        <f>'Hillpointe Detail'!AC48+'Sandhill Detail'!AC48</f>
        <v>0</v>
      </c>
      <c r="AD48" s="105">
        <f>'Hillpointe Detail'!AD48+'Sandhill Detail'!AD48</f>
        <v>0</v>
      </c>
      <c r="AE48" s="105">
        <f>'Hillpointe Detail'!AE48+'Sandhill Detail'!AE48</f>
        <v>0</v>
      </c>
      <c r="AF48" s="105">
        <f>'Hillpointe Detail'!AF48+'Sandhill Detail'!AF48</f>
        <v>0</v>
      </c>
      <c r="AG48" s="105">
        <f>'Hillpointe Detail'!AG48+'Sandhill Detail'!AG48</f>
        <v>0</v>
      </c>
      <c r="AH48" s="105">
        <f>'Hillpointe Detail'!AH48+'Sandhill Detail'!AH48</f>
        <v>0</v>
      </c>
      <c r="AI48" s="105">
        <f>'Hillpointe Detail'!AI48+'Sandhill Detail'!AI48</f>
        <v>0</v>
      </c>
      <c r="AJ48" s="105">
        <f>'Hillpointe Detail'!AJ48+'Sandhill Detail'!AJ48</f>
        <v>62500</v>
      </c>
      <c r="AK48" s="105">
        <f>'Hillpointe Detail'!AK48+'Sandhill Detail'!AK48</f>
        <v>62500</v>
      </c>
      <c r="AL48" s="105">
        <f>'Hillpointe Detail'!AL48+'Sandhill Detail'!AL48</f>
        <v>62500</v>
      </c>
      <c r="AM48" s="105">
        <f>'Hillpointe Detail'!AM48+'Sandhill Detail'!AM48</f>
        <v>62500</v>
      </c>
      <c r="AN48" s="105">
        <f>'Hillpointe Detail'!AN48+'Sandhill Detail'!AN48</f>
        <v>0</v>
      </c>
      <c r="AO48" s="105">
        <f>'Hillpointe Detail'!AO48+'Sandhill Detail'!AO48</f>
        <v>0</v>
      </c>
      <c r="AP48" s="105">
        <f>'Hillpointe Detail'!AP48+'Sandhill Detail'!AP48</f>
        <v>0</v>
      </c>
      <c r="AQ48" s="105">
        <f>'Hillpointe Detail'!AQ48+'Sandhill Detail'!AQ48</f>
        <v>0</v>
      </c>
      <c r="AR48" s="105">
        <f>'Hillpointe Detail'!AR48+'Sandhill Detail'!AR48</f>
        <v>0</v>
      </c>
      <c r="AS48" s="105">
        <f>'Hillpointe Detail'!AS48+'Sandhill Detail'!AS48</f>
        <v>0</v>
      </c>
      <c r="AT48" s="105">
        <f>'Hillpointe Detail'!AT48+'Sandhill Detail'!AT48</f>
        <v>0</v>
      </c>
      <c r="AU48" s="105">
        <f>'Hillpointe Detail'!AU48+'Sandhill Detail'!AU48</f>
        <v>0</v>
      </c>
      <c r="AV48" s="105">
        <f>'Hillpointe Detail'!AV48+'Sandhill Detail'!AV48</f>
        <v>0</v>
      </c>
      <c r="AW48" s="105">
        <f>'Hillpointe Detail'!AW48+'Sandhill Detail'!AW48</f>
        <v>30000</v>
      </c>
      <c r="AX48" s="105">
        <f>'Hillpointe Detail'!AX48+'Sandhill Detail'!AX48</f>
        <v>0</v>
      </c>
      <c r="AY48" s="105">
        <f>'Hillpointe Detail'!AY48+'Sandhill Detail'!AY48</f>
        <v>0</v>
      </c>
      <c r="AZ48" s="105">
        <f>'Hillpointe Detail'!AZ48+'Sandhill Detail'!AZ48</f>
        <v>0</v>
      </c>
      <c r="BA48" s="105">
        <f>'Hillpointe Detail'!BA48+'Sandhill Detail'!BA48</f>
        <v>0</v>
      </c>
      <c r="BB48" s="105">
        <f>'Hillpointe Detail'!BB48+'Sandhill Detail'!BB48</f>
        <v>0</v>
      </c>
      <c r="BC48" s="105">
        <f>'Hillpointe Detail'!BC48+'Sandhill Detail'!BC48</f>
        <v>0</v>
      </c>
      <c r="BD48" s="105">
        <f>'Hillpointe Detail'!BD48+'Sandhill Detail'!BD48</f>
        <v>0</v>
      </c>
      <c r="BE48" s="105">
        <f>'Hillpointe Detail'!BE48+'Sandhill Detail'!BE48</f>
        <v>0</v>
      </c>
      <c r="BF48" s="105">
        <f>'Hillpointe Detail'!BF48+'Sandhill Detail'!BF48</f>
        <v>0</v>
      </c>
      <c r="BG48" s="105">
        <f>'Hillpointe Detail'!BG48+'Sandhill Detail'!BG48</f>
        <v>0</v>
      </c>
      <c r="BH48" s="105">
        <f>'Hillpointe Detail'!BH48+'Sandhill Detail'!BH48</f>
        <v>0</v>
      </c>
      <c r="BI48" s="105">
        <f>'Hillpointe Detail'!BI48+'Sandhill Detail'!BI48</f>
        <v>30525</v>
      </c>
      <c r="BJ48" s="105">
        <f>'Hillpointe Detail'!BJ48+'Sandhill Detail'!BJ48</f>
        <v>0</v>
      </c>
      <c r="BK48" s="105">
        <f>'Hillpointe Detail'!BK48+'Sandhill Detail'!BK48</f>
        <v>0</v>
      </c>
      <c r="BL48" s="105">
        <f>'Hillpointe Detail'!BL48+'Sandhill Detail'!BL48</f>
        <v>0</v>
      </c>
      <c r="BM48" s="105">
        <f>'Hillpointe Detail'!BM48+'Sandhill Detail'!BM48</f>
        <v>0</v>
      </c>
      <c r="BN48" s="105">
        <f>'Hillpointe Detail'!BN48+'Sandhill Detail'!BN48</f>
        <v>0</v>
      </c>
      <c r="BO48" s="105">
        <f>'Hillpointe Detail'!BO48+'Sandhill Detail'!BO48</f>
        <v>0</v>
      </c>
      <c r="BP48" s="105">
        <f>'Hillpointe Detail'!BP48+'Sandhill Detail'!BP48</f>
        <v>0</v>
      </c>
      <c r="BQ48" s="105">
        <f>'Hillpointe Detail'!BQ48+'Sandhill Detail'!BQ48</f>
        <v>0</v>
      </c>
      <c r="BR48" s="105">
        <f>'Hillpointe Detail'!BR48+'Sandhill Detail'!BR48</f>
        <v>0</v>
      </c>
      <c r="BS48" s="105">
        <f>'Hillpointe Detail'!BS48+'Sandhill Detail'!BS48</f>
        <v>0</v>
      </c>
      <c r="BT48" s="105">
        <f>'Hillpointe Detail'!BT48+'Sandhill Detail'!BT48</f>
        <v>0</v>
      </c>
      <c r="BU48" s="105">
        <f>'Hillpointe Detail'!BU48+'Sandhill Detail'!BU48</f>
        <v>30906.5625</v>
      </c>
      <c r="BV48" s="105">
        <f>'Hillpointe Detail'!BV48+'Sandhill Detail'!BV48</f>
        <v>0</v>
      </c>
      <c r="BW48" s="105">
        <f>'Hillpointe Detail'!BW48+'Sandhill Detail'!BW48</f>
        <v>0</v>
      </c>
      <c r="BX48" s="105">
        <f>'Hillpointe Detail'!BX48+'Sandhill Detail'!BX48</f>
        <v>0</v>
      </c>
      <c r="BY48" s="8"/>
      <c r="BZ48" s="105">
        <f t="shared" si="46"/>
        <v>0</v>
      </c>
      <c r="CA48" s="105">
        <f t="shared" si="47"/>
        <v>71811.740000000005</v>
      </c>
      <c r="CC48" s="105">
        <f t="shared" si="50"/>
        <v>113599.31</v>
      </c>
      <c r="CD48" s="105">
        <f t="shared" si="50"/>
        <v>11963.07</v>
      </c>
      <c r="CE48" s="105">
        <f t="shared" si="50"/>
        <v>30388.259999999995</v>
      </c>
      <c r="CF48" s="105">
        <f t="shared" si="50"/>
        <v>182786.74000000002</v>
      </c>
      <c r="CG48" s="105">
        <f t="shared" si="50"/>
        <v>250000</v>
      </c>
      <c r="CH48" s="105">
        <f t="shared" si="50"/>
        <v>30000</v>
      </c>
      <c r="CI48" s="105">
        <f t="shared" si="50"/>
        <v>30525</v>
      </c>
      <c r="CJ48" s="105">
        <f t="shared" si="50"/>
        <v>30906.5625</v>
      </c>
      <c r="CL48" s="105"/>
      <c r="CM48" s="13"/>
    </row>
    <row r="49" spans="1:91" x14ac:dyDescent="0.3">
      <c r="A49" s="84" t="s">
        <v>407</v>
      </c>
      <c r="B49" s="10" t="s">
        <v>126</v>
      </c>
      <c r="C49" s="103">
        <v>0</v>
      </c>
      <c r="D49" s="103">
        <v>0</v>
      </c>
      <c r="E49" s="105">
        <f>'Hillpointe Detail'!E49+'Sandhill Detail'!E49</f>
        <v>0</v>
      </c>
      <c r="F49" s="105">
        <f>'Hillpointe Detail'!F49+'Sandhill Detail'!F49</f>
        <v>0</v>
      </c>
      <c r="G49" s="105">
        <f>'Hillpointe Detail'!G49+'Sandhill Detail'!G49</f>
        <v>0</v>
      </c>
      <c r="H49" s="105">
        <f>'Hillpointe Detail'!H49+'Sandhill Detail'!H49</f>
        <v>0</v>
      </c>
      <c r="I49" s="105">
        <f>'Hillpointe Detail'!I49+'Sandhill Detail'!I49</f>
        <v>0</v>
      </c>
      <c r="J49" s="105">
        <f>'Hillpointe Detail'!J49+'Sandhill Detail'!J49</f>
        <v>0</v>
      </c>
      <c r="K49" s="105">
        <f>'Hillpointe Detail'!K49+'Sandhill Detail'!K49</f>
        <v>0</v>
      </c>
      <c r="L49" s="105">
        <f>'Hillpointe Detail'!L49+'Sandhill Detail'!L49</f>
        <v>0</v>
      </c>
      <c r="M49" s="105">
        <f>'Hillpointe Detail'!M49+'Sandhill Detail'!M49</f>
        <v>0</v>
      </c>
      <c r="N49" s="105">
        <f>'Hillpointe Detail'!N49+'Sandhill Detail'!N49</f>
        <v>0</v>
      </c>
      <c r="O49" s="105">
        <f>'Hillpointe Detail'!O49+'Sandhill Detail'!O49</f>
        <v>0</v>
      </c>
      <c r="P49" s="105">
        <f>'Hillpointe Detail'!P49+'Sandhill Detail'!P49</f>
        <v>0</v>
      </c>
      <c r="Q49" s="105">
        <f>'Hillpointe Detail'!Q49+'Sandhill Detail'!Q49</f>
        <v>0</v>
      </c>
      <c r="R49" s="105">
        <f>'Hillpointe Detail'!R49+'Sandhill Detail'!R49</f>
        <v>0</v>
      </c>
      <c r="S49" s="105">
        <f>'Hillpointe Detail'!S49+'Sandhill Detail'!S49</f>
        <v>0</v>
      </c>
      <c r="T49" s="105">
        <f>'Hillpointe Detail'!T49+'Sandhill Detail'!T49</f>
        <v>0</v>
      </c>
      <c r="U49" s="105">
        <f>'Hillpointe Detail'!U49+'Sandhill Detail'!U49</f>
        <v>0</v>
      </c>
      <c r="V49" s="105">
        <f>'Hillpointe Detail'!V49+'Sandhill Detail'!V49</f>
        <v>0</v>
      </c>
      <c r="W49" s="105">
        <f>'Hillpointe Detail'!W49+'Sandhill Detail'!W49</f>
        <v>0</v>
      </c>
      <c r="X49" s="105">
        <f>'Hillpointe Detail'!X49+'Sandhill Detail'!X49</f>
        <v>0</v>
      </c>
      <c r="Y49" s="105">
        <f>'Hillpointe Detail'!Y49+'Sandhill Detail'!Y49</f>
        <v>0</v>
      </c>
      <c r="Z49" s="105">
        <f>'Hillpointe Detail'!Z49+'Sandhill Detail'!Z49</f>
        <v>0</v>
      </c>
      <c r="AA49" s="105">
        <f>'Hillpointe Detail'!AA49+'Sandhill Detail'!AA49</f>
        <v>0</v>
      </c>
      <c r="AB49" s="105">
        <f>'Hillpointe Detail'!AB49+'Sandhill Detail'!AB49</f>
        <v>0</v>
      </c>
      <c r="AC49" s="105">
        <f>'Hillpointe Detail'!AC49+'Sandhill Detail'!AC49</f>
        <v>0</v>
      </c>
      <c r="AD49" s="105">
        <f>'Hillpointe Detail'!AD49+'Sandhill Detail'!AD49</f>
        <v>0</v>
      </c>
      <c r="AE49" s="105">
        <f>'Hillpointe Detail'!AE49+'Sandhill Detail'!AE49</f>
        <v>0</v>
      </c>
      <c r="AF49" s="105">
        <f>'Hillpointe Detail'!AF49+'Sandhill Detail'!AF49</f>
        <v>3384</v>
      </c>
      <c r="AG49" s="105">
        <f>'Hillpointe Detail'!AG49+'Sandhill Detail'!AG49</f>
        <v>3384</v>
      </c>
      <c r="AH49" s="105">
        <f>'Hillpointe Detail'!AH49+'Sandhill Detail'!AH49</f>
        <v>3384</v>
      </c>
      <c r="AI49" s="105">
        <f>'Hillpointe Detail'!AI49+'Sandhill Detail'!AI49</f>
        <v>3384</v>
      </c>
      <c r="AJ49" s="105">
        <f>'Hillpointe Detail'!AJ49+'Sandhill Detail'!AJ49</f>
        <v>3384</v>
      </c>
      <c r="AK49" s="105">
        <f>'Hillpointe Detail'!AK49+'Sandhill Detail'!AK49</f>
        <v>3384</v>
      </c>
      <c r="AL49" s="105">
        <f>'Hillpointe Detail'!AL49+'Sandhill Detail'!AL49</f>
        <v>3384</v>
      </c>
      <c r="AM49" s="105">
        <f>'Hillpointe Detail'!AM49+'Sandhill Detail'!AM49</f>
        <v>3384</v>
      </c>
      <c r="AN49" s="105">
        <f>'Hillpointe Detail'!AN49+'Sandhill Detail'!AN49</f>
        <v>3384</v>
      </c>
      <c r="AO49" s="105">
        <f>'Hillpointe Detail'!AO49+'Sandhill Detail'!AO49</f>
        <v>3384</v>
      </c>
      <c r="AP49" s="105">
        <f>'Hillpointe Detail'!AP49+'Sandhill Detail'!AP49</f>
        <v>3384</v>
      </c>
      <c r="AQ49" s="105">
        <f>'Hillpointe Detail'!AQ49+'Sandhill Detail'!AQ49</f>
        <v>3384</v>
      </c>
      <c r="AR49" s="105">
        <f>'Hillpointe Detail'!AR49+'Sandhill Detail'!AR49</f>
        <v>3485.5200000000004</v>
      </c>
      <c r="AS49" s="105">
        <f>'Hillpointe Detail'!AS49+'Sandhill Detail'!AS49</f>
        <v>3485.5200000000004</v>
      </c>
      <c r="AT49" s="105">
        <f>'Hillpointe Detail'!AT49+'Sandhill Detail'!AT49</f>
        <v>3485.5200000000004</v>
      </c>
      <c r="AU49" s="105">
        <f>'Hillpointe Detail'!AU49+'Sandhill Detail'!AU49</f>
        <v>3485.5200000000004</v>
      </c>
      <c r="AV49" s="105">
        <f>'Hillpointe Detail'!AV49+'Sandhill Detail'!AV49</f>
        <v>3485.5200000000004</v>
      </c>
      <c r="AW49" s="105">
        <f>'Hillpointe Detail'!AW49+'Sandhill Detail'!AW49</f>
        <v>3485.5200000000004</v>
      </c>
      <c r="AX49" s="105">
        <f>'Hillpointe Detail'!AX49+'Sandhill Detail'!AX49</f>
        <v>3485.5200000000004</v>
      </c>
      <c r="AY49" s="105">
        <f>'Hillpointe Detail'!AY49+'Sandhill Detail'!AY49</f>
        <v>3485.5200000000004</v>
      </c>
      <c r="AZ49" s="105">
        <f>'Hillpointe Detail'!AZ49+'Sandhill Detail'!AZ49</f>
        <v>3485.5200000000004</v>
      </c>
      <c r="BA49" s="105">
        <f>'Hillpointe Detail'!BA49+'Sandhill Detail'!BA49</f>
        <v>3485.5200000000004</v>
      </c>
      <c r="BB49" s="105">
        <f>'Hillpointe Detail'!BB49+'Sandhill Detail'!BB49</f>
        <v>3443.2200000000003</v>
      </c>
      <c r="BC49" s="105">
        <f>'Hillpointe Detail'!BC49+'Sandhill Detail'!BC49</f>
        <v>3443.2200000000003</v>
      </c>
      <c r="BD49" s="105">
        <f>'Hillpointe Detail'!BD49+'Sandhill Detail'!BD49</f>
        <v>3546.5166000000004</v>
      </c>
      <c r="BE49" s="105">
        <f>'Hillpointe Detail'!BE49+'Sandhill Detail'!BE49</f>
        <v>3546.5166000000004</v>
      </c>
      <c r="BF49" s="105">
        <f>'Hillpointe Detail'!BF49+'Sandhill Detail'!BF49</f>
        <v>3546.5166000000004</v>
      </c>
      <c r="BG49" s="105">
        <f>'Hillpointe Detail'!BG49+'Sandhill Detail'!BG49</f>
        <v>3546.5166000000004</v>
      </c>
      <c r="BH49" s="105">
        <f>'Hillpointe Detail'!BH49+'Sandhill Detail'!BH49</f>
        <v>3546.5166000000004</v>
      </c>
      <c r="BI49" s="105">
        <f>'Hillpointe Detail'!BI49+'Sandhill Detail'!BI49</f>
        <v>3546.5166000000004</v>
      </c>
      <c r="BJ49" s="105">
        <f>'Hillpointe Detail'!BJ49+'Sandhill Detail'!BJ49</f>
        <v>3546.5166000000004</v>
      </c>
      <c r="BK49" s="105">
        <f>'Hillpointe Detail'!BK49+'Sandhill Detail'!BK49</f>
        <v>3546.5166000000004</v>
      </c>
      <c r="BL49" s="105">
        <f>'Hillpointe Detail'!BL49+'Sandhill Detail'!BL49</f>
        <v>3546.5166000000004</v>
      </c>
      <c r="BM49" s="105">
        <f>'Hillpointe Detail'!BM49+'Sandhill Detail'!BM49</f>
        <v>3546.5166000000004</v>
      </c>
      <c r="BN49" s="105">
        <f>'Hillpointe Detail'!BN49+'Sandhill Detail'!BN49</f>
        <v>3486.2602500000003</v>
      </c>
      <c r="BO49" s="105">
        <f>'Hillpointe Detail'!BO49+'Sandhill Detail'!BO49</f>
        <v>3486.2602500000003</v>
      </c>
      <c r="BP49" s="105">
        <f>'Hillpointe Detail'!BP49+'Sandhill Detail'!BP49</f>
        <v>3590.8480575000003</v>
      </c>
      <c r="BQ49" s="105">
        <f>'Hillpointe Detail'!BQ49+'Sandhill Detail'!BQ49</f>
        <v>3590.8480575000003</v>
      </c>
      <c r="BR49" s="105">
        <f>'Hillpointe Detail'!BR49+'Sandhill Detail'!BR49</f>
        <v>3590.8480575000003</v>
      </c>
      <c r="BS49" s="105">
        <f>'Hillpointe Detail'!BS49+'Sandhill Detail'!BS49</f>
        <v>3590.8480575000003</v>
      </c>
      <c r="BT49" s="105">
        <f>'Hillpointe Detail'!BT49+'Sandhill Detail'!BT49</f>
        <v>3590.8480575000003</v>
      </c>
      <c r="BU49" s="105">
        <f>'Hillpointe Detail'!BU49+'Sandhill Detail'!BU49</f>
        <v>3590.8480575000003</v>
      </c>
      <c r="BV49" s="105">
        <f>'Hillpointe Detail'!BV49+'Sandhill Detail'!BV49</f>
        <v>3590.8480575000003</v>
      </c>
      <c r="BW49" s="105">
        <f>'Hillpointe Detail'!BW49+'Sandhill Detail'!BW49</f>
        <v>3590.8480575000003</v>
      </c>
      <c r="BX49" s="105">
        <f>'Hillpointe Detail'!BX49+'Sandhill Detail'!BX49</f>
        <v>3590.8480575000003</v>
      </c>
      <c r="BY49" s="8"/>
      <c r="BZ49" s="105">
        <f t="shared" si="46"/>
        <v>0</v>
      </c>
      <c r="CA49" s="105">
        <f t="shared" si="47"/>
        <v>0</v>
      </c>
      <c r="CC49" s="105">
        <f t="shared" si="50"/>
        <v>0</v>
      </c>
      <c r="CD49" s="105">
        <f t="shared" si="50"/>
        <v>0</v>
      </c>
      <c r="CE49" s="105">
        <f t="shared" si="50"/>
        <v>0</v>
      </c>
      <c r="CF49" s="105">
        <f t="shared" si="50"/>
        <v>0</v>
      </c>
      <c r="CG49" s="105">
        <f t="shared" si="50"/>
        <v>30456</v>
      </c>
      <c r="CH49" s="105">
        <f t="shared" si="50"/>
        <v>41521.680000000008</v>
      </c>
      <c r="CI49" s="105">
        <f t="shared" si="50"/>
        <v>42290.609400000001</v>
      </c>
      <c r="CJ49" s="105">
        <f t="shared" si="50"/>
        <v>42836.669617499996</v>
      </c>
      <c r="CL49" s="105"/>
      <c r="CM49" s="13"/>
    </row>
    <row r="50" spans="1:91" x14ac:dyDescent="0.3">
      <c r="A50" s="84" t="s">
        <v>436</v>
      </c>
      <c r="B50" s="10" t="s">
        <v>126</v>
      </c>
      <c r="C50" s="103">
        <v>0</v>
      </c>
      <c r="D50" s="103">
        <v>0</v>
      </c>
      <c r="E50" s="105">
        <f>'Hillpointe Detail'!E50+'Sandhill Detail'!E50</f>
        <v>0</v>
      </c>
      <c r="F50" s="105">
        <f>'Hillpointe Detail'!F50+'Sandhill Detail'!F50</f>
        <v>0</v>
      </c>
      <c r="G50" s="105">
        <f>'Hillpointe Detail'!G50+'Sandhill Detail'!G50</f>
        <v>0</v>
      </c>
      <c r="H50" s="105">
        <f>'Hillpointe Detail'!H50+'Sandhill Detail'!H50</f>
        <v>0</v>
      </c>
      <c r="I50" s="105">
        <f>'Hillpointe Detail'!I50+'Sandhill Detail'!I50</f>
        <v>0</v>
      </c>
      <c r="J50" s="105">
        <f>'Hillpointe Detail'!J50+'Sandhill Detail'!J50</f>
        <v>0</v>
      </c>
      <c r="K50" s="105">
        <f>'Hillpointe Detail'!K50+'Sandhill Detail'!K50</f>
        <v>0</v>
      </c>
      <c r="L50" s="105">
        <f>'Hillpointe Detail'!L50+'Sandhill Detail'!L50</f>
        <v>0</v>
      </c>
      <c r="M50" s="105">
        <f>'Hillpointe Detail'!M50+'Sandhill Detail'!M50</f>
        <v>0</v>
      </c>
      <c r="N50" s="105">
        <f>'Hillpointe Detail'!N50+'Sandhill Detail'!N50</f>
        <v>0</v>
      </c>
      <c r="O50" s="105">
        <f>'Hillpointe Detail'!O50+'Sandhill Detail'!O50</f>
        <v>0</v>
      </c>
      <c r="P50" s="105">
        <f>'Hillpointe Detail'!P50+'Sandhill Detail'!P50</f>
        <v>0</v>
      </c>
      <c r="Q50" s="105">
        <f>'Hillpointe Detail'!Q50+'Sandhill Detail'!Q50</f>
        <v>0</v>
      </c>
      <c r="R50" s="105">
        <f>'Hillpointe Detail'!R50+'Sandhill Detail'!R50</f>
        <v>0</v>
      </c>
      <c r="S50" s="105">
        <f>'Hillpointe Detail'!S50+'Sandhill Detail'!S50</f>
        <v>0</v>
      </c>
      <c r="T50" s="105">
        <f>'Hillpointe Detail'!T50+'Sandhill Detail'!T50</f>
        <v>0</v>
      </c>
      <c r="U50" s="105">
        <f>'Hillpointe Detail'!U50+'Sandhill Detail'!U50</f>
        <v>0</v>
      </c>
      <c r="V50" s="105">
        <f>'Hillpointe Detail'!V50+'Sandhill Detail'!V50</f>
        <v>0</v>
      </c>
      <c r="W50" s="105">
        <f>'Hillpointe Detail'!W50+'Sandhill Detail'!W50</f>
        <v>0</v>
      </c>
      <c r="X50" s="105">
        <f>'Hillpointe Detail'!X50+'Sandhill Detail'!X50</f>
        <v>0</v>
      </c>
      <c r="Y50" s="105">
        <f>'Hillpointe Detail'!Y50+'Sandhill Detail'!Y50</f>
        <v>0</v>
      </c>
      <c r="Z50" s="105">
        <f>'Hillpointe Detail'!Z50+'Sandhill Detail'!Z50</f>
        <v>331000</v>
      </c>
      <c r="AA50" s="105">
        <f>'Hillpointe Detail'!AA50+'Sandhill Detail'!AA50</f>
        <v>0</v>
      </c>
      <c r="AB50" s="105">
        <f>'Hillpointe Detail'!AB50+'Sandhill Detail'!AB50</f>
        <v>0</v>
      </c>
      <c r="AC50" s="105">
        <f>'Hillpointe Detail'!AC50+'Sandhill Detail'!AC50</f>
        <v>0</v>
      </c>
      <c r="AD50" s="105">
        <f>'Hillpointe Detail'!AD50+'Sandhill Detail'!AD50</f>
        <v>0</v>
      </c>
      <c r="AE50" s="105">
        <f>'Hillpointe Detail'!AE50+'Sandhill Detail'!AE50</f>
        <v>0</v>
      </c>
      <c r="AF50" s="105">
        <f>'Hillpointe Detail'!AF50+'Sandhill Detail'!AF50</f>
        <v>0</v>
      </c>
      <c r="AG50" s="105">
        <f>'Hillpointe Detail'!AG50+'Sandhill Detail'!AG50</f>
        <v>0</v>
      </c>
      <c r="AH50" s="105">
        <f>'Hillpointe Detail'!AH50+'Sandhill Detail'!AH50</f>
        <v>0</v>
      </c>
      <c r="AI50" s="105">
        <f>'Hillpointe Detail'!AI50+'Sandhill Detail'!AI50</f>
        <v>0</v>
      </c>
      <c r="AJ50" s="105">
        <f>'Hillpointe Detail'!AJ50+'Sandhill Detail'!AJ50</f>
        <v>0</v>
      </c>
      <c r="AK50" s="105">
        <f>'Hillpointe Detail'!AK50+'Sandhill Detail'!AK50</f>
        <v>0</v>
      </c>
      <c r="AL50" s="105">
        <f>'Hillpointe Detail'!AL50+'Sandhill Detail'!AL50</f>
        <v>0</v>
      </c>
      <c r="AM50" s="105">
        <f>'Hillpointe Detail'!AM50+'Sandhill Detail'!AM50</f>
        <v>0</v>
      </c>
      <c r="AN50" s="105">
        <f>'Hillpointe Detail'!AN50+'Sandhill Detail'!AN50</f>
        <v>0</v>
      </c>
      <c r="AO50" s="105">
        <f>'Hillpointe Detail'!AO50+'Sandhill Detail'!AO50</f>
        <v>0</v>
      </c>
      <c r="AP50" s="105">
        <f>'Hillpointe Detail'!AP50+'Sandhill Detail'!AP50</f>
        <v>0</v>
      </c>
      <c r="AQ50" s="105">
        <f>'Hillpointe Detail'!AQ50+'Sandhill Detail'!AQ50</f>
        <v>0</v>
      </c>
      <c r="AR50" s="105">
        <f>'Hillpointe Detail'!AR50+'Sandhill Detail'!AR50</f>
        <v>0</v>
      </c>
      <c r="AS50" s="105">
        <f>'Hillpointe Detail'!AS50+'Sandhill Detail'!AS50</f>
        <v>0</v>
      </c>
      <c r="AT50" s="105">
        <f>'Hillpointe Detail'!AT50+'Sandhill Detail'!AT50</f>
        <v>0</v>
      </c>
      <c r="AU50" s="105">
        <f>'Hillpointe Detail'!AU50+'Sandhill Detail'!AU50</f>
        <v>0</v>
      </c>
      <c r="AV50" s="105">
        <f>'Hillpointe Detail'!AV50+'Sandhill Detail'!AV50</f>
        <v>0</v>
      </c>
      <c r="AW50" s="105">
        <f>'Hillpointe Detail'!AW50+'Sandhill Detail'!AW50</f>
        <v>0</v>
      </c>
      <c r="AX50" s="105">
        <f>'Hillpointe Detail'!AX50+'Sandhill Detail'!AX50</f>
        <v>0</v>
      </c>
      <c r="AY50" s="105">
        <f>'Hillpointe Detail'!AY50+'Sandhill Detail'!AY50</f>
        <v>0</v>
      </c>
      <c r="AZ50" s="105">
        <f>'Hillpointe Detail'!AZ50+'Sandhill Detail'!AZ50</f>
        <v>0</v>
      </c>
      <c r="BA50" s="105">
        <f>'Hillpointe Detail'!BA50+'Sandhill Detail'!BA50</f>
        <v>0</v>
      </c>
      <c r="BB50" s="105">
        <f>'Hillpointe Detail'!BB50+'Sandhill Detail'!BB50</f>
        <v>0</v>
      </c>
      <c r="BC50" s="105">
        <f>'Hillpointe Detail'!BC50+'Sandhill Detail'!BC50</f>
        <v>0</v>
      </c>
      <c r="BD50" s="105">
        <f>'Hillpointe Detail'!BD50+'Sandhill Detail'!BD50</f>
        <v>0</v>
      </c>
      <c r="BE50" s="105">
        <f>'Hillpointe Detail'!BE50+'Sandhill Detail'!BE50</f>
        <v>0</v>
      </c>
      <c r="BF50" s="105">
        <f>'Hillpointe Detail'!BF50+'Sandhill Detail'!BF50</f>
        <v>0</v>
      </c>
      <c r="BG50" s="105">
        <f>'Hillpointe Detail'!BG50+'Sandhill Detail'!BG50</f>
        <v>0</v>
      </c>
      <c r="BH50" s="105">
        <f>'Hillpointe Detail'!BH50+'Sandhill Detail'!BH50</f>
        <v>0</v>
      </c>
      <c r="BI50" s="105">
        <f>'Hillpointe Detail'!BI50+'Sandhill Detail'!BI50</f>
        <v>0</v>
      </c>
      <c r="BJ50" s="105">
        <f>'Hillpointe Detail'!BJ50+'Sandhill Detail'!BJ50</f>
        <v>0</v>
      </c>
      <c r="BK50" s="105">
        <f>'Hillpointe Detail'!BK50+'Sandhill Detail'!BK50</f>
        <v>0</v>
      </c>
      <c r="BL50" s="105">
        <f>'Hillpointe Detail'!BL50+'Sandhill Detail'!BL50</f>
        <v>0</v>
      </c>
      <c r="BM50" s="105">
        <f>'Hillpointe Detail'!BM50+'Sandhill Detail'!BM50</f>
        <v>0</v>
      </c>
      <c r="BN50" s="105">
        <f>'Hillpointe Detail'!BN50+'Sandhill Detail'!BN50</f>
        <v>0</v>
      </c>
      <c r="BO50" s="105">
        <f>'Hillpointe Detail'!BO50+'Sandhill Detail'!BO50</f>
        <v>0</v>
      </c>
      <c r="BP50" s="105">
        <f>'Hillpointe Detail'!BP50+'Sandhill Detail'!BP50</f>
        <v>0</v>
      </c>
      <c r="BQ50" s="105">
        <f>'Hillpointe Detail'!BQ50+'Sandhill Detail'!BQ50</f>
        <v>0</v>
      </c>
      <c r="BR50" s="105">
        <f>'Hillpointe Detail'!BR50+'Sandhill Detail'!BR50</f>
        <v>0</v>
      </c>
      <c r="BS50" s="105">
        <f>'Hillpointe Detail'!BS50+'Sandhill Detail'!BS50</f>
        <v>0</v>
      </c>
      <c r="BT50" s="105">
        <f>'Hillpointe Detail'!BT50+'Sandhill Detail'!BT50</f>
        <v>0</v>
      </c>
      <c r="BU50" s="105">
        <f>'Hillpointe Detail'!BU50+'Sandhill Detail'!BU50</f>
        <v>0</v>
      </c>
      <c r="BV50" s="105">
        <f>'Hillpointe Detail'!BV50+'Sandhill Detail'!BV50</f>
        <v>0</v>
      </c>
      <c r="BW50" s="105">
        <f>'Hillpointe Detail'!BW50+'Sandhill Detail'!BW50</f>
        <v>0</v>
      </c>
      <c r="BX50" s="105">
        <f>'Hillpointe Detail'!BX50+'Sandhill Detail'!BX50</f>
        <v>0</v>
      </c>
      <c r="BY50" s="8"/>
      <c r="BZ50" s="105">
        <f t="shared" si="46"/>
        <v>0</v>
      </c>
      <c r="CA50" s="105">
        <f t="shared" si="47"/>
        <v>331000</v>
      </c>
      <c r="CC50" s="105">
        <f t="shared" si="50"/>
        <v>0</v>
      </c>
      <c r="CD50" s="105">
        <f t="shared" si="50"/>
        <v>0</v>
      </c>
      <c r="CE50" s="105">
        <f t="shared" si="50"/>
        <v>0</v>
      </c>
      <c r="CF50" s="105">
        <f t="shared" si="50"/>
        <v>331000</v>
      </c>
      <c r="CG50" s="105">
        <f t="shared" si="50"/>
        <v>0</v>
      </c>
      <c r="CH50" s="105">
        <f t="shared" si="50"/>
        <v>0</v>
      </c>
      <c r="CI50" s="105">
        <f t="shared" si="50"/>
        <v>0</v>
      </c>
      <c r="CJ50" s="105">
        <f t="shared" si="50"/>
        <v>0</v>
      </c>
      <c r="CL50" s="105"/>
      <c r="CM50" s="13"/>
    </row>
    <row r="51" spans="1:91" x14ac:dyDescent="0.3">
      <c r="A51" s="84" t="s">
        <v>15</v>
      </c>
      <c r="B51" s="10" t="s">
        <v>124</v>
      </c>
      <c r="C51" s="140">
        <v>0</v>
      </c>
      <c r="D51" s="140">
        <v>0</v>
      </c>
      <c r="E51" s="141">
        <f>'Hillpointe Detail'!E51+'Sandhill Detail'!E51</f>
        <v>50</v>
      </c>
      <c r="F51" s="141">
        <f>'Hillpointe Detail'!F51+'Sandhill Detail'!F51</f>
        <v>150</v>
      </c>
      <c r="G51" s="141">
        <f>'Hillpointe Detail'!G51+'Sandhill Detail'!G51</f>
        <v>25</v>
      </c>
      <c r="H51" s="141">
        <f>'Hillpointe Detail'!H51+'Sandhill Detail'!H51</f>
        <v>0</v>
      </c>
      <c r="I51" s="141">
        <f>'Hillpointe Detail'!I51+'Sandhill Detail'!I51</f>
        <v>20</v>
      </c>
      <c r="J51" s="141">
        <f>'Hillpointe Detail'!J51+'Sandhill Detail'!J51</f>
        <v>40</v>
      </c>
      <c r="K51" s="141">
        <f>'Hillpointe Detail'!K51+'Sandhill Detail'!K51</f>
        <v>0</v>
      </c>
      <c r="L51" s="141">
        <f>'Hillpointe Detail'!L51+'Sandhill Detail'!L51</f>
        <v>0</v>
      </c>
      <c r="M51" s="141">
        <f>'Hillpointe Detail'!M51+'Sandhill Detail'!M51</f>
        <v>53</v>
      </c>
      <c r="N51" s="141">
        <f>'Hillpointe Detail'!N51+'Sandhill Detail'!N51</f>
        <v>0</v>
      </c>
      <c r="O51" s="141">
        <f>'Hillpointe Detail'!O51+'Sandhill Detail'!O51</f>
        <v>905</v>
      </c>
      <c r="P51" s="141">
        <f>'Hillpointe Detail'!P51+'Sandhill Detail'!P51</f>
        <v>0</v>
      </c>
      <c r="Q51" s="141">
        <f>'Hillpointe Detail'!Q51+'Sandhill Detail'!Q51</f>
        <v>15</v>
      </c>
      <c r="R51" s="141">
        <f>'Hillpointe Detail'!R51+'Sandhill Detail'!R51</f>
        <v>0</v>
      </c>
      <c r="S51" s="141">
        <f>'Hillpointe Detail'!S51+'Sandhill Detail'!S51</f>
        <v>0</v>
      </c>
      <c r="T51" s="141">
        <f>'Hillpointe Detail'!T51+'Sandhill Detail'!T51</f>
        <v>0</v>
      </c>
      <c r="U51" s="141">
        <f>'Hillpointe Detail'!U51+'Sandhill Detail'!U51</f>
        <v>20</v>
      </c>
      <c r="V51" s="141">
        <f>'Hillpointe Detail'!V51+'Sandhill Detail'!V51</f>
        <v>0</v>
      </c>
      <c r="W51" s="141">
        <f>'Hillpointe Detail'!W51+'Sandhill Detail'!W51</f>
        <v>0</v>
      </c>
      <c r="X51" s="141">
        <f>'Hillpointe Detail'!X51+'Sandhill Detail'!X51</f>
        <v>0</v>
      </c>
      <c r="Y51" s="141">
        <f>'Hillpointe Detail'!Y51+'Sandhill Detail'!Y51</f>
        <v>0</v>
      </c>
      <c r="Z51" s="141">
        <f>'Hillpointe Detail'!Z51+'Sandhill Detail'!Z51</f>
        <v>0</v>
      </c>
      <c r="AA51" s="141">
        <f>'Hillpointe Detail'!AA51+'Sandhill Detail'!AA51</f>
        <v>157.5</v>
      </c>
      <c r="AB51" s="141">
        <f>'Hillpointe Detail'!AB51+'Sandhill Detail'!AB51</f>
        <v>0</v>
      </c>
      <c r="AC51" s="141">
        <f>'Hillpointe Detail'!AC51+'Sandhill Detail'!AC51</f>
        <v>15</v>
      </c>
      <c r="AD51" s="141">
        <f>'Hillpointe Detail'!AD51+'Sandhill Detail'!AD51</f>
        <v>0</v>
      </c>
      <c r="AE51" s="141">
        <f>'Hillpointe Detail'!AE51+'Sandhill Detail'!AE51</f>
        <v>0</v>
      </c>
      <c r="AF51" s="141">
        <f>'Hillpointe Detail'!AF51+'Sandhill Detail'!AF51</f>
        <v>0</v>
      </c>
      <c r="AG51" s="141">
        <f>'Hillpointe Detail'!AG51+'Sandhill Detail'!AG51</f>
        <v>20</v>
      </c>
      <c r="AH51" s="141">
        <f>'Hillpointe Detail'!AH51+'Sandhill Detail'!AH51</f>
        <v>0</v>
      </c>
      <c r="AI51" s="141">
        <f>'Hillpointe Detail'!AI51+'Sandhill Detail'!AI51</f>
        <v>0</v>
      </c>
      <c r="AJ51" s="141">
        <f>'Hillpointe Detail'!AJ51+'Sandhill Detail'!AJ51</f>
        <v>0</v>
      </c>
      <c r="AK51" s="141">
        <f>'Hillpointe Detail'!AK51+'Sandhill Detail'!AK51</f>
        <v>0</v>
      </c>
      <c r="AL51" s="141">
        <f>'Hillpointe Detail'!AL51+'Sandhill Detail'!AL51</f>
        <v>0</v>
      </c>
      <c r="AM51" s="141">
        <f>'Hillpointe Detail'!AM51+'Sandhill Detail'!AM51</f>
        <v>157.5</v>
      </c>
      <c r="AN51" s="141">
        <f>'Hillpointe Detail'!AN51+'Sandhill Detail'!AN51</f>
        <v>0</v>
      </c>
      <c r="AO51" s="141">
        <f>'Hillpointe Detail'!AO51+'Sandhill Detail'!AO51</f>
        <v>15</v>
      </c>
      <c r="AP51" s="141">
        <f>'Hillpointe Detail'!AP51+'Sandhill Detail'!AP51</f>
        <v>0</v>
      </c>
      <c r="AQ51" s="141">
        <f>'Hillpointe Detail'!AQ51+'Sandhill Detail'!AQ51</f>
        <v>0</v>
      </c>
      <c r="AR51" s="141">
        <f>'Hillpointe Detail'!AR51+'Sandhill Detail'!AR51</f>
        <v>0</v>
      </c>
      <c r="AS51" s="141">
        <f>'Hillpointe Detail'!AS51+'Sandhill Detail'!AS51</f>
        <v>20</v>
      </c>
      <c r="AT51" s="141">
        <f>'Hillpointe Detail'!AT51+'Sandhill Detail'!AT51</f>
        <v>0</v>
      </c>
      <c r="AU51" s="141">
        <f>'Hillpointe Detail'!AU51+'Sandhill Detail'!AU51</f>
        <v>0</v>
      </c>
      <c r="AV51" s="141">
        <f>'Hillpointe Detail'!AV51+'Sandhill Detail'!AV51</f>
        <v>0</v>
      </c>
      <c r="AW51" s="141">
        <f>'Hillpointe Detail'!AW51+'Sandhill Detail'!AW51</f>
        <v>0</v>
      </c>
      <c r="AX51" s="141">
        <f>'Hillpointe Detail'!AX51+'Sandhill Detail'!AX51</f>
        <v>0</v>
      </c>
      <c r="AY51" s="141">
        <f>'Hillpointe Detail'!AY51+'Sandhill Detail'!AY51</f>
        <v>157.5</v>
      </c>
      <c r="AZ51" s="141">
        <f>'Hillpointe Detail'!AZ51+'Sandhill Detail'!AZ51</f>
        <v>0</v>
      </c>
      <c r="BA51" s="141">
        <f>'Hillpointe Detail'!BA51+'Sandhill Detail'!BA51</f>
        <v>15</v>
      </c>
      <c r="BB51" s="141">
        <f>'Hillpointe Detail'!BB51+'Sandhill Detail'!BB51</f>
        <v>0</v>
      </c>
      <c r="BC51" s="141">
        <f>'Hillpointe Detail'!BC51+'Sandhill Detail'!BC51</f>
        <v>0</v>
      </c>
      <c r="BD51" s="141">
        <f>'Hillpointe Detail'!BD51+'Sandhill Detail'!BD51</f>
        <v>0</v>
      </c>
      <c r="BE51" s="141">
        <f>'Hillpointe Detail'!BE51+'Sandhill Detail'!BE51</f>
        <v>20</v>
      </c>
      <c r="BF51" s="141">
        <f>'Hillpointe Detail'!BF51+'Sandhill Detail'!BF51</f>
        <v>0</v>
      </c>
      <c r="BG51" s="141">
        <f>'Hillpointe Detail'!BG51+'Sandhill Detail'!BG51</f>
        <v>0</v>
      </c>
      <c r="BH51" s="141">
        <f>'Hillpointe Detail'!BH51+'Sandhill Detail'!BH51</f>
        <v>0</v>
      </c>
      <c r="BI51" s="141">
        <f>'Hillpointe Detail'!BI51+'Sandhill Detail'!BI51</f>
        <v>0</v>
      </c>
      <c r="BJ51" s="141">
        <f>'Hillpointe Detail'!BJ51+'Sandhill Detail'!BJ51</f>
        <v>0</v>
      </c>
      <c r="BK51" s="141">
        <f>'Hillpointe Detail'!BK51+'Sandhill Detail'!BK51</f>
        <v>157.5</v>
      </c>
      <c r="BL51" s="141">
        <f>'Hillpointe Detail'!BL51+'Sandhill Detail'!BL51</f>
        <v>0</v>
      </c>
      <c r="BM51" s="141">
        <f>'Hillpointe Detail'!BM51+'Sandhill Detail'!BM51</f>
        <v>15</v>
      </c>
      <c r="BN51" s="141">
        <f>'Hillpointe Detail'!BN51+'Sandhill Detail'!BN51</f>
        <v>0</v>
      </c>
      <c r="BO51" s="141">
        <f>'Hillpointe Detail'!BO51+'Sandhill Detail'!BO51</f>
        <v>0</v>
      </c>
      <c r="BP51" s="141">
        <f>'Hillpointe Detail'!BP51+'Sandhill Detail'!BP51</f>
        <v>0</v>
      </c>
      <c r="BQ51" s="141">
        <f>'Hillpointe Detail'!BQ51+'Sandhill Detail'!BQ51</f>
        <v>20</v>
      </c>
      <c r="BR51" s="141">
        <f>'Hillpointe Detail'!BR51+'Sandhill Detail'!BR51</f>
        <v>0</v>
      </c>
      <c r="BS51" s="141">
        <f>'Hillpointe Detail'!BS51+'Sandhill Detail'!BS51</f>
        <v>0</v>
      </c>
      <c r="BT51" s="141">
        <f>'Hillpointe Detail'!BT51+'Sandhill Detail'!BT51</f>
        <v>0</v>
      </c>
      <c r="BU51" s="141">
        <f>'Hillpointe Detail'!BU51+'Sandhill Detail'!BU51</f>
        <v>0</v>
      </c>
      <c r="BV51" s="141">
        <f>'Hillpointe Detail'!BV51+'Sandhill Detail'!BV51</f>
        <v>0</v>
      </c>
      <c r="BW51" s="141">
        <f>'Hillpointe Detail'!BW51+'Sandhill Detail'!BW51</f>
        <v>157.5</v>
      </c>
      <c r="BX51" s="141">
        <f>'Hillpointe Detail'!BX51+'Sandhill Detail'!BX51</f>
        <v>0</v>
      </c>
      <c r="BY51" s="8"/>
      <c r="BZ51" s="141">
        <f t="shared" si="46"/>
        <v>157.5</v>
      </c>
      <c r="CA51" s="141">
        <f t="shared" si="47"/>
        <v>192.5</v>
      </c>
      <c r="CC51" s="141">
        <f t="shared" si="50"/>
        <v>0</v>
      </c>
      <c r="CD51" s="141">
        <f t="shared" si="50"/>
        <v>0</v>
      </c>
      <c r="CE51" s="141">
        <f t="shared" si="50"/>
        <v>1243</v>
      </c>
      <c r="CF51" s="141">
        <f t="shared" si="50"/>
        <v>192.5</v>
      </c>
      <c r="CG51" s="141">
        <f t="shared" si="50"/>
        <v>192.5</v>
      </c>
      <c r="CH51" s="141">
        <f t="shared" si="50"/>
        <v>192.5</v>
      </c>
      <c r="CI51" s="141">
        <f t="shared" si="50"/>
        <v>192.5</v>
      </c>
      <c r="CJ51" s="141">
        <f t="shared" si="50"/>
        <v>192.5</v>
      </c>
      <c r="CL51" s="105"/>
      <c r="CM51" s="13"/>
    </row>
    <row r="52" spans="1:91" x14ac:dyDescent="0.3">
      <c r="A52" s="84" t="s">
        <v>16</v>
      </c>
      <c r="B52" s="10"/>
      <c r="C52" s="18">
        <f>SUM(C32:C51)+C23</f>
        <v>2854519.7</v>
      </c>
      <c r="D52" s="18">
        <f>SUM(D32:D51)+D23</f>
        <v>3135743.77</v>
      </c>
      <c r="E52" s="105">
        <f>'Hillpointe Detail'!E52+'Sandhill Detail'!E52</f>
        <v>435751.44000000006</v>
      </c>
      <c r="F52" s="105">
        <f>'Hillpointe Detail'!F52+'Sandhill Detail'!F52</f>
        <v>503537.95999999996</v>
      </c>
      <c r="G52" s="105">
        <f>'Hillpointe Detail'!G52+'Sandhill Detail'!G52</f>
        <v>241710.22</v>
      </c>
      <c r="H52" s="105">
        <f>'Hillpointe Detail'!H52+'Sandhill Detail'!H52</f>
        <v>638695.51</v>
      </c>
      <c r="I52" s="105">
        <f>'Hillpointe Detail'!I52+'Sandhill Detail'!I52</f>
        <v>21391.79</v>
      </c>
      <c r="J52" s="105">
        <f>'Hillpointe Detail'!J52+'Sandhill Detail'!J52</f>
        <v>537549.01</v>
      </c>
      <c r="K52" s="105">
        <f>'Hillpointe Detail'!K52+'Sandhill Detail'!K52</f>
        <v>2144.9300000000003</v>
      </c>
      <c r="L52" s="105">
        <f>'Hillpointe Detail'!L52+'Sandhill Detail'!L52</f>
        <v>335882.75</v>
      </c>
      <c r="M52" s="105">
        <f>'Hillpointe Detail'!M52+'Sandhill Detail'!M52</f>
        <v>282239.23</v>
      </c>
      <c r="N52" s="105">
        <f>'Hillpointe Detail'!N52+'Sandhill Detail'!N52</f>
        <v>586679.18000000005</v>
      </c>
      <c r="O52" s="105">
        <f>'Hillpointe Detail'!O52+'Sandhill Detail'!O52</f>
        <v>10662.230000000001</v>
      </c>
      <c r="P52" s="105">
        <f>'Hillpointe Detail'!P52+'Sandhill Detail'!P52</f>
        <v>396026.9800000001</v>
      </c>
      <c r="Q52" s="105">
        <f>'Hillpointe Detail'!Q52+'Sandhill Detail'!Q52</f>
        <v>214417.71000000002</v>
      </c>
      <c r="R52" s="105">
        <f>'Hillpointe Detail'!R52+'Sandhill Detail'!R52</f>
        <v>289768.8</v>
      </c>
      <c r="S52" s="105">
        <f>'Hillpointe Detail'!S52+'Sandhill Detail'!S52</f>
        <v>772256.53</v>
      </c>
      <c r="T52" s="105">
        <f>'Hillpointe Detail'!T52+'Sandhill Detail'!T52</f>
        <v>311135.48</v>
      </c>
      <c r="U52" s="105">
        <f>'Hillpointe Detail'!U52+'Sandhill Detail'!U52</f>
        <v>344701.31</v>
      </c>
      <c r="V52" s="105">
        <f>'Hillpointe Detail'!V52+'Sandhill Detail'!V52</f>
        <v>280244.37</v>
      </c>
      <c r="W52" s="105">
        <f>'Hillpointe Detail'!W52+'Sandhill Detail'!W52</f>
        <v>302448.59000000003</v>
      </c>
      <c r="X52" s="105">
        <f>'Hillpointe Detail'!X52+'Sandhill Detail'!X52</f>
        <v>283107.32</v>
      </c>
      <c r="Y52" s="105">
        <f>'Hillpointe Detail'!Y52+'Sandhill Detail'!Y52</f>
        <v>281488.83</v>
      </c>
      <c r="Z52" s="105">
        <f>'Hillpointe Detail'!Z52+'Sandhill Detail'!Z52</f>
        <v>612680.09</v>
      </c>
      <c r="AA52" s="105">
        <f>'Hillpointe Detail'!AA52+'Sandhill Detail'!AA52</f>
        <v>300700.48000000004</v>
      </c>
      <c r="AB52" s="105">
        <f>'Hillpointe Detail'!AB52+'Sandhill Detail'!AB52</f>
        <v>390103.3091666667</v>
      </c>
      <c r="AC52" s="105">
        <f>'Hillpointe Detail'!AC52+'Sandhill Detail'!AC52</f>
        <v>941108.96250000002</v>
      </c>
      <c r="AD52" s="105">
        <f>'Hillpointe Detail'!AD52+'Sandhill Detail'!AD52</f>
        <v>363546.68320991675</v>
      </c>
      <c r="AE52" s="105">
        <f>'Hillpointe Detail'!AE52+'Sandhill Detail'!AE52</f>
        <v>843155.60266950005</v>
      </c>
      <c r="AF52" s="105">
        <f>'Hillpointe Detail'!AF52+'Sandhill Detail'!AF52</f>
        <v>347303.67185874999</v>
      </c>
      <c r="AG52" s="105">
        <f>'Hillpointe Detail'!AG52+'Sandhill Detail'!AG52</f>
        <v>361843.74257983337</v>
      </c>
      <c r="AH52" s="105">
        <f>'Hillpointe Detail'!AH52+'Sandhill Detail'!AH52</f>
        <v>338398.8828501667</v>
      </c>
      <c r="AI52" s="105">
        <f>'Hillpointe Detail'!AI52+'Sandhill Detail'!AI52</f>
        <v>351994.03690391663</v>
      </c>
      <c r="AJ52" s="105">
        <f>'Hillpointe Detail'!AJ52+'Sandhill Detail'!AJ52</f>
        <v>434240.09339058341</v>
      </c>
      <c r="AK52" s="105">
        <f>'Hillpointe Detail'!AK52+'Sandhill Detail'!AK52</f>
        <v>412887.5594265</v>
      </c>
      <c r="AL52" s="105">
        <f>'Hillpointe Detail'!AL52+'Sandhill Detail'!AL52</f>
        <v>403653.10447166674</v>
      </c>
      <c r="AM52" s="105">
        <f>'Hillpointe Detail'!AM52+'Sandhill Detail'!AM52</f>
        <v>425283.78095833329</v>
      </c>
      <c r="AN52" s="105">
        <f>'Hillpointe Detail'!AN52+'Sandhill Detail'!AN52</f>
        <v>346313.44242333336</v>
      </c>
      <c r="AO52" s="105">
        <f>'Hillpointe Detail'!AO52+'Sandhill Detail'!AO52</f>
        <v>337959.55780500011</v>
      </c>
      <c r="AP52" s="105">
        <f>'Hillpointe Detail'!AP52+'Sandhill Detail'!AP52</f>
        <v>451267.55567288504</v>
      </c>
      <c r="AQ52" s="105">
        <f>'Hillpointe Detail'!AQ52+'Sandhill Detail'!AQ52</f>
        <v>929860.86314785003</v>
      </c>
      <c r="AR52" s="105">
        <f>'Hillpointe Detail'!AR52+'Sandhill Detail'!AR52</f>
        <v>428774.70634089335</v>
      </c>
      <c r="AS52" s="105">
        <f>'Hillpointe Detail'!AS52+'Sandhill Detail'!AS52</f>
        <v>443358.64605027589</v>
      </c>
      <c r="AT52" s="105">
        <f>'Hillpointe Detail'!AT52+'Sandhill Detail'!AT52</f>
        <v>419513.51192871918</v>
      </c>
      <c r="AU52" s="105">
        <f>'Hillpointe Detail'!AU52+'Sandhill Detail'!AU52</f>
        <v>432727.75873567583</v>
      </c>
      <c r="AV52" s="105">
        <f>'Hillpointe Detail'!AV52+'Sandhill Detail'!AV52</f>
        <v>453636.65684853669</v>
      </c>
      <c r="AW52" s="105">
        <f>'Hillpointe Detail'!AW52+'Sandhill Detail'!AW52</f>
        <v>462689.43873567582</v>
      </c>
      <c r="AX52" s="105">
        <f>'Hillpointe Detail'!AX52+'Sandhill Detail'!AX52</f>
        <v>421431.87113045837</v>
      </c>
      <c r="AY52" s="105">
        <f>'Hillpointe Detail'!AY52+'Sandhill Detail'!AY52</f>
        <v>444013.91844505834</v>
      </c>
      <c r="AZ52" s="105">
        <f>'Hillpointe Detail'!AZ52+'Sandhill Detail'!AZ52</f>
        <v>426422.20275400841</v>
      </c>
      <c r="BA52" s="105">
        <f>'Hillpointe Detail'!BA52+'Sandhill Detail'!BA52</f>
        <v>417612.12113045837</v>
      </c>
      <c r="BB52" s="105">
        <f>'Hillpointe Detail'!BB52+'Sandhill Detail'!BB52</f>
        <v>478626.20100524864</v>
      </c>
      <c r="BC52" s="105">
        <f>'Hillpointe Detail'!BC52+'Sandhill Detail'!BC52</f>
        <v>956234.05974825588</v>
      </c>
      <c r="BD52" s="105">
        <f>'Hillpointe Detail'!BD52+'Sandhill Detail'!BD52</f>
        <v>456378.77522271668</v>
      </c>
      <c r="BE52" s="105">
        <f>'Hillpointe Detail'!BE52+'Sandhill Detail'!BE52</f>
        <v>471148.2628520134</v>
      </c>
      <c r="BF52" s="105">
        <f>'Hillpointe Detail'!BF52+'Sandhill Detail'!BF52</f>
        <v>447614.42884609912</v>
      </c>
      <c r="BG52" s="105">
        <f>'Hillpointe Detail'!BG52+'Sandhill Detail'!BG52</f>
        <v>461562.95165994705</v>
      </c>
      <c r="BH52" s="105">
        <f>'Hillpointe Detail'!BH52+'Sandhill Detail'!BH52</f>
        <v>482545.5728520134</v>
      </c>
      <c r="BI52" s="105">
        <f>'Hillpointe Detail'!BI52+'Sandhill Detail'!BI52</f>
        <v>491051.16253440792</v>
      </c>
      <c r="BJ52" s="105">
        <f>'Hillpointe Detail'!BJ52+'Sandhill Detail'!BJ52</f>
        <v>449471.4794088687</v>
      </c>
      <c r="BK52" s="105">
        <f>'Hillpointe Detail'!BK52+'Sandhill Detail'!BK52</f>
        <v>472527.92372647417</v>
      </c>
      <c r="BL52" s="105">
        <f>'Hillpointe Detail'!BL52+'Sandhill Detail'!BL52</f>
        <v>454499.89501083083</v>
      </c>
      <c r="BM52" s="105">
        <f>'Hillpointe Detail'!BM52+'Sandhill Detail'!BM52</f>
        <v>445583.94340886874</v>
      </c>
      <c r="BN52" s="105">
        <f>'Hillpointe Detail'!BN52+'Sandhill Detail'!BN52</f>
        <v>490689.91103355226</v>
      </c>
      <c r="BO52" s="105">
        <f>'Hillpointe Detail'!BO52+'Sandhill Detail'!BO52</f>
        <v>968723.59910565126</v>
      </c>
      <c r="BP52" s="105">
        <f>'Hillpointe Detail'!BP52+'Sandhill Detail'!BP52</f>
        <v>468841.25619854283</v>
      </c>
      <c r="BQ52" s="105">
        <f>'Hillpointe Detail'!BQ52+'Sandhill Detail'!BQ52</f>
        <v>483043.75665340159</v>
      </c>
      <c r="BR52" s="105">
        <f>'Hillpointe Detail'!BR52+'Sandhill Detail'!BR52</f>
        <v>458655.9467901091</v>
      </c>
      <c r="BS52" s="105">
        <f>'Hillpointe Detail'!BS52+'Sandhill Detail'!BS52</f>
        <v>472044.04876932595</v>
      </c>
      <c r="BT52" s="105">
        <f>'Hillpointe Detail'!BT52+'Sandhill Detail'!BT52</f>
        <v>495603.83996070584</v>
      </c>
      <c r="BU52" s="105">
        <f>'Hillpointe Detail'!BU52+'Sandhill Detail'!BU52</f>
        <v>504150.20857663022</v>
      </c>
      <c r="BV52" s="105">
        <f>'Hillpointe Detail'!BV52+'Sandhill Detail'!BV52</f>
        <v>461746.1132620218</v>
      </c>
      <c r="BW52" s="105">
        <f>'Hillpointe Detail'!BW52+'Sandhill Detail'!BW52</f>
        <v>485178.67784609733</v>
      </c>
      <c r="BX52" s="105">
        <f>'Hillpointe Detail'!BX52+'Sandhill Detail'!BX52</f>
        <v>466757.00914650847</v>
      </c>
      <c r="BY52" s="8"/>
      <c r="BZ52" s="105">
        <f t="shared" si="46"/>
        <v>300700.48000000004</v>
      </c>
      <c r="CA52" s="105">
        <f t="shared" si="47"/>
        <v>3992949.51</v>
      </c>
      <c r="CC52" s="105">
        <f t="shared" si="50"/>
        <v>2854519.7</v>
      </c>
      <c r="CD52" s="105">
        <f t="shared" si="50"/>
        <v>3135743.77</v>
      </c>
      <c r="CE52" s="105">
        <f t="shared" si="50"/>
        <v>3992271.2300000004</v>
      </c>
      <c r="CF52" s="105">
        <f t="shared" si="50"/>
        <v>4383052.8191666668</v>
      </c>
      <c r="CG52" s="105">
        <f t="shared" si="50"/>
        <v>5569729.5632424997</v>
      </c>
      <c r="CH52" s="105">
        <f t="shared" si="50"/>
        <v>5651656.6875950368</v>
      </c>
      <c r="CI52" s="105">
        <f t="shared" si="50"/>
        <v>6039272.8339973344</v>
      </c>
      <c r="CJ52" s="105">
        <f t="shared" si="50"/>
        <v>6201018.3107514149</v>
      </c>
      <c r="CL52" s="105"/>
      <c r="CM52" s="13"/>
    </row>
    <row r="53" spans="1:91" x14ac:dyDescent="0.3">
      <c r="A53" s="84" t="s">
        <v>17</v>
      </c>
      <c r="B53" s="10"/>
      <c r="C53" s="142">
        <f>C52</f>
        <v>2854519.7</v>
      </c>
      <c r="D53" s="142">
        <f>D52</f>
        <v>3135743.77</v>
      </c>
      <c r="E53" s="143">
        <f>'Hillpointe Detail'!E53+'Sandhill Detail'!E53</f>
        <v>435751.44000000006</v>
      </c>
      <c r="F53" s="143">
        <f>'Hillpointe Detail'!F53+'Sandhill Detail'!F53</f>
        <v>503537.95999999996</v>
      </c>
      <c r="G53" s="143">
        <f>'Hillpointe Detail'!G53+'Sandhill Detail'!G53</f>
        <v>241710.22</v>
      </c>
      <c r="H53" s="143">
        <f>'Hillpointe Detail'!H53+'Sandhill Detail'!H53</f>
        <v>638695.51</v>
      </c>
      <c r="I53" s="143">
        <f>'Hillpointe Detail'!I53+'Sandhill Detail'!I53</f>
        <v>21391.79</v>
      </c>
      <c r="J53" s="143">
        <f>'Hillpointe Detail'!J53+'Sandhill Detail'!J53</f>
        <v>537549.01</v>
      </c>
      <c r="K53" s="143">
        <f>'Hillpointe Detail'!K53+'Sandhill Detail'!K53</f>
        <v>2144.9300000000003</v>
      </c>
      <c r="L53" s="143">
        <f>'Hillpointe Detail'!L53+'Sandhill Detail'!L53</f>
        <v>335882.75</v>
      </c>
      <c r="M53" s="143">
        <f>'Hillpointe Detail'!M53+'Sandhill Detail'!M53</f>
        <v>282239.23</v>
      </c>
      <c r="N53" s="143">
        <f>'Hillpointe Detail'!N53+'Sandhill Detail'!N53</f>
        <v>586679.18000000005</v>
      </c>
      <c r="O53" s="143">
        <f>'Hillpointe Detail'!O53+'Sandhill Detail'!O53</f>
        <v>10662.230000000001</v>
      </c>
      <c r="P53" s="143">
        <f>'Hillpointe Detail'!P53+'Sandhill Detail'!P53</f>
        <v>396026.9800000001</v>
      </c>
      <c r="Q53" s="143">
        <f>'Hillpointe Detail'!Q53+'Sandhill Detail'!Q53</f>
        <v>214417.71000000002</v>
      </c>
      <c r="R53" s="143">
        <f>'Hillpointe Detail'!R53+'Sandhill Detail'!R53</f>
        <v>289768.8</v>
      </c>
      <c r="S53" s="143">
        <f>'Hillpointe Detail'!S53+'Sandhill Detail'!S53</f>
        <v>772256.53</v>
      </c>
      <c r="T53" s="143">
        <f>'Hillpointe Detail'!T53+'Sandhill Detail'!T53</f>
        <v>311135.48</v>
      </c>
      <c r="U53" s="143">
        <f>'Hillpointe Detail'!U53+'Sandhill Detail'!U53</f>
        <v>344701.31</v>
      </c>
      <c r="V53" s="143">
        <f>'Hillpointe Detail'!V53+'Sandhill Detail'!V53</f>
        <v>280244.37</v>
      </c>
      <c r="W53" s="143">
        <f>'Hillpointe Detail'!W53+'Sandhill Detail'!W53</f>
        <v>302448.59000000003</v>
      </c>
      <c r="X53" s="143">
        <f>'Hillpointe Detail'!X53+'Sandhill Detail'!X53</f>
        <v>283107.32</v>
      </c>
      <c r="Y53" s="143">
        <f>'Hillpointe Detail'!Y53+'Sandhill Detail'!Y53</f>
        <v>281488.83</v>
      </c>
      <c r="Z53" s="143">
        <f>'Hillpointe Detail'!Z53+'Sandhill Detail'!Z53</f>
        <v>612680.09</v>
      </c>
      <c r="AA53" s="143">
        <f>'Hillpointe Detail'!AA53+'Sandhill Detail'!AA53</f>
        <v>300700.48000000004</v>
      </c>
      <c r="AB53" s="143">
        <f>'Hillpointe Detail'!AB53+'Sandhill Detail'!AB53</f>
        <v>390103.3091666667</v>
      </c>
      <c r="AC53" s="143">
        <f>'Hillpointe Detail'!AC53+'Sandhill Detail'!AC53</f>
        <v>941108.96250000002</v>
      </c>
      <c r="AD53" s="143">
        <f>'Hillpointe Detail'!AD53+'Sandhill Detail'!AD53</f>
        <v>363546.68320991675</v>
      </c>
      <c r="AE53" s="143">
        <f>'Hillpointe Detail'!AE53+'Sandhill Detail'!AE53</f>
        <v>843155.60266950005</v>
      </c>
      <c r="AF53" s="143">
        <f>'Hillpointe Detail'!AF53+'Sandhill Detail'!AF53</f>
        <v>347303.67185874999</v>
      </c>
      <c r="AG53" s="143">
        <f>'Hillpointe Detail'!AG53+'Sandhill Detail'!AG53</f>
        <v>361843.74257983337</v>
      </c>
      <c r="AH53" s="143">
        <f>'Hillpointe Detail'!AH53+'Sandhill Detail'!AH53</f>
        <v>338398.8828501667</v>
      </c>
      <c r="AI53" s="143">
        <f>'Hillpointe Detail'!AI53+'Sandhill Detail'!AI53</f>
        <v>351994.03690391663</v>
      </c>
      <c r="AJ53" s="143">
        <f>'Hillpointe Detail'!AJ53+'Sandhill Detail'!AJ53</f>
        <v>434240.09339058341</v>
      </c>
      <c r="AK53" s="143">
        <f>'Hillpointe Detail'!AK53+'Sandhill Detail'!AK53</f>
        <v>412887.5594265</v>
      </c>
      <c r="AL53" s="143">
        <f>'Hillpointe Detail'!AL53+'Sandhill Detail'!AL53</f>
        <v>403653.10447166674</v>
      </c>
      <c r="AM53" s="143">
        <f>'Hillpointe Detail'!AM53+'Sandhill Detail'!AM53</f>
        <v>425283.78095833329</v>
      </c>
      <c r="AN53" s="143">
        <f>'Hillpointe Detail'!AN53+'Sandhill Detail'!AN53</f>
        <v>346313.44242333336</v>
      </c>
      <c r="AO53" s="143">
        <f>'Hillpointe Detail'!AO53+'Sandhill Detail'!AO53</f>
        <v>337959.55780500011</v>
      </c>
      <c r="AP53" s="143">
        <f>'Hillpointe Detail'!AP53+'Sandhill Detail'!AP53</f>
        <v>451267.55567288504</v>
      </c>
      <c r="AQ53" s="143">
        <f>'Hillpointe Detail'!AQ53+'Sandhill Detail'!AQ53</f>
        <v>929860.86314785003</v>
      </c>
      <c r="AR53" s="143">
        <f>'Hillpointe Detail'!AR53+'Sandhill Detail'!AR53</f>
        <v>428774.70634089335</v>
      </c>
      <c r="AS53" s="143">
        <f>'Hillpointe Detail'!AS53+'Sandhill Detail'!AS53</f>
        <v>443358.64605027589</v>
      </c>
      <c r="AT53" s="143">
        <f>'Hillpointe Detail'!AT53+'Sandhill Detail'!AT53</f>
        <v>419513.51192871918</v>
      </c>
      <c r="AU53" s="143">
        <f>'Hillpointe Detail'!AU53+'Sandhill Detail'!AU53</f>
        <v>432727.75873567583</v>
      </c>
      <c r="AV53" s="143">
        <f>'Hillpointe Detail'!AV53+'Sandhill Detail'!AV53</f>
        <v>453636.65684853669</v>
      </c>
      <c r="AW53" s="143">
        <f>'Hillpointe Detail'!AW53+'Sandhill Detail'!AW53</f>
        <v>462689.43873567582</v>
      </c>
      <c r="AX53" s="143">
        <f>'Hillpointe Detail'!AX53+'Sandhill Detail'!AX53</f>
        <v>421431.87113045837</v>
      </c>
      <c r="AY53" s="143">
        <f>'Hillpointe Detail'!AY53+'Sandhill Detail'!AY53</f>
        <v>444013.91844505834</v>
      </c>
      <c r="AZ53" s="143">
        <f>'Hillpointe Detail'!AZ53+'Sandhill Detail'!AZ53</f>
        <v>426422.20275400841</v>
      </c>
      <c r="BA53" s="143">
        <f>'Hillpointe Detail'!BA53+'Sandhill Detail'!BA53</f>
        <v>417612.12113045837</v>
      </c>
      <c r="BB53" s="143">
        <f>'Hillpointe Detail'!BB53+'Sandhill Detail'!BB53</f>
        <v>478626.20100524864</v>
      </c>
      <c r="BC53" s="143">
        <f>'Hillpointe Detail'!BC53+'Sandhill Detail'!BC53</f>
        <v>956234.05974825588</v>
      </c>
      <c r="BD53" s="143">
        <f>'Hillpointe Detail'!BD53+'Sandhill Detail'!BD53</f>
        <v>456378.77522271668</v>
      </c>
      <c r="BE53" s="143">
        <f>'Hillpointe Detail'!BE53+'Sandhill Detail'!BE53</f>
        <v>471148.2628520134</v>
      </c>
      <c r="BF53" s="143">
        <f>'Hillpointe Detail'!BF53+'Sandhill Detail'!BF53</f>
        <v>447614.42884609912</v>
      </c>
      <c r="BG53" s="143">
        <f>'Hillpointe Detail'!BG53+'Sandhill Detail'!BG53</f>
        <v>461562.95165994705</v>
      </c>
      <c r="BH53" s="143">
        <f>'Hillpointe Detail'!BH53+'Sandhill Detail'!BH53</f>
        <v>482545.5728520134</v>
      </c>
      <c r="BI53" s="143">
        <f>'Hillpointe Detail'!BI53+'Sandhill Detail'!BI53</f>
        <v>491051.16253440792</v>
      </c>
      <c r="BJ53" s="143">
        <f>'Hillpointe Detail'!BJ53+'Sandhill Detail'!BJ53</f>
        <v>449471.4794088687</v>
      </c>
      <c r="BK53" s="143">
        <f>'Hillpointe Detail'!BK53+'Sandhill Detail'!BK53</f>
        <v>472527.92372647417</v>
      </c>
      <c r="BL53" s="143">
        <f>'Hillpointe Detail'!BL53+'Sandhill Detail'!BL53</f>
        <v>454499.89501083083</v>
      </c>
      <c r="BM53" s="143">
        <f>'Hillpointe Detail'!BM53+'Sandhill Detail'!BM53</f>
        <v>445583.94340886874</v>
      </c>
      <c r="BN53" s="143">
        <f>'Hillpointe Detail'!BN53+'Sandhill Detail'!BN53</f>
        <v>490689.91103355226</v>
      </c>
      <c r="BO53" s="143">
        <f>'Hillpointe Detail'!BO53+'Sandhill Detail'!BO53</f>
        <v>968723.59910565126</v>
      </c>
      <c r="BP53" s="143">
        <f>'Hillpointe Detail'!BP53+'Sandhill Detail'!BP53</f>
        <v>468841.25619854283</v>
      </c>
      <c r="BQ53" s="143">
        <f>'Hillpointe Detail'!BQ53+'Sandhill Detail'!BQ53</f>
        <v>483043.75665340159</v>
      </c>
      <c r="BR53" s="143">
        <f>'Hillpointe Detail'!BR53+'Sandhill Detail'!BR53</f>
        <v>458655.9467901091</v>
      </c>
      <c r="BS53" s="143">
        <f>'Hillpointe Detail'!BS53+'Sandhill Detail'!BS53</f>
        <v>472044.04876932595</v>
      </c>
      <c r="BT53" s="143">
        <f>'Hillpointe Detail'!BT53+'Sandhill Detail'!BT53</f>
        <v>495603.83996070584</v>
      </c>
      <c r="BU53" s="143">
        <f>'Hillpointe Detail'!BU53+'Sandhill Detail'!BU53</f>
        <v>504150.20857663022</v>
      </c>
      <c r="BV53" s="143">
        <f>'Hillpointe Detail'!BV53+'Sandhill Detail'!BV53</f>
        <v>461746.1132620218</v>
      </c>
      <c r="BW53" s="143">
        <f>'Hillpointe Detail'!BW53+'Sandhill Detail'!BW53</f>
        <v>485178.67784609733</v>
      </c>
      <c r="BX53" s="143">
        <f>'Hillpointe Detail'!BX53+'Sandhill Detail'!BX53</f>
        <v>466757.00914650847</v>
      </c>
      <c r="BY53" s="8"/>
      <c r="BZ53" s="143">
        <f t="shared" si="46"/>
        <v>300700.48000000004</v>
      </c>
      <c r="CA53" s="143">
        <f t="shared" si="47"/>
        <v>3992949.51</v>
      </c>
      <c r="CC53" s="143">
        <f t="shared" si="50"/>
        <v>2854519.7</v>
      </c>
      <c r="CD53" s="143">
        <f t="shared" si="50"/>
        <v>3135743.77</v>
      </c>
      <c r="CE53" s="143">
        <f t="shared" si="50"/>
        <v>3992271.2300000004</v>
      </c>
      <c r="CF53" s="143">
        <f t="shared" si="50"/>
        <v>4383052.8191666668</v>
      </c>
      <c r="CG53" s="143">
        <f t="shared" si="50"/>
        <v>5569729.5632424997</v>
      </c>
      <c r="CH53" s="143">
        <f t="shared" si="50"/>
        <v>5651656.6875950368</v>
      </c>
      <c r="CI53" s="143">
        <f t="shared" si="50"/>
        <v>6039272.8339973344</v>
      </c>
      <c r="CJ53" s="143">
        <f t="shared" si="50"/>
        <v>6201018.3107514149</v>
      </c>
      <c r="CL53" s="105"/>
      <c r="CM53" s="13"/>
    </row>
    <row r="54" spans="1:91" x14ac:dyDescent="0.3">
      <c r="A54" s="84" t="s">
        <v>18</v>
      </c>
      <c r="B54" s="10"/>
      <c r="C54" s="103">
        <v>0</v>
      </c>
      <c r="D54" s="103">
        <v>0</v>
      </c>
      <c r="E54" s="105">
        <f>'Hillpointe Detail'!E54+'Sandhill Detail'!E54</f>
        <v>0</v>
      </c>
      <c r="F54" s="105">
        <f>'Hillpointe Detail'!F54+'Sandhill Detail'!F54</f>
        <v>0</v>
      </c>
      <c r="G54" s="105">
        <f>'Hillpointe Detail'!G54+'Sandhill Detail'!G54</f>
        <v>0</v>
      </c>
      <c r="H54" s="105">
        <f>'Hillpointe Detail'!H54+'Sandhill Detail'!H54</f>
        <v>0</v>
      </c>
      <c r="I54" s="105">
        <f>'Hillpointe Detail'!I54+'Sandhill Detail'!I54</f>
        <v>0</v>
      </c>
      <c r="J54" s="105">
        <f>'Hillpointe Detail'!J54+'Sandhill Detail'!J54</f>
        <v>0</v>
      </c>
      <c r="K54" s="105">
        <f>'Hillpointe Detail'!K54+'Sandhill Detail'!K54</f>
        <v>0</v>
      </c>
      <c r="L54" s="105">
        <f>'Hillpointe Detail'!L54+'Sandhill Detail'!L54</f>
        <v>0</v>
      </c>
      <c r="M54" s="105">
        <f>'Hillpointe Detail'!M54+'Sandhill Detail'!M54</f>
        <v>0</v>
      </c>
      <c r="N54" s="105">
        <f>'Hillpointe Detail'!N54+'Sandhill Detail'!N54</f>
        <v>0</v>
      </c>
      <c r="O54" s="105">
        <f>'Hillpointe Detail'!O54+'Sandhill Detail'!O54</f>
        <v>0</v>
      </c>
      <c r="P54" s="105">
        <f>'Hillpointe Detail'!P54+'Sandhill Detail'!P54</f>
        <v>0</v>
      </c>
      <c r="Q54" s="105">
        <f>'Hillpointe Detail'!Q54+'Sandhill Detail'!Q54</f>
        <v>0</v>
      </c>
      <c r="R54" s="105">
        <f>'Hillpointe Detail'!R54+'Sandhill Detail'!R54</f>
        <v>0</v>
      </c>
      <c r="S54" s="105">
        <f>'Hillpointe Detail'!S54+'Sandhill Detail'!S54</f>
        <v>0</v>
      </c>
      <c r="T54" s="105">
        <f>'Hillpointe Detail'!T54+'Sandhill Detail'!T54</f>
        <v>0</v>
      </c>
      <c r="U54" s="105">
        <f>'Hillpointe Detail'!U54+'Sandhill Detail'!U54</f>
        <v>0</v>
      </c>
      <c r="V54" s="105">
        <f>'Hillpointe Detail'!V54+'Sandhill Detail'!V54</f>
        <v>0</v>
      </c>
      <c r="W54" s="105">
        <f>'Hillpointe Detail'!W54+'Sandhill Detail'!W54</f>
        <v>0</v>
      </c>
      <c r="X54" s="105">
        <f>'Hillpointe Detail'!X54+'Sandhill Detail'!X54</f>
        <v>0</v>
      </c>
      <c r="Y54" s="105">
        <f>'Hillpointe Detail'!Y54+'Sandhill Detail'!Y54</f>
        <v>0</v>
      </c>
      <c r="Z54" s="105">
        <f>'Hillpointe Detail'!Z54+'Sandhill Detail'!Z54</f>
        <v>0</v>
      </c>
      <c r="AA54" s="105">
        <f>'Hillpointe Detail'!AA54+'Sandhill Detail'!AA54</f>
        <v>0</v>
      </c>
      <c r="AB54" s="105">
        <f>'Hillpointe Detail'!AB54+'Sandhill Detail'!AB54</f>
        <v>0</v>
      </c>
      <c r="AC54" s="105">
        <f>'Hillpointe Detail'!AC54+'Sandhill Detail'!AC54</f>
        <v>0</v>
      </c>
      <c r="AD54" s="105">
        <f>'Hillpointe Detail'!AD54+'Sandhill Detail'!AD54</f>
        <v>0</v>
      </c>
      <c r="AE54" s="105">
        <f>'Hillpointe Detail'!AE54+'Sandhill Detail'!AE54</f>
        <v>0</v>
      </c>
      <c r="AF54" s="105">
        <f>'Hillpointe Detail'!AF54+'Sandhill Detail'!AF54</f>
        <v>0</v>
      </c>
      <c r="AG54" s="105">
        <f>'Hillpointe Detail'!AG54+'Sandhill Detail'!AG54</f>
        <v>0</v>
      </c>
      <c r="AH54" s="105">
        <f>'Hillpointe Detail'!AH54+'Sandhill Detail'!AH54</f>
        <v>0</v>
      </c>
      <c r="AI54" s="105">
        <f>'Hillpointe Detail'!AI54+'Sandhill Detail'!AI54</f>
        <v>0</v>
      </c>
      <c r="AJ54" s="105">
        <f>'Hillpointe Detail'!AJ54+'Sandhill Detail'!AJ54</f>
        <v>0</v>
      </c>
      <c r="AK54" s="105">
        <f>'Hillpointe Detail'!AK54+'Sandhill Detail'!AK54</f>
        <v>0</v>
      </c>
      <c r="AL54" s="105">
        <f>'Hillpointe Detail'!AL54+'Sandhill Detail'!AL54</f>
        <v>0</v>
      </c>
      <c r="AM54" s="105">
        <f>'Hillpointe Detail'!AM54+'Sandhill Detail'!AM54</f>
        <v>0</v>
      </c>
      <c r="AN54" s="105">
        <f>'Hillpointe Detail'!AN54+'Sandhill Detail'!AN54</f>
        <v>0</v>
      </c>
      <c r="AO54" s="105">
        <f>'Hillpointe Detail'!AO54+'Sandhill Detail'!AO54</f>
        <v>0</v>
      </c>
      <c r="AP54" s="105">
        <f>'Hillpointe Detail'!AP54+'Sandhill Detail'!AP54</f>
        <v>0</v>
      </c>
      <c r="AQ54" s="105">
        <f>'Hillpointe Detail'!AQ54+'Sandhill Detail'!AQ54</f>
        <v>0</v>
      </c>
      <c r="AR54" s="105">
        <f>'Hillpointe Detail'!AR54+'Sandhill Detail'!AR54</f>
        <v>0</v>
      </c>
      <c r="AS54" s="105">
        <f>'Hillpointe Detail'!AS54+'Sandhill Detail'!AS54</f>
        <v>0</v>
      </c>
      <c r="AT54" s="105">
        <f>'Hillpointe Detail'!AT54+'Sandhill Detail'!AT54</f>
        <v>0</v>
      </c>
      <c r="AU54" s="105">
        <f>'Hillpointe Detail'!AU54+'Sandhill Detail'!AU54</f>
        <v>0</v>
      </c>
      <c r="AV54" s="105">
        <f>'Hillpointe Detail'!AV54+'Sandhill Detail'!AV54</f>
        <v>0</v>
      </c>
      <c r="AW54" s="105">
        <f>'Hillpointe Detail'!AW54+'Sandhill Detail'!AW54</f>
        <v>0</v>
      </c>
      <c r="AX54" s="105">
        <f>'Hillpointe Detail'!AX54+'Sandhill Detail'!AX54</f>
        <v>0</v>
      </c>
      <c r="AY54" s="105">
        <f>'Hillpointe Detail'!AY54+'Sandhill Detail'!AY54</f>
        <v>0</v>
      </c>
      <c r="AZ54" s="105">
        <f>'Hillpointe Detail'!AZ54+'Sandhill Detail'!AZ54</f>
        <v>0</v>
      </c>
      <c r="BA54" s="105">
        <f>'Hillpointe Detail'!BA54+'Sandhill Detail'!BA54</f>
        <v>0</v>
      </c>
      <c r="BB54" s="105">
        <f>'Hillpointe Detail'!BB54+'Sandhill Detail'!BB54</f>
        <v>0</v>
      </c>
      <c r="BC54" s="105">
        <f>'Hillpointe Detail'!BC54+'Sandhill Detail'!BC54</f>
        <v>0</v>
      </c>
      <c r="BD54" s="105">
        <f>'Hillpointe Detail'!BD54+'Sandhill Detail'!BD54</f>
        <v>0</v>
      </c>
      <c r="BE54" s="105">
        <f>'Hillpointe Detail'!BE54+'Sandhill Detail'!BE54</f>
        <v>0</v>
      </c>
      <c r="BF54" s="105">
        <f>'Hillpointe Detail'!BF54+'Sandhill Detail'!BF54</f>
        <v>0</v>
      </c>
      <c r="BG54" s="105">
        <f>'Hillpointe Detail'!BG54+'Sandhill Detail'!BG54</f>
        <v>0</v>
      </c>
      <c r="BH54" s="105">
        <f>'Hillpointe Detail'!BH54+'Sandhill Detail'!BH54</f>
        <v>0</v>
      </c>
      <c r="BI54" s="105">
        <f>'Hillpointe Detail'!BI54+'Sandhill Detail'!BI54</f>
        <v>0</v>
      </c>
      <c r="BJ54" s="105">
        <f>'Hillpointe Detail'!BJ54+'Sandhill Detail'!BJ54</f>
        <v>0</v>
      </c>
      <c r="BK54" s="105">
        <f>'Hillpointe Detail'!BK54+'Sandhill Detail'!BK54</f>
        <v>0</v>
      </c>
      <c r="BL54" s="105">
        <f>'Hillpointe Detail'!BL54+'Sandhill Detail'!BL54</f>
        <v>0</v>
      </c>
      <c r="BM54" s="105">
        <f>'Hillpointe Detail'!BM54+'Sandhill Detail'!BM54</f>
        <v>0</v>
      </c>
      <c r="BN54" s="105">
        <f>'Hillpointe Detail'!BN54+'Sandhill Detail'!BN54</f>
        <v>0</v>
      </c>
      <c r="BO54" s="105">
        <f>'Hillpointe Detail'!BO54+'Sandhill Detail'!BO54</f>
        <v>0</v>
      </c>
      <c r="BP54" s="105">
        <f>'Hillpointe Detail'!BP54+'Sandhill Detail'!BP54</f>
        <v>0</v>
      </c>
      <c r="BQ54" s="105">
        <f>'Hillpointe Detail'!BQ54+'Sandhill Detail'!BQ54</f>
        <v>0</v>
      </c>
      <c r="BR54" s="105">
        <f>'Hillpointe Detail'!BR54+'Sandhill Detail'!BR54</f>
        <v>0</v>
      </c>
      <c r="BS54" s="105">
        <f>'Hillpointe Detail'!BS54+'Sandhill Detail'!BS54</f>
        <v>0</v>
      </c>
      <c r="BT54" s="105">
        <f>'Hillpointe Detail'!BT54+'Sandhill Detail'!BT54</f>
        <v>0</v>
      </c>
      <c r="BU54" s="105">
        <f>'Hillpointe Detail'!BU54+'Sandhill Detail'!BU54</f>
        <v>0</v>
      </c>
      <c r="BV54" s="105">
        <f>'Hillpointe Detail'!BV54+'Sandhill Detail'!BV54</f>
        <v>0</v>
      </c>
      <c r="BW54" s="105">
        <f>'Hillpointe Detail'!BW54+'Sandhill Detail'!BW54</f>
        <v>0</v>
      </c>
      <c r="BX54" s="105">
        <f>'Hillpointe Detail'!BX54+'Sandhill Detail'!BX54</f>
        <v>0</v>
      </c>
      <c r="BY54" s="8"/>
      <c r="BZ54" s="105">
        <f t="shared" si="46"/>
        <v>0</v>
      </c>
      <c r="CA54" s="105">
        <f t="shared" si="47"/>
        <v>0</v>
      </c>
      <c r="CC54" s="105">
        <f t="shared" si="50"/>
        <v>0</v>
      </c>
      <c r="CD54" s="105">
        <f t="shared" si="50"/>
        <v>0</v>
      </c>
      <c r="CE54" s="105">
        <f t="shared" si="50"/>
        <v>0</v>
      </c>
      <c r="CF54" s="105">
        <f t="shared" si="50"/>
        <v>0</v>
      </c>
      <c r="CG54" s="105">
        <f t="shared" si="50"/>
        <v>0</v>
      </c>
      <c r="CH54" s="105">
        <f t="shared" si="50"/>
        <v>0</v>
      </c>
      <c r="CI54" s="105">
        <f t="shared" si="50"/>
        <v>0</v>
      </c>
      <c r="CJ54" s="105">
        <f t="shared" si="50"/>
        <v>0</v>
      </c>
      <c r="CL54" s="105"/>
      <c r="CM54" s="13"/>
    </row>
    <row r="55" spans="1:91" x14ac:dyDescent="0.3">
      <c r="A55" s="84" t="s">
        <v>19</v>
      </c>
      <c r="B55" s="10" t="s">
        <v>135</v>
      </c>
      <c r="C55" s="103">
        <v>0</v>
      </c>
      <c r="D55" s="103">
        <v>-2661</v>
      </c>
      <c r="E55" s="105">
        <f>'Hillpointe Detail'!E55+'Sandhill Detail'!E55</f>
        <v>0</v>
      </c>
      <c r="F55" s="105">
        <f>'Hillpointe Detail'!F55+'Sandhill Detail'!F55</f>
        <v>0</v>
      </c>
      <c r="G55" s="105">
        <f>'Hillpointe Detail'!G55+'Sandhill Detail'!G55</f>
        <v>0</v>
      </c>
      <c r="H55" s="105">
        <f>'Hillpointe Detail'!H55+'Sandhill Detail'!H55</f>
        <v>0</v>
      </c>
      <c r="I55" s="105">
        <f>'Hillpointe Detail'!I55+'Sandhill Detail'!I55</f>
        <v>0</v>
      </c>
      <c r="J55" s="105">
        <f>'Hillpointe Detail'!J55+'Sandhill Detail'!J55</f>
        <v>0</v>
      </c>
      <c r="K55" s="105">
        <f>'Hillpointe Detail'!K55+'Sandhill Detail'!K55</f>
        <v>0</v>
      </c>
      <c r="L55" s="105">
        <f>'Hillpointe Detail'!L55+'Sandhill Detail'!L55</f>
        <v>0</v>
      </c>
      <c r="M55" s="105">
        <f>'Hillpointe Detail'!M55+'Sandhill Detail'!M55</f>
        <v>0</v>
      </c>
      <c r="N55" s="105">
        <f>'Hillpointe Detail'!N55+'Sandhill Detail'!N55</f>
        <v>0</v>
      </c>
      <c r="O55" s="105">
        <f>'Hillpointe Detail'!O55+'Sandhill Detail'!O55</f>
        <v>0</v>
      </c>
      <c r="P55" s="105">
        <f>'Hillpointe Detail'!P55+'Sandhill Detail'!P55</f>
        <v>0</v>
      </c>
      <c r="Q55" s="105">
        <f>'Hillpointe Detail'!Q55+'Sandhill Detail'!Q55</f>
        <v>0</v>
      </c>
      <c r="R55" s="105">
        <f>'Hillpointe Detail'!R55+'Sandhill Detail'!R55</f>
        <v>0</v>
      </c>
      <c r="S55" s="105">
        <f>'Hillpointe Detail'!S55+'Sandhill Detail'!S55</f>
        <v>0</v>
      </c>
      <c r="T55" s="105">
        <f>'Hillpointe Detail'!T55+'Sandhill Detail'!T55</f>
        <v>0</v>
      </c>
      <c r="U55" s="105">
        <f>'Hillpointe Detail'!U55+'Sandhill Detail'!U55</f>
        <v>0</v>
      </c>
      <c r="V55" s="105">
        <f>'Hillpointe Detail'!V55+'Sandhill Detail'!V55</f>
        <v>0</v>
      </c>
      <c r="W55" s="105">
        <f>'Hillpointe Detail'!W55+'Sandhill Detail'!W55</f>
        <v>0</v>
      </c>
      <c r="X55" s="105">
        <f>'Hillpointe Detail'!X55+'Sandhill Detail'!X55</f>
        <v>0</v>
      </c>
      <c r="Y55" s="105">
        <f>'Hillpointe Detail'!Y55+'Sandhill Detail'!Y55</f>
        <v>0</v>
      </c>
      <c r="Z55" s="105">
        <f>'Hillpointe Detail'!Z55+'Sandhill Detail'!Z55</f>
        <v>0</v>
      </c>
      <c r="AA55" s="105">
        <f>'Hillpointe Detail'!AA55+'Sandhill Detail'!AA55</f>
        <v>0</v>
      </c>
      <c r="AB55" s="105">
        <f>'Hillpointe Detail'!AB55+'Sandhill Detail'!AB55</f>
        <v>0</v>
      </c>
      <c r="AC55" s="105">
        <f>'Hillpointe Detail'!AC55+'Sandhill Detail'!AC55</f>
        <v>0</v>
      </c>
      <c r="AD55" s="105">
        <f>'Hillpointe Detail'!AD55+'Sandhill Detail'!AD55</f>
        <v>0</v>
      </c>
      <c r="AE55" s="105">
        <f>'Hillpointe Detail'!AE55+'Sandhill Detail'!AE55</f>
        <v>0</v>
      </c>
      <c r="AF55" s="105">
        <f>'Hillpointe Detail'!AF55+'Sandhill Detail'!AF55</f>
        <v>0</v>
      </c>
      <c r="AG55" s="105">
        <f>'Hillpointe Detail'!AG55+'Sandhill Detail'!AG55</f>
        <v>0</v>
      </c>
      <c r="AH55" s="105">
        <f>'Hillpointe Detail'!AH55+'Sandhill Detail'!AH55</f>
        <v>0</v>
      </c>
      <c r="AI55" s="105">
        <f>'Hillpointe Detail'!AI55+'Sandhill Detail'!AI55</f>
        <v>0</v>
      </c>
      <c r="AJ55" s="105">
        <f>'Hillpointe Detail'!AJ55+'Sandhill Detail'!AJ55</f>
        <v>0</v>
      </c>
      <c r="AK55" s="105">
        <f>'Hillpointe Detail'!AK55+'Sandhill Detail'!AK55</f>
        <v>0</v>
      </c>
      <c r="AL55" s="105">
        <f>'Hillpointe Detail'!AL55+'Sandhill Detail'!AL55</f>
        <v>0</v>
      </c>
      <c r="AM55" s="105">
        <f>'Hillpointe Detail'!AM55+'Sandhill Detail'!AM55</f>
        <v>0</v>
      </c>
      <c r="AN55" s="105">
        <f>'Hillpointe Detail'!AN55+'Sandhill Detail'!AN55</f>
        <v>0</v>
      </c>
      <c r="AO55" s="105">
        <f>'Hillpointe Detail'!AO55+'Sandhill Detail'!AO55</f>
        <v>0</v>
      </c>
      <c r="AP55" s="105">
        <f>'Hillpointe Detail'!AP55+'Sandhill Detail'!AP55</f>
        <v>0</v>
      </c>
      <c r="AQ55" s="105">
        <f>'Hillpointe Detail'!AQ55+'Sandhill Detail'!AQ55</f>
        <v>0</v>
      </c>
      <c r="AR55" s="105">
        <f>'Hillpointe Detail'!AR55+'Sandhill Detail'!AR55</f>
        <v>0</v>
      </c>
      <c r="AS55" s="105">
        <f>'Hillpointe Detail'!AS55+'Sandhill Detail'!AS55</f>
        <v>0</v>
      </c>
      <c r="AT55" s="105">
        <f>'Hillpointe Detail'!AT55+'Sandhill Detail'!AT55</f>
        <v>0</v>
      </c>
      <c r="AU55" s="105">
        <f>'Hillpointe Detail'!AU55+'Sandhill Detail'!AU55</f>
        <v>0</v>
      </c>
      <c r="AV55" s="105">
        <f>'Hillpointe Detail'!AV55+'Sandhill Detail'!AV55</f>
        <v>0</v>
      </c>
      <c r="AW55" s="105">
        <f>'Hillpointe Detail'!AW55+'Sandhill Detail'!AW55</f>
        <v>0</v>
      </c>
      <c r="AX55" s="105">
        <f>'Hillpointe Detail'!AX55+'Sandhill Detail'!AX55</f>
        <v>0</v>
      </c>
      <c r="AY55" s="105">
        <f>'Hillpointe Detail'!AY55+'Sandhill Detail'!AY55</f>
        <v>0</v>
      </c>
      <c r="AZ55" s="105">
        <f>'Hillpointe Detail'!AZ55+'Sandhill Detail'!AZ55</f>
        <v>0</v>
      </c>
      <c r="BA55" s="105">
        <f>'Hillpointe Detail'!BA55+'Sandhill Detail'!BA55</f>
        <v>0</v>
      </c>
      <c r="BB55" s="105">
        <f>'Hillpointe Detail'!BB55+'Sandhill Detail'!BB55</f>
        <v>0</v>
      </c>
      <c r="BC55" s="105">
        <f>'Hillpointe Detail'!BC55+'Sandhill Detail'!BC55</f>
        <v>0</v>
      </c>
      <c r="BD55" s="105">
        <f>'Hillpointe Detail'!BD55+'Sandhill Detail'!BD55</f>
        <v>0</v>
      </c>
      <c r="BE55" s="105">
        <f>'Hillpointe Detail'!BE55+'Sandhill Detail'!BE55</f>
        <v>0</v>
      </c>
      <c r="BF55" s="105">
        <f>'Hillpointe Detail'!BF55+'Sandhill Detail'!BF55</f>
        <v>0</v>
      </c>
      <c r="BG55" s="105">
        <f>'Hillpointe Detail'!BG55+'Sandhill Detail'!BG55</f>
        <v>0</v>
      </c>
      <c r="BH55" s="105">
        <f>'Hillpointe Detail'!BH55+'Sandhill Detail'!BH55</f>
        <v>0</v>
      </c>
      <c r="BI55" s="105">
        <f>'Hillpointe Detail'!BI55+'Sandhill Detail'!BI55</f>
        <v>0</v>
      </c>
      <c r="BJ55" s="105">
        <f>'Hillpointe Detail'!BJ55+'Sandhill Detail'!BJ55</f>
        <v>0</v>
      </c>
      <c r="BK55" s="105">
        <f>'Hillpointe Detail'!BK55+'Sandhill Detail'!BK55</f>
        <v>0</v>
      </c>
      <c r="BL55" s="105">
        <f>'Hillpointe Detail'!BL55+'Sandhill Detail'!BL55</f>
        <v>0</v>
      </c>
      <c r="BM55" s="105">
        <f>'Hillpointe Detail'!BM55+'Sandhill Detail'!BM55</f>
        <v>0</v>
      </c>
      <c r="BN55" s="105">
        <f>'Hillpointe Detail'!BN55+'Sandhill Detail'!BN55</f>
        <v>0</v>
      </c>
      <c r="BO55" s="105">
        <f>'Hillpointe Detail'!BO55+'Sandhill Detail'!BO55</f>
        <v>0</v>
      </c>
      <c r="BP55" s="105">
        <f>'Hillpointe Detail'!BP55+'Sandhill Detail'!BP55</f>
        <v>0</v>
      </c>
      <c r="BQ55" s="105">
        <f>'Hillpointe Detail'!BQ55+'Sandhill Detail'!BQ55</f>
        <v>0</v>
      </c>
      <c r="BR55" s="105">
        <f>'Hillpointe Detail'!BR55+'Sandhill Detail'!BR55</f>
        <v>0</v>
      </c>
      <c r="BS55" s="105">
        <f>'Hillpointe Detail'!BS55+'Sandhill Detail'!BS55</f>
        <v>0</v>
      </c>
      <c r="BT55" s="105">
        <f>'Hillpointe Detail'!BT55+'Sandhill Detail'!BT55</f>
        <v>0</v>
      </c>
      <c r="BU55" s="105">
        <f>'Hillpointe Detail'!BU55+'Sandhill Detail'!BU55</f>
        <v>0</v>
      </c>
      <c r="BV55" s="105">
        <f>'Hillpointe Detail'!BV55+'Sandhill Detail'!BV55</f>
        <v>0</v>
      </c>
      <c r="BW55" s="105">
        <f>'Hillpointe Detail'!BW55+'Sandhill Detail'!BW55</f>
        <v>0</v>
      </c>
      <c r="BX55" s="105">
        <f>'Hillpointe Detail'!BX55+'Sandhill Detail'!BX55</f>
        <v>0</v>
      </c>
      <c r="BY55" s="8"/>
      <c r="BZ55" s="105">
        <f t="shared" si="46"/>
        <v>0</v>
      </c>
      <c r="CA55" s="105">
        <f t="shared" si="47"/>
        <v>0</v>
      </c>
      <c r="CC55" s="105">
        <f t="shared" si="50"/>
        <v>0</v>
      </c>
      <c r="CD55" s="105">
        <f t="shared" si="50"/>
        <v>-2661</v>
      </c>
      <c r="CE55" s="105">
        <f t="shared" si="50"/>
        <v>0</v>
      </c>
      <c r="CF55" s="105">
        <f t="shared" si="50"/>
        <v>0</v>
      </c>
      <c r="CG55" s="105">
        <f t="shared" si="50"/>
        <v>0</v>
      </c>
      <c r="CH55" s="105">
        <f t="shared" si="50"/>
        <v>0</v>
      </c>
      <c r="CI55" s="105">
        <f t="shared" si="50"/>
        <v>0</v>
      </c>
      <c r="CJ55" s="105">
        <f t="shared" si="50"/>
        <v>0</v>
      </c>
      <c r="CL55" s="105"/>
      <c r="CM55" s="13"/>
    </row>
    <row r="56" spans="1:91" x14ac:dyDescent="0.3">
      <c r="A56" s="84" t="s">
        <v>20</v>
      </c>
      <c r="B56" s="10"/>
      <c r="C56" s="103">
        <v>0</v>
      </c>
      <c r="D56" s="103">
        <v>0</v>
      </c>
      <c r="E56" s="105">
        <f>'Hillpointe Detail'!E56+'Sandhill Detail'!E56</f>
        <v>0</v>
      </c>
      <c r="F56" s="105">
        <f>'Hillpointe Detail'!F56+'Sandhill Detail'!F56</f>
        <v>0</v>
      </c>
      <c r="G56" s="105">
        <f>'Hillpointe Detail'!G56+'Sandhill Detail'!G56</f>
        <v>0</v>
      </c>
      <c r="H56" s="105">
        <f>'Hillpointe Detail'!H56+'Sandhill Detail'!H56</f>
        <v>0</v>
      </c>
      <c r="I56" s="105">
        <f>'Hillpointe Detail'!I56+'Sandhill Detail'!I56</f>
        <v>0</v>
      </c>
      <c r="J56" s="105">
        <f>'Hillpointe Detail'!J56+'Sandhill Detail'!J56</f>
        <v>0</v>
      </c>
      <c r="K56" s="105">
        <f>'Hillpointe Detail'!K56+'Sandhill Detail'!K56</f>
        <v>0</v>
      </c>
      <c r="L56" s="105">
        <f>'Hillpointe Detail'!L56+'Sandhill Detail'!L56</f>
        <v>0</v>
      </c>
      <c r="M56" s="105">
        <f>'Hillpointe Detail'!M56+'Sandhill Detail'!M56</f>
        <v>0</v>
      </c>
      <c r="N56" s="105">
        <f>'Hillpointe Detail'!N56+'Sandhill Detail'!N56</f>
        <v>0</v>
      </c>
      <c r="O56" s="105">
        <f>'Hillpointe Detail'!O56+'Sandhill Detail'!O56</f>
        <v>0</v>
      </c>
      <c r="P56" s="105">
        <f>'Hillpointe Detail'!P56+'Sandhill Detail'!P56</f>
        <v>0</v>
      </c>
      <c r="Q56" s="105">
        <f>'Hillpointe Detail'!Q56+'Sandhill Detail'!Q56</f>
        <v>0</v>
      </c>
      <c r="R56" s="105">
        <f>'Hillpointe Detail'!R56+'Sandhill Detail'!R56</f>
        <v>0</v>
      </c>
      <c r="S56" s="105">
        <f>'Hillpointe Detail'!S56+'Sandhill Detail'!S56</f>
        <v>0</v>
      </c>
      <c r="T56" s="105">
        <f>'Hillpointe Detail'!T56+'Sandhill Detail'!T56</f>
        <v>0</v>
      </c>
      <c r="U56" s="105">
        <f>'Hillpointe Detail'!U56+'Sandhill Detail'!U56</f>
        <v>0</v>
      </c>
      <c r="V56" s="105">
        <f>'Hillpointe Detail'!V56+'Sandhill Detail'!V56</f>
        <v>0</v>
      </c>
      <c r="W56" s="105">
        <f>'Hillpointe Detail'!W56+'Sandhill Detail'!W56</f>
        <v>0</v>
      </c>
      <c r="X56" s="105">
        <f>'Hillpointe Detail'!X56+'Sandhill Detail'!X56</f>
        <v>0</v>
      </c>
      <c r="Y56" s="105">
        <f>'Hillpointe Detail'!Y56+'Sandhill Detail'!Y56</f>
        <v>0</v>
      </c>
      <c r="Z56" s="105">
        <f>'Hillpointe Detail'!Z56+'Sandhill Detail'!Z56</f>
        <v>0</v>
      </c>
      <c r="AA56" s="105">
        <f>'Hillpointe Detail'!AA56+'Sandhill Detail'!AA56</f>
        <v>0</v>
      </c>
      <c r="AB56" s="105">
        <f>'Hillpointe Detail'!AB56+'Sandhill Detail'!AB56</f>
        <v>0</v>
      </c>
      <c r="AC56" s="105">
        <f>'Hillpointe Detail'!AC56+'Sandhill Detail'!AC56</f>
        <v>0</v>
      </c>
      <c r="AD56" s="105">
        <f>'Hillpointe Detail'!AD56+'Sandhill Detail'!AD56</f>
        <v>0</v>
      </c>
      <c r="AE56" s="105">
        <f>'Hillpointe Detail'!AE56+'Sandhill Detail'!AE56</f>
        <v>0</v>
      </c>
      <c r="AF56" s="105">
        <f>'Hillpointe Detail'!AF56+'Sandhill Detail'!AF56</f>
        <v>0</v>
      </c>
      <c r="AG56" s="105">
        <f>'Hillpointe Detail'!AG56+'Sandhill Detail'!AG56</f>
        <v>0</v>
      </c>
      <c r="AH56" s="105">
        <f>'Hillpointe Detail'!AH56+'Sandhill Detail'!AH56</f>
        <v>0</v>
      </c>
      <c r="AI56" s="105">
        <f>'Hillpointe Detail'!AI56+'Sandhill Detail'!AI56</f>
        <v>0</v>
      </c>
      <c r="AJ56" s="105">
        <f>'Hillpointe Detail'!AJ56+'Sandhill Detail'!AJ56</f>
        <v>0</v>
      </c>
      <c r="AK56" s="105">
        <f>'Hillpointe Detail'!AK56+'Sandhill Detail'!AK56</f>
        <v>0</v>
      </c>
      <c r="AL56" s="105">
        <f>'Hillpointe Detail'!AL56+'Sandhill Detail'!AL56</f>
        <v>0</v>
      </c>
      <c r="AM56" s="105">
        <f>'Hillpointe Detail'!AM56+'Sandhill Detail'!AM56</f>
        <v>0</v>
      </c>
      <c r="AN56" s="105">
        <f>'Hillpointe Detail'!AN56+'Sandhill Detail'!AN56</f>
        <v>0</v>
      </c>
      <c r="AO56" s="105">
        <f>'Hillpointe Detail'!AO56+'Sandhill Detail'!AO56</f>
        <v>0</v>
      </c>
      <c r="AP56" s="105">
        <f>'Hillpointe Detail'!AP56+'Sandhill Detail'!AP56</f>
        <v>0</v>
      </c>
      <c r="AQ56" s="105">
        <f>'Hillpointe Detail'!AQ56+'Sandhill Detail'!AQ56</f>
        <v>0</v>
      </c>
      <c r="AR56" s="105">
        <f>'Hillpointe Detail'!AR56+'Sandhill Detail'!AR56</f>
        <v>0</v>
      </c>
      <c r="AS56" s="105">
        <f>'Hillpointe Detail'!AS56+'Sandhill Detail'!AS56</f>
        <v>0</v>
      </c>
      <c r="AT56" s="105">
        <f>'Hillpointe Detail'!AT56+'Sandhill Detail'!AT56</f>
        <v>0</v>
      </c>
      <c r="AU56" s="105">
        <f>'Hillpointe Detail'!AU56+'Sandhill Detail'!AU56</f>
        <v>0</v>
      </c>
      <c r="AV56" s="105">
        <f>'Hillpointe Detail'!AV56+'Sandhill Detail'!AV56</f>
        <v>0</v>
      </c>
      <c r="AW56" s="105">
        <f>'Hillpointe Detail'!AW56+'Sandhill Detail'!AW56</f>
        <v>0</v>
      </c>
      <c r="AX56" s="105">
        <f>'Hillpointe Detail'!AX56+'Sandhill Detail'!AX56</f>
        <v>0</v>
      </c>
      <c r="AY56" s="105">
        <f>'Hillpointe Detail'!AY56+'Sandhill Detail'!AY56</f>
        <v>0</v>
      </c>
      <c r="AZ56" s="105">
        <f>'Hillpointe Detail'!AZ56+'Sandhill Detail'!AZ56</f>
        <v>0</v>
      </c>
      <c r="BA56" s="105">
        <f>'Hillpointe Detail'!BA56+'Sandhill Detail'!BA56</f>
        <v>0</v>
      </c>
      <c r="BB56" s="105">
        <f>'Hillpointe Detail'!BB56+'Sandhill Detail'!BB56</f>
        <v>0</v>
      </c>
      <c r="BC56" s="105">
        <f>'Hillpointe Detail'!BC56+'Sandhill Detail'!BC56</f>
        <v>0</v>
      </c>
      <c r="BD56" s="105">
        <f>'Hillpointe Detail'!BD56+'Sandhill Detail'!BD56</f>
        <v>0</v>
      </c>
      <c r="BE56" s="105">
        <f>'Hillpointe Detail'!BE56+'Sandhill Detail'!BE56</f>
        <v>0</v>
      </c>
      <c r="BF56" s="105">
        <f>'Hillpointe Detail'!BF56+'Sandhill Detail'!BF56</f>
        <v>0</v>
      </c>
      <c r="BG56" s="105">
        <f>'Hillpointe Detail'!BG56+'Sandhill Detail'!BG56</f>
        <v>0</v>
      </c>
      <c r="BH56" s="105">
        <f>'Hillpointe Detail'!BH56+'Sandhill Detail'!BH56</f>
        <v>0</v>
      </c>
      <c r="BI56" s="105">
        <f>'Hillpointe Detail'!BI56+'Sandhill Detail'!BI56</f>
        <v>0</v>
      </c>
      <c r="BJ56" s="105">
        <f>'Hillpointe Detail'!BJ56+'Sandhill Detail'!BJ56</f>
        <v>0</v>
      </c>
      <c r="BK56" s="105">
        <f>'Hillpointe Detail'!BK56+'Sandhill Detail'!BK56</f>
        <v>0</v>
      </c>
      <c r="BL56" s="105">
        <f>'Hillpointe Detail'!BL56+'Sandhill Detail'!BL56</f>
        <v>0</v>
      </c>
      <c r="BM56" s="105">
        <f>'Hillpointe Detail'!BM56+'Sandhill Detail'!BM56</f>
        <v>0</v>
      </c>
      <c r="BN56" s="105">
        <f>'Hillpointe Detail'!BN56+'Sandhill Detail'!BN56</f>
        <v>0</v>
      </c>
      <c r="BO56" s="105">
        <f>'Hillpointe Detail'!BO56+'Sandhill Detail'!BO56</f>
        <v>0</v>
      </c>
      <c r="BP56" s="105">
        <f>'Hillpointe Detail'!BP56+'Sandhill Detail'!BP56</f>
        <v>0</v>
      </c>
      <c r="BQ56" s="105">
        <f>'Hillpointe Detail'!BQ56+'Sandhill Detail'!BQ56</f>
        <v>0</v>
      </c>
      <c r="BR56" s="105">
        <f>'Hillpointe Detail'!BR56+'Sandhill Detail'!BR56</f>
        <v>0</v>
      </c>
      <c r="BS56" s="105">
        <f>'Hillpointe Detail'!BS56+'Sandhill Detail'!BS56</f>
        <v>0</v>
      </c>
      <c r="BT56" s="105">
        <f>'Hillpointe Detail'!BT56+'Sandhill Detail'!BT56</f>
        <v>0</v>
      </c>
      <c r="BU56" s="105">
        <f>'Hillpointe Detail'!BU56+'Sandhill Detail'!BU56</f>
        <v>0</v>
      </c>
      <c r="BV56" s="105">
        <f>'Hillpointe Detail'!BV56+'Sandhill Detail'!BV56</f>
        <v>0</v>
      </c>
      <c r="BW56" s="105">
        <f>'Hillpointe Detail'!BW56+'Sandhill Detail'!BW56</f>
        <v>0</v>
      </c>
      <c r="BX56" s="105">
        <f>'Hillpointe Detail'!BX56+'Sandhill Detail'!BX56</f>
        <v>0</v>
      </c>
      <c r="BY56" s="8"/>
      <c r="BZ56" s="105">
        <f t="shared" si="46"/>
        <v>0</v>
      </c>
      <c r="CA56" s="105">
        <f t="shared" si="47"/>
        <v>0</v>
      </c>
      <c r="CC56" s="105">
        <f t="shared" si="50"/>
        <v>0</v>
      </c>
      <c r="CD56" s="105">
        <f t="shared" si="50"/>
        <v>0</v>
      </c>
      <c r="CE56" s="105">
        <f t="shared" si="50"/>
        <v>0</v>
      </c>
      <c r="CF56" s="105">
        <f t="shared" si="50"/>
        <v>0</v>
      </c>
      <c r="CG56" s="105">
        <f t="shared" si="50"/>
        <v>0</v>
      </c>
      <c r="CH56" s="105">
        <f t="shared" si="50"/>
        <v>0</v>
      </c>
      <c r="CI56" s="105">
        <f t="shared" si="50"/>
        <v>0</v>
      </c>
      <c r="CJ56" s="105">
        <f t="shared" si="50"/>
        <v>0</v>
      </c>
      <c r="CL56" s="105"/>
      <c r="CM56" s="13"/>
    </row>
    <row r="57" spans="1:91" x14ac:dyDescent="0.3">
      <c r="A57" s="84" t="s">
        <v>21</v>
      </c>
      <c r="B57" s="10" t="s">
        <v>135</v>
      </c>
      <c r="C57" s="103">
        <v>781794.65</v>
      </c>
      <c r="D57" s="103">
        <v>796210.93</v>
      </c>
      <c r="E57" s="105">
        <f>'Hillpointe Detail'!E57+'Sandhill Detail'!E57</f>
        <v>-75983.16</v>
      </c>
      <c r="F57" s="105">
        <f>'Hillpointe Detail'!F57+'Sandhill Detail'!F57</f>
        <v>79503.429999999993</v>
      </c>
      <c r="G57" s="105">
        <f>'Hillpointe Detail'!G57+'Sandhill Detail'!G57</f>
        <v>87078.54</v>
      </c>
      <c r="H57" s="105">
        <f>'Hillpointe Detail'!H57+'Sandhill Detail'!H57</f>
        <v>96975.42</v>
      </c>
      <c r="I57" s="105">
        <f>'Hillpointe Detail'!I57+'Sandhill Detail'!I57</f>
        <v>96108.84</v>
      </c>
      <c r="J57" s="105">
        <f>'Hillpointe Detail'!J57+'Sandhill Detail'!J57</f>
        <v>92667.18</v>
      </c>
      <c r="K57" s="105">
        <f>'Hillpointe Detail'!K57+'Sandhill Detail'!K57</f>
        <v>92897.049999999988</v>
      </c>
      <c r="L57" s="105">
        <f>'Hillpointe Detail'!L57+'Sandhill Detail'!L57</f>
        <v>93636.4</v>
      </c>
      <c r="M57" s="105">
        <f>'Hillpointe Detail'!M57+'Sandhill Detail'!M57</f>
        <v>92941.02</v>
      </c>
      <c r="N57" s="105">
        <f>'Hillpointe Detail'!N57+'Sandhill Detail'!N57</f>
        <v>95167.39</v>
      </c>
      <c r="O57" s="105">
        <f>'Hillpointe Detail'!O57+'Sandhill Detail'!O57</f>
        <v>95303.54</v>
      </c>
      <c r="P57" s="105">
        <f>'Hillpointe Detail'!P57+'Sandhill Detail'!P57</f>
        <v>225150.11</v>
      </c>
      <c r="Q57" s="105">
        <f>'Hillpointe Detail'!Q57+'Sandhill Detail'!Q57</f>
        <v>930.15</v>
      </c>
      <c r="R57" s="105">
        <f>'Hillpointe Detail'!R57+'Sandhill Detail'!R57</f>
        <v>95313.56</v>
      </c>
      <c r="S57" s="105">
        <f>'Hillpointe Detail'!S57+'Sandhill Detail'!S57</f>
        <v>93587.78</v>
      </c>
      <c r="T57" s="105">
        <f>'Hillpointe Detail'!T57+'Sandhill Detail'!T57</f>
        <v>88589.55</v>
      </c>
      <c r="U57" s="105">
        <f>'Hillpointe Detail'!U57+'Sandhill Detail'!U57</f>
        <v>87926.78</v>
      </c>
      <c r="V57" s="105">
        <f>'Hillpointe Detail'!V57+'Sandhill Detail'!V57</f>
        <v>97725.13</v>
      </c>
      <c r="W57" s="105">
        <f>'Hillpointe Detail'!W57+'Sandhill Detail'!W57</f>
        <v>90011.87999999999</v>
      </c>
      <c r="X57" s="105">
        <f>'Hillpointe Detail'!X57+'Sandhill Detail'!X57</f>
        <v>91379.62000000001</v>
      </c>
      <c r="Y57" s="105">
        <f>'Hillpointe Detail'!Y57+'Sandhill Detail'!Y57</f>
        <v>91591.3</v>
      </c>
      <c r="Z57" s="105">
        <f>'Hillpointe Detail'!Z57+'Sandhill Detail'!Z57</f>
        <v>90724.14</v>
      </c>
      <c r="AA57" s="105">
        <f>'Hillpointe Detail'!AA57+'Sandhill Detail'!AA57</f>
        <v>103888.12</v>
      </c>
      <c r="AB57" s="105">
        <f>'Hillpointe Detail'!AB57+'Sandhill Detail'!AB57</f>
        <v>186077.75333333333</v>
      </c>
      <c r="AC57" s="105">
        <f>'Hillpointe Detail'!AC57+'Sandhill Detail'!AC57</f>
        <v>0</v>
      </c>
      <c r="AD57" s="105">
        <f>'Hillpointe Detail'!AD57+'Sandhill Detail'!AD57</f>
        <v>93038.876666666663</v>
      </c>
      <c r="AE57" s="105">
        <f>'Hillpointe Detail'!AE57+'Sandhill Detail'!AE57</f>
        <v>93038.876666666663</v>
      </c>
      <c r="AF57" s="105">
        <f>'Hillpointe Detail'!AF57+'Sandhill Detail'!AF57</f>
        <v>93038.876666666663</v>
      </c>
      <c r="AG57" s="105">
        <f>'Hillpointe Detail'!AG57+'Sandhill Detail'!AG57</f>
        <v>93038.876666666663</v>
      </c>
      <c r="AH57" s="105">
        <f>'Hillpointe Detail'!AH57+'Sandhill Detail'!AH57</f>
        <v>93038.876666666663</v>
      </c>
      <c r="AI57" s="105">
        <f>'Hillpointe Detail'!AI57+'Sandhill Detail'!AI57</f>
        <v>93038.876666666663</v>
      </c>
      <c r="AJ57" s="105">
        <f>'Hillpointe Detail'!AJ57+'Sandhill Detail'!AJ57</f>
        <v>93038.876666666663</v>
      </c>
      <c r="AK57" s="105">
        <f>'Hillpointe Detail'!AK57+'Sandhill Detail'!AK57</f>
        <v>93038.876666666663</v>
      </c>
      <c r="AL57" s="105">
        <f>'Hillpointe Detail'!AL57+'Sandhill Detail'!AL57</f>
        <v>93038.876666666663</v>
      </c>
      <c r="AM57" s="105">
        <f>'Hillpointe Detail'!AM57+'Sandhill Detail'!AM57</f>
        <v>93038.876666666663</v>
      </c>
      <c r="AN57" s="105">
        <f>'Hillpointe Detail'!AN57+'Sandhill Detail'!AN57</f>
        <v>186077.75333333333</v>
      </c>
      <c r="AO57" s="105">
        <f>'Hillpointe Detail'!AO57+'Sandhill Detail'!AO57</f>
        <v>0</v>
      </c>
      <c r="AP57" s="105">
        <f>'Hillpointe Detail'!AP57+'Sandhill Detail'!AP57</f>
        <v>101044.97991550388</v>
      </c>
      <c r="AQ57" s="105">
        <f>'Hillpointe Detail'!AQ57+'Sandhill Detail'!AQ57</f>
        <v>101044.97991550388</v>
      </c>
      <c r="AR57" s="105">
        <f>'Hillpointe Detail'!AR57+'Sandhill Detail'!AR57</f>
        <v>101044.97991550388</v>
      </c>
      <c r="AS57" s="105">
        <f>'Hillpointe Detail'!AS57+'Sandhill Detail'!AS57</f>
        <v>101044.97991550388</v>
      </c>
      <c r="AT57" s="105">
        <f>'Hillpointe Detail'!AT57+'Sandhill Detail'!AT57</f>
        <v>101044.97991550388</v>
      </c>
      <c r="AU57" s="105">
        <f>'Hillpointe Detail'!AU57+'Sandhill Detail'!AU57</f>
        <v>101044.97991550388</v>
      </c>
      <c r="AV57" s="105">
        <f>'Hillpointe Detail'!AV57+'Sandhill Detail'!AV57</f>
        <v>101044.97991550388</v>
      </c>
      <c r="AW57" s="105">
        <f>'Hillpointe Detail'!AW57+'Sandhill Detail'!AW57</f>
        <v>101044.97991550388</v>
      </c>
      <c r="AX57" s="105">
        <f>'Hillpointe Detail'!AX57+'Sandhill Detail'!AX57</f>
        <v>101044.97991550388</v>
      </c>
      <c r="AY57" s="105">
        <f>'Hillpointe Detail'!AY57+'Sandhill Detail'!AY57</f>
        <v>101044.97991550388</v>
      </c>
      <c r="AZ57" s="105">
        <f>'Hillpointe Detail'!AZ57+'Sandhill Detail'!AZ57</f>
        <v>202089.95983100776</v>
      </c>
      <c r="BA57" s="105">
        <f>'Hillpointe Detail'!BA57+'Sandhill Detail'!BA57</f>
        <v>0</v>
      </c>
      <c r="BB57" s="105">
        <f>'Hillpointe Detail'!BB57+'Sandhill Detail'!BB57</f>
        <v>106790.71578392733</v>
      </c>
      <c r="BC57" s="105">
        <f>'Hillpointe Detail'!BC57+'Sandhill Detail'!BC57</f>
        <v>106790.71578392733</v>
      </c>
      <c r="BD57" s="105">
        <f>'Hillpointe Detail'!BD57+'Sandhill Detail'!BD57</f>
        <v>106790.71578392733</v>
      </c>
      <c r="BE57" s="105">
        <f>'Hillpointe Detail'!BE57+'Sandhill Detail'!BE57</f>
        <v>106790.71578392733</v>
      </c>
      <c r="BF57" s="105">
        <f>'Hillpointe Detail'!BF57+'Sandhill Detail'!BF57</f>
        <v>106790.71578392733</v>
      </c>
      <c r="BG57" s="105">
        <f>'Hillpointe Detail'!BG57+'Sandhill Detail'!BG57</f>
        <v>106790.71578392733</v>
      </c>
      <c r="BH57" s="105">
        <f>'Hillpointe Detail'!BH57+'Sandhill Detail'!BH57</f>
        <v>106790.71578392733</v>
      </c>
      <c r="BI57" s="105">
        <f>'Hillpointe Detail'!BI57+'Sandhill Detail'!BI57</f>
        <v>106790.71578392733</v>
      </c>
      <c r="BJ57" s="105">
        <f>'Hillpointe Detail'!BJ57+'Sandhill Detail'!BJ57</f>
        <v>106790.71578392733</v>
      </c>
      <c r="BK57" s="105">
        <f>'Hillpointe Detail'!BK57+'Sandhill Detail'!BK57</f>
        <v>106790.71578392733</v>
      </c>
      <c r="BL57" s="105">
        <f>'Hillpointe Detail'!BL57+'Sandhill Detail'!BL57</f>
        <v>213581.43156785466</v>
      </c>
      <c r="BM57" s="105">
        <f>'Hillpointe Detail'!BM57+'Sandhill Detail'!BM57</f>
        <v>0</v>
      </c>
      <c r="BN57" s="105">
        <f>'Hillpointe Detail'!BN57+'Sandhill Detail'!BN57</f>
        <v>109994.43725744516</v>
      </c>
      <c r="BO57" s="105">
        <f>'Hillpointe Detail'!BO57+'Sandhill Detail'!BO57</f>
        <v>109994.43725744516</v>
      </c>
      <c r="BP57" s="105">
        <f>'Hillpointe Detail'!BP57+'Sandhill Detail'!BP57</f>
        <v>109994.43725744516</v>
      </c>
      <c r="BQ57" s="105">
        <f>'Hillpointe Detail'!BQ57+'Sandhill Detail'!BQ57</f>
        <v>109994.43725744516</v>
      </c>
      <c r="BR57" s="105">
        <f>'Hillpointe Detail'!BR57+'Sandhill Detail'!BR57</f>
        <v>109994.43725744516</v>
      </c>
      <c r="BS57" s="105">
        <f>'Hillpointe Detail'!BS57+'Sandhill Detail'!BS57</f>
        <v>109994.43725744516</v>
      </c>
      <c r="BT57" s="105">
        <f>'Hillpointe Detail'!BT57+'Sandhill Detail'!BT57</f>
        <v>109994.43725744516</v>
      </c>
      <c r="BU57" s="105">
        <f>'Hillpointe Detail'!BU57+'Sandhill Detail'!BU57</f>
        <v>109994.43725744516</v>
      </c>
      <c r="BV57" s="105">
        <f>'Hillpointe Detail'!BV57+'Sandhill Detail'!BV57</f>
        <v>109994.43725744516</v>
      </c>
      <c r="BW57" s="105">
        <f>'Hillpointe Detail'!BW57+'Sandhill Detail'!BW57</f>
        <v>109994.43725744516</v>
      </c>
      <c r="BX57" s="105">
        <f>'Hillpointe Detail'!BX57+'Sandhill Detail'!BX57</f>
        <v>219988.87451489031</v>
      </c>
      <c r="BY57" s="8"/>
      <c r="BZ57" s="105">
        <f t="shared" si="46"/>
        <v>103888.12</v>
      </c>
      <c r="CA57" s="105">
        <f t="shared" si="47"/>
        <v>931668.01</v>
      </c>
      <c r="CC57" s="105">
        <f t="shared" si="50"/>
        <v>781794.65</v>
      </c>
      <c r="CD57" s="105">
        <f t="shared" si="50"/>
        <v>796210.93</v>
      </c>
      <c r="CE57" s="105">
        <f t="shared" si="50"/>
        <v>1071445.76</v>
      </c>
      <c r="CF57" s="105">
        <f t="shared" si="50"/>
        <v>1117745.7633333334</v>
      </c>
      <c r="CG57" s="105">
        <f t="shared" si="50"/>
        <v>1116466.5200000003</v>
      </c>
      <c r="CH57" s="105">
        <f t="shared" si="50"/>
        <v>1212539.7589860465</v>
      </c>
      <c r="CI57" s="105">
        <f t="shared" si="50"/>
        <v>1281488.589407128</v>
      </c>
      <c r="CJ57" s="105">
        <f t="shared" si="50"/>
        <v>1319933.247089342</v>
      </c>
      <c r="CL57" s="105"/>
      <c r="CM57" s="13"/>
    </row>
    <row r="58" spans="1:91" x14ac:dyDescent="0.3">
      <c r="A58" s="84" t="s">
        <v>22</v>
      </c>
      <c r="B58" s="10" t="s">
        <v>135</v>
      </c>
      <c r="C58" s="103">
        <v>292874.14</v>
      </c>
      <c r="D58" s="103">
        <v>152026.35</v>
      </c>
      <c r="E58" s="105">
        <f>'Hillpointe Detail'!E58+'Sandhill Detail'!E58</f>
        <v>0</v>
      </c>
      <c r="F58" s="105">
        <f>'Hillpointe Detail'!F58+'Sandhill Detail'!F58</f>
        <v>0</v>
      </c>
      <c r="G58" s="105">
        <f>'Hillpointe Detail'!G58+'Sandhill Detail'!G58</f>
        <v>1083.75</v>
      </c>
      <c r="H58" s="105">
        <f>'Hillpointe Detail'!H58+'Sandhill Detail'!H58</f>
        <v>1477.5</v>
      </c>
      <c r="I58" s="105">
        <f>'Hillpointe Detail'!I58+'Sandhill Detail'!I58</f>
        <v>0</v>
      </c>
      <c r="J58" s="105">
        <f>'Hillpointe Detail'!J58+'Sandhill Detail'!J58</f>
        <v>480</v>
      </c>
      <c r="K58" s="105">
        <f>'Hillpointe Detail'!K58+'Sandhill Detail'!K58</f>
        <v>172.5</v>
      </c>
      <c r="L58" s="105">
        <f>'Hillpointe Detail'!L58+'Sandhill Detail'!L58</f>
        <v>855.77999999999918</v>
      </c>
      <c r="M58" s="105">
        <f>'Hillpointe Detail'!M58+'Sandhill Detail'!M58</f>
        <v>1020</v>
      </c>
      <c r="N58" s="105">
        <f>'Hillpointe Detail'!N58+'Sandhill Detail'!N58</f>
        <v>427.5</v>
      </c>
      <c r="O58" s="105">
        <f>'Hillpointe Detail'!O58+'Sandhill Detail'!O58</f>
        <v>2047.5</v>
      </c>
      <c r="P58" s="105">
        <f>'Hillpointe Detail'!P58+'Sandhill Detail'!P58</f>
        <v>5400</v>
      </c>
      <c r="Q58" s="105">
        <f>'Hillpointe Detail'!Q58+'Sandhill Detail'!Q58</f>
        <v>0</v>
      </c>
      <c r="R58" s="105">
        <f>'Hillpointe Detail'!R58+'Sandhill Detail'!R58</f>
        <v>4785.96</v>
      </c>
      <c r="S58" s="105">
        <f>'Hillpointe Detail'!S58+'Sandhill Detail'!S58</f>
        <v>6030</v>
      </c>
      <c r="T58" s="105">
        <f>'Hillpointe Detail'!T58+'Sandhill Detail'!T58</f>
        <v>7198.75</v>
      </c>
      <c r="U58" s="105">
        <f>'Hillpointe Detail'!U58+'Sandhill Detail'!U58</f>
        <v>7255</v>
      </c>
      <c r="V58" s="105">
        <f>'Hillpointe Detail'!V58+'Sandhill Detail'!V58</f>
        <v>10214.040000000001</v>
      </c>
      <c r="W58" s="105">
        <f>'Hillpointe Detail'!W58+'Sandhill Detail'!W58</f>
        <v>9431.26</v>
      </c>
      <c r="X58" s="105">
        <f>'Hillpointe Detail'!X58+'Sandhill Detail'!X58</f>
        <v>9761.26</v>
      </c>
      <c r="Y58" s="105">
        <f>'Hillpointe Detail'!Y58+'Sandhill Detail'!Y58</f>
        <v>8856.26</v>
      </c>
      <c r="Z58" s="105">
        <f>'Hillpointe Detail'!Z58+'Sandhill Detail'!Z58</f>
        <v>9416.7000000000007</v>
      </c>
      <c r="AA58" s="105">
        <f>'Hillpointe Detail'!AA58+'Sandhill Detail'!AA58</f>
        <v>11986.26</v>
      </c>
      <c r="AB58" s="105">
        <f>'Hillpointe Detail'!AB58+'Sandhill Detail'!AB58</f>
        <v>19604.373333333333</v>
      </c>
      <c r="AC58" s="105">
        <f>'Hillpointe Detail'!AC58+'Sandhill Detail'!AC58</f>
        <v>0</v>
      </c>
      <c r="AD58" s="105">
        <f>'Hillpointe Detail'!AD58+'Sandhill Detail'!AD58</f>
        <v>9802.1866666666665</v>
      </c>
      <c r="AE58" s="105">
        <f>'Hillpointe Detail'!AE58+'Sandhill Detail'!AE58</f>
        <v>9802.1866666666665</v>
      </c>
      <c r="AF58" s="105">
        <f>'Hillpointe Detail'!AF58+'Sandhill Detail'!AF58</f>
        <v>9802.1866666666665</v>
      </c>
      <c r="AG58" s="105">
        <f>'Hillpointe Detail'!AG58+'Sandhill Detail'!AG58</f>
        <v>9802.1866666666665</v>
      </c>
      <c r="AH58" s="105">
        <f>'Hillpointe Detail'!AH58+'Sandhill Detail'!AH58</f>
        <v>9802.1866666666665</v>
      </c>
      <c r="AI58" s="105">
        <f>'Hillpointe Detail'!AI58+'Sandhill Detail'!AI58</f>
        <v>9802.1866666666665</v>
      </c>
      <c r="AJ58" s="105">
        <f>'Hillpointe Detail'!AJ58+'Sandhill Detail'!AJ58</f>
        <v>9802.1866666666665</v>
      </c>
      <c r="AK58" s="105">
        <f>'Hillpointe Detail'!AK58+'Sandhill Detail'!AK58</f>
        <v>9802.1866666666665</v>
      </c>
      <c r="AL58" s="105">
        <f>'Hillpointe Detail'!AL58+'Sandhill Detail'!AL58</f>
        <v>9802.1866666666665</v>
      </c>
      <c r="AM58" s="105">
        <f>'Hillpointe Detail'!AM58+'Sandhill Detail'!AM58</f>
        <v>9802.1866666666665</v>
      </c>
      <c r="AN58" s="105">
        <f>'Hillpointe Detail'!AN58+'Sandhill Detail'!AN58</f>
        <v>19604.373333333333</v>
      </c>
      <c r="AO58" s="105">
        <f>'Hillpointe Detail'!AO58+'Sandhill Detail'!AO58</f>
        <v>0</v>
      </c>
      <c r="AP58" s="105">
        <f>'Hillpointe Detail'!AP58+'Sandhill Detail'!AP58</f>
        <v>10645.676064341087</v>
      </c>
      <c r="AQ58" s="105">
        <f>'Hillpointe Detail'!AQ58+'Sandhill Detail'!AQ58</f>
        <v>10645.676064341087</v>
      </c>
      <c r="AR58" s="105">
        <f>'Hillpointe Detail'!AR58+'Sandhill Detail'!AR58</f>
        <v>10645.676064341087</v>
      </c>
      <c r="AS58" s="105">
        <f>'Hillpointe Detail'!AS58+'Sandhill Detail'!AS58</f>
        <v>10645.676064341087</v>
      </c>
      <c r="AT58" s="105">
        <f>'Hillpointe Detail'!AT58+'Sandhill Detail'!AT58</f>
        <v>10645.676064341087</v>
      </c>
      <c r="AU58" s="105">
        <f>'Hillpointe Detail'!AU58+'Sandhill Detail'!AU58</f>
        <v>10645.676064341087</v>
      </c>
      <c r="AV58" s="105">
        <f>'Hillpointe Detail'!AV58+'Sandhill Detail'!AV58</f>
        <v>10645.676064341087</v>
      </c>
      <c r="AW58" s="105">
        <f>'Hillpointe Detail'!AW58+'Sandhill Detail'!AW58</f>
        <v>10645.676064341087</v>
      </c>
      <c r="AX58" s="105">
        <f>'Hillpointe Detail'!AX58+'Sandhill Detail'!AX58</f>
        <v>10645.676064341087</v>
      </c>
      <c r="AY58" s="105">
        <f>'Hillpointe Detail'!AY58+'Sandhill Detail'!AY58</f>
        <v>10645.676064341087</v>
      </c>
      <c r="AZ58" s="105">
        <f>'Hillpointe Detail'!AZ58+'Sandhill Detail'!AZ58</f>
        <v>21291.352128682174</v>
      </c>
      <c r="BA58" s="105">
        <f>'Hillpointe Detail'!BA58+'Sandhill Detail'!BA58</f>
        <v>0</v>
      </c>
      <c r="BB58" s="105">
        <f>'Hillpointe Detail'!BB58+'Sandhill Detail'!BB58</f>
        <v>11251.022992312985</v>
      </c>
      <c r="BC58" s="105">
        <f>'Hillpointe Detail'!BC58+'Sandhill Detail'!BC58</f>
        <v>11251.022992312985</v>
      </c>
      <c r="BD58" s="105">
        <f>'Hillpointe Detail'!BD58+'Sandhill Detail'!BD58</f>
        <v>11251.022992312985</v>
      </c>
      <c r="BE58" s="105">
        <f>'Hillpointe Detail'!BE58+'Sandhill Detail'!BE58</f>
        <v>11251.022992312985</v>
      </c>
      <c r="BF58" s="105">
        <f>'Hillpointe Detail'!BF58+'Sandhill Detail'!BF58</f>
        <v>11251.022992312985</v>
      </c>
      <c r="BG58" s="105">
        <f>'Hillpointe Detail'!BG58+'Sandhill Detail'!BG58</f>
        <v>11251.022992312985</v>
      </c>
      <c r="BH58" s="105">
        <f>'Hillpointe Detail'!BH58+'Sandhill Detail'!BH58</f>
        <v>11251.022992312985</v>
      </c>
      <c r="BI58" s="105">
        <f>'Hillpointe Detail'!BI58+'Sandhill Detail'!BI58</f>
        <v>11251.022992312985</v>
      </c>
      <c r="BJ58" s="105">
        <f>'Hillpointe Detail'!BJ58+'Sandhill Detail'!BJ58</f>
        <v>11251.022992312985</v>
      </c>
      <c r="BK58" s="105">
        <f>'Hillpointe Detail'!BK58+'Sandhill Detail'!BK58</f>
        <v>11251.022992312985</v>
      </c>
      <c r="BL58" s="105">
        <f>'Hillpointe Detail'!BL58+'Sandhill Detail'!BL58</f>
        <v>22502.045984625969</v>
      </c>
      <c r="BM58" s="105">
        <f>'Hillpointe Detail'!BM58+'Sandhill Detail'!BM58</f>
        <v>0</v>
      </c>
      <c r="BN58" s="105">
        <f>'Hillpointe Detail'!BN58+'Sandhill Detail'!BN58</f>
        <v>11588.553682082376</v>
      </c>
      <c r="BO58" s="105">
        <f>'Hillpointe Detail'!BO58+'Sandhill Detail'!BO58</f>
        <v>11588.553682082376</v>
      </c>
      <c r="BP58" s="105">
        <f>'Hillpointe Detail'!BP58+'Sandhill Detail'!BP58</f>
        <v>11588.553682082376</v>
      </c>
      <c r="BQ58" s="105">
        <f>'Hillpointe Detail'!BQ58+'Sandhill Detail'!BQ58</f>
        <v>11588.553682082376</v>
      </c>
      <c r="BR58" s="105">
        <f>'Hillpointe Detail'!BR58+'Sandhill Detail'!BR58</f>
        <v>11588.553682082376</v>
      </c>
      <c r="BS58" s="105">
        <f>'Hillpointe Detail'!BS58+'Sandhill Detail'!BS58</f>
        <v>11588.553682082376</v>
      </c>
      <c r="BT58" s="105">
        <f>'Hillpointe Detail'!BT58+'Sandhill Detail'!BT58</f>
        <v>11588.553682082376</v>
      </c>
      <c r="BU58" s="105">
        <f>'Hillpointe Detail'!BU58+'Sandhill Detail'!BU58</f>
        <v>11588.553682082376</v>
      </c>
      <c r="BV58" s="105">
        <f>'Hillpointe Detail'!BV58+'Sandhill Detail'!BV58</f>
        <v>11588.553682082376</v>
      </c>
      <c r="BW58" s="105">
        <f>'Hillpointe Detail'!BW58+'Sandhill Detail'!BW58</f>
        <v>11588.553682082376</v>
      </c>
      <c r="BX58" s="105">
        <f>'Hillpointe Detail'!BX58+'Sandhill Detail'!BX58</f>
        <v>23177.107364164753</v>
      </c>
      <c r="BY58" s="8"/>
      <c r="BZ58" s="105">
        <f t="shared" ref="BZ58:BZ89" si="51">SUMIF($B$252:$BY$252,1,$B58:$BY58)</f>
        <v>11986.26</v>
      </c>
      <c r="CA58" s="105">
        <f t="shared" ref="CA58:CA89" si="52">SUMIF($B$253:$BY$253,1,$B58:$BY58)</f>
        <v>84935.49</v>
      </c>
      <c r="CC58" s="105">
        <f t="shared" ref="CC58:CJ67" si="53">SUMIF($C$3:$BY$3,CC$3,$C58:$BY58)</f>
        <v>292874.14</v>
      </c>
      <c r="CD58" s="105">
        <f t="shared" si="53"/>
        <v>152026.35</v>
      </c>
      <c r="CE58" s="105">
        <f t="shared" si="53"/>
        <v>12964.529999999999</v>
      </c>
      <c r="CF58" s="105">
        <f t="shared" si="53"/>
        <v>104539.86333333334</v>
      </c>
      <c r="CG58" s="105">
        <f t="shared" si="53"/>
        <v>117626.23999999999</v>
      </c>
      <c r="CH58" s="105">
        <f t="shared" si="53"/>
        <v>127748.11277209304</v>
      </c>
      <c r="CI58" s="105">
        <f t="shared" si="53"/>
        <v>135012.2759077558</v>
      </c>
      <c r="CJ58" s="105">
        <f t="shared" si="53"/>
        <v>139062.64418498852</v>
      </c>
      <c r="CL58" s="105"/>
      <c r="CM58" s="13"/>
    </row>
    <row r="59" spans="1:91" x14ac:dyDescent="0.3">
      <c r="A59" s="84" t="s">
        <v>23</v>
      </c>
      <c r="B59" s="10" t="s">
        <v>136</v>
      </c>
      <c r="C59" s="103">
        <v>88654.84</v>
      </c>
      <c r="D59" s="103">
        <v>0</v>
      </c>
      <c r="E59" s="105">
        <f>'Hillpointe Detail'!E59+'Sandhill Detail'!E59</f>
        <v>0</v>
      </c>
      <c r="F59" s="105">
        <f>'Hillpointe Detail'!F59+'Sandhill Detail'!F59</f>
        <v>0</v>
      </c>
      <c r="G59" s="105">
        <f>'Hillpointe Detail'!G59+'Sandhill Detail'!G59</f>
        <v>0</v>
      </c>
      <c r="H59" s="105">
        <f>'Hillpointe Detail'!H59+'Sandhill Detail'!H59</f>
        <v>0</v>
      </c>
      <c r="I59" s="105">
        <f>'Hillpointe Detail'!I59+'Sandhill Detail'!I59</f>
        <v>0</v>
      </c>
      <c r="J59" s="105">
        <f>'Hillpointe Detail'!J59+'Sandhill Detail'!J59</f>
        <v>0</v>
      </c>
      <c r="K59" s="105">
        <f>'Hillpointe Detail'!K59+'Sandhill Detail'!K59</f>
        <v>0</v>
      </c>
      <c r="L59" s="105">
        <f>'Hillpointe Detail'!L59+'Sandhill Detail'!L59</f>
        <v>0</v>
      </c>
      <c r="M59" s="105">
        <f>'Hillpointe Detail'!M59+'Sandhill Detail'!M59</f>
        <v>0</v>
      </c>
      <c r="N59" s="105">
        <f>'Hillpointe Detail'!N59+'Sandhill Detail'!N59</f>
        <v>0</v>
      </c>
      <c r="O59" s="105">
        <f>'Hillpointe Detail'!O59+'Sandhill Detail'!O59</f>
        <v>0</v>
      </c>
      <c r="P59" s="105">
        <f>'Hillpointe Detail'!P59+'Sandhill Detail'!P59</f>
        <v>0</v>
      </c>
      <c r="Q59" s="105">
        <f>'Hillpointe Detail'!Q59+'Sandhill Detail'!Q59</f>
        <v>0</v>
      </c>
      <c r="R59" s="105">
        <f>'Hillpointe Detail'!R59+'Sandhill Detail'!R59</f>
        <v>0</v>
      </c>
      <c r="S59" s="105">
        <f>'Hillpointe Detail'!S59+'Sandhill Detail'!S59</f>
        <v>0</v>
      </c>
      <c r="T59" s="105">
        <f>'Hillpointe Detail'!T59+'Sandhill Detail'!T59</f>
        <v>0</v>
      </c>
      <c r="U59" s="105">
        <f>'Hillpointe Detail'!U59+'Sandhill Detail'!U59</f>
        <v>0</v>
      </c>
      <c r="V59" s="105">
        <f>'Hillpointe Detail'!V59+'Sandhill Detail'!V59</f>
        <v>0</v>
      </c>
      <c r="W59" s="105">
        <f>'Hillpointe Detail'!W59+'Sandhill Detail'!W59</f>
        <v>0</v>
      </c>
      <c r="X59" s="105">
        <f>'Hillpointe Detail'!X59+'Sandhill Detail'!X59</f>
        <v>0</v>
      </c>
      <c r="Y59" s="105">
        <f>'Hillpointe Detail'!Y59+'Sandhill Detail'!Y59</f>
        <v>0</v>
      </c>
      <c r="Z59" s="105">
        <f>'Hillpointe Detail'!Z59+'Sandhill Detail'!Z59</f>
        <v>0</v>
      </c>
      <c r="AA59" s="105">
        <f>'Hillpointe Detail'!AA59+'Sandhill Detail'!AA59</f>
        <v>0</v>
      </c>
      <c r="AB59" s="105">
        <f>'Hillpointe Detail'!AB59+'Sandhill Detail'!AB59</f>
        <v>0</v>
      </c>
      <c r="AC59" s="105">
        <f>'Hillpointe Detail'!AC59+'Sandhill Detail'!AC59</f>
        <v>0</v>
      </c>
      <c r="AD59" s="105">
        <f>'Hillpointe Detail'!AD59+'Sandhill Detail'!AD59</f>
        <v>0</v>
      </c>
      <c r="AE59" s="105">
        <f>'Hillpointe Detail'!AE59+'Sandhill Detail'!AE59</f>
        <v>0</v>
      </c>
      <c r="AF59" s="105">
        <f>'Hillpointe Detail'!AF59+'Sandhill Detail'!AF59</f>
        <v>0</v>
      </c>
      <c r="AG59" s="105">
        <f>'Hillpointe Detail'!AG59+'Sandhill Detail'!AG59</f>
        <v>0</v>
      </c>
      <c r="AH59" s="105">
        <f>'Hillpointe Detail'!AH59+'Sandhill Detail'!AH59</f>
        <v>0</v>
      </c>
      <c r="AI59" s="105">
        <f>'Hillpointe Detail'!AI59+'Sandhill Detail'!AI59</f>
        <v>0</v>
      </c>
      <c r="AJ59" s="105">
        <f>'Hillpointe Detail'!AJ59+'Sandhill Detail'!AJ59</f>
        <v>0</v>
      </c>
      <c r="AK59" s="105">
        <f>'Hillpointe Detail'!AK59+'Sandhill Detail'!AK59</f>
        <v>0</v>
      </c>
      <c r="AL59" s="105">
        <f>'Hillpointe Detail'!AL59+'Sandhill Detail'!AL59</f>
        <v>0</v>
      </c>
      <c r="AM59" s="105">
        <f>'Hillpointe Detail'!AM59+'Sandhill Detail'!AM59</f>
        <v>0</v>
      </c>
      <c r="AN59" s="105">
        <f>'Hillpointe Detail'!AN59+'Sandhill Detail'!AN59</f>
        <v>0</v>
      </c>
      <c r="AO59" s="105">
        <f>'Hillpointe Detail'!AO59+'Sandhill Detail'!AO59</f>
        <v>0</v>
      </c>
      <c r="AP59" s="105">
        <f>'Hillpointe Detail'!AP59+'Sandhill Detail'!AP59</f>
        <v>0</v>
      </c>
      <c r="AQ59" s="105">
        <f>'Hillpointe Detail'!AQ59+'Sandhill Detail'!AQ59</f>
        <v>0</v>
      </c>
      <c r="AR59" s="105">
        <f>'Hillpointe Detail'!AR59+'Sandhill Detail'!AR59</f>
        <v>0</v>
      </c>
      <c r="AS59" s="105">
        <f>'Hillpointe Detail'!AS59+'Sandhill Detail'!AS59</f>
        <v>0</v>
      </c>
      <c r="AT59" s="105">
        <f>'Hillpointe Detail'!AT59+'Sandhill Detail'!AT59</f>
        <v>0</v>
      </c>
      <c r="AU59" s="105">
        <f>'Hillpointe Detail'!AU59+'Sandhill Detail'!AU59</f>
        <v>0</v>
      </c>
      <c r="AV59" s="105">
        <f>'Hillpointe Detail'!AV59+'Sandhill Detail'!AV59</f>
        <v>0</v>
      </c>
      <c r="AW59" s="105">
        <f>'Hillpointe Detail'!AW59+'Sandhill Detail'!AW59</f>
        <v>0</v>
      </c>
      <c r="AX59" s="105">
        <f>'Hillpointe Detail'!AX59+'Sandhill Detail'!AX59</f>
        <v>0</v>
      </c>
      <c r="AY59" s="105">
        <f>'Hillpointe Detail'!AY59+'Sandhill Detail'!AY59</f>
        <v>0</v>
      </c>
      <c r="AZ59" s="105">
        <f>'Hillpointe Detail'!AZ59+'Sandhill Detail'!AZ59</f>
        <v>0</v>
      </c>
      <c r="BA59" s="105">
        <f>'Hillpointe Detail'!BA59+'Sandhill Detail'!BA59</f>
        <v>0</v>
      </c>
      <c r="BB59" s="105">
        <f>'Hillpointe Detail'!BB59+'Sandhill Detail'!BB59</f>
        <v>0</v>
      </c>
      <c r="BC59" s="105">
        <f>'Hillpointe Detail'!BC59+'Sandhill Detail'!BC59</f>
        <v>0</v>
      </c>
      <c r="BD59" s="105">
        <f>'Hillpointe Detail'!BD59+'Sandhill Detail'!BD59</f>
        <v>0</v>
      </c>
      <c r="BE59" s="105">
        <f>'Hillpointe Detail'!BE59+'Sandhill Detail'!BE59</f>
        <v>0</v>
      </c>
      <c r="BF59" s="105">
        <f>'Hillpointe Detail'!BF59+'Sandhill Detail'!BF59</f>
        <v>0</v>
      </c>
      <c r="BG59" s="105">
        <f>'Hillpointe Detail'!BG59+'Sandhill Detail'!BG59</f>
        <v>0</v>
      </c>
      <c r="BH59" s="105">
        <f>'Hillpointe Detail'!BH59+'Sandhill Detail'!BH59</f>
        <v>0</v>
      </c>
      <c r="BI59" s="105">
        <f>'Hillpointe Detail'!BI59+'Sandhill Detail'!BI59</f>
        <v>0</v>
      </c>
      <c r="BJ59" s="105">
        <f>'Hillpointe Detail'!BJ59+'Sandhill Detail'!BJ59</f>
        <v>0</v>
      </c>
      <c r="BK59" s="105">
        <f>'Hillpointe Detail'!BK59+'Sandhill Detail'!BK59</f>
        <v>0</v>
      </c>
      <c r="BL59" s="105">
        <f>'Hillpointe Detail'!BL59+'Sandhill Detail'!BL59</f>
        <v>0</v>
      </c>
      <c r="BM59" s="105">
        <f>'Hillpointe Detail'!BM59+'Sandhill Detail'!BM59</f>
        <v>0</v>
      </c>
      <c r="BN59" s="105">
        <f>'Hillpointe Detail'!BN59+'Sandhill Detail'!BN59</f>
        <v>0</v>
      </c>
      <c r="BO59" s="105">
        <f>'Hillpointe Detail'!BO59+'Sandhill Detail'!BO59</f>
        <v>0</v>
      </c>
      <c r="BP59" s="105">
        <f>'Hillpointe Detail'!BP59+'Sandhill Detail'!BP59</f>
        <v>0</v>
      </c>
      <c r="BQ59" s="105">
        <f>'Hillpointe Detail'!BQ59+'Sandhill Detail'!BQ59</f>
        <v>0</v>
      </c>
      <c r="BR59" s="105">
        <f>'Hillpointe Detail'!BR59+'Sandhill Detail'!BR59</f>
        <v>0</v>
      </c>
      <c r="BS59" s="105">
        <f>'Hillpointe Detail'!BS59+'Sandhill Detail'!BS59</f>
        <v>0</v>
      </c>
      <c r="BT59" s="105">
        <f>'Hillpointe Detail'!BT59+'Sandhill Detail'!BT59</f>
        <v>0</v>
      </c>
      <c r="BU59" s="105">
        <f>'Hillpointe Detail'!BU59+'Sandhill Detail'!BU59</f>
        <v>0</v>
      </c>
      <c r="BV59" s="105">
        <f>'Hillpointe Detail'!BV59+'Sandhill Detail'!BV59</f>
        <v>0</v>
      </c>
      <c r="BW59" s="105">
        <f>'Hillpointe Detail'!BW59+'Sandhill Detail'!BW59</f>
        <v>0</v>
      </c>
      <c r="BX59" s="105">
        <f>'Hillpointe Detail'!BX59+'Sandhill Detail'!BX59</f>
        <v>0</v>
      </c>
      <c r="BY59" s="8"/>
      <c r="BZ59" s="105">
        <f t="shared" si="51"/>
        <v>0</v>
      </c>
      <c r="CA59" s="105">
        <f t="shared" si="52"/>
        <v>0</v>
      </c>
      <c r="CC59" s="105">
        <f t="shared" si="53"/>
        <v>88654.84</v>
      </c>
      <c r="CD59" s="105">
        <f t="shared" si="53"/>
        <v>0</v>
      </c>
      <c r="CE59" s="105">
        <f t="shared" si="53"/>
        <v>0</v>
      </c>
      <c r="CF59" s="105">
        <f t="shared" si="53"/>
        <v>0</v>
      </c>
      <c r="CG59" s="105">
        <f t="shared" si="53"/>
        <v>0</v>
      </c>
      <c r="CH59" s="105">
        <f t="shared" si="53"/>
        <v>0</v>
      </c>
      <c r="CI59" s="105">
        <f t="shared" si="53"/>
        <v>0</v>
      </c>
      <c r="CJ59" s="105">
        <f t="shared" si="53"/>
        <v>0</v>
      </c>
      <c r="CL59" s="105"/>
      <c r="CM59" s="13"/>
    </row>
    <row r="60" spans="1:91" x14ac:dyDescent="0.3">
      <c r="A60" s="84" t="s">
        <v>24</v>
      </c>
      <c r="B60" s="10" t="s">
        <v>136</v>
      </c>
      <c r="C60" s="103">
        <v>10388.73</v>
      </c>
      <c r="D60" s="103">
        <v>13097.54</v>
      </c>
      <c r="E60" s="105">
        <f>'Hillpointe Detail'!E60+'Sandhill Detail'!E60</f>
        <v>-1135.46</v>
      </c>
      <c r="F60" s="105">
        <f>'Hillpointe Detail'!F60+'Sandhill Detail'!F60</f>
        <v>1924.11</v>
      </c>
      <c r="G60" s="105">
        <f>'Hillpointe Detail'!G60+'Sandhill Detail'!G60</f>
        <v>2181.94</v>
      </c>
      <c r="H60" s="105">
        <f>'Hillpointe Detail'!H60+'Sandhill Detail'!H60</f>
        <v>2970.09</v>
      </c>
      <c r="I60" s="105">
        <f>'Hillpointe Detail'!I60+'Sandhill Detail'!I60</f>
        <v>2828.63</v>
      </c>
      <c r="J60" s="105">
        <f>'Hillpointe Detail'!J60+'Sandhill Detail'!J60</f>
        <v>2562.08</v>
      </c>
      <c r="K60" s="105">
        <f>'Hillpointe Detail'!K60+'Sandhill Detail'!K60</f>
        <v>3103.6</v>
      </c>
      <c r="L60" s="105">
        <f>'Hillpointe Detail'!L60+'Sandhill Detail'!L60</f>
        <v>3006.3700000000013</v>
      </c>
      <c r="M60" s="105">
        <f>'Hillpointe Detail'!M60+'Sandhill Detail'!M60</f>
        <v>2682.97</v>
      </c>
      <c r="N60" s="105">
        <f>'Hillpointe Detail'!N60+'Sandhill Detail'!N60</f>
        <v>2592.58</v>
      </c>
      <c r="O60" s="105">
        <f>'Hillpointe Detail'!O60+'Sandhill Detail'!O60</f>
        <v>2627.2200000000003</v>
      </c>
      <c r="P60" s="105">
        <f>'Hillpointe Detail'!P60+'Sandhill Detail'!P60</f>
        <v>5316.59</v>
      </c>
      <c r="Q60" s="105">
        <f>'Hillpointe Detail'!Q60+'Sandhill Detail'!Q60</f>
        <v>0</v>
      </c>
      <c r="R60" s="105">
        <f>'Hillpointe Detail'!R60+'Sandhill Detail'!R60</f>
        <v>2796.66</v>
      </c>
      <c r="S60" s="105">
        <f>'Hillpointe Detail'!S60+'Sandhill Detail'!S60</f>
        <v>2523.1799999999998</v>
      </c>
      <c r="T60" s="105">
        <f>'Hillpointe Detail'!T60+'Sandhill Detail'!T60</f>
        <v>1719.04</v>
      </c>
      <c r="U60" s="105">
        <f>'Hillpointe Detail'!U60+'Sandhill Detail'!U60</f>
        <v>1158.77</v>
      </c>
      <c r="V60" s="105">
        <f>'Hillpointe Detail'!V60+'Sandhill Detail'!V60</f>
        <v>1363.9199999999998</v>
      </c>
      <c r="W60" s="105">
        <f>'Hillpointe Detail'!W60+'Sandhill Detail'!W60</f>
        <v>1775.93</v>
      </c>
      <c r="X60" s="105">
        <f>'Hillpointe Detail'!X60+'Sandhill Detail'!X60</f>
        <v>1697.6000000000001</v>
      </c>
      <c r="Y60" s="105">
        <f>'Hillpointe Detail'!Y60+'Sandhill Detail'!Y60</f>
        <v>1097.28</v>
      </c>
      <c r="Z60" s="105">
        <f>'Hillpointe Detail'!Z60+'Sandhill Detail'!Z60</f>
        <v>-2461.92</v>
      </c>
      <c r="AA60" s="105">
        <f>'Hillpointe Detail'!AA60+'Sandhill Detail'!AA60</f>
        <v>1162.46</v>
      </c>
      <c r="AB60" s="105">
        <f>'Hillpointe Detail'!AB60+'Sandhill Detail'!AB60</f>
        <v>1650.4354332073167</v>
      </c>
      <c r="AC60" s="105">
        <f>'Hillpointe Detail'!AC60+'Sandhill Detail'!AC60</f>
        <v>0</v>
      </c>
      <c r="AD60" s="105">
        <f>'Hillpointe Detail'!AD60+'Sandhill Detail'!AD60</f>
        <v>700.52995712759503</v>
      </c>
      <c r="AE60" s="105">
        <f>'Hillpointe Detail'!AE60+'Sandhill Detail'!AE60</f>
        <v>544.94210367406743</v>
      </c>
      <c r="AF60" s="105">
        <f>'Hillpointe Detail'!AF60+'Sandhill Detail'!AF60</f>
        <v>380.67582384422366</v>
      </c>
      <c r="AG60" s="105">
        <f>'Hillpointe Detail'!AG60+'Sandhill Detail'!AG60</f>
        <v>278.79278631571151</v>
      </c>
      <c r="AH60" s="105">
        <f>'Hillpointe Detail'!AH60+'Sandhill Detail'!AH60</f>
        <v>662.93308853629662</v>
      </c>
      <c r="AI60" s="105">
        <f>'Hillpointe Detail'!AI60+'Sandhill Detail'!AI60</f>
        <v>602.6155989578873</v>
      </c>
      <c r="AJ60" s="105">
        <f>'Hillpointe Detail'!AJ60+'Sandhill Detail'!AJ60</f>
        <v>528.41489307596362</v>
      </c>
      <c r="AK60" s="105">
        <f>'Hillpointe Detail'!AK60+'Sandhill Detail'!AK60</f>
        <v>528.41489307596362</v>
      </c>
      <c r="AL60" s="105">
        <f>'Hillpointe Detail'!AL60+'Sandhill Detail'!AL60</f>
        <v>503.82702678287342</v>
      </c>
      <c r="AM60" s="105">
        <f>'Hillpointe Detail'!AM60+'Sandhill Detail'!AM60</f>
        <v>497.95344436984561</v>
      </c>
      <c r="AN60" s="105">
        <f>'Hillpointe Detail'!AN60+'Sandhill Detail'!AN60</f>
        <v>1029.4147803184405</v>
      </c>
      <c r="AO60" s="105">
        <f>'Hillpointe Detail'!AO60+'Sandhill Detail'!AO60</f>
        <v>0</v>
      </c>
      <c r="AP60" s="105">
        <f>'Hillpointe Detail'!AP60+'Sandhill Detail'!AP60</f>
        <v>572.60357262109642</v>
      </c>
      <c r="AQ60" s="105">
        <f>'Hillpointe Detail'!AQ60+'Sandhill Detail'!AQ60</f>
        <v>561.05132149375822</v>
      </c>
      <c r="AR60" s="105">
        <f>'Hillpointe Detail'!AR60+'Sandhill Detail'!AR60</f>
        <v>559.2620709130083</v>
      </c>
      <c r="AS60" s="105">
        <f>'Hillpointe Detail'!AS60+'Sandhill Detail'!AS60</f>
        <v>557.24755160583356</v>
      </c>
      <c r="AT60" s="105">
        <f>'Hillpointe Detail'!AT60+'Sandhill Detail'!AT60</f>
        <v>558.61761193782149</v>
      </c>
      <c r="AU60" s="105">
        <f>'Hillpointe Detail'!AU60+'Sandhill Detail'!AU60</f>
        <v>561.01456641521008</v>
      </c>
      <c r="AV60" s="105">
        <f>'Hillpointe Detail'!AV60+'Sandhill Detail'!AV60</f>
        <v>561.63278249778796</v>
      </c>
      <c r="AW60" s="105">
        <f>'Hillpointe Detail'!AW60+'Sandhill Detail'!AW60</f>
        <v>561.63278249778796</v>
      </c>
      <c r="AX60" s="105">
        <f>'Hillpointe Detail'!AX60+'Sandhill Detail'!AX60</f>
        <v>560.06552676588672</v>
      </c>
      <c r="AY60" s="105">
        <f>'Hillpointe Detail'!AY60+'Sandhill Detail'!AY60</f>
        <v>559.92469894761939</v>
      </c>
      <c r="AZ60" s="105">
        <f>'Hillpointe Detail'!AZ60+'Sandhill Detail'!AZ60</f>
        <v>1120.038720190842</v>
      </c>
      <c r="BA60" s="105">
        <f>'Hillpointe Detail'!BA60+'Sandhill Detail'!BA60</f>
        <v>0</v>
      </c>
      <c r="BB60" s="105">
        <f>'Hillpointe Detail'!BB60+'Sandhill Detail'!BB60</f>
        <v>592.49019012063764</v>
      </c>
      <c r="BC60" s="105">
        <f>'Hillpointe Detail'!BC60+'Sandhill Detail'!BC60</f>
        <v>592.43040094720254</v>
      </c>
      <c r="BD60" s="105">
        <f>'Hillpointe Detail'!BD60+'Sandhill Detail'!BD60</f>
        <v>592.27092270757123</v>
      </c>
      <c r="BE60" s="105">
        <f>'Hillpointe Detail'!BE60+'Sandhill Detail'!BE60</f>
        <v>592.09049905649545</v>
      </c>
      <c r="BF60" s="105">
        <f>'Hillpointe Detail'!BF60+'Sandhill Detail'!BF60</f>
        <v>592.11561036224316</v>
      </c>
      <c r="BG60" s="105">
        <f>'Hillpointe Detail'!BG60+'Sandhill Detail'!BG60</f>
        <v>592.16439740241367</v>
      </c>
      <c r="BH60" s="105">
        <f>'Hillpointe Detail'!BH60+'Sandhill Detail'!BH60</f>
        <v>592.26033676609404</v>
      </c>
      <c r="BI60" s="105">
        <f>'Hillpointe Detail'!BI60+'Sandhill Detail'!BI60</f>
        <v>592.26033676609393</v>
      </c>
      <c r="BJ60" s="105">
        <f>'Hillpointe Detail'!BJ60+'Sandhill Detail'!BJ60</f>
        <v>592.2275005725877</v>
      </c>
      <c r="BK60" s="105">
        <f>'Hillpointe Detail'!BK60+'Sandhill Detail'!BK60</f>
        <v>592.19851480478565</v>
      </c>
      <c r="BL60" s="105">
        <f>'Hillpointe Detail'!BL60+'Sandhill Detail'!BL60</f>
        <v>1184.3763416373467</v>
      </c>
      <c r="BM60" s="105">
        <f>'Hillpointe Detail'!BM60+'Sandhill Detail'!BM60</f>
        <v>0</v>
      </c>
      <c r="BN60" s="105">
        <f>'Hillpointe Detail'!BN60+'Sandhill Detail'!BN60</f>
        <v>609.97886439825743</v>
      </c>
      <c r="BO60" s="105">
        <f>'Hillpointe Detail'!BO60+'Sandhill Detail'!BO60</f>
        <v>609.98591063919207</v>
      </c>
      <c r="BP60" s="105">
        <f>'Hillpointe Detail'!BP60+'Sandhill Detail'!BP60</f>
        <v>609.97992817036993</v>
      </c>
      <c r="BQ60" s="105">
        <f>'Hillpointe Detail'!BQ60+'Sandhill Detail'!BQ60</f>
        <v>609.97312722555944</v>
      </c>
      <c r="BR60" s="105">
        <f>'Hillpointe Detail'!BR60+'Sandhill Detail'!BR60</f>
        <v>609.97014992721597</v>
      </c>
      <c r="BS60" s="105">
        <f>'Hillpointe Detail'!BS60+'Sandhill Detail'!BS60</f>
        <v>609.97094428781543</v>
      </c>
      <c r="BT60" s="105">
        <f>'Hillpointe Detail'!BT60+'Sandhill Detail'!BT60</f>
        <v>609.97648744140179</v>
      </c>
      <c r="BU60" s="105">
        <f>'Hillpointe Detail'!BU60+'Sandhill Detail'!BU60</f>
        <v>609.97648744140179</v>
      </c>
      <c r="BV60" s="105">
        <f>'Hillpointe Detail'!BV60+'Sandhill Detail'!BV60</f>
        <v>609.97614787613657</v>
      </c>
      <c r="BW60" s="105">
        <f>'Hillpointe Detail'!BW60+'Sandhill Detail'!BW60</f>
        <v>609.97475319570003</v>
      </c>
      <c r="BX60" s="105">
        <f>'Hillpointe Detail'!BX60+'Sandhill Detail'!BX60</f>
        <v>1219.948027827209</v>
      </c>
      <c r="BY60" s="8"/>
      <c r="BZ60" s="105">
        <f t="shared" si="51"/>
        <v>1162.46</v>
      </c>
      <c r="CA60" s="105">
        <f t="shared" si="52"/>
        <v>12832.920000000002</v>
      </c>
      <c r="CC60" s="105">
        <f t="shared" si="53"/>
        <v>10388.73</v>
      </c>
      <c r="CD60" s="105">
        <f t="shared" si="53"/>
        <v>13097.54</v>
      </c>
      <c r="CE60" s="105">
        <f t="shared" si="53"/>
        <v>30660.720000000005</v>
      </c>
      <c r="CF60" s="105">
        <f t="shared" si="53"/>
        <v>14483.355433207318</v>
      </c>
      <c r="CG60" s="105">
        <f t="shared" si="53"/>
        <v>6258.5143960788691</v>
      </c>
      <c r="CH60" s="105">
        <f t="shared" si="53"/>
        <v>6733.0912058866525</v>
      </c>
      <c r="CI60" s="105">
        <f t="shared" si="53"/>
        <v>7106.8850511434712</v>
      </c>
      <c r="CJ60" s="105">
        <f t="shared" si="53"/>
        <v>7319.7108284302594</v>
      </c>
      <c r="CL60" s="105"/>
      <c r="CM60" s="13"/>
    </row>
    <row r="61" spans="1:91" x14ac:dyDescent="0.3">
      <c r="A61" s="84" t="s">
        <v>25</v>
      </c>
      <c r="B61" s="10" t="s">
        <v>136</v>
      </c>
      <c r="C61" s="103">
        <v>7542.18</v>
      </c>
      <c r="D61" s="103">
        <v>7853.87</v>
      </c>
      <c r="E61" s="105">
        <f>'Hillpointe Detail'!E61+'Sandhill Detail'!E61</f>
        <v>0</v>
      </c>
      <c r="F61" s="105">
        <f>'Hillpointe Detail'!F61+'Sandhill Detail'!F61</f>
        <v>0</v>
      </c>
      <c r="G61" s="105">
        <f>'Hillpointe Detail'!G61+'Sandhill Detail'!G61</f>
        <v>89.4</v>
      </c>
      <c r="H61" s="105">
        <f>'Hillpointe Detail'!H61+'Sandhill Detail'!H61</f>
        <v>121.91</v>
      </c>
      <c r="I61" s="105">
        <f>'Hillpointe Detail'!I61+'Sandhill Detail'!I61</f>
        <v>0</v>
      </c>
      <c r="J61" s="105">
        <f>'Hillpointe Detail'!J61+'Sandhill Detail'!J61</f>
        <v>39.6</v>
      </c>
      <c r="K61" s="105">
        <f>'Hillpointe Detail'!K61+'Sandhill Detail'!K61</f>
        <v>14.219999999999999</v>
      </c>
      <c r="L61" s="105">
        <f>'Hillpointe Detail'!L61+'Sandhill Detail'!L61</f>
        <v>34.04</v>
      </c>
      <c r="M61" s="105">
        <f>'Hillpointe Detail'!M61+'Sandhill Detail'!M61</f>
        <v>84.17</v>
      </c>
      <c r="N61" s="105">
        <f>'Hillpointe Detail'!N61+'Sandhill Detail'!N61</f>
        <v>35.28</v>
      </c>
      <c r="O61" s="105">
        <f>'Hillpointe Detail'!O61+'Sandhill Detail'!O61</f>
        <v>168.93</v>
      </c>
      <c r="P61" s="105">
        <f>'Hillpointe Detail'!P61+'Sandhill Detail'!P61</f>
        <v>445.52</v>
      </c>
      <c r="Q61" s="105">
        <f>'Hillpointe Detail'!Q61+'Sandhill Detail'!Q61</f>
        <v>0</v>
      </c>
      <c r="R61" s="105">
        <f>'Hillpointe Detail'!R61+'Sandhill Detail'!R61</f>
        <v>434.23</v>
      </c>
      <c r="S61" s="105">
        <f>'Hillpointe Detail'!S61+'Sandhill Detail'!S61</f>
        <v>435.45</v>
      </c>
      <c r="T61" s="105">
        <f>'Hillpointe Detail'!T61+'Sandhill Detail'!T61</f>
        <v>241.09</v>
      </c>
      <c r="U61" s="105">
        <f>'Hillpointe Detail'!U61+'Sandhill Detail'!U61</f>
        <v>182.09</v>
      </c>
      <c r="V61" s="105">
        <f>'Hillpointe Detail'!V61+'Sandhill Detail'!V61</f>
        <v>347.33000000000004</v>
      </c>
      <c r="W61" s="105">
        <f>'Hillpointe Detail'!W61+'Sandhill Detail'!W61</f>
        <v>384.08</v>
      </c>
      <c r="X61" s="105">
        <f>'Hillpointe Detail'!X61+'Sandhill Detail'!X61</f>
        <v>407.39</v>
      </c>
      <c r="Y61" s="105">
        <f>'Hillpointe Detail'!Y61+'Sandhill Detail'!Y61</f>
        <v>312.52</v>
      </c>
      <c r="Z61" s="105">
        <f>'Hillpointe Detail'!Z61+'Sandhill Detail'!Z61</f>
        <v>344.63</v>
      </c>
      <c r="AA61" s="105">
        <f>'Hillpointe Detail'!AA61+'Sandhill Detail'!AA61</f>
        <v>428.36</v>
      </c>
      <c r="AB61" s="105">
        <f>'Hillpointe Detail'!AB61+'Sandhill Detail'!AB61</f>
        <v>704.95239280465398</v>
      </c>
      <c r="AC61" s="105">
        <f>'Hillpointe Detail'!AC61+'Sandhill Detail'!AC61</f>
        <v>0</v>
      </c>
      <c r="AD61" s="105">
        <f>'Hillpointe Detail'!AD61+'Sandhill Detail'!AD61</f>
        <v>366.49301637983001</v>
      </c>
      <c r="AE61" s="105">
        <f>'Hillpointe Detail'!AE61+'Sandhill Detail'!AE61</f>
        <v>362.0519091502095</v>
      </c>
      <c r="AF61" s="105">
        <f>'Hillpointe Detail'!AF61+'Sandhill Detail'!AF61</f>
        <v>355.44123621025904</v>
      </c>
      <c r="AG61" s="105">
        <f>'Hillpointe Detail'!AG61+'Sandhill Detail'!AG61</f>
        <v>356.64129235762169</v>
      </c>
      <c r="AH61" s="105">
        <f>'Hillpointe Detail'!AH61+'Sandhill Detail'!AH61</f>
        <v>356.36242645218641</v>
      </c>
      <c r="AI61" s="105">
        <f>'Hillpointe Detail'!AI61+'Sandhill Detail'!AI61</f>
        <v>357.42032476496587</v>
      </c>
      <c r="AJ61" s="105">
        <f>'Hillpointe Detail'!AJ61+'Sandhill Detail'!AJ61</f>
        <v>359.06836755251209</v>
      </c>
      <c r="AK61" s="105">
        <f>'Hillpointe Detail'!AK61+'Sandhill Detail'!AK61</f>
        <v>359.06836755251209</v>
      </c>
      <c r="AL61" s="105">
        <f>'Hillpointe Detail'!AL61+'Sandhill Detail'!AL61</f>
        <v>358.00770343432384</v>
      </c>
      <c r="AM61" s="105">
        <f>'Hillpointe Detail'!AM61+'Sandhill Detail'!AM61</f>
        <v>357.42995976062588</v>
      </c>
      <c r="AN61" s="105">
        <f>'Hillpointe Detail'!AN61+'Sandhill Detail'!AN61</f>
        <v>715.42812624992803</v>
      </c>
      <c r="AO61" s="105">
        <f>'Hillpointe Detail'!AO61+'Sandhill Detail'!AO61</f>
        <v>0</v>
      </c>
      <c r="AP61" s="105">
        <f>'Hillpointe Detail'!AP61+'Sandhill Detail'!AP61</f>
        <v>388.87189017530051</v>
      </c>
      <c r="AQ61" s="105">
        <f>'Hillpointe Detail'!AQ61+'Sandhill Detail'!AQ61</f>
        <v>388.96998333095951</v>
      </c>
      <c r="AR61" s="105">
        <f>'Hillpointe Detail'!AR61+'Sandhill Detail'!AR61</f>
        <v>388.83105065182315</v>
      </c>
      <c r="AS61" s="105">
        <f>'Hillpointe Detail'!AS61+'Sandhill Detail'!AS61</f>
        <v>388.67462943071467</v>
      </c>
      <c r="AT61" s="105">
        <f>'Hillpointe Detail'!AT61+'Sandhill Detail'!AT61</f>
        <v>388.65556124941418</v>
      </c>
      <c r="AU61" s="105">
        <f>'Hillpointe Detail'!AU61+'Sandhill Detail'!AU61</f>
        <v>388.71857776614365</v>
      </c>
      <c r="AV61" s="105">
        <f>'Hillpointe Detail'!AV61+'Sandhill Detail'!AV61</f>
        <v>388.78694876739263</v>
      </c>
      <c r="AW61" s="105">
        <f>'Hillpointe Detail'!AW61+'Sandhill Detail'!AW61</f>
        <v>388.78694876739263</v>
      </c>
      <c r="AX61" s="105">
        <f>'Hillpointe Detail'!AX61+'Sandhill Detail'!AX61</f>
        <v>388.77481428054864</v>
      </c>
      <c r="AY61" s="105">
        <f>'Hillpointe Detail'!AY61+'Sandhill Detail'!AY61</f>
        <v>388.74693298763282</v>
      </c>
      <c r="AZ61" s="105">
        <f>'Hillpointe Detail'!AZ61+'Sandhill Detail'!AZ61</f>
        <v>777.46983235692551</v>
      </c>
      <c r="BA61" s="105">
        <f>'Hillpointe Detail'!BA61+'Sandhill Detail'!BA61</f>
        <v>0</v>
      </c>
      <c r="BB61" s="105">
        <f>'Hillpointe Detail'!BB61+'Sandhill Detail'!BB61</f>
        <v>410.8606460933388</v>
      </c>
      <c r="BC61" s="105">
        <f>'Hillpointe Detail'!BC61+'Sandhill Detail'!BC61</f>
        <v>410.86608278581593</v>
      </c>
      <c r="BD61" s="105">
        <f>'Hillpointe Detail'!BD61+'Sandhill Detail'!BD61</f>
        <v>410.86208003246384</v>
      </c>
      <c r="BE61" s="105">
        <f>'Hillpointe Detail'!BE61+'Sandhill Detail'!BE61</f>
        <v>410.85755191352393</v>
      </c>
      <c r="BF61" s="105">
        <f>'Hillpointe Detail'!BF61+'Sandhill Detail'!BF61</f>
        <v>410.8542074776513</v>
      </c>
      <c r="BG61" s="105">
        <f>'Hillpointe Detail'!BG61+'Sandhill Detail'!BG61</f>
        <v>410.85447360131707</v>
      </c>
      <c r="BH61" s="105">
        <f>'Hillpointe Detail'!BH61+'Sandhill Detail'!BH61</f>
        <v>410.85917365068508</v>
      </c>
      <c r="BI61" s="105">
        <f>'Hillpointe Detail'!BI61+'Sandhill Detail'!BI61</f>
        <v>410.85917365068508</v>
      </c>
      <c r="BJ61" s="105">
        <f>'Hillpointe Detail'!BJ61+'Sandhill Detail'!BJ61</f>
        <v>410.85896330173455</v>
      </c>
      <c r="BK61" s="105">
        <f>'Hillpointe Detail'!BK61+'Sandhill Detail'!BK61</f>
        <v>410.8579462325801</v>
      </c>
      <c r="BL61" s="105">
        <f>'Hillpointe Detail'!BL61+'Sandhill Detail'!BL61</f>
        <v>821.71471137947901</v>
      </c>
      <c r="BM61" s="105">
        <f>'Hillpointe Detail'!BM61+'Sandhill Detail'!BM61</f>
        <v>0</v>
      </c>
      <c r="BN61" s="105">
        <f>'Hillpointe Detail'!BN61+'Sandhill Detail'!BN61</f>
        <v>423.1835107244251</v>
      </c>
      <c r="BO61" s="105">
        <f>'Hillpointe Detail'!BO61+'Sandhill Detail'!BO61</f>
        <v>423.18399478062264</v>
      </c>
      <c r="BP61" s="105">
        <f>'Hillpointe Detail'!BP61+'Sandhill Detail'!BP61</f>
        <v>423.18385964187144</v>
      </c>
      <c r="BQ61" s="105">
        <f>'Hillpointe Detail'!BQ61+'Sandhill Detail'!BQ61</f>
        <v>423.18370601446179</v>
      </c>
      <c r="BR61" s="105">
        <f>'Hillpointe Detail'!BR61+'Sandhill Detail'!BR61</f>
        <v>423.18356188716899</v>
      </c>
      <c r="BS61" s="105">
        <f>'Hillpointe Detail'!BS61+'Sandhill Detail'!BS61</f>
        <v>423.18354472179999</v>
      </c>
      <c r="BT61" s="105">
        <f>'Hillpointe Detail'!BT61+'Sandhill Detail'!BT61</f>
        <v>423.18369629505833</v>
      </c>
      <c r="BU61" s="105">
        <f>'Hillpointe Detail'!BU61+'Sandhill Detail'!BU61</f>
        <v>423.18369629505833</v>
      </c>
      <c r="BV61" s="105">
        <f>'Hillpointe Detail'!BV61+'Sandhill Detail'!BV61</f>
        <v>423.1837228051487</v>
      </c>
      <c r="BW61" s="105">
        <f>'Hillpointe Detail'!BW61+'Sandhill Detail'!BW61</f>
        <v>423.18368395150969</v>
      </c>
      <c r="BX61" s="105">
        <f>'Hillpointe Detail'!BX61+'Sandhill Detail'!BX61</f>
        <v>846.36731770577319</v>
      </c>
      <c r="BY61" s="8"/>
      <c r="BZ61" s="105">
        <f t="shared" si="51"/>
        <v>428.36</v>
      </c>
      <c r="CA61" s="105">
        <f t="shared" si="52"/>
        <v>3517.17</v>
      </c>
      <c r="CC61" s="105">
        <f t="shared" si="53"/>
        <v>7542.18</v>
      </c>
      <c r="CD61" s="105">
        <f t="shared" si="53"/>
        <v>7853.87</v>
      </c>
      <c r="CE61" s="105">
        <f t="shared" si="53"/>
        <v>1033.07</v>
      </c>
      <c r="CF61" s="105">
        <f t="shared" si="53"/>
        <v>4222.1223928046538</v>
      </c>
      <c r="CG61" s="105">
        <f t="shared" si="53"/>
        <v>4303.4127298649746</v>
      </c>
      <c r="CH61" s="105">
        <f t="shared" si="53"/>
        <v>4665.2871697642477</v>
      </c>
      <c r="CI61" s="105">
        <f t="shared" si="53"/>
        <v>4930.3050101192748</v>
      </c>
      <c r="CJ61" s="105">
        <f t="shared" si="53"/>
        <v>5078.2042948228982</v>
      </c>
      <c r="CL61" s="105"/>
      <c r="CM61" s="13"/>
    </row>
    <row r="62" spans="1:91" x14ac:dyDescent="0.3">
      <c r="A62" s="84" t="s">
        <v>26</v>
      </c>
      <c r="B62" s="10" t="s">
        <v>136</v>
      </c>
      <c r="C62" s="103">
        <v>13974.04</v>
      </c>
      <c r="D62" s="103">
        <v>507121.51</v>
      </c>
      <c r="E62" s="105">
        <f>'Hillpointe Detail'!E62+'Sandhill Detail'!E62</f>
        <v>-19038.34</v>
      </c>
      <c r="F62" s="105">
        <f>'Hillpointe Detail'!F62+'Sandhill Detail'!F62</f>
        <v>19038.34</v>
      </c>
      <c r="G62" s="105">
        <f>'Hillpointe Detail'!G62+'Sandhill Detail'!G62</f>
        <v>20393.89</v>
      </c>
      <c r="H62" s="105">
        <f>'Hillpointe Detail'!H62+'Sandhill Detail'!H62</f>
        <v>20403.8</v>
      </c>
      <c r="I62" s="105">
        <f>'Hillpointe Detail'!I62+'Sandhill Detail'!I62</f>
        <v>20423.3</v>
      </c>
      <c r="J62" s="105">
        <f>'Hillpointe Detail'!J62+'Sandhill Detail'!J62</f>
        <v>42029.11</v>
      </c>
      <c r="K62" s="105">
        <f>'Hillpointe Detail'!K62+'Sandhill Detail'!K62</f>
        <v>25186.800000000003</v>
      </c>
      <c r="L62" s="105">
        <f>'Hillpointe Detail'!L62+'Sandhill Detail'!L62</f>
        <v>26370.969999999994</v>
      </c>
      <c r="M62" s="105">
        <f>'Hillpointe Detail'!M62+'Sandhill Detail'!M62</f>
        <v>24597.669999999995</v>
      </c>
      <c r="N62" s="105">
        <f>'Hillpointe Detail'!N62+'Sandhill Detail'!N62</f>
        <v>20415.98</v>
      </c>
      <c r="O62" s="105">
        <f>'Hillpointe Detail'!O62+'Sandhill Detail'!O62</f>
        <v>25527.5</v>
      </c>
      <c r="P62" s="105">
        <f>'Hillpointe Detail'!P62+'Sandhill Detail'!P62</f>
        <v>58765.32</v>
      </c>
      <c r="Q62" s="105">
        <f>'Hillpointe Detail'!Q62+'Sandhill Detail'!Q62</f>
        <v>5397.34</v>
      </c>
      <c r="R62" s="105">
        <f>'Hillpointe Detail'!R62+'Sandhill Detail'!R62</f>
        <v>27234.199999999997</v>
      </c>
      <c r="S62" s="105">
        <f>'Hillpointe Detail'!S62+'Sandhill Detail'!S62</f>
        <v>25355.420000000002</v>
      </c>
      <c r="T62" s="105">
        <f>'Hillpointe Detail'!T62+'Sandhill Detail'!T62</f>
        <v>18162.579999999998</v>
      </c>
      <c r="U62" s="105">
        <f>'Hillpointe Detail'!U62+'Sandhill Detail'!U62</f>
        <v>18104.080000000002</v>
      </c>
      <c r="V62" s="105">
        <f>'Hillpointe Detail'!V62+'Sandhill Detail'!V62</f>
        <v>18140.64</v>
      </c>
      <c r="W62" s="105">
        <f>'Hillpointe Detail'!W62+'Sandhill Detail'!W62</f>
        <v>18169.89</v>
      </c>
      <c r="X62" s="105">
        <f>'Hillpointe Detail'!X62+'Sandhill Detail'!X62</f>
        <v>59657.65</v>
      </c>
      <c r="Y62" s="105">
        <f>'Hillpointe Detail'!Y62+'Sandhill Detail'!Y62</f>
        <v>-23383.68</v>
      </c>
      <c r="Z62" s="105">
        <f>'Hillpointe Detail'!Z62+'Sandhill Detail'!Z62</f>
        <v>88935.23000000001</v>
      </c>
      <c r="AA62" s="105">
        <f>'Hillpointe Detail'!AA62+'Sandhill Detail'!AA62</f>
        <v>26500.699999999997</v>
      </c>
      <c r="AB62" s="105">
        <f>'Hillpointe Detail'!AB62+'Sandhill Detail'!AB62</f>
        <v>40808.983736989278</v>
      </c>
      <c r="AC62" s="105">
        <f>'Hillpointe Detail'!AC62+'Sandhill Detail'!AC62</f>
        <v>0</v>
      </c>
      <c r="AD62" s="105">
        <f>'Hillpointe Detail'!AD62+'Sandhill Detail'!AD62</f>
        <v>20404.491868494639</v>
      </c>
      <c r="AE62" s="105">
        <f>'Hillpointe Detail'!AE62+'Sandhill Detail'!AE62</f>
        <v>20404.491868494639</v>
      </c>
      <c r="AF62" s="105">
        <f>'Hillpointe Detail'!AF62+'Sandhill Detail'!AF62</f>
        <v>20404.491868494639</v>
      </c>
      <c r="AG62" s="105">
        <f>'Hillpointe Detail'!AG62+'Sandhill Detail'!AG62</f>
        <v>20404.491868494639</v>
      </c>
      <c r="AH62" s="105">
        <f>'Hillpointe Detail'!AH62+'Sandhill Detail'!AH62</f>
        <v>20404.491868494639</v>
      </c>
      <c r="AI62" s="105">
        <f>'Hillpointe Detail'!AI62+'Sandhill Detail'!AI62</f>
        <v>20404.491868494639</v>
      </c>
      <c r="AJ62" s="105">
        <f>'Hillpointe Detail'!AJ62+'Sandhill Detail'!AJ62</f>
        <v>20404.491868494639</v>
      </c>
      <c r="AK62" s="105">
        <f>'Hillpointe Detail'!AK62+'Sandhill Detail'!AK62</f>
        <v>20404.491868494639</v>
      </c>
      <c r="AL62" s="105">
        <f>'Hillpointe Detail'!AL62+'Sandhill Detail'!AL62</f>
        <v>20404.491868494639</v>
      </c>
      <c r="AM62" s="105">
        <f>'Hillpointe Detail'!AM62+'Sandhill Detail'!AM62</f>
        <v>20404.491868494639</v>
      </c>
      <c r="AN62" s="105">
        <f>'Hillpointe Detail'!AN62+'Sandhill Detail'!AN62</f>
        <v>40808.983736989278</v>
      </c>
      <c r="AO62" s="105">
        <f>'Hillpointe Detail'!AO62+'Sandhill Detail'!AO62</f>
        <v>0</v>
      </c>
      <c r="AP62" s="105">
        <f>'Hillpointe Detail'!AP62+'Sandhill Detail'!AP62</f>
        <v>22160.321908862756</v>
      </c>
      <c r="AQ62" s="105">
        <f>'Hillpointe Detail'!AQ62+'Sandhill Detail'!AQ62</f>
        <v>22160.321908862759</v>
      </c>
      <c r="AR62" s="105">
        <f>'Hillpointe Detail'!AR62+'Sandhill Detail'!AR62</f>
        <v>22160.321908862756</v>
      </c>
      <c r="AS62" s="105">
        <f>'Hillpointe Detail'!AS62+'Sandhill Detail'!AS62</f>
        <v>22160.321908862756</v>
      </c>
      <c r="AT62" s="105">
        <f>'Hillpointe Detail'!AT62+'Sandhill Detail'!AT62</f>
        <v>22160.321908862756</v>
      </c>
      <c r="AU62" s="105">
        <f>'Hillpointe Detail'!AU62+'Sandhill Detail'!AU62</f>
        <v>22160.321908862759</v>
      </c>
      <c r="AV62" s="105">
        <f>'Hillpointe Detail'!AV62+'Sandhill Detail'!AV62</f>
        <v>22160.321908862759</v>
      </c>
      <c r="AW62" s="105">
        <f>'Hillpointe Detail'!AW62+'Sandhill Detail'!AW62</f>
        <v>22160.321908862759</v>
      </c>
      <c r="AX62" s="105">
        <f>'Hillpointe Detail'!AX62+'Sandhill Detail'!AX62</f>
        <v>22160.321908862759</v>
      </c>
      <c r="AY62" s="105">
        <f>'Hillpointe Detail'!AY62+'Sandhill Detail'!AY62</f>
        <v>22160.321908862756</v>
      </c>
      <c r="AZ62" s="105">
        <f>'Hillpointe Detail'!AZ62+'Sandhill Detail'!AZ62</f>
        <v>44320.643817725519</v>
      </c>
      <c r="BA62" s="105">
        <f>'Hillpointe Detail'!BA62+'Sandhill Detail'!BA62</f>
        <v>0</v>
      </c>
      <c r="BB62" s="105">
        <f>'Hillpointe Detail'!BB62+'Sandhill Detail'!BB62</f>
        <v>23420.427904779594</v>
      </c>
      <c r="BC62" s="105">
        <f>'Hillpointe Detail'!BC62+'Sandhill Detail'!BC62</f>
        <v>23420.427904779594</v>
      </c>
      <c r="BD62" s="105">
        <f>'Hillpointe Detail'!BD62+'Sandhill Detail'!BD62</f>
        <v>23420.427904779594</v>
      </c>
      <c r="BE62" s="105">
        <f>'Hillpointe Detail'!BE62+'Sandhill Detail'!BE62</f>
        <v>23420.427904779597</v>
      </c>
      <c r="BF62" s="105">
        <f>'Hillpointe Detail'!BF62+'Sandhill Detail'!BF62</f>
        <v>23420.427904779597</v>
      </c>
      <c r="BG62" s="105">
        <f>'Hillpointe Detail'!BG62+'Sandhill Detail'!BG62</f>
        <v>23420.427904779594</v>
      </c>
      <c r="BH62" s="105">
        <f>'Hillpointe Detail'!BH62+'Sandhill Detail'!BH62</f>
        <v>23420.427904779594</v>
      </c>
      <c r="BI62" s="105">
        <f>'Hillpointe Detail'!BI62+'Sandhill Detail'!BI62</f>
        <v>23420.427904779597</v>
      </c>
      <c r="BJ62" s="105">
        <f>'Hillpointe Detail'!BJ62+'Sandhill Detail'!BJ62</f>
        <v>23420.427904779597</v>
      </c>
      <c r="BK62" s="105">
        <f>'Hillpointe Detail'!BK62+'Sandhill Detail'!BK62</f>
        <v>23420.427904779597</v>
      </c>
      <c r="BL62" s="105">
        <f>'Hillpointe Detail'!BL62+'Sandhill Detail'!BL62</f>
        <v>46840.855809559194</v>
      </c>
      <c r="BM62" s="105">
        <f>'Hillpointe Detail'!BM62+'Sandhill Detail'!BM62</f>
        <v>0</v>
      </c>
      <c r="BN62" s="105">
        <f>'Hillpointe Detail'!BN62+'Sandhill Detail'!BN62</f>
        <v>24123.040741922981</v>
      </c>
      <c r="BO62" s="105">
        <f>'Hillpointe Detail'!BO62+'Sandhill Detail'!BO62</f>
        <v>24123.040741922981</v>
      </c>
      <c r="BP62" s="105">
        <f>'Hillpointe Detail'!BP62+'Sandhill Detail'!BP62</f>
        <v>24123.040741922989</v>
      </c>
      <c r="BQ62" s="105">
        <f>'Hillpointe Detail'!BQ62+'Sandhill Detail'!BQ62</f>
        <v>24123.040741922985</v>
      </c>
      <c r="BR62" s="105">
        <f>'Hillpointe Detail'!BR62+'Sandhill Detail'!BR62</f>
        <v>24123.040741922989</v>
      </c>
      <c r="BS62" s="105">
        <f>'Hillpointe Detail'!BS62+'Sandhill Detail'!BS62</f>
        <v>24123.040741922989</v>
      </c>
      <c r="BT62" s="105">
        <f>'Hillpointe Detail'!BT62+'Sandhill Detail'!BT62</f>
        <v>24123.040741922989</v>
      </c>
      <c r="BU62" s="105">
        <f>'Hillpointe Detail'!BU62+'Sandhill Detail'!BU62</f>
        <v>24123.040741922989</v>
      </c>
      <c r="BV62" s="105">
        <f>'Hillpointe Detail'!BV62+'Sandhill Detail'!BV62</f>
        <v>24123.040741922989</v>
      </c>
      <c r="BW62" s="105">
        <f>'Hillpointe Detail'!BW62+'Sandhill Detail'!BW62</f>
        <v>24123.040741922992</v>
      </c>
      <c r="BX62" s="105">
        <f>'Hillpointe Detail'!BX62+'Sandhill Detail'!BX62</f>
        <v>48246.081483845985</v>
      </c>
      <c r="BY62" s="8"/>
      <c r="BZ62" s="105">
        <f t="shared" si="51"/>
        <v>26500.699999999997</v>
      </c>
      <c r="CA62" s="105">
        <f t="shared" si="52"/>
        <v>282274.05</v>
      </c>
      <c r="CC62" s="105">
        <f t="shared" si="53"/>
        <v>13974.04</v>
      </c>
      <c r="CD62" s="105">
        <f t="shared" si="53"/>
        <v>507121.51</v>
      </c>
      <c r="CE62" s="105">
        <f t="shared" si="53"/>
        <v>284114.33999999997</v>
      </c>
      <c r="CF62" s="105">
        <f t="shared" si="53"/>
        <v>323083.03373698925</v>
      </c>
      <c r="CG62" s="105">
        <f t="shared" si="53"/>
        <v>244853.90242193564</v>
      </c>
      <c r="CH62" s="105">
        <f t="shared" si="53"/>
        <v>265923.86290635314</v>
      </c>
      <c r="CI62" s="105">
        <f t="shared" si="53"/>
        <v>281045.13485735509</v>
      </c>
      <c r="CJ62" s="105">
        <f t="shared" si="53"/>
        <v>289476.48890307581</v>
      </c>
      <c r="CL62" s="105"/>
      <c r="CM62" s="13"/>
    </row>
    <row r="63" spans="1:91" x14ac:dyDescent="0.3">
      <c r="A63" s="84" t="s">
        <v>27</v>
      </c>
      <c r="B63" s="10" t="s">
        <v>136</v>
      </c>
      <c r="C63" s="103">
        <v>195293.42</v>
      </c>
      <c r="D63" s="103">
        <v>15436.73</v>
      </c>
      <c r="E63" s="105">
        <f>'Hillpointe Detail'!E63+'Sandhill Detail'!E63</f>
        <v>-2862.12</v>
      </c>
      <c r="F63" s="105">
        <f>'Hillpointe Detail'!F63+'Sandhill Detail'!F63</f>
        <v>0</v>
      </c>
      <c r="G63" s="105">
        <f>'Hillpointe Detail'!G63+'Sandhill Detail'!G63</f>
        <v>0</v>
      </c>
      <c r="H63" s="105">
        <f>'Hillpointe Detail'!H63+'Sandhill Detail'!H63</f>
        <v>0</v>
      </c>
      <c r="I63" s="105">
        <f>'Hillpointe Detail'!I63+'Sandhill Detail'!I63</f>
        <v>0</v>
      </c>
      <c r="J63" s="105">
        <f>'Hillpointe Detail'!J63+'Sandhill Detail'!J63</f>
        <v>0</v>
      </c>
      <c r="K63" s="105">
        <f>'Hillpointe Detail'!K63+'Sandhill Detail'!K63</f>
        <v>0</v>
      </c>
      <c r="L63" s="105">
        <f>'Hillpointe Detail'!L63+'Sandhill Detail'!L63</f>
        <v>0</v>
      </c>
      <c r="M63" s="105">
        <f>'Hillpointe Detail'!M63+'Sandhill Detail'!M63</f>
        <v>2862.12</v>
      </c>
      <c r="N63" s="105">
        <f>'Hillpointe Detail'!N63+'Sandhill Detail'!N63</f>
        <v>0</v>
      </c>
      <c r="O63" s="105">
        <f>'Hillpointe Detail'!O63+'Sandhill Detail'!O63</f>
        <v>134.20000000000002</v>
      </c>
      <c r="P63" s="105">
        <f>'Hillpointe Detail'!P63+'Sandhill Detail'!P63</f>
        <v>654.23</v>
      </c>
      <c r="Q63" s="105">
        <f>'Hillpointe Detail'!Q63+'Sandhill Detail'!Q63</f>
        <v>0</v>
      </c>
      <c r="R63" s="105">
        <f>'Hillpointe Detail'!R63+'Sandhill Detail'!R63</f>
        <v>241.46</v>
      </c>
      <c r="S63" s="105">
        <f>'Hillpointe Detail'!S63+'Sandhill Detail'!S63</f>
        <v>241.46</v>
      </c>
      <c r="T63" s="105">
        <f>'Hillpointe Detail'!T63+'Sandhill Detail'!T63</f>
        <v>249.07999999999998</v>
      </c>
      <c r="U63" s="105">
        <f>'Hillpointe Detail'!U63+'Sandhill Detail'!U63</f>
        <v>241.46</v>
      </c>
      <c r="V63" s="105">
        <f>'Hillpointe Detail'!V63+'Sandhill Detail'!V63</f>
        <v>249.07999999999998</v>
      </c>
      <c r="W63" s="105">
        <f>'Hillpointe Detail'!W63+'Sandhill Detail'!W63</f>
        <v>241.46</v>
      </c>
      <c r="X63" s="105">
        <f>'Hillpointe Detail'!X63+'Sandhill Detail'!X63</f>
        <v>256.70999999999998</v>
      </c>
      <c r="Y63" s="105">
        <f>'Hillpointe Detail'!Y63+'Sandhill Detail'!Y63</f>
        <v>256.70999999999998</v>
      </c>
      <c r="Z63" s="105">
        <f>'Hillpointe Detail'!Z63+'Sandhill Detail'!Z63</f>
        <v>256.70999999999998</v>
      </c>
      <c r="AA63" s="105">
        <f>'Hillpointe Detail'!AA63+'Sandhill Detail'!AA63</f>
        <v>1274.48</v>
      </c>
      <c r="AB63" s="105">
        <f>'Hillpointe Detail'!AB63+'Sandhill Detail'!AB63</f>
        <v>813.40502966721681</v>
      </c>
      <c r="AC63" s="105">
        <f>'Hillpointe Detail'!AC63+'Sandhill Detail'!AC63</f>
        <v>0</v>
      </c>
      <c r="AD63" s="105">
        <f>'Hillpointe Detail'!AD63+'Sandhill Detail'!AD63</f>
        <v>439.95573082551243</v>
      </c>
      <c r="AE63" s="105">
        <f>'Hillpointe Detail'!AE63+'Sandhill Detail'!AE63</f>
        <v>465.63017832316098</v>
      </c>
      <c r="AF63" s="105">
        <f>'Hillpointe Detail'!AF63+'Sandhill Detail'!AF63</f>
        <v>494.83526366849298</v>
      </c>
      <c r="AG63" s="105">
        <f>'Hillpointe Detail'!AG63+'Sandhill Detail'!AG63</f>
        <v>521.33671565031216</v>
      </c>
      <c r="AH63" s="105">
        <f>'Hillpointe Detail'!AH63+'Sandhill Detail'!AH63</f>
        <v>555.13577026004839</v>
      </c>
      <c r="AI63" s="105">
        <f>'Hillpointe Detail'!AI63+'Sandhill Detail'!AI63</f>
        <v>470.04266977067772</v>
      </c>
      <c r="AJ63" s="105">
        <f>'Hillpointe Detail'!AJ63+'Sandhill Detail'!AJ63</f>
        <v>491.15605474970084</v>
      </c>
      <c r="AK63" s="105">
        <f>'Hillpointe Detail'!AK63+'Sandhill Detail'!AK63</f>
        <v>491.1560547497009</v>
      </c>
      <c r="AL63" s="105">
        <f>'Hillpointe Detail'!AL63+'Sandhill Detail'!AL63</f>
        <v>498.47038673887056</v>
      </c>
      <c r="AM63" s="105">
        <f>'Hillpointe Detail'!AM63+'Sandhill Detail'!AM63</f>
        <v>503.16184508397197</v>
      </c>
      <c r="AN63" s="105">
        <f>'Hillpointe Detail'!AN63+'Sandhill Detail'!AN63</f>
        <v>1008.7027134295092</v>
      </c>
      <c r="AO63" s="105">
        <f>'Hillpointe Detail'!AO63+'Sandhill Detail'!AO63</f>
        <v>0</v>
      </c>
      <c r="AP63" s="105">
        <f>'Hillpointe Detail'!AP63+'Sandhill Detail'!AP63</f>
        <v>537.23666760319009</v>
      </c>
      <c r="AQ63" s="105">
        <f>'Hillpointe Detail'!AQ63+'Sandhill Detail'!AQ63</f>
        <v>541.01082407414799</v>
      </c>
      <c r="AR63" s="105">
        <f>'Hillpointe Detail'!AR63+'Sandhill Detail'!AR63</f>
        <v>542.06900065751938</v>
      </c>
      <c r="AS63" s="105">
        <f>'Hillpointe Detail'!AS63+'Sandhill Detail'!AS63</f>
        <v>543.26039286101172</v>
      </c>
      <c r="AT63" s="105">
        <f>'Hillpointe Detail'!AT63+'Sandhill Detail'!AT63</f>
        <v>543.51864402585102</v>
      </c>
      <c r="AU63" s="105">
        <f>'Hillpointe Detail'!AU63+'Sandhill Detail'!AU63</f>
        <v>543.12308867902482</v>
      </c>
      <c r="AV63" s="105">
        <f>'Hillpointe Detail'!AV63+'Sandhill Detail'!AV63</f>
        <v>541.70310298345748</v>
      </c>
      <c r="AW63" s="105">
        <f>'Hillpointe Detail'!AW63+'Sandhill Detail'!AW63</f>
        <v>541.70310298345748</v>
      </c>
      <c r="AX63" s="105">
        <f>'Hillpointe Detail'!AX63+'Sandhill Detail'!AX63</f>
        <v>542.34116518063854</v>
      </c>
      <c r="AY63" s="105">
        <f>'Hillpointe Detail'!AY63+'Sandhill Detail'!AY63</f>
        <v>542.53121391013724</v>
      </c>
      <c r="AZ63" s="105">
        <f>'Hillpointe Detail'!AZ63+'Sandhill Detail'!AZ63</f>
        <v>1085.1944887495938</v>
      </c>
      <c r="BA63" s="105">
        <f>'Hillpointe Detail'!BA63+'Sandhill Detail'!BA63</f>
        <v>0</v>
      </c>
      <c r="BB63" s="105">
        <f>'Hillpointe Detail'!BB63+'Sandhill Detail'!BB63</f>
        <v>573.21433456215811</v>
      </c>
      <c r="BC63" s="105">
        <f>'Hillpointe Detail'!BC63+'Sandhill Detail'!BC63</f>
        <v>573.10162627329578</v>
      </c>
      <c r="BD63" s="105">
        <f>'Hillpointe Detail'!BD63+'Sandhill Detail'!BD63</f>
        <v>573.18499239243374</v>
      </c>
      <c r="BE63" s="105">
        <f>'Hillpointe Detail'!BE63+'Sandhill Detail'!BE63</f>
        <v>573.27930343337289</v>
      </c>
      <c r="BF63" s="105">
        <f>'Hillpointe Detail'!BF63+'Sandhill Detail'!BF63</f>
        <v>573.29264995376468</v>
      </c>
      <c r="BG63" s="105">
        <f>'Hillpointe Detail'!BG63+'Sandhill Detail'!BG63</f>
        <v>573.28015922183022</v>
      </c>
      <c r="BH63" s="105">
        <f>'Hillpointe Detail'!BH63+'Sandhill Detail'!BH63</f>
        <v>573.22551097280927</v>
      </c>
      <c r="BI63" s="105">
        <f>'Hillpointe Detail'!BI63+'Sandhill Detail'!BI63</f>
        <v>573.22551097280927</v>
      </c>
      <c r="BJ63" s="105">
        <f>'Hillpointe Detail'!BJ63+'Sandhill Detail'!BJ63</f>
        <v>573.22710760290227</v>
      </c>
      <c r="BK63" s="105">
        <f>'Hillpointe Detail'!BK63+'Sandhill Detail'!BK63</f>
        <v>573.24503350713178</v>
      </c>
      <c r="BL63" s="105">
        <f>'Hillpointe Detail'!BL63+'Sandhill Detail'!BL63</f>
        <v>1146.5072216184628</v>
      </c>
      <c r="BM63" s="105">
        <f>'Hillpointe Detail'!BM63+'Sandhill Detail'!BM63</f>
        <v>0</v>
      </c>
      <c r="BN63" s="105">
        <f>'Hillpointe Detail'!BN63+'Sandhill Detail'!BN63</f>
        <v>590.44169431611772</v>
      </c>
      <c r="BO63" s="105">
        <f>'Hillpointe Detail'!BO63+'Sandhill Detail'!BO63</f>
        <v>590.43644969558193</v>
      </c>
      <c r="BP63" s="105">
        <f>'Hillpointe Detail'!BP63+'Sandhill Detail'!BP63</f>
        <v>590.43845725841311</v>
      </c>
      <c r="BQ63" s="105">
        <f>'Hillpointe Detail'!BQ63+'Sandhill Detail'!BQ63</f>
        <v>590.4407394807572</v>
      </c>
      <c r="BR63" s="105">
        <f>'Hillpointe Detail'!BR63+'Sandhill Detail'!BR63</f>
        <v>590.44310165066838</v>
      </c>
      <c r="BS63" s="105">
        <f>'Hillpointe Detail'!BS63+'Sandhill Detail'!BS63</f>
        <v>590.44320194973443</v>
      </c>
      <c r="BT63" s="105">
        <f>'Hillpointe Detail'!BT63+'Sandhill Detail'!BT63</f>
        <v>590.44060739187876</v>
      </c>
      <c r="BU63" s="105">
        <f>'Hillpointe Detail'!BU63+'Sandhill Detail'!BU63</f>
        <v>590.44060739187876</v>
      </c>
      <c r="BV63" s="105">
        <f>'Hillpointe Detail'!BV63+'Sandhill Detail'!BV63</f>
        <v>590.44045211698756</v>
      </c>
      <c r="BW63" s="105">
        <f>'Hillpointe Detail'!BW63+'Sandhill Detail'!BW63</f>
        <v>590.44102389147406</v>
      </c>
      <c r="BX63" s="105">
        <f>'Hillpointe Detail'!BX63+'Sandhill Detail'!BX63</f>
        <v>1180.8827811066797</v>
      </c>
      <c r="BY63" s="8"/>
      <c r="BZ63" s="105">
        <f t="shared" si="51"/>
        <v>1274.48</v>
      </c>
      <c r="CA63" s="105">
        <f t="shared" si="52"/>
        <v>3508.61</v>
      </c>
      <c r="CC63" s="105">
        <f t="shared" si="53"/>
        <v>195293.42</v>
      </c>
      <c r="CD63" s="105">
        <f t="shared" si="53"/>
        <v>15436.73</v>
      </c>
      <c r="CE63" s="105">
        <f t="shared" si="53"/>
        <v>788.43000000000006</v>
      </c>
      <c r="CF63" s="105">
        <f t="shared" si="53"/>
        <v>4322.0150296672173</v>
      </c>
      <c r="CG63" s="105">
        <f t="shared" si="53"/>
        <v>5939.5833832499593</v>
      </c>
      <c r="CH63" s="105">
        <f t="shared" si="53"/>
        <v>6503.6916917080289</v>
      </c>
      <c r="CI63" s="105">
        <f t="shared" si="53"/>
        <v>6878.7834505109704</v>
      </c>
      <c r="CJ63" s="105">
        <f t="shared" si="53"/>
        <v>7085.289116250171</v>
      </c>
      <c r="CL63" s="105"/>
      <c r="CM63" s="13"/>
    </row>
    <row r="64" spans="1:91" x14ac:dyDescent="0.3">
      <c r="A64" s="84" t="s">
        <v>28</v>
      </c>
      <c r="B64" s="10" t="s">
        <v>136</v>
      </c>
      <c r="C64" s="103">
        <v>0</v>
      </c>
      <c r="D64" s="103">
        <v>7038.72</v>
      </c>
      <c r="E64" s="105">
        <f>'Hillpointe Detail'!E64+'Sandhill Detail'!E64</f>
        <v>-1268.56</v>
      </c>
      <c r="F64" s="105">
        <f>'Hillpointe Detail'!F64+'Sandhill Detail'!F64</f>
        <v>1276.67</v>
      </c>
      <c r="G64" s="105">
        <f>'Hillpointe Detail'!G64+'Sandhill Detail'!G64</f>
        <v>962.86</v>
      </c>
      <c r="H64" s="105">
        <f>'Hillpointe Detail'!H64+'Sandhill Detail'!H64</f>
        <v>788.33999999999992</v>
      </c>
      <c r="I64" s="105">
        <f>'Hillpointe Detail'!I64+'Sandhill Detail'!I64</f>
        <v>716.06</v>
      </c>
      <c r="J64" s="105">
        <f>'Hillpointe Detail'!J64+'Sandhill Detail'!J64</f>
        <v>587.76</v>
      </c>
      <c r="K64" s="105">
        <f>'Hillpointe Detail'!K64+'Sandhill Detail'!K64</f>
        <v>1672.1399999999999</v>
      </c>
      <c r="L64" s="105">
        <f>'Hillpointe Detail'!L64+'Sandhill Detail'!L64</f>
        <v>1685.4499999999998</v>
      </c>
      <c r="M64" s="105">
        <f>'Hillpointe Detail'!M64+'Sandhill Detail'!M64</f>
        <v>1406.21</v>
      </c>
      <c r="N64" s="105">
        <f>'Hillpointe Detail'!N64+'Sandhill Detail'!N64</f>
        <v>1395.35</v>
      </c>
      <c r="O64" s="105">
        <f>'Hillpointe Detail'!O64+'Sandhill Detail'!O64</f>
        <v>1416.34</v>
      </c>
      <c r="P64" s="105">
        <f>'Hillpointe Detail'!P64+'Sandhill Detail'!P64</f>
        <v>3085.81</v>
      </c>
      <c r="Q64" s="105">
        <f>'Hillpointe Detail'!Q64+'Sandhill Detail'!Q64</f>
        <v>0</v>
      </c>
      <c r="R64" s="105">
        <f>'Hillpointe Detail'!R64+'Sandhill Detail'!R64</f>
        <v>934.08</v>
      </c>
      <c r="S64" s="105">
        <f>'Hillpointe Detail'!S64+'Sandhill Detail'!S64</f>
        <v>575.25</v>
      </c>
      <c r="T64" s="105">
        <f>'Hillpointe Detail'!T64+'Sandhill Detail'!T64</f>
        <v>417.97999999999996</v>
      </c>
      <c r="U64" s="105">
        <f>'Hillpointe Detail'!U64+'Sandhill Detail'!U64</f>
        <v>342.33</v>
      </c>
      <c r="V64" s="105">
        <f>'Hillpointe Detail'!V64+'Sandhill Detail'!V64</f>
        <v>380.66</v>
      </c>
      <c r="W64" s="105">
        <f>'Hillpointe Detail'!W64+'Sandhill Detail'!W64</f>
        <v>1336.9499999999998</v>
      </c>
      <c r="X64" s="105">
        <f>'Hillpointe Detail'!X64+'Sandhill Detail'!X64</f>
        <v>1373.95</v>
      </c>
      <c r="Y64" s="105">
        <f>'Hillpointe Detail'!Y64+'Sandhill Detail'!Y64</f>
        <v>1353.0900000000001</v>
      </c>
      <c r="Z64" s="105">
        <f>'Hillpointe Detail'!Z64+'Sandhill Detail'!Z64</f>
        <v>1346.79</v>
      </c>
      <c r="AA64" s="105">
        <f>'Hillpointe Detail'!AA64+'Sandhill Detail'!AA64</f>
        <v>1551.28</v>
      </c>
      <c r="AB64" s="105">
        <f>'Hillpointe Detail'!AB64+'Sandhill Detail'!AB64</f>
        <v>2189.0906562556479</v>
      </c>
      <c r="AC64" s="105">
        <f>'Hillpointe Detail'!AC64+'Sandhill Detail'!AC64</f>
        <v>0</v>
      </c>
      <c r="AD64" s="105">
        <f>'Hillpointe Detail'!AD64+'Sandhill Detail'!AD64</f>
        <v>1302.5060242657653</v>
      </c>
      <c r="AE64" s="105">
        <f>'Hillpointe Detail'!AE64+'Sandhill Detail'!AE64</f>
        <v>1291.6223448506018</v>
      </c>
      <c r="AF64" s="105">
        <f>'Hillpointe Detail'!AF64+'Sandhill Detail'!AF64</f>
        <v>1276.7325893409497</v>
      </c>
      <c r="AG64" s="105">
        <f>'Hillpointe Detail'!AG64+'Sandhill Detail'!AG64</f>
        <v>1263.1644082545636</v>
      </c>
      <c r="AH64" s="105">
        <f>'Hillpointe Detail'!AH64+'Sandhill Detail'!AH64</f>
        <v>1246.997698627448</v>
      </c>
      <c r="AI64" s="105">
        <f>'Hillpointe Detail'!AI64+'Sandhill Detail'!AI64</f>
        <v>1224.3019602278537</v>
      </c>
      <c r="AJ64" s="105">
        <f>'Hillpointe Detail'!AJ64+'Sandhill Detail'!AJ64</f>
        <v>1267.5541709278639</v>
      </c>
      <c r="AK64" s="105">
        <f>'Hillpointe Detail'!AK64+'Sandhill Detail'!AK64</f>
        <v>1267.5541709278637</v>
      </c>
      <c r="AL64" s="105">
        <f>'Hillpointe Detail'!AL64+'Sandhill Detail'!AL64</f>
        <v>1262.561049022449</v>
      </c>
      <c r="AM64" s="105">
        <f>'Hillpointe Detail'!AM64+'Sandhill Detail'!AM64</f>
        <v>1258.409435332713</v>
      </c>
      <c r="AN64" s="105">
        <f>'Hillpointe Detail'!AN64+'Sandhill Detail'!AN64</f>
        <v>2511.5836838059299</v>
      </c>
      <c r="AO64" s="105">
        <f>'Hillpointe Detail'!AO64+'Sandhill Detail'!AO64</f>
        <v>0</v>
      </c>
      <c r="AP64" s="105">
        <f>'Hillpointe Detail'!AP64+'Sandhill Detail'!AP64</f>
        <v>1364.0748006293325</v>
      </c>
      <c r="AQ64" s="105">
        <f>'Hillpointe Detail'!AQ64+'Sandhill Detail'!AQ64</f>
        <v>1368.9317814746069</v>
      </c>
      <c r="AR64" s="105">
        <f>'Hillpointe Detail'!AR64+'Sandhill Detail'!AR64</f>
        <v>1367.8587973196331</v>
      </c>
      <c r="AS64" s="105">
        <f>'Hillpointe Detail'!AS64+'Sandhill Detail'!AS64</f>
        <v>1366.650761965745</v>
      </c>
      <c r="AT64" s="105">
        <f>'Hillpointe Detail'!AT64+'Sandhill Detail'!AT64</f>
        <v>1366.030637384021</v>
      </c>
      <c r="AU64" s="105">
        <f>'Hillpointe Detail'!AU64+'Sandhill Detail'!AU64</f>
        <v>1365.940933712702</v>
      </c>
      <c r="AV64" s="105">
        <f>'Hillpointe Detail'!AV64+'Sandhill Detail'!AV64</f>
        <v>1366.5812854143398</v>
      </c>
      <c r="AW64" s="105">
        <f>'Hillpointe Detail'!AW64+'Sandhill Detail'!AW64</f>
        <v>1366.5812854143398</v>
      </c>
      <c r="AX64" s="105">
        <f>'Hillpointe Detail'!AX64+'Sandhill Detail'!AX64</f>
        <v>1366.9393546693409</v>
      </c>
      <c r="AY64" s="105">
        <f>'Hillpointe Detail'!AY64+'Sandhill Detail'!AY64</f>
        <v>1366.6547222685886</v>
      </c>
      <c r="AZ64" s="105">
        <f>'Hillpointe Detail'!AZ64+'Sandhill Detail'!AZ64</f>
        <v>2732.9654230940218</v>
      </c>
      <c r="BA64" s="105">
        <f>'Hillpointe Detail'!BA64+'Sandhill Detail'!BA64</f>
        <v>0</v>
      </c>
      <c r="BB64" s="105">
        <f>'Hillpointe Detail'!BB64+'Sandhill Detail'!BB64</f>
        <v>1444.22795042299</v>
      </c>
      <c r="BC64" s="105">
        <f>'Hillpointe Detail'!BC64+'Sandhill Detail'!BC64</f>
        <v>1444.3152059529275</v>
      </c>
      <c r="BD64" s="105">
        <f>'Hillpointe Detail'!BD64+'Sandhill Detail'!BD64</f>
        <v>1444.3188337268225</v>
      </c>
      <c r="BE64" s="105">
        <f>'Hillpointe Detail'!BE64+'Sandhill Detail'!BE64</f>
        <v>1444.3229421106464</v>
      </c>
      <c r="BF64" s="105">
        <f>'Hillpointe Detail'!BF64+'Sandhill Detail'!BF64</f>
        <v>1444.2752602488181</v>
      </c>
      <c r="BG64" s="105">
        <f>'Hillpointe Detail'!BG64+'Sandhill Detail'!BG64</f>
        <v>1444.2626845092886</v>
      </c>
      <c r="BH64" s="105">
        <f>'Hillpointe Detail'!BH64+'Sandhill Detail'!BH64</f>
        <v>1444.2871461619159</v>
      </c>
      <c r="BI64" s="105">
        <f>'Hillpointe Detail'!BI64+'Sandhill Detail'!BI64</f>
        <v>1444.2871461619159</v>
      </c>
      <c r="BJ64" s="105">
        <f>'Hillpointe Detail'!BJ64+'Sandhill Detail'!BJ64</f>
        <v>1444.295602696048</v>
      </c>
      <c r="BK64" s="105">
        <f>'Hillpointe Detail'!BK64+'Sandhill Detail'!BK64</f>
        <v>1444.2928022307792</v>
      </c>
      <c r="BL64" s="105">
        <f>'Hillpointe Detail'!BL64+'Sandhill Detail'!BL64</f>
        <v>2888.5781668912609</v>
      </c>
      <c r="BM64" s="105">
        <f>'Hillpointe Detail'!BM64+'Sandhill Detail'!BM64</f>
        <v>0</v>
      </c>
      <c r="BN64" s="105">
        <f>'Hillpointe Detail'!BN64+'Sandhill Detail'!BN64</f>
        <v>1487.6148078729636</v>
      </c>
      <c r="BO64" s="105">
        <f>'Hillpointe Detail'!BO64+'Sandhill Detail'!BO64</f>
        <v>1487.6182563549544</v>
      </c>
      <c r="BP64" s="105">
        <f>'Hillpointe Detail'!BP64+'Sandhill Detail'!BP64</f>
        <v>1487.6186098688613</v>
      </c>
      <c r="BQ64" s="105">
        <f>'Hillpointe Detail'!BQ64+'Sandhill Detail'!BQ64</f>
        <v>1487.6190117478582</v>
      </c>
      <c r="BR64" s="105">
        <f>'Hillpointe Detail'!BR64+'Sandhill Detail'!BR64</f>
        <v>1487.6182450302922</v>
      </c>
      <c r="BS64" s="105">
        <f>'Hillpointe Detail'!BS64+'Sandhill Detail'!BS64</f>
        <v>1487.6177777201647</v>
      </c>
      <c r="BT64" s="105">
        <f>'Hillpointe Detail'!BT64+'Sandhill Detail'!BT64</f>
        <v>1487.6177847658491</v>
      </c>
      <c r="BU64" s="105">
        <f>'Hillpointe Detail'!BU64+'Sandhill Detail'!BU64</f>
        <v>1487.6177847658491</v>
      </c>
      <c r="BV64" s="105">
        <f>'Hillpointe Detail'!BV64+'Sandhill Detail'!BV64</f>
        <v>1487.6182100362614</v>
      </c>
      <c r="BW64" s="105">
        <f>'Hillpointe Detail'!BW64+'Sandhill Detail'!BW64</f>
        <v>1487.6182034193052</v>
      </c>
      <c r="BX64" s="105">
        <f>'Hillpointe Detail'!BX64+'Sandhill Detail'!BX64</f>
        <v>2975.236290710166</v>
      </c>
      <c r="BY64" s="8"/>
      <c r="BZ64" s="105">
        <f t="shared" si="51"/>
        <v>1551.28</v>
      </c>
      <c r="CA64" s="105">
        <f t="shared" si="52"/>
        <v>9612.36</v>
      </c>
      <c r="CC64" s="105">
        <f t="shared" si="53"/>
        <v>0</v>
      </c>
      <c r="CD64" s="105">
        <f t="shared" si="53"/>
        <v>7038.72</v>
      </c>
      <c r="CE64" s="105">
        <f t="shared" si="53"/>
        <v>13724.43</v>
      </c>
      <c r="CF64" s="105">
        <f t="shared" si="53"/>
        <v>11801.450656255649</v>
      </c>
      <c r="CG64" s="105">
        <f t="shared" si="53"/>
        <v>15172.987535584001</v>
      </c>
      <c r="CH64" s="105">
        <f t="shared" si="53"/>
        <v>16399.209783346672</v>
      </c>
      <c r="CI64" s="105">
        <f t="shared" si="53"/>
        <v>17331.463741113414</v>
      </c>
      <c r="CJ64" s="105">
        <f t="shared" si="53"/>
        <v>17851.414982292528</v>
      </c>
      <c r="CL64" s="105"/>
      <c r="CM64" s="13"/>
    </row>
    <row r="65" spans="1:91" x14ac:dyDescent="0.3">
      <c r="A65" s="84" t="s">
        <v>29</v>
      </c>
      <c r="B65" s="10" t="s">
        <v>136</v>
      </c>
      <c r="C65" s="103">
        <v>0</v>
      </c>
      <c r="D65" s="103">
        <v>315.82</v>
      </c>
      <c r="E65" s="105">
        <f>'Hillpointe Detail'!E65+'Sandhill Detail'!E65</f>
        <v>0</v>
      </c>
      <c r="F65" s="105">
        <f>'Hillpointe Detail'!F65+'Sandhill Detail'!F65</f>
        <v>0</v>
      </c>
      <c r="G65" s="105">
        <f>'Hillpointe Detail'!G65+'Sandhill Detail'!G65</f>
        <v>19.510000000000002</v>
      </c>
      <c r="H65" s="105">
        <f>'Hillpointe Detail'!H65+'Sandhill Detail'!H65</f>
        <v>26.6</v>
      </c>
      <c r="I65" s="105">
        <f>'Hillpointe Detail'!I65+'Sandhill Detail'!I65</f>
        <v>0</v>
      </c>
      <c r="J65" s="105">
        <f>'Hillpointe Detail'!J65+'Sandhill Detail'!J65</f>
        <v>8.64</v>
      </c>
      <c r="K65" s="105">
        <f>'Hillpointe Detail'!K65+'Sandhill Detail'!K65</f>
        <v>3.1</v>
      </c>
      <c r="L65" s="105">
        <f>'Hillpointe Detail'!L65+'Sandhill Detail'!L65</f>
        <v>7.4299999999999962</v>
      </c>
      <c r="M65" s="105">
        <f>'Hillpointe Detail'!M65+'Sandhill Detail'!M65</f>
        <v>15.3</v>
      </c>
      <c r="N65" s="105">
        <f>'Hillpointe Detail'!N65+'Sandhill Detail'!N65</f>
        <v>6.42</v>
      </c>
      <c r="O65" s="105">
        <f>'Hillpointe Detail'!O65+'Sandhill Detail'!O65</f>
        <v>30.71</v>
      </c>
      <c r="P65" s="105">
        <f>'Hillpointe Detail'!P65+'Sandhill Detail'!P65</f>
        <v>81</v>
      </c>
      <c r="Q65" s="105">
        <f>'Hillpointe Detail'!Q65+'Sandhill Detail'!Q65</f>
        <v>0</v>
      </c>
      <c r="R65" s="105">
        <f>'Hillpointe Detail'!R65+'Sandhill Detail'!R65</f>
        <v>79.760000000000005</v>
      </c>
      <c r="S65" s="105">
        <f>'Hillpointe Detail'!S65+'Sandhill Detail'!S65</f>
        <v>90.449999999999989</v>
      </c>
      <c r="T65" s="105">
        <f>'Hillpointe Detail'!T65+'Sandhill Detail'!T65</f>
        <v>107.98</v>
      </c>
      <c r="U65" s="105">
        <f>'Hillpointe Detail'!U65+'Sandhill Detail'!U65</f>
        <v>108.83</v>
      </c>
      <c r="V65" s="105">
        <f>'Hillpointe Detail'!V65+'Sandhill Detail'!V65</f>
        <v>153.21</v>
      </c>
      <c r="W65" s="105">
        <f>'Hillpointe Detail'!W65+'Sandhill Detail'!W65</f>
        <v>141.47</v>
      </c>
      <c r="X65" s="105">
        <f>'Hillpointe Detail'!X65+'Sandhill Detail'!X65</f>
        <v>146.41999999999999</v>
      </c>
      <c r="Y65" s="105">
        <f>'Hillpointe Detail'!Y65+'Sandhill Detail'!Y65</f>
        <v>132.85</v>
      </c>
      <c r="Z65" s="105">
        <f>'Hillpointe Detail'!Z65+'Sandhill Detail'!Z65</f>
        <v>141.25</v>
      </c>
      <c r="AA65" s="105">
        <f>'Hillpointe Detail'!AA65+'Sandhill Detail'!AA65</f>
        <v>179.79000000000002</v>
      </c>
      <c r="AB65" s="105">
        <f>'Hillpointe Detail'!AB65+'Sandhill Detail'!AB65</f>
        <v>294.0680314745216</v>
      </c>
      <c r="AC65" s="105">
        <f>'Hillpointe Detail'!AC65+'Sandhill Detail'!AC65</f>
        <v>0</v>
      </c>
      <c r="AD65" s="105">
        <f>'Hillpointe Detail'!AD65+'Sandhill Detail'!AD65</f>
        <v>147.033698721928</v>
      </c>
      <c r="AE65" s="105">
        <f>'Hillpointe Detail'!AE65+'Sandhill Detail'!AE65</f>
        <v>147.03366550249277</v>
      </c>
      <c r="AF65" s="105">
        <f>'Hillpointe Detail'!AF65+'Sandhill Detail'!AF65</f>
        <v>147.03363190407117</v>
      </c>
      <c r="AG65" s="105">
        <f>'Hillpointe Detail'!AG65+'Sandhill Detail'!AG65</f>
        <v>147.03288736619123</v>
      </c>
      <c r="AH65" s="105">
        <f>'Hillpointe Detail'!AH65+'Sandhill Detail'!AH65</f>
        <v>147.03296821270592</v>
      </c>
      <c r="AI65" s="105">
        <f>'Hillpointe Detail'!AI65+'Sandhill Detail'!AI65</f>
        <v>147.03355474027296</v>
      </c>
      <c r="AJ65" s="105">
        <f>'Hillpointe Detail'!AJ65+'Sandhill Detail'!AJ65</f>
        <v>147.03340107461037</v>
      </c>
      <c r="AK65" s="105">
        <f>'Hillpointe Detail'!AK65+'Sandhill Detail'!AK65</f>
        <v>147.03340107461037</v>
      </c>
      <c r="AL65" s="105">
        <f>'Hillpointe Detail'!AL65+'Sandhill Detail'!AL65</f>
        <v>147.03335855356497</v>
      </c>
      <c r="AM65" s="105">
        <f>'Hillpointe Detail'!AM65+'Sandhill Detail'!AM65</f>
        <v>147.03331470371813</v>
      </c>
      <c r="AN65" s="105">
        <f>'Hillpointe Detail'!AN65+'Sandhill Detail'!AN65</f>
        <v>294.06653877876397</v>
      </c>
      <c r="AO65" s="105">
        <f>'Hillpointe Detail'!AO65+'Sandhill Detail'!AO65</f>
        <v>0</v>
      </c>
      <c r="AP65" s="105">
        <f>'Hillpointe Detail'!AP65+'Sandhill Detail'!AP65</f>
        <v>159.68590396507497</v>
      </c>
      <c r="AQ65" s="105">
        <f>'Hillpointe Detail'!AQ65+'Sandhill Detail'!AQ65</f>
        <v>159.68587626595212</v>
      </c>
      <c r="AR65" s="105">
        <f>'Hillpointe Detail'!AR65+'Sandhill Detail'!AR65</f>
        <v>159.68586716926364</v>
      </c>
      <c r="AS65" s="105">
        <f>'Hillpointe Detail'!AS65+'Sandhill Detail'!AS65</f>
        <v>159.68585689777865</v>
      </c>
      <c r="AT65" s="105">
        <f>'Hillpointe Detail'!AT65+'Sandhill Detail'!AT65</f>
        <v>159.68585162621244</v>
      </c>
      <c r="AU65" s="105">
        <f>'Hillpointe Detail'!AU65+'Sandhill Detail'!AU65</f>
        <v>159.68585199809246</v>
      </c>
      <c r="AV65" s="105">
        <f>'Hillpointe Detail'!AV65+'Sandhill Detail'!AV65</f>
        <v>159.68586798706238</v>
      </c>
      <c r="AW65" s="105">
        <f>'Hillpointe Detail'!AW65+'Sandhill Detail'!AW65</f>
        <v>159.68586798706238</v>
      </c>
      <c r="AX65" s="105">
        <f>'Hillpointe Detail'!AX65+'Sandhill Detail'!AX65</f>
        <v>159.6858628473463</v>
      </c>
      <c r="AY65" s="105">
        <f>'Hillpointe Detail'!AY65+'Sandhill Detail'!AY65</f>
        <v>159.68586093040261</v>
      </c>
      <c r="AZ65" s="105">
        <f>'Hillpointe Detail'!AZ65+'Sandhill Detail'!AZ65</f>
        <v>319.37172007827348</v>
      </c>
      <c r="BA65" s="105">
        <f>'Hillpointe Detail'!BA65+'Sandhill Detail'!BA65</f>
        <v>0</v>
      </c>
      <c r="BB65" s="105">
        <f>'Hillpointe Detail'!BB65+'Sandhill Detail'!BB65</f>
        <v>168.76582802843819</v>
      </c>
      <c r="BC65" s="105">
        <f>'Hillpointe Detail'!BC65+'Sandhill Detail'!BC65</f>
        <v>168.7658295630437</v>
      </c>
      <c r="BD65" s="105">
        <f>'Hillpointe Detail'!BD65+'Sandhill Detail'!BD65</f>
        <v>168.76582879996724</v>
      </c>
      <c r="BE65" s="105">
        <f>'Hillpointe Detail'!BE65+'Sandhill Detail'!BE65</f>
        <v>168.76582794566906</v>
      </c>
      <c r="BF65" s="105">
        <f>'Hillpointe Detail'!BF65+'Sandhill Detail'!BF65</f>
        <v>168.76582776171617</v>
      </c>
      <c r="BG65" s="105">
        <f>'Hillpointe Detail'!BG65+'Sandhill Detail'!BG65</f>
        <v>168.76582783566016</v>
      </c>
      <c r="BH65" s="105">
        <f>'Hillpointe Detail'!BH65+'Sandhill Detail'!BH65</f>
        <v>168.7658283224157</v>
      </c>
      <c r="BI65" s="105">
        <f>'Hillpointe Detail'!BI65+'Sandhill Detail'!BI65</f>
        <v>168.7658283224157</v>
      </c>
      <c r="BJ65" s="105">
        <f>'Hillpointe Detail'!BJ65+'Sandhill Detail'!BJ65</f>
        <v>168.7658283644125</v>
      </c>
      <c r="BK65" s="105">
        <f>'Hillpointe Detail'!BK65+'Sandhill Detail'!BK65</f>
        <v>168.76582819317949</v>
      </c>
      <c r="BL65" s="105">
        <f>'Hillpointe Detail'!BL65+'Sandhill Detail'!BL65</f>
        <v>337.53165621299104</v>
      </c>
      <c r="BM65" s="105">
        <f>'Hillpointe Detail'!BM65+'Sandhill Detail'!BM65</f>
        <v>0</v>
      </c>
      <c r="BN65" s="105">
        <f>'Hillpointe Detail'!BN65+'Sandhill Detail'!BN65</f>
        <v>173.82880302408671</v>
      </c>
      <c r="BO65" s="105">
        <f>'Hillpointe Detail'!BO65+'Sandhill Detail'!BO65</f>
        <v>173.82880307435082</v>
      </c>
      <c r="BP65" s="105">
        <f>'Hillpointe Detail'!BP65+'Sandhill Detail'!BP65</f>
        <v>173.82880306050697</v>
      </c>
      <c r="BQ65" s="105">
        <f>'Hillpointe Detail'!BQ65+'Sandhill Detail'!BQ65</f>
        <v>173.82880304476919</v>
      </c>
      <c r="BR65" s="105">
        <f>'Hillpointe Detail'!BR65+'Sandhill Detail'!BR65</f>
        <v>173.82880302081188</v>
      </c>
      <c r="BS65" s="105">
        <f>'Hillpointe Detail'!BS65+'Sandhill Detail'!BS65</f>
        <v>173.82880301827166</v>
      </c>
      <c r="BT65" s="105">
        <f>'Hillpointe Detail'!BT65+'Sandhill Detail'!BT65</f>
        <v>173.8288030404662</v>
      </c>
      <c r="BU65" s="105">
        <f>'Hillpointe Detail'!BU65+'Sandhill Detail'!BU65</f>
        <v>173.8288030404662</v>
      </c>
      <c r="BV65" s="105">
        <f>'Hillpointe Detail'!BV65+'Sandhill Detail'!BV65</f>
        <v>173.82880304280616</v>
      </c>
      <c r="BW65" s="105">
        <f>'Hillpointe Detail'!BW65+'Sandhill Detail'!BW65</f>
        <v>173.82880303829975</v>
      </c>
      <c r="BX65" s="105">
        <f>'Hillpointe Detail'!BX65+'Sandhill Detail'!BX65</f>
        <v>347.65760607025459</v>
      </c>
      <c r="BY65" s="8"/>
      <c r="BZ65" s="105">
        <f t="shared" si="51"/>
        <v>179.79000000000002</v>
      </c>
      <c r="CA65" s="105">
        <f t="shared" si="52"/>
        <v>1282.01</v>
      </c>
      <c r="CC65" s="105">
        <f t="shared" si="53"/>
        <v>0</v>
      </c>
      <c r="CD65" s="105">
        <f t="shared" si="53"/>
        <v>315.82</v>
      </c>
      <c r="CE65" s="105">
        <f t="shared" si="53"/>
        <v>198.71</v>
      </c>
      <c r="CF65" s="105">
        <f t="shared" si="53"/>
        <v>1576.0780314745216</v>
      </c>
      <c r="CG65" s="105">
        <f t="shared" si="53"/>
        <v>1764.4004206329298</v>
      </c>
      <c r="CH65" s="105">
        <f t="shared" si="53"/>
        <v>1916.2303877525217</v>
      </c>
      <c r="CI65" s="105">
        <f t="shared" si="53"/>
        <v>2025.1899393499091</v>
      </c>
      <c r="CJ65" s="105">
        <f t="shared" si="53"/>
        <v>2085.9456364750904</v>
      </c>
      <c r="CL65" s="105"/>
      <c r="CM65" s="13"/>
    </row>
    <row r="66" spans="1:91" x14ac:dyDescent="0.3">
      <c r="A66" s="84" t="s">
        <v>30</v>
      </c>
      <c r="B66" s="10" t="s">
        <v>136</v>
      </c>
      <c r="C66" s="103">
        <v>1928.97</v>
      </c>
      <c r="D66" s="103">
        <v>20944.919999999998</v>
      </c>
      <c r="E66" s="105">
        <f>'Hillpointe Detail'!E66+'Sandhill Detail'!E66</f>
        <v>1102.56</v>
      </c>
      <c r="F66" s="105">
        <f>'Hillpointe Detail'!F66+'Sandhill Detail'!F66</f>
        <v>1102.56</v>
      </c>
      <c r="G66" s="105">
        <f>'Hillpointe Detail'!G66+'Sandhill Detail'!G66</f>
        <v>1102.56</v>
      </c>
      <c r="H66" s="105">
        <f>'Hillpointe Detail'!H66+'Sandhill Detail'!H66</f>
        <v>1102.56</v>
      </c>
      <c r="I66" s="105">
        <f>'Hillpointe Detail'!I66+'Sandhill Detail'!I66</f>
        <v>1102.56</v>
      </c>
      <c r="J66" s="105">
        <f>'Hillpointe Detail'!J66+'Sandhill Detail'!J66</f>
        <v>1102.56</v>
      </c>
      <c r="K66" s="105">
        <f>'Hillpointe Detail'!K66+'Sandhill Detail'!K66</f>
        <v>1102.56</v>
      </c>
      <c r="L66" s="105">
        <f>'Hillpointe Detail'!L66+'Sandhill Detail'!L66</f>
        <v>1102.5600000000002</v>
      </c>
      <c r="M66" s="105">
        <f>'Hillpointe Detail'!M66+'Sandhill Detail'!M66</f>
        <v>1102.56</v>
      </c>
      <c r="N66" s="105">
        <f>'Hillpointe Detail'!N66+'Sandhill Detail'!N66</f>
        <v>1102.56</v>
      </c>
      <c r="O66" s="105">
        <f>'Hillpointe Detail'!O66+'Sandhill Detail'!O66</f>
        <v>1102.56</v>
      </c>
      <c r="P66" s="105">
        <f>'Hillpointe Detail'!P66+'Sandhill Detail'!P66</f>
        <v>1929.39</v>
      </c>
      <c r="Q66" s="105">
        <f>'Hillpointe Detail'!Q66+'Sandhill Detail'!Q66</f>
        <v>1102.56</v>
      </c>
      <c r="R66" s="105">
        <f>'Hillpointe Detail'!R66+'Sandhill Detail'!R66</f>
        <v>1010.6800000000001</v>
      </c>
      <c r="S66" s="105">
        <f>'Hillpointe Detail'!S66+'Sandhill Detail'!S66</f>
        <v>918.8</v>
      </c>
      <c r="T66" s="105">
        <f>'Hillpointe Detail'!T66+'Sandhill Detail'!T66</f>
        <v>918.8</v>
      </c>
      <c r="U66" s="105">
        <f>'Hillpointe Detail'!U66+'Sandhill Detail'!U66</f>
        <v>918.8</v>
      </c>
      <c r="V66" s="105">
        <f>'Hillpointe Detail'!V66+'Sandhill Detail'!V66</f>
        <v>918.8</v>
      </c>
      <c r="W66" s="105">
        <f>'Hillpointe Detail'!W66+'Sandhill Detail'!W66</f>
        <v>918.8</v>
      </c>
      <c r="X66" s="105">
        <f>'Hillpointe Detail'!X66+'Sandhill Detail'!X66</f>
        <v>918.8</v>
      </c>
      <c r="Y66" s="105">
        <f>'Hillpointe Detail'!Y66+'Sandhill Detail'!Y66</f>
        <v>918.8</v>
      </c>
      <c r="Z66" s="105">
        <f>'Hillpointe Detail'!Z66+'Sandhill Detail'!Z66</f>
        <v>918.8</v>
      </c>
      <c r="AA66" s="105">
        <f>'Hillpointe Detail'!AA66+'Sandhill Detail'!AA66</f>
        <v>918.8</v>
      </c>
      <c r="AB66" s="105">
        <f>'Hillpointe Detail'!AB66+'Sandhill Detail'!AB66</f>
        <v>1832.0447446379007</v>
      </c>
      <c r="AC66" s="105">
        <f>'Hillpointe Detail'!AC66+'Sandhill Detail'!AC66</f>
        <v>0</v>
      </c>
      <c r="AD66" s="105">
        <f>'Hillpointe Detail'!AD66+'Sandhill Detail'!AD66</f>
        <v>914.63492477581917</v>
      </c>
      <c r="AE66" s="105">
        <f>'Hillpointe Detail'!AE66+'Sandhill Detail'!AE66</f>
        <v>909.82890726145183</v>
      </c>
      <c r="AF66" s="105">
        <f>'Hillpointe Detail'!AF66+'Sandhill Detail'!AF66</f>
        <v>906.26808431624659</v>
      </c>
      <c r="AG66" s="105">
        <f>'Hillpointe Detail'!AG66+'Sandhill Detail'!AG66</f>
        <v>902.51266912672213</v>
      </c>
      <c r="AH66" s="105">
        <f>'Hillpointe Detail'!AH66+'Sandhill Detail'!AH66</f>
        <v>897.06890270460497</v>
      </c>
      <c r="AI66" s="105">
        <f>'Hillpointe Detail'!AI66+'Sandhill Detail'!AI66</f>
        <v>908.90831897467797</v>
      </c>
      <c r="AJ66" s="105">
        <f>'Hillpointe Detail'!AJ66+'Sandhill Detail'!AJ66</f>
        <v>906.53696785992042</v>
      </c>
      <c r="AK66" s="105">
        <f>'Hillpointe Detail'!AK66+'Sandhill Detail'!AK66</f>
        <v>906.53696785992042</v>
      </c>
      <c r="AL66" s="105">
        <f>'Hillpointe Detail'!AL66+'Sandhill Detail'!AL66</f>
        <v>905.38011687193466</v>
      </c>
      <c r="AM66" s="105">
        <f>'Hillpointe Detail'!AM66+'Sandhill Detail'!AM66</f>
        <v>904.74457538771799</v>
      </c>
      <c r="AN66" s="105">
        <f>'Hillpointe Detail'!AN66+'Sandhill Detail'!AN66</f>
        <v>1809.0538625101422</v>
      </c>
      <c r="AO66" s="105">
        <f>'Hillpointe Detail'!AO66+'Sandhill Detail'!AO66</f>
        <v>0</v>
      </c>
      <c r="AP66" s="105">
        <f>'Hillpointe Detail'!AP66+'Sandhill Detail'!AP66</f>
        <v>983.83186786392639</v>
      </c>
      <c r="AQ66" s="105">
        <f>'Hillpointe Detail'!AQ66+'Sandhill Detail'!AQ66</f>
        <v>983.36779266880581</v>
      </c>
      <c r="AR66" s="105">
        <f>'Hillpointe Detail'!AR66+'Sandhill Detail'!AR66</f>
        <v>983.20364594302077</v>
      </c>
      <c r="AS66" s="105">
        <f>'Hillpointe Detail'!AS66+'Sandhill Detail'!AS66</f>
        <v>983.01883490079103</v>
      </c>
      <c r="AT66" s="105">
        <f>'Hillpointe Detail'!AT66+'Sandhill Detail'!AT66</f>
        <v>982.98206285371339</v>
      </c>
      <c r="AU66" s="105">
        <f>'Hillpointe Detail'!AU66+'Sandhill Detail'!AU66</f>
        <v>983.03364033237244</v>
      </c>
      <c r="AV66" s="105">
        <f>'Hillpointe Detail'!AV66+'Sandhill Detail'!AV66</f>
        <v>983.23964076043819</v>
      </c>
      <c r="AW66" s="105">
        <f>'Hillpointe Detail'!AW66+'Sandhill Detail'!AW66</f>
        <v>983.23964076043819</v>
      </c>
      <c r="AX66" s="105">
        <f>'Hillpointe Detail'!AX66+'Sandhill Detail'!AX66</f>
        <v>983.1550368885114</v>
      </c>
      <c r="AY66" s="105">
        <f>'Hillpointe Detail'!AY66+'Sandhill Detail'!AY66</f>
        <v>983.1246432056123</v>
      </c>
      <c r="AZ66" s="105">
        <f>'Hillpointe Detail'!AZ66+'Sandhill Detail'!AZ66</f>
        <v>1966.2267142005364</v>
      </c>
      <c r="BA66" s="105">
        <f>'Hillpointe Detail'!BA66+'Sandhill Detail'!BA66</f>
        <v>0</v>
      </c>
      <c r="BB66" s="105">
        <f>'Hillpointe Detail'!BB66+'Sandhill Detail'!BB66</f>
        <v>1039.0506039302161</v>
      </c>
      <c r="BC66" s="105">
        <f>'Hillpointe Detail'!BC66+'Sandhill Detail'!BC66</f>
        <v>1039.0673820579923</v>
      </c>
      <c r="BD66" s="105">
        <f>'Hillpointe Detail'!BD66+'Sandhill Detail'!BD66</f>
        <v>1039.0557714372051</v>
      </c>
      <c r="BE66" s="105">
        <f>'Hillpointe Detail'!BE66+'Sandhill Detail'!BE66</f>
        <v>1039.0426365408127</v>
      </c>
      <c r="BF66" s="105">
        <f>'Hillpointe Detail'!BF66+'Sandhill Detail'!BF66</f>
        <v>1039.0401551624693</v>
      </c>
      <c r="BG66" s="105">
        <f>'Hillpointe Detail'!BG66+'Sandhill Detail'!BG66</f>
        <v>1039.0417608462808</v>
      </c>
      <c r="BH66" s="105">
        <f>'Hillpointe Detail'!BH66+'Sandhill Detail'!BH66</f>
        <v>1039.0497183291627</v>
      </c>
      <c r="BI66" s="105">
        <f>'Hillpointe Detail'!BI66+'Sandhill Detail'!BI66</f>
        <v>1039.0497183291627</v>
      </c>
      <c r="BJ66" s="105">
        <f>'Hillpointe Detail'!BJ66+'Sandhill Detail'!BJ66</f>
        <v>1039.0495918147267</v>
      </c>
      <c r="BK66" s="105">
        <f>'Hillpointe Detail'!BK66+'Sandhill Detail'!BK66</f>
        <v>1039.047050351403</v>
      </c>
      <c r="BL66" s="105">
        <f>'Hillpointe Detail'!BL66+'Sandhill Detail'!BL66</f>
        <v>2078.091608964005</v>
      </c>
      <c r="BM66" s="105">
        <f>'Hillpointe Detail'!BM66+'Sandhill Detail'!BM66</f>
        <v>0</v>
      </c>
      <c r="BN66" s="105">
        <f>'Hillpointe Detail'!BN66+'Sandhill Detail'!BN66</f>
        <v>1070.2184760133975</v>
      </c>
      <c r="BO66" s="105">
        <f>'Hillpointe Detail'!BO66+'Sandhill Detail'!BO66</f>
        <v>1070.2192530179109</v>
      </c>
      <c r="BP66" s="105">
        <f>'Hillpointe Detail'!BP66+'Sandhill Detail'!BP66</f>
        <v>1070.2189758421141</v>
      </c>
      <c r="BQ66" s="105">
        <f>'Hillpointe Detail'!BQ66+'Sandhill Detail'!BQ66</f>
        <v>1070.2186607452279</v>
      </c>
      <c r="BR66" s="105">
        <f>'Hillpointe Detail'!BR66+'Sandhill Detail'!BR66</f>
        <v>1070.2183210227643</v>
      </c>
      <c r="BS66" s="105">
        <f>'Hillpointe Detail'!BS66+'Sandhill Detail'!BS66</f>
        <v>1070.2183013249767</v>
      </c>
      <c r="BT66" s="105">
        <f>'Hillpointe Detail'!BT66+'Sandhill Detail'!BT66</f>
        <v>1070.2186646610651</v>
      </c>
      <c r="BU66" s="105">
        <f>'Hillpointe Detail'!BU66+'Sandhill Detail'!BU66</f>
        <v>1070.2186646610653</v>
      </c>
      <c r="BV66" s="105">
        <f>'Hillpointe Detail'!BV66+'Sandhill Detail'!BV66</f>
        <v>1070.2186916107321</v>
      </c>
      <c r="BW66" s="105">
        <f>'Hillpointe Detail'!BW66+'Sandhill Detail'!BW66</f>
        <v>1070.2186114097065</v>
      </c>
      <c r="BX66" s="105">
        <f>'Hillpointe Detail'!BX66+'Sandhill Detail'!BX66</f>
        <v>2140.4371186958679</v>
      </c>
      <c r="BY66" s="8"/>
      <c r="BZ66" s="105">
        <f t="shared" si="51"/>
        <v>918.8</v>
      </c>
      <c r="CA66" s="105">
        <f t="shared" si="52"/>
        <v>10382.439999999999</v>
      </c>
      <c r="CC66" s="105">
        <f t="shared" si="53"/>
        <v>1928.97</v>
      </c>
      <c r="CD66" s="105">
        <f t="shared" si="53"/>
        <v>20944.919999999998</v>
      </c>
      <c r="CE66" s="105">
        <f t="shared" si="53"/>
        <v>14057.549999999996</v>
      </c>
      <c r="CF66" s="105">
        <f t="shared" si="53"/>
        <v>12214.484744637899</v>
      </c>
      <c r="CG66" s="105">
        <f t="shared" si="53"/>
        <v>10871.474297649158</v>
      </c>
      <c r="CH66" s="105">
        <f t="shared" si="53"/>
        <v>11798.423520378168</v>
      </c>
      <c r="CI66" s="105">
        <f t="shared" si="53"/>
        <v>12468.585997763435</v>
      </c>
      <c r="CJ66" s="105">
        <f t="shared" si="53"/>
        <v>12842.623739004826</v>
      </c>
      <c r="CL66" s="105"/>
      <c r="CM66" s="13"/>
    </row>
    <row r="67" spans="1:91" x14ac:dyDescent="0.3">
      <c r="A67" s="84" t="s">
        <v>336</v>
      </c>
      <c r="B67" s="10" t="s">
        <v>136</v>
      </c>
      <c r="C67" s="103">
        <v>0</v>
      </c>
      <c r="D67" s="103">
        <v>0</v>
      </c>
      <c r="E67" s="105">
        <f>'Hillpointe Detail'!E67+'Sandhill Detail'!E67</f>
        <v>0</v>
      </c>
      <c r="F67" s="105">
        <f>'Hillpointe Detail'!F67+'Sandhill Detail'!F67</f>
        <v>0</v>
      </c>
      <c r="G67" s="105">
        <f>'Hillpointe Detail'!G67+'Sandhill Detail'!G67</f>
        <v>0</v>
      </c>
      <c r="H67" s="105">
        <f>'Hillpointe Detail'!H67+'Sandhill Detail'!H67</f>
        <v>0</v>
      </c>
      <c r="I67" s="105">
        <f>'Hillpointe Detail'!I67+'Sandhill Detail'!I67</f>
        <v>0</v>
      </c>
      <c r="J67" s="105">
        <f>'Hillpointe Detail'!J67+'Sandhill Detail'!J67</f>
        <v>0</v>
      </c>
      <c r="K67" s="105">
        <f>'Hillpointe Detail'!K67+'Sandhill Detail'!K67</f>
        <v>0</v>
      </c>
      <c r="L67" s="105">
        <f>'Hillpointe Detail'!L67+'Sandhill Detail'!L67</f>
        <v>0</v>
      </c>
      <c r="M67" s="105">
        <f>'Hillpointe Detail'!M67+'Sandhill Detail'!M67</f>
        <v>0</v>
      </c>
      <c r="N67" s="105">
        <f>'Hillpointe Detail'!N67+'Sandhill Detail'!N67</f>
        <v>0</v>
      </c>
      <c r="O67" s="105">
        <f>'Hillpointe Detail'!O67+'Sandhill Detail'!O67</f>
        <v>0</v>
      </c>
      <c r="P67" s="105">
        <f>'Hillpointe Detail'!P67+'Sandhill Detail'!P67</f>
        <v>0</v>
      </c>
      <c r="Q67" s="105">
        <f>'Hillpointe Detail'!Q67+'Sandhill Detail'!Q67</f>
        <v>0</v>
      </c>
      <c r="R67" s="105">
        <f>'Hillpointe Detail'!R67+'Sandhill Detail'!R67</f>
        <v>45.94</v>
      </c>
      <c r="S67" s="105">
        <f>'Hillpointe Detail'!S67+'Sandhill Detail'!S67</f>
        <v>91.88</v>
      </c>
      <c r="T67" s="105">
        <f>'Hillpointe Detail'!T67+'Sandhill Detail'!T67</f>
        <v>91.88</v>
      </c>
      <c r="U67" s="105">
        <f>'Hillpointe Detail'!U67+'Sandhill Detail'!U67</f>
        <v>91.88</v>
      </c>
      <c r="V67" s="105">
        <f>'Hillpointe Detail'!V67+'Sandhill Detail'!V67</f>
        <v>91.88</v>
      </c>
      <c r="W67" s="105">
        <f>'Hillpointe Detail'!W67+'Sandhill Detail'!W67</f>
        <v>91.88</v>
      </c>
      <c r="X67" s="105">
        <f>'Hillpointe Detail'!X67+'Sandhill Detail'!X67</f>
        <v>91.88</v>
      </c>
      <c r="Y67" s="105">
        <f>'Hillpointe Detail'!Y67+'Sandhill Detail'!Y67</f>
        <v>91.88</v>
      </c>
      <c r="Z67" s="105">
        <f>'Hillpointe Detail'!Z67+'Sandhill Detail'!Z67</f>
        <v>91.88</v>
      </c>
      <c r="AA67" s="105">
        <f>'Hillpointe Detail'!AA67+'Sandhill Detail'!AA67</f>
        <v>91.88</v>
      </c>
      <c r="AB67" s="105">
        <f>'Hillpointe Detail'!AB67+'Sandhill Detail'!AB67</f>
        <v>188.41305724113394</v>
      </c>
      <c r="AC67" s="105">
        <f>'Hillpointe Detail'!AC67+'Sandhill Detail'!AC67</f>
        <v>0</v>
      </c>
      <c r="AD67" s="105">
        <f>'Hillpointe Detail'!AD67+'Sandhill Detail'!AD67</f>
        <v>91.953980691630406</v>
      </c>
      <c r="AE67" s="105">
        <f>'Hillpointe Detail'!AE67+'Sandhill Detail'!AE67</f>
        <v>91.473144824106143</v>
      </c>
      <c r="AF67" s="105">
        <f>'Hillpointe Detail'!AF67+'Sandhill Detail'!AF67</f>
        <v>91.361845160826192</v>
      </c>
      <c r="AG67" s="105">
        <f>'Hillpointe Detail'!AG67+'Sandhill Detail'!AG67</f>
        <v>90.06237637999962</v>
      </c>
      <c r="AH67" s="105">
        <f>'Hillpointe Detail'!AH67+'Sandhill Detail'!AH67</f>
        <v>89.320356730271754</v>
      </c>
      <c r="AI67" s="105">
        <f>'Hillpointe Detail'!AI67+'Sandhill Detail'!AI67</f>
        <v>91.797823003995447</v>
      </c>
      <c r="AJ67" s="105">
        <f>'Hillpointe Detail'!AJ67+'Sandhill Detail'!AJ67</f>
        <v>90.994921131804944</v>
      </c>
      <c r="AK67" s="105">
        <f>'Hillpointe Detail'!AK67+'Sandhill Detail'!AK67</f>
        <v>90.994921131804944</v>
      </c>
      <c r="AL67" s="105">
        <f>'Hillpointe Detail'!AL67+'Sandhill Detail'!AL67</f>
        <v>90.857912623258443</v>
      </c>
      <c r="AM67" s="105">
        <f>'Hillpointe Detail'!AM67+'Sandhill Detail'!AM67</f>
        <v>90.770022308851622</v>
      </c>
      <c r="AN67" s="105">
        <f>'Hillpointe Detail'!AN67+'Sandhill Detail'!AN67</f>
        <v>181.37095237428193</v>
      </c>
      <c r="AO67" s="105">
        <f>'Hillpointe Detail'!AO67+'Sandhill Detail'!AO67</f>
        <v>0</v>
      </c>
      <c r="AP67" s="105">
        <f>'Hillpointe Detail'!AP67+'Sandhill Detail'!AP67</f>
        <v>98.797794735203894</v>
      </c>
      <c r="AQ67" s="105">
        <f>'Hillpointe Detail'!AQ67+'Sandhill Detail'!AQ67</f>
        <v>98.670854244751965</v>
      </c>
      <c r="AR67" s="105">
        <f>'Hillpointe Detail'!AR67+'Sandhill Detail'!AR67</f>
        <v>98.649309587722144</v>
      </c>
      <c r="AS67" s="105">
        <f>'Hillpointe Detail'!AS67+'Sandhill Detail'!AS67</f>
        <v>98.625052484658966</v>
      </c>
      <c r="AT67" s="105">
        <f>'Hillpointe Detail'!AT67+'Sandhill Detail'!AT67</f>
        <v>98.618032829234977</v>
      </c>
      <c r="AU67" s="105">
        <f>'Hillpointe Detail'!AU67+'Sandhill Detail'!AU67</f>
        <v>98.622992895046622</v>
      </c>
      <c r="AV67" s="105">
        <f>'Hillpointe Detail'!AV67+'Sandhill Detail'!AV67</f>
        <v>98.66400612943643</v>
      </c>
      <c r="AW67" s="105">
        <f>'Hillpointe Detail'!AW67+'Sandhill Detail'!AW67</f>
        <v>98.664006129436416</v>
      </c>
      <c r="AX67" s="105">
        <f>'Hillpointe Detail'!AX67+'Sandhill Detail'!AX67</f>
        <v>98.644893471469643</v>
      </c>
      <c r="AY67" s="105">
        <f>'Hillpointe Detail'!AY67+'Sandhill Detail'!AY67</f>
        <v>98.641184789572165</v>
      </c>
      <c r="AZ67" s="105">
        <f>'Hillpointe Detail'!AZ67+'Sandhill Detail'!AZ67</f>
        <v>197.28004820824435</v>
      </c>
      <c r="BA67" s="105">
        <f>'Hillpointe Detail'!BA67+'Sandhill Detail'!BA67</f>
        <v>0</v>
      </c>
      <c r="BB67" s="105">
        <f>'Hillpointe Detail'!BB67+'Sandhill Detail'!BB67</f>
        <v>104.25405020387329</v>
      </c>
      <c r="BC67" s="105">
        <f>'Hillpointe Detail'!BC67+'Sandhill Detail'!BC67</f>
        <v>104.25739333224691</v>
      </c>
      <c r="BD67" s="105">
        <f>'Hillpointe Detail'!BD67+'Sandhill Detail'!BD67</f>
        <v>104.2550848480826</v>
      </c>
      <c r="BE67" s="105">
        <f>'Hillpointe Detail'!BE67+'Sandhill Detail'!BE67</f>
        <v>104.25247327912483</v>
      </c>
      <c r="BF67" s="105">
        <f>'Hillpointe Detail'!BF67+'Sandhill Detail'!BF67</f>
        <v>104.25231472950709</v>
      </c>
      <c r="BG67" s="105">
        <f>'Hillpointe Detail'!BG67+'Sandhill Detail'!BG67</f>
        <v>104.25267360984046</v>
      </c>
      <c r="BH67" s="105">
        <f>'Hillpointe Detail'!BH67+'Sandhill Detail'!BH67</f>
        <v>104.25399833377921</v>
      </c>
      <c r="BI67" s="105">
        <f>'Hillpointe Detail'!BI67+'Sandhill Detail'!BI67</f>
        <v>104.25399833377921</v>
      </c>
      <c r="BJ67" s="105">
        <f>'Hillpointe Detail'!BJ67+'Sandhill Detail'!BJ67</f>
        <v>104.25399092376574</v>
      </c>
      <c r="BK67" s="105">
        <f>'Hillpointe Detail'!BK67+'Sandhill Detail'!BK67</f>
        <v>104.25350486541129</v>
      </c>
      <c r="BL67" s="105">
        <f>'Hillpointe Detail'!BL67+'Sandhill Detail'!BL67</f>
        <v>208.50655830720223</v>
      </c>
      <c r="BM67" s="105">
        <f>'Hillpointe Detail'!BM67+'Sandhill Detail'!BM67</f>
        <v>0</v>
      </c>
      <c r="BN67" s="105">
        <f>'Hillpointe Detail'!BN67+'Sandhill Detail'!BN67</f>
        <v>107.38113801499878</v>
      </c>
      <c r="BO67" s="105">
        <f>'Hillpointe Detail'!BO67+'Sandhill Detail'!BO67</f>
        <v>107.38126378980152</v>
      </c>
      <c r="BP67" s="105">
        <f>'Hillpointe Detail'!BP67+'Sandhill Detail'!BP67</f>
        <v>107.38121357818804</v>
      </c>
      <c r="BQ67" s="105">
        <f>'Hillpointe Detail'!BQ67+'Sandhill Detail'!BQ67</f>
        <v>107.38115649700262</v>
      </c>
      <c r="BR67" s="105">
        <f>'Hillpointe Detail'!BR67+'Sandhill Detail'!BR67</f>
        <v>107.3810927112616</v>
      </c>
      <c r="BS67" s="105">
        <f>'Hillpointe Detail'!BS67+'Sandhill Detail'!BS67</f>
        <v>107.38109029166553</v>
      </c>
      <c r="BT67" s="105">
        <f>'Hillpointe Detail'!BT67+'Sandhill Detail'!BT67</f>
        <v>107.38115914715301</v>
      </c>
      <c r="BU67" s="105">
        <f>'Hillpointe Detail'!BU67+'Sandhill Detail'!BU67</f>
        <v>107.38115914715301</v>
      </c>
      <c r="BV67" s="105">
        <f>'Hillpointe Detail'!BV67+'Sandhill Detail'!BV67</f>
        <v>107.3811621660322</v>
      </c>
      <c r="BW67" s="105">
        <f>'Hillpointe Detail'!BW67+'Sandhill Detail'!BW67</f>
        <v>107.38114764835086</v>
      </c>
      <c r="BX67" s="105">
        <f>'Hillpointe Detail'!BX67+'Sandhill Detail'!BX67</f>
        <v>214.7622764596054</v>
      </c>
      <c r="BY67" s="8"/>
      <c r="BZ67" s="105">
        <f t="shared" si="51"/>
        <v>91.88</v>
      </c>
      <c r="CA67" s="105">
        <f t="shared" si="52"/>
        <v>872.86</v>
      </c>
      <c r="CC67" s="105">
        <f t="shared" si="53"/>
        <v>0</v>
      </c>
      <c r="CD67" s="105">
        <f t="shared" si="53"/>
        <v>0</v>
      </c>
      <c r="CE67" s="105">
        <f t="shared" si="53"/>
        <v>0</v>
      </c>
      <c r="CF67" s="105">
        <f t="shared" si="53"/>
        <v>1061.273057241134</v>
      </c>
      <c r="CG67" s="105">
        <f t="shared" si="53"/>
        <v>1090.9582563608315</v>
      </c>
      <c r="CH67" s="105">
        <f t="shared" si="53"/>
        <v>1183.8781755047776</v>
      </c>
      <c r="CI67" s="105">
        <f t="shared" si="53"/>
        <v>1251.0460407666128</v>
      </c>
      <c r="CJ67" s="105">
        <f t="shared" si="53"/>
        <v>1288.5738594512125</v>
      </c>
      <c r="CL67" s="105"/>
      <c r="CM67" s="13"/>
    </row>
    <row r="68" spans="1:91" x14ac:dyDescent="0.3">
      <c r="A68" s="84" t="s">
        <v>31</v>
      </c>
      <c r="B68" s="10" t="s">
        <v>138</v>
      </c>
      <c r="C68" s="103">
        <v>0</v>
      </c>
      <c r="D68" s="103">
        <v>888.32</v>
      </c>
      <c r="E68" s="105">
        <f>'Hillpointe Detail'!E68+'Sandhill Detail'!E68</f>
        <v>0</v>
      </c>
      <c r="F68" s="105">
        <f>'Hillpointe Detail'!F68+'Sandhill Detail'!F68</f>
        <v>110.22</v>
      </c>
      <c r="G68" s="105">
        <f>'Hillpointe Detail'!G68+'Sandhill Detail'!G68</f>
        <v>108.06</v>
      </c>
      <c r="H68" s="105">
        <f>'Hillpointe Detail'!H68+'Sandhill Detail'!H68</f>
        <v>0</v>
      </c>
      <c r="I68" s="105">
        <f>'Hillpointe Detail'!I68+'Sandhill Detail'!I68</f>
        <v>917.25</v>
      </c>
      <c r="J68" s="105">
        <f>'Hillpointe Detail'!J68+'Sandhill Detail'!J68</f>
        <v>110.98</v>
      </c>
      <c r="K68" s="105">
        <f>'Hillpointe Detail'!K68+'Sandhill Detail'!K68</f>
        <v>1679.3300000000002</v>
      </c>
      <c r="L68" s="105">
        <f>'Hillpointe Detail'!L68+'Sandhill Detail'!L68</f>
        <v>0</v>
      </c>
      <c r="M68" s="105">
        <f>'Hillpointe Detail'!M68+'Sandhill Detail'!M68</f>
        <v>225.3599999999999</v>
      </c>
      <c r="N68" s="105">
        <f>'Hillpointe Detail'!N68+'Sandhill Detail'!N68</f>
        <v>0</v>
      </c>
      <c r="O68" s="105">
        <f>'Hillpointe Detail'!O68+'Sandhill Detail'!O68</f>
        <v>0</v>
      </c>
      <c r="P68" s="105">
        <f>'Hillpointe Detail'!P68+'Sandhill Detail'!P68</f>
        <v>98</v>
      </c>
      <c r="Q68" s="105">
        <f>'Hillpointe Detail'!Q68+'Sandhill Detail'!Q68</f>
        <v>1074.95</v>
      </c>
      <c r="R68" s="105">
        <f>'Hillpointe Detail'!R68+'Sandhill Detail'!R68</f>
        <v>1438.0300000000002</v>
      </c>
      <c r="S68" s="105">
        <f>'Hillpointe Detail'!S68+'Sandhill Detail'!S68</f>
        <v>0</v>
      </c>
      <c r="T68" s="105">
        <f>'Hillpointe Detail'!T68+'Sandhill Detail'!T68</f>
        <v>0</v>
      </c>
      <c r="U68" s="105">
        <f>'Hillpointe Detail'!U68+'Sandhill Detail'!U68</f>
        <v>0</v>
      </c>
      <c r="V68" s="105">
        <f>'Hillpointe Detail'!V68+'Sandhill Detail'!V68</f>
        <v>0</v>
      </c>
      <c r="W68" s="105">
        <f>'Hillpointe Detail'!W68+'Sandhill Detail'!W68</f>
        <v>0</v>
      </c>
      <c r="X68" s="105">
        <f>'Hillpointe Detail'!X68+'Sandhill Detail'!X68</f>
        <v>2844.0099999999998</v>
      </c>
      <c r="Y68" s="105">
        <f>'Hillpointe Detail'!Y68+'Sandhill Detail'!Y68</f>
        <v>0</v>
      </c>
      <c r="Z68" s="105">
        <f>'Hillpointe Detail'!Z68+'Sandhill Detail'!Z68</f>
        <v>1490</v>
      </c>
      <c r="AA68" s="105">
        <f>'Hillpointe Detail'!AA68+'Sandhill Detail'!AA68</f>
        <v>1278.1600000000001</v>
      </c>
      <c r="AB68" s="105">
        <f>'Hillpointe Detail'!AB68+'Sandhill Detail'!AB68</f>
        <v>100.94</v>
      </c>
      <c r="AC68" s="105">
        <f>'Hillpointe Detail'!AC68+'Sandhill Detail'!AC68</f>
        <v>1107.1985000000002</v>
      </c>
      <c r="AD68" s="105">
        <f>'Hillpointe Detail'!AD68+'Sandhill Detail'!AD68</f>
        <v>1481.1709000000003</v>
      </c>
      <c r="AE68" s="105">
        <f>'Hillpointe Detail'!AE68+'Sandhill Detail'!AE68</f>
        <v>0</v>
      </c>
      <c r="AF68" s="105">
        <f>'Hillpointe Detail'!AF68+'Sandhill Detail'!AF68</f>
        <v>0</v>
      </c>
      <c r="AG68" s="105">
        <f>'Hillpointe Detail'!AG68+'Sandhill Detail'!AG68</f>
        <v>0</v>
      </c>
      <c r="AH68" s="105">
        <f>'Hillpointe Detail'!AH68+'Sandhill Detail'!AH68</f>
        <v>0</v>
      </c>
      <c r="AI68" s="105">
        <f>'Hillpointe Detail'!AI68+'Sandhill Detail'!AI68</f>
        <v>0</v>
      </c>
      <c r="AJ68" s="105">
        <f>'Hillpointe Detail'!AJ68+'Sandhill Detail'!AJ68</f>
        <v>2929.3302999999996</v>
      </c>
      <c r="AK68" s="105">
        <f>'Hillpointe Detail'!AK68+'Sandhill Detail'!AK68</f>
        <v>0</v>
      </c>
      <c r="AL68" s="105">
        <f>'Hillpointe Detail'!AL68+'Sandhill Detail'!AL68</f>
        <v>1534.7</v>
      </c>
      <c r="AM68" s="105">
        <f>'Hillpointe Detail'!AM68+'Sandhill Detail'!AM68</f>
        <v>1316.5047999999999</v>
      </c>
      <c r="AN68" s="105">
        <f>'Hillpointe Detail'!AN68+'Sandhill Detail'!AN68</f>
        <v>103.9682</v>
      </c>
      <c r="AO68" s="105">
        <f>'Hillpointe Detail'!AO68+'Sandhill Detail'!AO68</f>
        <v>1302.2481714347828</v>
      </c>
      <c r="AP68" s="105">
        <f>'Hillpointe Detail'!AP68+'Sandhill Detail'!AP68</f>
        <v>1742.1010373478264</v>
      </c>
      <c r="AQ68" s="105">
        <f>'Hillpointe Detail'!AQ68+'Sandhill Detail'!AQ68</f>
        <v>0</v>
      </c>
      <c r="AR68" s="105">
        <f>'Hillpointe Detail'!AR68+'Sandhill Detail'!AR68</f>
        <v>0</v>
      </c>
      <c r="AS68" s="105">
        <f>'Hillpointe Detail'!AS68+'Sandhill Detail'!AS68</f>
        <v>0</v>
      </c>
      <c r="AT68" s="105">
        <f>'Hillpointe Detail'!AT68+'Sandhill Detail'!AT68</f>
        <v>0</v>
      </c>
      <c r="AU68" s="105">
        <f>'Hillpointe Detail'!AU68+'Sandhill Detail'!AU68</f>
        <v>0</v>
      </c>
      <c r="AV68" s="105">
        <f>'Hillpointe Detail'!AV68+'Sandhill Detail'!AV68</f>
        <v>3527.0483729565217</v>
      </c>
      <c r="AW68" s="105">
        <f>'Hillpointe Detail'!AW68+'Sandhill Detail'!AW68</f>
        <v>0</v>
      </c>
      <c r="AX68" s="105">
        <f>'Hillpointe Detail'!AX68+'Sandhill Detail'!AX68</f>
        <v>1868.3304347826088</v>
      </c>
      <c r="AY68" s="105">
        <f>'Hillpointe Detail'!AY68+'Sandhill Detail'!AY68</f>
        <v>1548.4262278260871</v>
      </c>
      <c r="AZ68" s="105">
        <f>'Hillpointe Detail'!AZ68+'Sandhill Detail'!AZ68</f>
        <v>122.28378055478262</v>
      </c>
      <c r="BA68" s="105">
        <f>'Hillpointe Detail'!BA68+'Sandhill Detail'!BA68</f>
        <v>1341.3156165778264</v>
      </c>
      <c r="BB68" s="105">
        <f>'Hillpointe Detail'!BB68+'Sandhill Detail'!BB68</f>
        <v>1794.3640684682612</v>
      </c>
      <c r="BC68" s="105">
        <f>'Hillpointe Detail'!BC68+'Sandhill Detail'!BC68</f>
        <v>0</v>
      </c>
      <c r="BD68" s="105">
        <f>'Hillpointe Detail'!BD68+'Sandhill Detail'!BD68</f>
        <v>0</v>
      </c>
      <c r="BE68" s="105">
        <f>'Hillpointe Detail'!BE68+'Sandhill Detail'!BE68</f>
        <v>0</v>
      </c>
      <c r="BF68" s="105">
        <f>'Hillpointe Detail'!BF68+'Sandhill Detail'!BF68</f>
        <v>0</v>
      </c>
      <c r="BG68" s="105">
        <f>'Hillpointe Detail'!BG68+'Sandhill Detail'!BG68</f>
        <v>0</v>
      </c>
      <c r="BH68" s="105">
        <f>'Hillpointe Detail'!BH68+'Sandhill Detail'!BH68</f>
        <v>3632.8598241452173</v>
      </c>
      <c r="BI68" s="105">
        <f>'Hillpointe Detail'!BI68+'Sandhill Detail'!BI68</f>
        <v>0</v>
      </c>
      <c r="BJ68" s="105">
        <f>'Hillpointe Detail'!BJ68+'Sandhill Detail'!BJ68</f>
        <v>1924.380347826087</v>
      </c>
      <c r="BK68" s="105">
        <f>'Hillpointe Detail'!BK68+'Sandhill Detail'!BK68</f>
        <v>1594.8790146608699</v>
      </c>
      <c r="BL68" s="105">
        <f>'Hillpointe Detail'!BL68+'Sandhill Detail'!BL68</f>
        <v>125.9522939714261</v>
      </c>
      <c r="BM68" s="105">
        <f>'Hillpointe Detail'!BM68+'Sandhill Detail'!BM68</f>
        <v>1381.5550850751611</v>
      </c>
      <c r="BN68" s="105">
        <f>'Hillpointe Detail'!BN68+'Sandhill Detail'!BN68</f>
        <v>1848.1949905223091</v>
      </c>
      <c r="BO68" s="105">
        <f>'Hillpointe Detail'!BO68+'Sandhill Detail'!BO68</f>
        <v>0</v>
      </c>
      <c r="BP68" s="105">
        <f>'Hillpointe Detail'!BP68+'Sandhill Detail'!BP68</f>
        <v>0</v>
      </c>
      <c r="BQ68" s="105">
        <f>'Hillpointe Detail'!BQ68+'Sandhill Detail'!BQ68</f>
        <v>0</v>
      </c>
      <c r="BR68" s="105">
        <f>'Hillpointe Detail'!BR68+'Sandhill Detail'!BR68</f>
        <v>0</v>
      </c>
      <c r="BS68" s="105">
        <f>'Hillpointe Detail'!BS68+'Sandhill Detail'!BS68</f>
        <v>0</v>
      </c>
      <c r="BT68" s="105">
        <f>'Hillpointe Detail'!BT68+'Sandhill Detail'!BT68</f>
        <v>3741.8456188695741</v>
      </c>
      <c r="BU68" s="105">
        <f>'Hillpointe Detail'!BU68+'Sandhill Detail'!BU68</f>
        <v>0</v>
      </c>
      <c r="BV68" s="105">
        <f>'Hillpointe Detail'!BV68+'Sandhill Detail'!BV68</f>
        <v>1982.1117582608697</v>
      </c>
      <c r="BW68" s="105">
        <f>'Hillpointe Detail'!BW68+'Sandhill Detail'!BW68</f>
        <v>1642.7253851006958</v>
      </c>
      <c r="BX68" s="105">
        <f>'Hillpointe Detail'!BX68+'Sandhill Detail'!BX68</f>
        <v>129.73086279056889</v>
      </c>
      <c r="BY68" s="8"/>
      <c r="BZ68" s="105">
        <f t="shared" si="51"/>
        <v>1278.1600000000001</v>
      </c>
      <c r="CA68" s="105">
        <f t="shared" si="52"/>
        <v>8125.15</v>
      </c>
      <c r="CC68" s="105">
        <f t="shared" ref="CC68:CJ77" si="54">SUMIF($C$3:$BY$3,CC$3,$C68:$BY68)</f>
        <v>0</v>
      </c>
      <c r="CD68" s="105">
        <f t="shared" si="54"/>
        <v>888.32</v>
      </c>
      <c r="CE68" s="105">
        <f t="shared" si="54"/>
        <v>3249.2</v>
      </c>
      <c r="CF68" s="105">
        <f t="shared" si="54"/>
        <v>8226.09</v>
      </c>
      <c r="CG68" s="105">
        <f t="shared" si="54"/>
        <v>8472.8726999999999</v>
      </c>
      <c r="CH68" s="105">
        <f t="shared" si="54"/>
        <v>10110.438024902609</v>
      </c>
      <c r="CI68" s="105">
        <f t="shared" si="54"/>
        <v>10413.751165649688</v>
      </c>
      <c r="CJ68" s="105">
        <f t="shared" si="54"/>
        <v>10726.16370061918</v>
      </c>
      <c r="CL68" s="105"/>
      <c r="CM68" s="13"/>
    </row>
    <row r="69" spans="1:91" x14ac:dyDescent="0.3">
      <c r="A69" s="84" t="s">
        <v>32</v>
      </c>
      <c r="B69" s="10" t="s">
        <v>140</v>
      </c>
      <c r="C69" s="103">
        <v>28823.94</v>
      </c>
      <c r="D69" s="103">
        <v>14770.35</v>
      </c>
      <c r="E69" s="105">
        <f>'Hillpointe Detail'!E69+'Sandhill Detail'!E69</f>
        <v>386.59</v>
      </c>
      <c r="F69" s="105">
        <f>'Hillpointe Detail'!F69+'Sandhill Detail'!F69</f>
        <v>769.21999999999991</v>
      </c>
      <c r="G69" s="105">
        <f>'Hillpointe Detail'!G69+'Sandhill Detail'!G69</f>
        <v>52.87</v>
      </c>
      <c r="H69" s="105">
        <f>'Hillpointe Detail'!H69+'Sandhill Detail'!H69</f>
        <v>1583.81</v>
      </c>
      <c r="I69" s="105">
        <f>'Hillpointe Detail'!I69+'Sandhill Detail'!I69</f>
        <v>61.95</v>
      </c>
      <c r="J69" s="105">
        <f>'Hillpointe Detail'!J69+'Sandhill Detail'!J69</f>
        <v>181.55</v>
      </c>
      <c r="K69" s="105">
        <f>'Hillpointe Detail'!K69+'Sandhill Detail'!K69</f>
        <v>335.92</v>
      </c>
      <c r="L69" s="105">
        <f>'Hillpointe Detail'!L69+'Sandhill Detail'!L69</f>
        <v>-85</v>
      </c>
      <c r="M69" s="105">
        <f>'Hillpointe Detail'!M69+'Sandhill Detail'!M69</f>
        <v>125.28</v>
      </c>
      <c r="N69" s="105">
        <f>'Hillpointe Detail'!N69+'Sandhill Detail'!N69</f>
        <v>0</v>
      </c>
      <c r="O69" s="105">
        <f>'Hillpointe Detail'!O69+'Sandhill Detail'!O69</f>
        <v>107.88</v>
      </c>
      <c r="P69" s="105">
        <f>'Hillpointe Detail'!P69+'Sandhill Detail'!P69</f>
        <v>2800</v>
      </c>
      <c r="Q69" s="105">
        <f>'Hillpointe Detail'!Q69+'Sandhill Detail'!Q69</f>
        <v>971.77</v>
      </c>
      <c r="R69" s="105">
        <f>'Hillpointe Detail'!R69+'Sandhill Detail'!R69</f>
        <v>3141.16</v>
      </c>
      <c r="S69" s="105">
        <f>'Hillpointe Detail'!S69+'Sandhill Detail'!S69</f>
        <v>2182.09</v>
      </c>
      <c r="T69" s="105">
        <f>'Hillpointe Detail'!T69+'Sandhill Detail'!T69</f>
        <v>1084.72</v>
      </c>
      <c r="U69" s="105">
        <f>'Hillpointe Detail'!U69+'Sandhill Detail'!U69</f>
        <v>2869.7799999999997</v>
      </c>
      <c r="V69" s="105">
        <f>'Hillpointe Detail'!V69+'Sandhill Detail'!V69</f>
        <v>292.91000000000003</v>
      </c>
      <c r="W69" s="105">
        <f>'Hillpointe Detail'!W69+'Sandhill Detail'!W69</f>
        <v>1828.9899999999998</v>
      </c>
      <c r="X69" s="105">
        <f>'Hillpointe Detail'!X69+'Sandhill Detail'!X69</f>
        <v>923</v>
      </c>
      <c r="Y69" s="105">
        <f>'Hillpointe Detail'!Y69+'Sandhill Detail'!Y69</f>
        <v>1149.1300000000001</v>
      </c>
      <c r="Z69" s="105">
        <f>'Hillpointe Detail'!Z69+'Sandhill Detail'!Z69</f>
        <v>159.66</v>
      </c>
      <c r="AA69" s="105">
        <f>'Hillpointe Detail'!AA69+'Sandhill Detail'!AA69</f>
        <v>1194.5899999999999</v>
      </c>
      <c r="AB69" s="105">
        <f>'Hillpointe Detail'!AB69+'Sandhill Detail'!AB69</f>
        <v>2884</v>
      </c>
      <c r="AC69" s="105">
        <f>'Hillpointe Detail'!AC69+'Sandhill Detail'!AC69</f>
        <v>1000.9231000000001</v>
      </c>
      <c r="AD69" s="105">
        <f>'Hillpointe Detail'!AD69+'Sandhill Detail'!AD69</f>
        <v>3235.3948</v>
      </c>
      <c r="AE69" s="105">
        <f>'Hillpointe Detail'!AE69+'Sandhill Detail'!AE69</f>
        <v>2247.5527000000002</v>
      </c>
      <c r="AF69" s="105">
        <f>'Hillpointe Detail'!AF69+'Sandhill Detail'!AF69</f>
        <v>1117.2616</v>
      </c>
      <c r="AG69" s="105">
        <f>'Hillpointe Detail'!AG69+'Sandhill Detail'!AG69</f>
        <v>2955.8733999999999</v>
      </c>
      <c r="AH69" s="105">
        <f>'Hillpointe Detail'!AH69+'Sandhill Detail'!AH69</f>
        <v>301.69730000000004</v>
      </c>
      <c r="AI69" s="105">
        <f>'Hillpointe Detail'!AI69+'Sandhill Detail'!AI69</f>
        <v>1883.8597</v>
      </c>
      <c r="AJ69" s="105">
        <f>'Hillpointe Detail'!AJ69+'Sandhill Detail'!AJ69</f>
        <v>950.69000000000017</v>
      </c>
      <c r="AK69" s="105">
        <f>'Hillpointe Detail'!AK69+'Sandhill Detail'!AK69</f>
        <v>1183.6039000000001</v>
      </c>
      <c r="AL69" s="105">
        <f>'Hillpointe Detail'!AL69+'Sandhill Detail'!AL69</f>
        <v>164.44979999999998</v>
      </c>
      <c r="AM69" s="105">
        <f>'Hillpointe Detail'!AM69+'Sandhill Detail'!AM69</f>
        <v>1230.4277</v>
      </c>
      <c r="AN69" s="105">
        <f>'Hillpointe Detail'!AN69+'Sandhill Detail'!AN69</f>
        <v>2970.52</v>
      </c>
      <c r="AO69" s="105">
        <f>'Hillpointe Detail'!AO69+'Sandhill Detail'!AO69</f>
        <v>1168.8798440000003</v>
      </c>
      <c r="AP69" s="105">
        <f>'Hillpointe Detail'!AP69+'Sandhill Detail'!AP69</f>
        <v>3805.3579018260871</v>
      </c>
      <c r="AQ69" s="105">
        <f>'Hillpointe Detail'!AQ69+'Sandhill Detail'!AQ69</f>
        <v>2643.4932713913045</v>
      </c>
      <c r="AR69" s="105">
        <f>'Hillpointe Detail'!AR69+'Sandhill Detail'!AR69</f>
        <v>1314.0839238260871</v>
      </c>
      <c r="AS69" s="105">
        <f>'Hillpointe Detail'!AS69+'Sandhill Detail'!AS69</f>
        <v>3476.5957889130436</v>
      </c>
      <c r="AT69" s="105">
        <f>'Hillpointe Detail'!AT69+'Sandhill Detail'!AT69</f>
        <v>367.28366956521745</v>
      </c>
      <c r="AU69" s="105">
        <f>'Hillpointe Detail'!AU69+'Sandhill Detail'!AU69</f>
        <v>2225.6198173043481</v>
      </c>
      <c r="AV69" s="105">
        <f>'Hillpointe Detail'!AV69+'Sandhill Detail'!AV69</f>
        <v>1137.8326793913045</v>
      </c>
      <c r="AW69" s="105">
        <f>'Hillpointe Detail'!AW69+'Sandhill Detail'!AW69</f>
        <v>1392.3663152173915</v>
      </c>
      <c r="AX69" s="105">
        <f>'Hillpointe Detail'!AX69+'Sandhill Detail'!AX69</f>
        <v>198.32366973913045</v>
      </c>
      <c r="AY69" s="105">
        <f>'Hillpointe Detail'!AY69+'Sandhill Detail'!AY69</f>
        <v>1457.6378809565219</v>
      </c>
      <c r="AZ69" s="105">
        <f>'Hillpointe Detail'!AZ69+'Sandhill Detail'!AZ69</f>
        <v>3493.8223015652175</v>
      </c>
      <c r="BA69" s="105">
        <f>'Hillpointe Detail'!BA69+'Sandhill Detail'!BA69</f>
        <v>1203.9462393200001</v>
      </c>
      <c r="BB69" s="105">
        <f>'Hillpointe Detail'!BB69+'Sandhill Detail'!BB69</f>
        <v>3919.5186388808697</v>
      </c>
      <c r="BC69" s="105">
        <f>'Hillpointe Detail'!BC69+'Sandhill Detail'!BC69</f>
        <v>2722.7980695330439</v>
      </c>
      <c r="BD69" s="105">
        <f>'Hillpointe Detail'!BD69+'Sandhill Detail'!BD69</f>
        <v>1353.5064415408697</v>
      </c>
      <c r="BE69" s="105">
        <f>'Hillpointe Detail'!BE69+'Sandhill Detail'!BE69</f>
        <v>3580.8936625804354</v>
      </c>
      <c r="BF69" s="105">
        <f>'Hillpointe Detail'!BF69+'Sandhill Detail'!BF69</f>
        <v>378.302179652174</v>
      </c>
      <c r="BG69" s="105">
        <f>'Hillpointe Detail'!BG69+'Sandhill Detail'!BG69</f>
        <v>2292.3884118234782</v>
      </c>
      <c r="BH69" s="105">
        <f>'Hillpointe Detail'!BH69+'Sandhill Detail'!BH69</f>
        <v>1171.9676597730436</v>
      </c>
      <c r="BI69" s="105">
        <f>'Hillpointe Detail'!BI69+'Sandhill Detail'!BI69</f>
        <v>1434.1373046739131</v>
      </c>
      <c r="BJ69" s="105">
        <f>'Hillpointe Detail'!BJ69+'Sandhill Detail'!BJ69</f>
        <v>204.27337983130437</v>
      </c>
      <c r="BK69" s="105">
        <f>'Hillpointe Detail'!BK69+'Sandhill Detail'!BK69</f>
        <v>1501.3670173852174</v>
      </c>
      <c r="BL69" s="105">
        <f>'Hillpointe Detail'!BL69+'Sandhill Detail'!BL69</f>
        <v>3598.6369706121741</v>
      </c>
      <c r="BM69" s="105">
        <f>'Hillpointe Detail'!BM69+'Sandhill Detail'!BM69</f>
        <v>1240.0646264996003</v>
      </c>
      <c r="BN69" s="105">
        <f>'Hillpointe Detail'!BN69+'Sandhill Detail'!BN69</f>
        <v>4037.1041980472964</v>
      </c>
      <c r="BO69" s="105">
        <f>'Hillpointe Detail'!BO69+'Sandhill Detail'!BO69</f>
        <v>2804.4820116190353</v>
      </c>
      <c r="BP69" s="105">
        <f>'Hillpointe Detail'!BP69+'Sandhill Detail'!BP69</f>
        <v>1394.1116347870959</v>
      </c>
      <c r="BQ69" s="105">
        <f>'Hillpointe Detail'!BQ69+'Sandhill Detail'!BQ69</f>
        <v>3688.3204724578486</v>
      </c>
      <c r="BR69" s="105">
        <f>'Hillpointe Detail'!BR69+'Sandhill Detail'!BR69</f>
        <v>389.65124504173923</v>
      </c>
      <c r="BS69" s="105">
        <f>'Hillpointe Detail'!BS69+'Sandhill Detail'!BS69</f>
        <v>2361.1600641781829</v>
      </c>
      <c r="BT69" s="105">
        <f>'Hillpointe Detail'!BT69+'Sandhill Detail'!BT69</f>
        <v>1207.126689566235</v>
      </c>
      <c r="BU69" s="105">
        <f>'Hillpointe Detail'!BU69+'Sandhill Detail'!BU69</f>
        <v>1477.1614238141306</v>
      </c>
      <c r="BV69" s="105">
        <f>'Hillpointe Detail'!BV69+'Sandhill Detail'!BV69</f>
        <v>210.40158122624351</v>
      </c>
      <c r="BW69" s="105">
        <f>'Hillpointe Detail'!BW69+'Sandhill Detail'!BW69</f>
        <v>1546.4080279067739</v>
      </c>
      <c r="BX69" s="105">
        <f>'Hillpointe Detail'!BX69+'Sandhill Detail'!BX69</f>
        <v>3706.5960797305393</v>
      </c>
      <c r="BY69" s="8"/>
      <c r="BZ69" s="105">
        <f t="shared" si="51"/>
        <v>1194.5899999999999</v>
      </c>
      <c r="CA69" s="105">
        <f t="shared" si="52"/>
        <v>15797.8</v>
      </c>
      <c r="CC69" s="105">
        <f t="shared" si="54"/>
        <v>28823.94</v>
      </c>
      <c r="CD69" s="105">
        <f t="shared" si="54"/>
        <v>14770.35</v>
      </c>
      <c r="CE69" s="105">
        <f t="shared" si="54"/>
        <v>6320.07</v>
      </c>
      <c r="CF69" s="105">
        <f t="shared" si="54"/>
        <v>18681.8</v>
      </c>
      <c r="CG69" s="105">
        <f t="shared" si="54"/>
        <v>19242.254000000001</v>
      </c>
      <c r="CH69" s="105">
        <f t="shared" si="54"/>
        <v>22681.297063695652</v>
      </c>
      <c r="CI69" s="105">
        <f t="shared" si="54"/>
        <v>23361.735975606527</v>
      </c>
      <c r="CJ69" s="105">
        <f t="shared" si="54"/>
        <v>24062.588054874719</v>
      </c>
      <c r="CL69" s="105"/>
      <c r="CM69" s="13"/>
    </row>
    <row r="70" spans="1:91" x14ac:dyDescent="0.3">
      <c r="A70" s="84" t="s">
        <v>33</v>
      </c>
      <c r="B70" s="10" t="s">
        <v>140</v>
      </c>
      <c r="C70" s="103">
        <v>-614.39</v>
      </c>
      <c r="D70" s="103">
        <v>1555.31</v>
      </c>
      <c r="E70" s="105">
        <f>'Hillpointe Detail'!E70+'Sandhill Detail'!E70</f>
        <v>0</v>
      </c>
      <c r="F70" s="105">
        <f>'Hillpointe Detail'!F70+'Sandhill Detail'!F70</f>
        <v>113.91</v>
      </c>
      <c r="G70" s="105">
        <f>'Hillpointe Detail'!G70+'Sandhill Detail'!G70</f>
        <v>0</v>
      </c>
      <c r="H70" s="105">
        <f>'Hillpointe Detail'!H70+'Sandhill Detail'!H70</f>
        <v>7027.02</v>
      </c>
      <c r="I70" s="105">
        <f>'Hillpointe Detail'!I70+'Sandhill Detail'!I70</f>
        <v>240.96</v>
      </c>
      <c r="J70" s="105">
        <f>'Hillpointe Detail'!J70+'Sandhill Detail'!J70</f>
        <v>261.95</v>
      </c>
      <c r="K70" s="105">
        <f>'Hillpointe Detail'!K70+'Sandhill Detail'!K70</f>
        <v>236.4</v>
      </c>
      <c r="L70" s="105">
        <f>'Hillpointe Detail'!L70+'Sandhill Detail'!L70</f>
        <v>127.77999999999906</v>
      </c>
      <c r="M70" s="105">
        <f>'Hillpointe Detail'!M70+'Sandhill Detail'!M70</f>
        <v>-30.410000000000309</v>
      </c>
      <c r="N70" s="105">
        <f>'Hillpointe Detail'!N70+'Sandhill Detail'!N70</f>
        <v>158.25</v>
      </c>
      <c r="O70" s="105">
        <f>'Hillpointe Detail'!O70+'Sandhill Detail'!O70</f>
        <v>0</v>
      </c>
      <c r="P70" s="105">
        <f>'Hillpointe Detail'!P70+'Sandhill Detail'!P70</f>
        <v>0</v>
      </c>
      <c r="Q70" s="105">
        <f>'Hillpointe Detail'!Q70+'Sandhill Detail'!Q70</f>
        <v>2804.38</v>
      </c>
      <c r="R70" s="105">
        <f>'Hillpointe Detail'!R70+'Sandhill Detail'!R70</f>
        <v>-995.01</v>
      </c>
      <c r="S70" s="105">
        <f>'Hillpointe Detail'!S70+'Sandhill Detail'!S70</f>
        <v>0</v>
      </c>
      <c r="T70" s="105">
        <f>'Hillpointe Detail'!T70+'Sandhill Detail'!T70</f>
        <v>0</v>
      </c>
      <c r="U70" s="105">
        <f>'Hillpointe Detail'!U70+'Sandhill Detail'!U70</f>
        <v>85.62</v>
      </c>
      <c r="V70" s="105">
        <f>'Hillpointe Detail'!V70+'Sandhill Detail'!V70</f>
        <v>164.72</v>
      </c>
      <c r="W70" s="105">
        <f>'Hillpointe Detail'!W70+'Sandhill Detail'!W70</f>
        <v>0</v>
      </c>
      <c r="X70" s="105">
        <f>'Hillpointe Detail'!X70+'Sandhill Detail'!X70</f>
        <v>523</v>
      </c>
      <c r="Y70" s="105">
        <f>'Hillpointe Detail'!Y70+'Sandhill Detail'!Y70</f>
        <v>562.69000000000005</v>
      </c>
      <c r="Z70" s="105">
        <f>'Hillpointe Detail'!Z70+'Sandhill Detail'!Z70</f>
        <v>208.42000000000002</v>
      </c>
      <c r="AA70" s="105">
        <f>'Hillpointe Detail'!AA70+'Sandhill Detail'!AA70</f>
        <v>423.4300000000008</v>
      </c>
      <c r="AB70" s="105">
        <f>'Hillpointe Detail'!AB70+'Sandhill Detail'!AB70</f>
        <v>0</v>
      </c>
      <c r="AC70" s="105">
        <f>'Hillpointe Detail'!AC70+'Sandhill Detail'!AC70</f>
        <v>2888.5113999999999</v>
      </c>
      <c r="AD70" s="105">
        <f>'Hillpointe Detail'!AD70+'Sandhill Detail'!AD70</f>
        <v>-1024.8603000000001</v>
      </c>
      <c r="AE70" s="105">
        <f>'Hillpointe Detail'!AE70+'Sandhill Detail'!AE70</f>
        <v>0</v>
      </c>
      <c r="AF70" s="105">
        <f>'Hillpointe Detail'!AF70+'Sandhill Detail'!AF70</f>
        <v>0</v>
      </c>
      <c r="AG70" s="105">
        <f>'Hillpointe Detail'!AG70+'Sandhill Detail'!AG70</f>
        <v>88.188600000000008</v>
      </c>
      <c r="AH70" s="105">
        <f>'Hillpointe Detail'!AH70+'Sandhill Detail'!AH70</f>
        <v>169.66160000000002</v>
      </c>
      <c r="AI70" s="105">
        <f>'Hillpointe Detail'!AI70+'Sandhill Detail'!AI70</f>
        <v>0</v>
      </c>
      <c r="AJ70" s="105">
        <f>'Hillpointe Detail'!AJ70+'Sandhill Detail'!AJ70</f>
        <v>538.69000000000005</v>
      </c>
      <c r="AK70" s="105">
        <f>'Hillpointe Detail'!AK70+'Sandhill Detail'!AK70</f>
        <v>579.5707000000001</v>
      </c>
      <c r="AL70" s="105">
        <f>'Hillpointe Detail'!AL70+'Sandhill Detail'!AL70</f>
        <v>214.67259999999999</v>
      </c>
      <c r="AM70" s="105">
        <f>'Hillpointe Detail'!AM70+'Sandhill Detail'!AM70</f>
        <v>436.1329000000008</v>
      </c>
      <c r="AN70" s="105">
        <f>'Hillpointe Detail'!AN70+'Sandhill Detail'!AN70</f>
        <v>0</v>
      </c>
      <c r="AO70" s="105">
        <f>'Hillpointe Detail'!AO70+'Sandhill Detail'!AO70</f>
        <v>2975.1667419999999</v>
      </c>
      <c r="AP70" s="105">
        <f>'Hillpointe Detail'!AP70+'Sandhill Detail'!AP70</f>
        <v>-1055.6061090000001</v>
      </c>
      <c r="AQ70" s="105">
        <f>'Hillpointe Detail'!AQ70+'Sandhill Detail'!AQ70</f>
        <v>0</v>
      </c>
      <c r="AR70" s="105">
        <f>'Hillpointe Detail'!AR70+'Sandhill Detail'!AR70</f>
        <v>0</v>
      </c>
      <c r="AS70" s="105">
        <f>'Hillpointe Detail'!AS70+'Sandhill Detail'!AS70</f>
        <v>90.834258000000005</v>
      </c>
      <c r="AT70" s="105">
        <f>'Hillpointe Detail'!AT70+'Sandhill Detail'!AT70</f>
        <v>174.75144800000001</v>
      </c>
      <c r="AU70" s="105">
        <f>'Hillpointe Detail'!AU70+'Sandhill Detail'!AU70</f>
        <v>0</v>
      </c>
      <c r="AV70" s="105">
        <f>'Hillpointe Detail'!AV70+'Sandhill Detail'!AV70</f>
        <v>554.85070000000007</v>
      </c>
      <c r="AW70" s="105">
        <f>'Hillpointe Detail'!AW70+'Sandhill Detail'!AW70</f>
        <v>596.95782100000008</v>
      </c>
      <c r="AX70" s="105">
        <f>'Hillpointe Detail'!AX70+'Sandhill Detail'!AX70</f>
        <v>221.11277800000002</v>
      </c>
      <c r="AY70" s="105">
        <f>'Hillpointe Detail'!AY70+'Sandhill Detail'!AY70</f>
        <v>449.21688700000084</v>
      </c>
      <c r="AZ70" s="105">
        <f>'Hillpointe Detail'!AZ70+'Sandhill Detail'!AZ70</f>
        <v>0</v>
      </c>
      <c r="BA70" s="105">
        <f>'Hillpointe Detail'!BA70+'Sandhill Detail'!BA70</f>
        <v>3064.4217442599997</v>
      </c>
      <c r="BB70" s="105">
        <f>'Hillpointe Detail'!BB70+'Sandhill Detail'!BB70</f>
        <v>-1087.2742922700002</v>
      </c>
      <c r="BC70" s="105">
        <f>'Hillpointe Detail'!BC70+'Sandhill Detail'!BC70</f>
        <v>0</v>
      </c>
      <c r="BD70" s="105">
        <f>'Hillpointe Detail'!BD70+'Sandhill Detail'!BD70</f>
        <v>0</v>
      </c>
      <c r="BE70" s="105">
        <f>'Hillpointe Detail'!BE70+'Sandhill Detail'!BE70</f>
        <v>93.559285740000007</v>
      </c>
      <c r="BF70" s="105">
        <f>'Hillpointe Detail'!BF70+'Sandhill Detail'!BF70</f>
        <v>179.99399144</v>
      </c>
      <c r="BG70" s="105">
        <f>'Hillpointe Detail'!BG70+'Sandhill Detail'!BG70</f>
        <v>0</v>
      </c>
      <c r="BH70" s="105">
        <f>'Hillpointe Detail'!BH70+'Sandhill Detail'!BH70</f>
        <v>571.49622099999999</v>
      </c>
      <c r="BI70" s="105">
        <f>'Hillpointe Detail'!BI70+'Sandhill Detail'!BI70</f>
        <v>614.86655563000011</v>
      </c>
      <c r="BJ70" s="105">
        <f>'Hillpointe Detail'!BJ70+'Sandhill Detail'!BJ70</f>
        <v>227.74616134000001</v>
      </c>
      <c r="BK70" s="105">
        <f>'Hillpointe Detail'!BK70+'Sandhill Detail'!BK70</f>
        <v>462.6933936100009</v>
      </c>
      <c r="BL70" s="105">
        <f>'Hillpointe Detail'!BL70+'Sandhill Detail'!BL70</f>
        <v>0</v>
      </c>
      <c r="BM70" s="105">
        <f>'Hillpointe Detail'!BM70+'Sandhill Detail'!BM70</f>
        <v>3156.3543965877998</v>
      </c>
      <c r="BN70" s="105">
        <f>'Hillpointe Detail'!BN70+'Sandhill Detail'!BN70</f>
        <v>-1119.8925210381001</v>
      </c>
      <c r="BO70" s="105">
        <f>'Hillpointe Detail'!BO70+'Sandhill Detail'!BO70</f>
        <v>0</v>
      </c>
      <c r="BP70" s="105">
        <f>'Hillpointe Detail'!BP70+'Sandhill Detail'!BP70</f>
        <v>0</v>
      </c>
      <c r="BQ70" s="105">
        <f>'Hillpointe Detail'!BQ70+'Sandhill Detail'!BQ70</f>
        <v>96.366064312199995</v>
      </c>
      <c r="BR70" s="105">
        <f>'Hillpointe Detail'!BR70+'Sandhill Detail'!BR70</f>
        <v>185.3938111832</v>
      </c>
      <c r="BS70" s="105">
        <f>'Hillpointe Detail'!BS70+'Sandhill Detail'!BS70</f>
        <v>0</v>
      </c>
      <c r="BT70" s="105">
        <f>'Hillpointe Detail'!BT70+'Sandhill Detail'!BT70</f>
        <v>588.64110763000008</v>
      </c>
      <c r="BU70" s="105">
        <f>'Hillpointe Detail'!BU70+'Sandhill Detail'!BU70</f>
        <v>633.31255229890007</v>
      </c>
      <c r="BV70" s="105">
        <f>'Hillpointe Detail'!BV70+'Sandhill Detail'!BV70</f>
        <v>234.57854618020005</v>
      </c>
      <c r="BW70" s="105">
        <f>'Hillpointe Detail'!BW70+'Sandhill Detail'!BW70</f>
        <v>476.57419541830092</v>
      </c>
      <c r="BX70" s="105">
        <f>'Hillpointe Detail'!BX70+'Sandhill Detail'!BX70</f>
        <v>0</v>
      </c>
      <c r="BY70" s="8"/>
      <c r="BZ70" s="105">
        <f t="shared" si="51"/>
        <v>423.4300000000008</v>
      </c>
      <c r="CA70" s="105">
        <f t="shared" si="52"/>
        <v>3777.2500000000009</v>
      </c>
      <c r="CC70" s="105">
        <f t="shared" si="54"/>
        <v>-614.39</v>
      </c>
      <c r="CD70" s="105">
        <f t="shared" si="54"/>
        <v>1555.31</v>
      </c>
      <c r="CE70" s="105">
        <f t="shared" si="54"/>
        <v>8135.8599999999988</v>
      </c>
      <c r="CF70" s="105">
        <f t="shared" si="54"/>
        <v>3777.2500000000009</v>
      </c>
      <c r="CG70" s="105">
        <f t="shared" si="54"/>
        <v>3890.567500000001</v>
      </c>
      <c r="CH70" s="105">
        <f t="shared" si="54"/>
        <v>4007.2845250000009</v>
      </c>
      <c r="CI70" s="105">
        <f t="shared" si="54"/>
        <v>4127.5030607500012</v>
      </c>
      <c r="CJ70" s="105">
        <f t="shared" si="54"/>
        <v>4251.3281525725006</v>
      </c>
      <c r="CL70" s="105"/>
      <c r="CM70" s="13"/>
    </row>
    <row r="71" spans="1:91" x14ac:dyDescent="0.3">
      <c r="A71" s="84" t="s">
        <v>34</v>
      </c>
      <c r="B71" s="10" t="s">
        <v>141</v>
      </c>
      <c r="C71" s="103">
        <v>44195.98</v>
      </c>
      <c r="D71" s="103">
        <v>26425.81</v>
      </c>
      <c r="E71" s="105">
        <f>'Hillpointe Detail'!E71+'Sandhill Detail'!E71</f>
        <v>0</v>
      </c>
      <c r="F71" s="105">
        <f>'Hillpointe Detail'!F71+'Sandhill Detail'!F71</f>
        <v>4825.3900000000003</v>
      </c>
      <c r="G71" s="105">
        <f>'Hillpointe Detail'!G71+'Sandhill Detail'!G71</f>
        <v>47062.329999999994</v>
      </c>
      <c r="H71" s="105">
        <f>'Hillpointe Detail'!H71+'Sandhill Detail'!H71</f>
        <v>7511.65</v>
      </c>
      <c r="I71" s="105">
        <f>'Hillpointe Detail'!I71+'Sandhill Detail'!I71</f>
        <v>2725</v>
      </c>
      <c r="J71" s="105">
        <f>'Hillpointe Detail'!J71+'Sandhill Detail'!J71</f>
        <v>0</v>
      </c>
      <c r="K71" s="105">
        <f>'Hillpointe Detail'!K71+'Sandhill Detail'!K71</f>
        <v>0</v>
      </c>
      <c r="L71" s="105">
        <f>'Hillpointe Detail'!L71+'Sandhill Detail'!L71</f>
        <v>1255.720000000003</v>
      </c>
      <c r="M71" s="105">
        <f>'Hillpointe Detail'!M71+'Sandhill Detail'!M71</f>
        <v>0</v>
      </c>
      <c r="N71" s="105">
        <f>'Hillpointe Detail'!N71+'Sandhill Detail'!N71</f>
        <v>1249</v>
      </c>
      <c r="O71" s="105">
        <f>'Hillpointe Detail'!O71+'Sandhill Detail'!O71</f>
        <v>0</v>
      </c>
      <c r="P71" s="105">
        <f>'Hillpointe Detail'!P71+'Sandhill Detail'!P71</f>
        <v>0</v>
      </c>
      <c r="Q71" s="105">
        <f>'Hillpointe Detail'!Q71+'Sandhill Detail'!Q71</f>
        <v>0</v>
      </c>
      <c r="R71" s="105">
        <f>'Hillpointe Detail'!R71+'Sandhill Detail'!R71</f>
        <v>13763.37</v>
      </c>
      <c r="S71" s="105">
        <f>'Hillpointe Detail'!S71+'Sandhill Detail'!S71</f>
        <v>71820.22</v>
      </c>
      <c r="T71" s="105">
        <f>'Hillpointe Detail'!T71+'Sandhill Detail'!T71</f>
        <v>6619.09</v>
      </c>
      <c r="U71" s="105">
        <f>'Hillpointe Detail'!U71+'Sandhill Detail'!U71</f>
        <v>58174.82</v>
      </c>
      <c r="V71" s="105">
        <f>'Hillpointe Detail'!V71+'Sandhill Detail'!V71</f>
        <v>0</v>
      </c>
      <c r="W71" s="105">
        <f>'Hillpointe Detail'!W71+'Sandhill Detail'!W71</f>
        <v>986.2</v>
      </c>
      <c r="X71" s="105">
        <f>'Hillpointe Detail'!X71+'Sandhill Detail'!X71</f>
        <v>0</v>
      </c>
      <c r="Y71" s="105">
        <f>'Hillpointe Detail'!Y71+'Sandhill Detail'!Y71</f>
        <v>777</v>
      </c>
      <c r="Z71" s="105">
        <f>'Hillpointe Detail'!Z71+'Sandhill Detail'!Z71</f>
        <v>1078</v>
      </c>
      <c r="AA71" s="105">
        <f>'Hillpointe Detail'!AA71+'Sandhill Detail'!AA71</f>
        <v>800</v>
      </c>
      <c r="AB71" s="105">
        <f>'Hillpointe Detail'!AB71+'Sandhill Detail'!AB71</f>
        <v>0</v>
      </c>
      <c r="AC71" s="105">
        <f>'Hillpointe Detail'!AC71+'Sandhill Detail'!AC71</f>
        <v>0</v>
      </c>
      <c r="AD71" s="105">
        <f>'Hillpointe Detail'!AD71+'Sandhill Detail'!AD71</f>
        <v>14176.271100000002</v>
      </c>
      <c r="AE71" s="105">
        <f>'Hillpointe Detail'!AE71+'Sandhill Detail'!AE71</f>
        <v>73974.8266</v>
      </c>
      <c r="AF71" s="105">
        <f>'Hillpointe Detail'!AF71+'Sandhill Detail'!AF71</f>
        <v>6817.6627000000008</v>
      </c>
      <c r="AG71" s="105">
        <f>'Hillpointe Detail'!AG71+'Sandhill Detail'!AG71</f>
        <v>0</v>
      </c>
      <c r="AH71" s="105">
        <f>'Hillpointe Detail'!AH71+'Sandhill Detail'!AH71</f>
        <v>0</v>
      </c>
      <c r="AI71" s="105">
        <f>'Hillpointe Detail'!AI71+'Sandhill Detail'!AI71</f>
        <v>1015.7860000000001</v>
      </c>
      <c r="AJ71" s="105">
        <f>'Hillpointe Detail'!AJ71+'Sandhill Detail'!AJ71</f>
        <v>0</v>
      </c>
      <c r="AK71" s="105">
        <f>'Hillpointe Detail'!AK71+'Sandhill Detail'!AK71</f>
        <v>800.31</v>
      </c>
      <c r="AL71" s="105">
        <f>'Hillpointe Detail'!AL71+'Sandhill Detail'!AL71</f>
        <v>1110.3399999999999</v>
      </c>
      <c r="AM71" s="105">
        <f>'Hillpointe Detail'!AM71+'Sandhill Detail'!AM71</f>
        <v>824</v>
      </c>
      <c r="AN71" s="105">
        <f>'Hillpointe Detail'!AN71+'Sandhill Detail'!AN71</f>
        <v>0</v>
      </c>
      <c r="AO71" s="105">
        <f>'Hillpointe Detail'!AO71+'Sandhill Detail'!AO71</f>
        <v>0</v>
      </c>
      <c r="AP71" s="105">
        <f>'Hillpointe Detail'!AP71+'Sandhill Detail'!AP71</f>
        <v>16673.637250347831</v>
      </c>
      <c r="AQ71" s="105">
        <f>'Hillpointe Detail'!AQ71+'Sandhill Detail'!AQ71</f>
        <v>87090.290785130434</v>
      </c>
      <c r="AR71" s="105">
        <f>'Hillpointe Detail'!AR71+'Sandhill Detail'!AR71</f>
        <v>8053.7430713478279</v>
      </c>
      <c r="AS71" s="105">
        <f>'Hillpointe Detail'!AS71+'Sandhill Detail'!AS71</f>
        <v>0</v>
      </c>
      <c r="AT71" s="105">
        <f>'Hillpointe Detail'!AT71+'Sandhill Detail'!AT71</f>
        <v>0</v>
      </c>
      <c r="AU71" s="105">
        <f>'Hillpointe Detail'!AU71+'Sandhill Detail'!AU71</f>
        <v>1236.6090434782611</v>
      </c>
      <c r="AV71" s="105">
        <f>'Hillpointe Detail'!AV71+'Sandhill Detail'!AV71</f>
        <v>0</v>
      </c>
      <c r="AW71" s="105">
        <f>'Hillpointe Detail'!AW71+'Sandhill Detail'!AW71</f>
        <v>941.29678513043484</v>
      </c>
      <c r="AX71" s="105">
        <f>'Hillpointe Detail'!AX71+'Sandhill Detail'!AX71</f>
        <v>1305.9432874782608</v>
      </c>
      <c r="AY71" s="105">
        <f>'Hillpointe Detail'!AY71+'Sandhill Detail'!AY71</f>
        <v>969.1601391304348</v>
      </c>
      <c r="AZ71" s="105">
        <f>'Hillpointe Detail'!AZ71+'Sandhill Detail'!AZ71</f>
        <v>0</v>
      </c>
      <c r="BA71" s="105">
        <f>'Hillpointe Detail'!BA71+'Sandhill Detail'!BA71</f>
        <v>0</v>
      </c>
      <c r="BB71" s="105">
        <f>'Hillpointe Detail'!BB71+'Sandhill Detail'!BB71</f>
        <v>17173.846367858267</v>
      </c>
      <c r="BC71" s="105">
        <f>'Hillpointe Detail'!BC71+'Sandhill Detail'!BC71</f>
        <v>89702.999508684356</v>
      </c>
      <c r="BD71" s="105">
        <f>'Hillpointe Detail'!BD71+'Sandhill Detail'!BD71</f>
        <v>8295.3553634882628</v>
      </c>
      <c r="BE71" s="105">
        <f>'Hillpointe Detail'!BE71+'Sandhill Detail'!BE71</f>
        <v>0</v>
      </c>
      <c r="BF71" s="105">
        <f>'Hillpointe Detail'!BF71+'Sandhill Detail'!BF71</f>
        <v>0</v>
      </c>
      <c r="BG71" s="105">
        <f>'Hillpointe Detail'!BG71+'Sandhill Detail'!BG71</f>
        <v>1273.707314782609</v>
      </c>
      <c r="BH71" s="105">
        <f>'Hillpointe Detail'!BH71+'Sandhill Detail'!BH71</f>
        <v>0</v>
      </c>
      <c r="BI71" s="105">
        <f>'Hillpointe Detail'!BI71+'Sandhill Detail'!BI71</f>
        <v>969.53568868434786</v>
      </c>
      <c r="BJ71" s="105">
        <f>'Hillpointe Detail'!BJ71+'Sandhill Detail'!BJ71</f>
        <v>1345.1215861026087</v>
      </c>
      <c r="BK71" s="105">
        <f>'Hillpointe Detail'!BK71+'Sandhill Detail'!BK71</f>
        <v>998.23494330434778</v>
      </c>
      <c r="BL71" s="105">
        <f>'Hillpointe Detail'!BL71+'Sandhill Detail'!BL71</f>
        <v>0</v>
      </c>
      <c r="BM71" s="105">
        <f>'Hillpointe Detail'!BM71+'Sandhill Detail'!BM71</f>
        <v>0</v>
      </c>
      <c r="BN71" s="105">
        <f>'Hillpointe Detail'!BN71+'Sandhill Detail'!BN71</f>
        <v>17689.061758894015</v>
      </c>
      <c r="BO71" s="105">
        <f>'Hillpointe Detail'!BO71+'Sandhill Detail'!BO71</f>
        <v>92394.089493944877</v>
      </c>
      <c r="BP71" s="105">
        <f>'Hillpointe Detail'!BP71+'Sandhill Detail'!BP71</f>
        <v>8544.2160243929102</v>
      </c>
      <c r="BQ71" s="105">
        <f>'Hillpointe Detail'!BQ71+'Sandhill Detail'!BQ71</f>
        <v>0</v>
      </c>
      <c r="BR71" s="105">
        <f>'Hillpointe Detail'!BR71+'Sandhill Detail'!BR71</f>
        <v>0</v>
      </c>
      <c r="BS71" s="105">
        <f>'Hillpointe Detail'!BS71+'Sandhill Detail'!BS71</f>
        <v>1311.9185342260873</v>
      </c>
      <c r="BT71" s="105">
        <f>'Hillpointe Detail'!BT71+'Sandhill Detail'!BT71</f>
        <v>0</v>
      </c>
      <c r="BU71" s="105">
        <f>'Hillpointe Detail'!BU71+'Sandhill Detail'!BU71</f>
        <v>998.62175934487834</v>
      </c>
      <c r="BV71" s="105">
        <f>'Hillpointe Detail'!BV71+'Sandhill Detail'!BV71</f>
        <v>1385.475233685687</v>
      </c>
      <c r="BW71" s="105">
        <f>'Hillpointe Detail'!BW71+'Sandhill Detail'!BW71</f>
        <v>1028.1819916034783</v>
      </c>
      <c r="BX71" s="105">
        <f>'Hillpointe Detail'!BX71+'Sandhill Detail'!BX71</f>
        <v>0</v>
      </c>
      <c r="BY71" s="8"/>
      <c r="BZ71" s="105">
        <f t="shared" si="51"/>
        <v>800</v>
      </c>
      <c r="CA71" s="105">
        <f t="shared" si="52"/>
        <v>154018.70000000001</v>
      </c>
      <c r="CC71" s="105">
        <f t="shared" si="54"/>
        <v>44195.98</v>
      </c>
      <c r="CD71" s="105">
        <f t="shared" si="54"/>
        <v>26425.81</v>
      </c>
      <c r="CE71" s="105">
        <f t="shared" si="54"/>
        <v>64629.09</v>
      </c>
      <c r="CF71" s="105">
        <f t="shared" si="54"/>
        <v>154018.70000000001</v>
      </c>
      <c r="CG71" s="105">
        <f t="shared" si="54"/>
        <v>98719.196399999986</v>
      </c>
      <c r="CH71" s="105">
        <f t="shared" si="54"/>
        <v>116270.68036204349</v>
      </c>
      <c r="CI71" s="105">
        <f t="shared" si="54"/>
        <v>119758.8007729048</v>
      </c>
      <c r="CJ71" s="105">
        <f t="shared" si="54"/>
        <v>123351.56479609195</v>
      </c>
      <c r="CL71" s="105"/>
      <c r="CM71" s="13"/>
    </row>
    <row r="72" spans="1:91" x14ac:dyDescent="0.3">
      <c r="A72" s="84" t="s">
        <v>324</v>
      </c>
      <c r="B72" s="10" t="s">
        <v>141</v>
      </c>
      <c r="C72" s="103">
        <v>0</v>
      </c>
      <c r="D72" s="103">
        <v>0</v>
      </c>
      <c r="E72" s="105">
        <f>'Hillpointe Detail'!E72+'Sandhill Detail'!E72</f>
        <v>0</v>
      </c>
      <c r="F72" s="105">
        <f>'Hillpointe Detail'!F72+'Sandhill Detail'!F72</f>
        <v>0</v>
      </c>
      <c r="G72" s="105">
        <f>'Hillpointe Detail'!G72+'Sandhill Detail'!G72</f>
        <v>0</v>
      </c>
      <c r="H72" s="105">
        <f>'Hillpointe Detail'!H72+'Sandhill Detail'!H72</f>
        <v>0</v>
      </c>
      <c r="I72" s="105">
        <f>'Hillpointe Detail'!I72+'Sandhill Detail'!I72</f>
        <v>0</v>
      </c>
      <c r="J72" s="105">
        <f>'Hillpointe Detail'!J72+'Sandhill Detail'!J72</f>
        <v>0</v>
      </c>
      <c r="K72" s="105">
        <f>'Hillpointe Detail'!K72+'Sandhill Detail'!K72</f>
        <v>0</v>
      </c>
      <c r="L72" s="105">
        <f>'Hillpointe Detail'!L72+'Sandhill Detail'!L72</f>
        <v>0</v>
      </c>
      <c r="M72" s="105">
        <f>'Hillpointe Detail'!M72+'Sandhill Detail'!M72</f>
        <v>225</v>
      </c>
      <c r="N72" s="105">
        <f>'Hillpointe Detail'!N72+'Sandhill Detail'!N72</f>
        <v>0</v>
      </c>
      <c r="O72" s="105">
        <f>'Hillpointe Detail'!O72+'Sandhill Detail'!O72</f>
        <v>0</v>
      </c>
      <c r="P72" s="105">
        <f>'Hillpointe Detail'!P72+'Sandhill Detail'!P72</f>
        <v>0</v>
      </c>
      <c r="Q72" s="105">
        <f>'Hillpointe Detail'!Q72+'Sandhill Detail'!Q72</f>
        <v>0</v>
      </c>
      <c r="R72" s="105">
        <f>'Hillpointe Detail'!R72+'Sandhill Detail'!R72</f>
        <v>0</v>
      </c>
      <c r="S72" s="105">
        <f>'Hillpointe Detail'!S72+'Sandhill Detail'!S72</f>
        <v>0</v>
      </c>
      <c r="T72" s="105">
        <f>'Hillpointe Detail'!T72+'Sandhill Detail'!T72</f>
        <v>0</v>
      </c>
      <c r="U72" s="105">
        <f>'Hillpointe Detail'!U72+'Sandhill Detail'!U72</f>
        <v>1234.69</v>
      </c>
      <c r="V72" s="105">
        <f>'Hillpointe Detail'!V72+'Sandhill Detail'!V72</f>
        <v>0</v>
      </c>
      <c r="W72" s="105">
        <f>'Hillpointe Detail'!W72+'Sandhill Detail'!W72</f>
        <v>0</v>
      </c>
      <c r="X72" s="105">
        <f>'Hillpointe Detail'!X72+'Sandhill Detail'!X72</f>
        <v>0</v>
      </c>
      <c r="Y72" s="105">
        <f>'Hillpointe Detail'!Y72+'Sandhill Detail'!Y72</f>
        <v>0</v>
      </c>
      <c r="Z72" s="105">
        <f>'Hillpointe Detail'!Z72+'Sandhill Detail'!Z72</f>
        <v>0</v>
      </c>
      <c r="AA72" s="105">
        <f>'Hillpointe Detail'!AA72+'Sandhill Detail'!AA72</f>
        <v>1509.48</v>
      </c>
      <c r="AB72" s="105">
        <f>'Hillpointe Detail'!AB72+'Sandhill Detail'!AB72</f>
        <v>0</v>
      </c>
      <c r="AC72" s="105">
        <f>'Hillpointe Detail'!AC72+'Sandhill Detail'!AC72</f>
        <v>0</v>
      </c>
      <c r="AD72" s="105">
        <f>'Hillpointe Detail'!AD72+'Sandhill Detail'!AD72</f>
        <v>0</v>
      </c>
      <c r="AE72" s="105">
        <f>'Hillpointe Detail'!AE72+'Sandhill Detail'!AE72</f>
        <v>0</v>
      </c>
      <c r="AF72" s="105">
        <f>'Hillpointe Detail'!AF72+'Sandhill Detail'!AF72</f>
        <v>0</v>
      </c>
      <c r="AG72" s="105">
        <f>'Hillpointe Detail'!AG72+'Sandhill Detail'!AG72</f>
        <v>1271.7307000000001</v>
      </c>
      <c r="AH72" s="105">
        <f>'Hillpointe Detail'!AH72+'Sandhill Detail'!AH72</f>
        <v>0</v>
      </c>
      <c r="AI72" s="105">
        <f>'Hillpointe Detail'!AI72+'Sandhill Detail'!AI72</f>
        <v>0</v>
      </c>
      <c r="AJ72" s="105">
        <f>'Hillpointe Detail'!AJ72+'Sandhill Detail'!AJ72</f>
        <v>0</v>
      </c>
      <c r="AK72" s="105">
        <f>'Hillpointe Detail'!AK72+'Sandhill Detail'!AK72</f>
        <v>0</v>
      </c>
      <c r="AL72" s="105">
        <f>'Hillpointe Detail'!AL72+'Sandhill Detail'!AL72</f>
        <v>0</v>
      </c>
      <c r="AM72" s="105">
        <f>'Hillpointe Detail'!AM72+'Sandhill Detail'!AM72</f>
        <v>1554.7644</v>
      </c>
      <c r="AN72" s="105">
        <f>'Hillpointe Detail'!AN72+'Sandhill Detail'!AN72</f>
        <v>0</v>
      </c>
      <c r="AO72" s="105">
        <f>'Hillpointe Detail'!AO72+'Sandhill Detail'!AO72</f>
        <v>0</v>
      </c>
      <c r="AP72" s="105">
        <f>'Hillpointe Detail'!AP72+'Sandhill Detail'!AP72</f>
        <v>0</v>
      </c>
      <c r="AQ72" s="105">
        <f>'Hillpointe Detail'!AQ72+'Sandhill Detail'!AQ72</f>
        <v>0</v>
      </c>
      <c r="AR72" s="105">
        <f>'Hillpointe Detail'!AR72+'Sandhill Detail'!AR72</f>
        <v>0</v>
      </c>
      <c r="AS72" s="105">
        <f>'Hillpointe Detail'!AS72+'Sandhill Detail'!AS72</f>
        <v>1495.7657626521741</v>
      </c>
      <c r="AT72" s="105">
        <f>'Hillpointe Detail'!AT72+'Sandhill Detail'!AT72</f>
        <v>0</v>
      </c>
      <c r="AU72" s="105">
        <f>'Hillpointe Detail'!AU72+'Sandhill Detail'!AU72</f>
        <v>0</v>
      </c>
      <c r="AV72" s="105">
        <f>'Hillpointe Detail'!AV72+'Sandhill Detail'!AV72</f>
        <v>0</v>
      </c>
      <c r="AW72" s="105">
        <f>'Hillpointe Detail'!AW72+'Sandhill Detail'!AW72</f>
        <v>0</v>
      </c>
      <c r="AX72" s="105">
        <f>'Hillpointe Detail'!AX72+'Sandhill Detail'!AX72</f>
        <v>0</v>
      </c>
      <c r="AY72" s="105">
        <f>'Hillpointe Detail'!AY72+'Sandhill Detail'!AY72</f>
        <v>1828.6589592608698</v>
      </c>
      <c r="AZ72" s="105">
        <f>'Hillpointe Detail'!AZ72+'Sandhill Detail'!AZ72</f>
        <v>0</v>
      </c>
      <c r="BA72" s="105">
        <f>'Hillpointe Detail'!BA72+'Sandhill Detail'!BA72</f>
        <v>0</v>
      </c>
      <c r="BB72" s="105">
        <f>'Hillpointe Detail'!BB72+'Sandhill Detail'!BB72</f>
        <v>0</v>
      </c>
      <c r="BC72" s="105">
        <f>'Hillpointe Detail'!BC72+'Sandhill Detail'!BC72</f>
        <v>0</v>
      </c>
      <c r="BD72" s="105">
        <f>'Hillpointe Detail'!BD72+'Sandhill Detail'!BD72</f>
        <v>0</v>
      </c>
      <c r="BE72" s="105">
        <f>'Hillpointe Detail'!BE72+'Sandhill Detail'!BE72</f>
        <v>1540.6387355317393</v>
      </c>
      <c r="BF72" s="105">
        <f>'Hillpointe Detail'!BF72+'Sandhill Detail'!BF72</f>
        <v>0</v>
      </c>
      <c r="BG72" s="105">
        <f>'Hillpointe Detail'!BG72+'Sandhill Detail'!BG72</f>
        <v>0</v>
      </c>
      <c r="BH72" s="105">
        <f>'Hillpointe Detail'!BH72+'Sandhill Detail'!BH72</f>
        <v>0</v>
      </c>
      <c r="BI72" s="105">
        <f>'Hillpointe Detail'!BI72+'Sandhill Detail'!BI72</f>
        <v>0</v>
      </c>
      <c r="BJ72" s="105">
        <f>'Hillpointe Detail'!BJ72+'Sandhill Detail'!BJ72</f>
        <v>0</v>
      </c>
      <c r="BK72" s="105">
        <f>'Hillpointe Detail'!BK72+'Sandhill Detail'!BK72</f>
        <v>1883.5187280386958</v>
      </c>
      <c r="BL72" s="105">
        <f>'Hillpointe Detail'!BL72+'Sandhill Detail'!BL72</f>
        <v>0</v>
      </c>
      <c r="BM72" s="105">
        <f>'Hillpointe Detail'!BM72+'Sandhill Detail'!BM72</f>
        <v>0</v>
      </c>
      <c r="BN72" s="105">
        <f>'Hillpointe Detail'!BN72+'Sandhill Detail'!BN72</f>
        <v>0</v>
      </c>
      <c r="BO72" s="105">
        <f>'Hillpointe Detail'!BO72+'Sandhill Detail'!BO72</f>
        <v>0</v>
      </c>
      <c r="BP72" s="105">
        <f>'Hillpointe Detail'!BP72+'Sandhill Detail'!BP72</f>
        <v>0</v>
      </c>
      <c r="BQ72" s="105">
        <f>'Hillpointe Detail'!BQ72+'Sandhill Detail'!BQ72</f>
        <v>1586.8578975976914</v>
      </c>
      <c r="BR72" s="105">
        <f>'Hillpointe Detail'!BR72+'Sandhill Detail'!BR72</f>
        <v>0</v>
      </c>
      <c r="BS72" s="105">
        <f>'Hillpointe Detail'!BS72+'Sandhill Detail'!BS72</f>
        <v>0</v>
      </c>
      <c r="BT72" s="105">
        <f>'Hillpointe Detail'!BT72+'Sandhill Detail'!BT72</f>
        <v>0</v>
      </c>
      <c r="BU72" s="105">
        <f>'Hillpointe Detail'!BU72+'Sandhill Detail'!BU72</f>
        <v>0</v>
      </c>
      <c r="BV72" s="105">
        <f>'Hillpointe Detail'!BV72+'Sandhill Detail'!BV72</f>
        <v>0</v>
      </c>
      <c r="BW72" s="105">
        <f>'Hillpointe Detail'!BW72+'Sandhill Detail'!BW72</f>
        <v>1940.0242898798567</v>
      </c>
      <c r="BX72" s="105">
        <f>'Hillpointe Detail'!BX72+'Sandhill Detail'!BX72</f>
        <v>0</v>
      </c>
      <c r="BY72" s="8"/>
      <c r="BZ72" s="105">
        <f t="shared" si="51"/>
        <v>1509.48</v>
      </c>
      <c r="CA72" s="105">
        <f t="shared" si="52"/>
        <v>2744.17</v>
      </c>
      <c r="CC72" s="105">
        <f t="shared" si="54"/>
        <v>0</v>
      </c>
      <c r="CD72" s="105">
        <f t="shared" si="54"/>
        <v>0</v>
      </c>
      <c r="CE72" s="105">
        <f t="shared" si="54"/>
        <v>225</v>
      </c>
      <c r="CF72" s="105">
        <f t="shared" si="54"/>
        <v>2744.17</v>
      </c>
      <c r="CG72" s="105">
        <f t="shared" si="54"/>
        <v>2826.4951000000001</v>
      </c>
      <c r="CH72" s="105">
        <f t="shared" si="54"/>
        <v>3324.4247219130439</v>
      </c>
      <c r="CI72" s="105">
        <f t="shared" si="54"/>
        <v>3424.1574635704351</v>
      </c>
      <c r="CJ72" s="105">
        <f t="shared" si="54"/>
        <v>3526.8821874775481</v>
      </c>
      <c r="CL72" s="105"/>
      <c r="CM72" s="13"/>
    </row>
    <row r="73" spans="1:91" x14ac:dyDescent="0.3">
      <c r="A73" s="84" t="s">
        <v>35</v>
      </c>
      <c r="B73" s="10" t="s">
        <v>257</v>
      </c>
      <c r="C73" s="140">
        <v>22904.670000000002</v>
      </c>
      <c r="D73" s="140">
        <v>8550.34</v>
      </c>
      <c r="E73" s="141">
        <f>'Hillpointe Detail'!E73+'Sandhill Detail'!E73</f>
        <v>0</v>
      </c>
      <c r="F73" s="141">
        <f>'Hillpointe Detail'!F73+'Sandhill Detail'!F73</f>
        <v>0</v>
      </c>
      <c r="G73" s="141">
        <f>'Hillpointe Detail'!G73+'Sandhill Detail'!G73</f>
        <v>0</v>
      </c>
      <c r="H73" s="141">
        <f>'Hillpointe Detail'!H73+'Sandhill Detail'!H73</f>
        <v>409.99</v>
      </c>
      <c r="I73" s="141">
        <f>'Hillpointe Detail'!I73+'Sandhill Detail'!I73</f>
        <v>0</v>
      </c>
      <c r="J73" s="141">
        <f>'Hillpointe Detail'!J73+'Sandhill Detail'!J73</f>
        <v>-947.77</v>
      </c>
      <c r="K73" s="141">
        <f>'Hillpointe Detail'!K73+'Sandhill Detail'!K73</f>
        <v>182.77</v>
      </c>
      <c r="L73" s="141">
        <f>'Hillpointe Detail'!L73+'Sandhill Detail'!L73</f>
        <v>0</v>
      </c>
      <c r="M73" s="141">
        <f>'Hillpointe Detail'!M73+'Sandhill Detail'!M73</f>
        <v>0</v>
      </c>
      <c r="N73" s="141">
        <f>'Hillpointe Detail'!N73+'Sandhill Detail'!N73</f>
        <v>755.99</v>
      </c>
      <c r="O73" s="141">
        <f>'Hillpointe Detail'!O73+'Sandhill Detail'!O73</f>
        <v>0</v>
      </c>
      <c r="P73" s="141">
        <f>'Hillpointe Detail'!P73+'Sandhill Detail'!P73</f>
        <v>41112.89</v>
      </c>
      <c r="Q73" s="141">
        <f>'Hillpointe Detail'!Q73+'Sandhill Detail'!Q73</f>
        <v>260</v>
      </c>
      <c r="R73" s="141">
        <f>'Hillpointe Detail'!R73+'Sandhill Detail'!R73</f>
        <v>0</v>
      </c>
      <c r="S73" s="141">
        <f>'Hillpointe Detail'!S73+'Sandhill Detail'!S73</f>
        <v>2379.88</v>
      </c>
      <c r="T73" s="141">
        <f>'Hillpointe Detail'!T73+'Sandhill Detail'!T73</f>
        <v>1612</v>
      </c>
      <c r="U73" s="141">
        <f>'Hillpointe Detail'!U73+'Sandhill Detail'!U73</f>
        <v>3612</v>
      </c>
      <c r="V73" s="141">
        <f>'Hillpointe Detail'!V73+'Sandhill Detail'!V73</f>
        <v>1713.99</v>
      </c>
      <c r="W73" s="141">
        <f>'Hillpointe Detail'!W73+'Sandhill Detail'!W73</f>
        <v>3340.42</v>
      </c>
      <c r="X73" s="141">
        <f>'Hillpointe Detail'!X73+'Sandhill Detail'!X73</f>
        <v>0</v>
      </c>
      <c r="Y73" s="141">
        <f>'Hillpointe Detail'!Y73+'Sandhill Detail'!Y73</f>
        <v>0</v>
      </c>
      <c r="Z73" s="141">
        <f>'Hillpointe Detail'!Z73+'Sandhill Detail'!Z73</f>
        <v>0</v>
      </c>
      <c r="AA73" s="141">
        <f>'Hillpointe Detail'!AA73+'Sandhill Detail'!AA73</f>
        <v>0</v>
      </c>
      <c r="AB73" s="141">
        <f>'Hillpointe Detail'!AB73+'Sandhill Detail'!AB73</f>
        <v>0</v>
      </c>
      <c r="AC73" s="141">
        <f>'Hillpointe Detail'!AC73+'Sandhill Detail'!AC73</f>
        <v>267.8</v>
      </c>
      <c r="AD73" s="141">
        <f>'Hillpointe Detail'!AD73+'Sandhill Detail'!AD73</f>
        <v>0</v>
      </c>
      <c r="AE73" s="141">
        <f>'Hillpointe Detail'!AE73+'Sandhill Detail'!AE73</f>
        <v>40000</v>
      </c>
      <c r="AF73" s="141">
        <f>'Hillpointe Detail'!AF73+'Sandhill Detail'!AF73</f>
        <v>1660.36</v>
      </c>
      <c r="AG73" s="141">
        <f>'Hillpointe Detail'!AG73+'Sandhill Detail'!AG73</f>
        <v>3720.3600000000006</v>
      </c>
      <c r="AH73" s="141">
        <f>'Hillpointe Detail'!AH73+'Sandhill Detail'!AH73</f>
        <v>1765.4097000000002</v>
      </c>
      <c r="AI73" s="141">
        <f>'Hillpointe Detail'!AI73+'Sandhill Detail'!AI73</f>
        <v>3440.6326000000004</v>
      </c>
      <c r="AJ73" s="141">
        <f>'Hillpointe Detail'!AJ73+'Sandhill Detail'!AJ73</f>
        <v>0</v>
      </c>
      <c r="AK73" s="141">
        <f>'Hillpointe Detail'!AK73+'Sandhill Detail'!AK73</f>
        <v>0</v>
      </c>
      <c r="AL73" s="141">
        <f>'Hillpointe Detail'!AL73+'Sandhill Detail'!AL73</f>
        <v>0</v>
      </c>
      <c r="AM73" s="141">
        <f>'Hillpointe Detail'!AM73+'Sandhill Detail'!AM73</f>
        <v>0</v>
      </c>
      <c r="AN73" s="141">
        <f>'Hillpointe Detail'!AN73+'Sandhill Detail'!AN73</f>
        <v>0</v>
      </c>
      <c r="AO73" s="141">
        <f>'Hillpointe Detail'!AO73+'Sandhill Detail'!AO73</f>
        <v>314.97704521739138</v>
      </c>
      <c r="AP73" s="141">
        <f>'Hillpointe Detail'!AP73+'Sandhill Detail'!AP73</f>
        <v>0</v>
      </c>
      <c r="AQ73" s="141">
        <f>'Hillpointe Detail'!AQ73+'Sandhill Detail'!AQ73</f>
        <v>15150</v>
      </c>
      <c r="AR73" s="141">
        <f>'Hillpointe Detail'!AR73+'Sandhill Detail'!AR73</f>
        <v>1952.8576803478261</v>
      </c>
      <c r="AS73" s="141">
        <f>'Hillpointe Detail'!AS73+'Sandhill Detail'!AS73</f>
        <v>4375.7580281739138</v>
      </c>
      <c r="AT73" s="141">
        <f>'Hillpointe Detail'!AT73+'Sandhill Detail'!AT73</f>
        <v>2149.1944173913048</v>
      </c>
      <c r="AU73" s="141">
        <f>'Hillpointe Detail'!AU73+'Sandhill Detail'!AU73</f>
        <v>4188.5962086956533</v>
      </c>
      <c r="AV73" s="141">
        <f>'Hillpointe Detail'!AV73+'Sandhill Detail'!AV73</f>
        <v>0</v>
      </c>
      <c r="AW73" s="141">
        <f>'Hillpointe Detail'!AW73+'Sandhill Detail'!AW73</f>
        <v>0</v>
      </c>
      <c r="AX73" s="141">
        <f>'Hillpointe Detail'!AX73+'Sandhill Detail'!AX73</f>
        <v>0</v>
      </c>
      <c r="AY73" s="141">
        <f>'Hillpointe Detail'!AY73+'Sandhill Detail'!AY73</f>
        <v>0</v>
      </c>
      <c r="AZ73" s="141">
        <f>'Hillpointe Detail'!AZ73+'Sandhill Detail'!AZ73</f>
        <v>0</v>
      </c>
      <c r="BA73" s="141">
        <f>'Hillpointe Detail'!BA73+'Sandhill Detail'!BA73</f>
        <v>324.42635657391315</v>
      </c>
      <c r="BB73" s="141">
        <f>'Hillpointe Detail'!BB73+'Sandhill Detail'!BB73</f>
        <v>0</v>
      </c>
      <c r="BC73" s="141">
        <f>'Hillpointe Detail'!BC73+'Sandhill Detail'!BC73</f>
        <v>15604.5</v>
      </c>
      <c r="BD73" s="141">
        <f>'Hillpointe Detail'!BD73+'Sandhill Detail'!BD73</f>
        <v>2011.4434107582611</v>
      </c>
      <c r="BE73" s="141">
        <f>'Hillpointe Detail'!BE73+'Sandhill Detail'!BE73</f>
        <v>4507.0307690191312</v>
      </c>
      <c r="BF73" s="141">
        <f>'Hillpointe Detail'!BF73+'Sandhill Detail'!BF73</f>
        <v>2213.6702499130438</v>
      </c>
      <c r="BG73" s="141">
        <f>'Hillpointe Detail'!BG73+'Sandhill Detail'!BG73</f>
        <v>4314.2540949565227</v>
      </c>
      <c r="BH73" s="141">
        <f>'Hillpointe Detail'!BH73+'Sandhill Detail'!BH73</f>
        <v>0</v>
      </c>
      <c r="BI73" s="141">
        <f>'Hillpointe Detail'!BI73+'Sandhill Detail'!BI73</f>
        <v>0</v>
      </c>
      <c r="BJ73" s="141">
        <f>'Hillpointe Detail'!BJ73+'Sandhill Detail'!BJ73</f>
        <v>0</v>
      </c>
      <c r="BK73" s="141">
        <f>'Hillpointe Detail'!BK73+'Sandhill Detail'!BK73</f>
        <v>0</v>
      </c>
      <c r="BL73" s="141">
        <f>'Hillpointe Detail'!BL73+'Sandhill Detail'!BL73</f>
        <v>0</v>
      </c>
      <c r="BM73" s="141">
        <f>'Hillpointe Detail'!BM73+'Sandhill Detail'!BM73</f>
        <v>334.15914727113056</v>
      </c>
      <c r="BN73" s="141">
        <f>'Hillpointe Detail'!BN73+'Sandhill Detail'!BN73</f>
        <v>0</v>
      </c>
      <c r="BO73" s="141">
        <f>'Hillpointe Detail'!BO73+'Sandhill Detail'!BO73</f>
        <v>16072.635</v>
      </c>
      <c r="BP73" s="141">
        <f>'Hillpointe Detail'!BP73+'Sandhill Detail'!BP73</f>
        <v>2071.7867130810091</v>
      </c>
      <c r="BQ73" s="141">
        <f>'Hillpointe Detail'!BQ73+'Sandhill Detail'!BQ73</f>
        <v>4642.2416920897049</v>
      </c>
      <c r="BR73" s="141">
        <f>'Hillpointe Detail'!BR73+'Sandhill Detail'!BR73</f>
        <v>2280.0803574104352</v>
      </c>
      <c r="BS73" s="141">
        <f>'Hillpointe Detail'!BS73+'Sandhill Detail'!BS73</f>
        <v>4443.6817178052188</v>
      </c>
      <c r="BT73" s="141">
        <f>'Hillpointe Detail'!BT73+'Sandhill Detail'!BT73</f>
        <v>0</v>
      </c>
      <c r="BU73" s="141">
        <f>'Hillpointe Detail'!BU73+'Sandhill Detail'!BU73</f>
        <v>0</v>
      </c>
      <c r="BV73" s="141">
        <f>'Hillpointe Detail'!BV73+'Sandhill Detail'!BV73</f>
        <v>0</v>
      </c>
      <c r="BW73" s="141">
        <f>'Hillpointe Detail'!BW73+'Sandhill Detail'!BW73</f>
        <v>0</v>
      </c>
      <c r="BX73" s="141">
        <f>'Hillpointe Detail'!BX73+'Sandhill Detail'!BX73</f>
        <v>0</v>
      </c>
      <c r="BY73" s="8"/>
      <c r="BZ73" s="141">
        <f t="shared" si="51"/>
        <v>0</v>
      </c>
      <c r="CA73" s="141">
        <f t="shared" si="52"/>
        <v>12918.29</v>
      </c>
      <c r="CC73" s="141">
        <f t="shared" si="54"/>
        <v>22904.670000000002</v>
      </c>
      <c r="CD73" s="141">
        <f t="shared" si="54"/>
        <v>8550.34</v>
      </c>
      <c r="CE73" s="141">
        <f t="shared" si="54"/>
        <v>41513.870000000003</v>
      </c>
      <c r="CF73" s="141">
        <f t="shared" si="54"/>
        <v>12918.29</v>
      </c>
      <c r="CG73" s="141">
        <f t="shared" si="54"/>
        <v>50854.562300000005</v>
      </c>
      <c r="CH73" s="141">
        <f t="shared" si="54"/>
        <v>28131.383379826086</v>
      </c>
      <c r="CI73" s="141">
        <f t="shared" si="54"/>
        <v>28975.324881220873</v>
      </c>
      <c r="CJ73" s="141">
        <f t="shared" si="54"/>
        <v>29844.584627657499</v>
      </c>
      <c r="CL73" s="105"/>
      <c r="CM73" s="13"/>
    </row>
    <row r="74" spans="1:91" x14ac:dyDescent="0.3">
      <c r="A74" s="84" t="s">
        <v>36</v>
      </c>
      <c r="B74" s="10"/>
      <c r="C74" s="18">
        <f>SUM(C55:C73)</f>
        <v>1487761.17</v>
      </c>
      <c r="D74" s="18">
        <f>SUM(D55:D73)</f>
        <v>1569575.5200000005</v>
      </c>
      <c r="E74" s="105">
        <f>'Hillpointe Detail'!E74+'Sandhill Detail'!E74</f>
        <v>-98798.489999999991</v>
      </c>
      <c r="F74" s="105">
        <f>'Hillpointe Detail'!F74+'Sandhill Detail'!F74</f>
        <v>108663.85</v>
      </c>
      <c r="G74" s="105">
        <f>'Hillpointe Detail'!G74+'Sandhill Detail'!G74</f>
        <v>160135.71</v>
      </c>
      <c r="H74" s="105">
        <f>'Hillpointe Detail'!H74+'Sandhill Detail'!H74</f>
        <v>140398.69</v>
      </c>
      <c r="I74" s="105">
        <f>'Hillpointe Detail'!I74+'Sandhill Detail'!I74</f>
        <v>125124.55</v>
      </c>
      <c r="J74" s="105">
        <f>'Hillpointe Detail'!J74+'Sandhill Detail'!J74</f>
        <v>139083.64000000001</v>
      </c>
      <c r="K74" s="105">
        <f>'Hillpointe Detail'!K74+'Sandhill Detail'!K74</f>
        <v>126586.39000000001</v>
      </c>
      <c r="L74" s="105">
        <f>'Hillpointe Detail'!L74+'Sandhill Detail'!L74</f>
        <v>127997.5</v>
      </c>
      <c r="M74" s="105">
        <f>'Hillpointe Detail'!M74+'Sandhill Detail'!M74</f>
        <v>127257.24999999997</v>
      </c>
      <c r="N74" s="105">
        <f>'Hillpointe Detail'!N74+'Sandhill Detail'!N74</f>
        <v>123306.3</v>
      </c>
      <c r="O74" s="105">
        <f>'Hillpointe Detail'!O74+'Sandhill Detail'!O74</f>
        <v>128466.37999999999</v>
      </c>
      <c r="P74" s="105">
        <f>'Hillpointe Detail'!P74+'Sandhill Detail'!P74</f>
        <v>344838.86</v>
      </c>
      <c r="Q74" s="105">
        <f>'Hillpointe Detail'!Q74+'Sandhill Detail'!Q74</f>
        <v>12541.149999999998</v>
      </c>
      <c r="R74" s="105">
        <f>'Hillpointe Detail'!R74+'Sandhill Detail'!R74</f>
        <v>150224.08000000002</v>
      </c>
      <c r="S74" s="105">
        <f>'Hillpointe Detail'!S74+'Sandhill Detail'!S74</f>
        <v>206231.86</v>
      </c>
      <c r="T74" s="105">
        <f>'Hillpointe Detail'!T74+'Sandhill Detail'!T74</f>
        <v>127012.54000000002</v>
      </c>
      <c r="U74" s="105">
        <f>'Hillpointe Detail'!U74+'Sandhill Detail'!U74</f>
        <v>182306.92999999996</v>
      </c>
      <c r="V74" s="105">
        <f>'Hillpointe Detail'!V74+'Sandhill Detail'!V74</f>
        <v>131756.31</v>
      </c>
      <c r="W74" s="105">
        <f>'Hillpointe Detail'!W74+'Sandhill Detail'!W74</f>
        <v>128659.21</v>
      </c>
      <c r="X74" s="105">
        <f>'Hillpointe Detail'!X74+'Sandhill Detail'!X74</f>
        <v>169981.28999999998</v>
      </c>
      <c r="Y74" s="105">
        <f>'Hillpointe Detail'!Y74+'Sandhill Detail'!Y74</f>
        <v>83715.830000000016</v>
      </c>
      <c r="Z74" s="105">
        <f>'Hillpointe Detail'!Z74+'Sandhill Detail'!Z74</f>
        <v>192650.29000000004</v>
      </c>
      <c r="AA74" s="105">
        <f>'Hillpointe Detail'!AA74+'Sandhill Detail'!AA74</f>
        <v>153187.78999999998</v>
      </c>
      <c r="AB74" s="105">
        <f>'Hillpointe Detail'!AB74+'Sandhill Detail'!AB74</f>
        <v>257148.45974894424</v>
      </c>
      <c r="AC74" s="105">
        <f>'Hillpointe Detail'!AC74+'Sandhill Detail'!AC74</f>
        <v>5264.433</v>
      </c>
      <c r="AD74" s="105">
        <f>'Hillpointe Detail'!AD74+'Sandhill Detail'!AD74</f>
        <v>145076.63903461606</v>
      </c>
      <c r="AE74" s="105">
        <f>'Hillpointe Detail'!AE74+'Sandhill Detail'!AE74</f>
        <v>243280.51675541408</v>
      </c>
      <c r="AF74" s="105">
        <f>'Hillpointe Detail'!AF74+'Sandhill Detail'!AF74</f>
        <v>136493.18797627304</v>
      </c>
      <c r="AG74" s="105">
        <f>'Hillpointe Detail'!AG74+'Sandhill Detail'!AG74</f>
        <v>134841.25103727909</v>
      </c>
      <c r="AH74" s="105">
        <f>'Hillpointe Detail'!AH74+'Sandhill Detail'!AH74</f>
        <v>129437.17501335155</v>
      </c>
      <c r="AI74" s="105">
        <f>'Hillpointe Detail'!AI74+'Sandhill Detail'!AI74</f>
        <v>133387.95375226831</v>
      </c>
      <c r="AJ74" s="105">
        <f>'Hillpointe Detail'!AJ74+'Sandhill Detail'!AJ74</f>
        <v>131455.02427820035</v>
      </c>
      <c r="AK74" s="105">
        <f>'Hillpointe Detail'!AK74+'Sandhill Detail'!AK74</f>
        <v>129599.79857820035</v>
      </c>
      <c r="AL74" s="105">
        <f>'Hillpointe Detail'!AL74+'Sandhill Detail'!AL74</f>
        <v>130035.85515585526</v>
      </c>
      <c r="AM74" s="105">
        <f>'Hillpointe Detail'!AM74+'Sandhill Detail'!AM74</f>
        <v>132366.88759877541</v>
      </c>
      <c r="AN74" s="105">
        <f>'Hillpointe Detail'!AN74+'Sandhill Detail'!AN74</f>
        <v>257115.21926112293</v>
      </c>
      <c r="AO74" s="105">
        <f>'Hillpointe Detail'!AO74+'Sandhill Detail'!AO74</f>
        <v>5761.2718026521734</v>
      </c>
      <c r="AP74" s="105">
        <f>'Hillpointe Detail'!AP74+'Sandhill Detail'!AP74</f>
        <v>159121.5704668226</v>
      </c>
      <c r="AQ74" s="105">
        <f>'Hillpointe Detail'!AQ74+'Sandhill Detail'!AQ74</f>
        <v>242836.45037878247</v>
      </c>
      <c r="AR74" s="105">
        <f>'Hillpointe Detail'!AR74+'Sandhill Detail'!AR74</f>
        <v>149271.22230647146</v>
      </c>
      <c r="AS74" s="105">
        <f>'Hillpointe Detail'!AS74+'Sandhill Detail'!AS74</f>
        <v>147387.09480659338</v>
      </c>
      <c r="AT74" s="105">
        <f>'Hillpointe Detail'!AT74+'Sandhill Detail'!AT74</f>
        <v>140640.31582557052</v>
      </c>
      <c r="AU74" s="105">
        <f>'Hillpointe Detail'!AU74+'Sandhill Detail'!AU74</f>
        <v>145601.9426099846</v>
      </c>
      <c r="AV74" s="105">
        <f>'Hillpointe Detail'!AV74+'Sandhill Detail'!AV74</f>
        <v>143171.00327559543</v>
      </c>
      <c r="AW74" s="105">
        <f>'Hillpointe Detail'!AW74+'Sandhill Detail'!AW74</f>
        <v>140881.89244459546</v>
      </c>
      <c r="AX74" s="105">
        <f>'Hillpointe Detail'!AX74+'Sandhill Detail'!AX74</f>
        <v>141544.29471281148</v>
      </c>
      <c r="AY74" s="105">
        <f>'Hillpointe Detail'!AY74+'Sandhill Detail'!AY74</f>
        <v>144203.3872399212</v>
      </c>
      <c r="AZ74" s="105">
        <f>'Hillpointe Detail'!AZ74+'Sandhill Detail'!AZ74</f>
        <v>279516.60880641383</v>
      </c>
      <c r="BA74" s="105">
        <f>'Hillpointe Detail'!BA74+'Sandhill Detail'!BA74</f>
        <v>5934.1099567317397</v>
      </c>
      <c r="BB74" s="105">
        <f>'Hillpointe Detail'!BB74+'Sandhill Detail'!BB74</f>
        <v>167595.48506731898</v>
      </c>
      <c r="BC74" s="105">
        <f>'Hillpointe Detail'!BC74+'Sandhill Detail'!BC74</f>
        <v>253825.26818014984</v>
      </c>
      <c r="BD74" s="105">
        <f>'Hillpointe Detail'!BD74+'Sandhill Detail'!BD74</f>
        <v>157455.18541075184</v>
      </c>
      <c r="BE74" s="105">
        <f>'Hillpointe Detail'!BE74+'Sandhill Detail'!BE74</f>
        <v>155516.90036817087</v>
      </c>
      <c r="BF74" s="105">
        <f>'Hillpointe Detail'!BF74+'Sandhill Detail'!BF74</f>
        <v>148566.72912772134</v>
      </c>
      <c r="BG74" s="105">
        <f>'Hillpointe Detail'!BG74+'Sandhill Detail'!BG74</f>
        <v>153675.13847960916</v>
      </c>
      <c r="BH74" s="105">
        <f>'Hillpointe Detail'!BH74+'Sandhill Detail'!BH74</f>
        <v>151171.19209847503</v>
      </c>
      <c r="BI74" s="105">
        <f>'Hillpointe Detail'!BI74+'Sandhill Detail'!BI74</f>
        <v>148813.40794254502</v>
      </c>
      <c r="BJ74" s="105">
        <f>'Hillpointe Detail'!BJ74+'Sandhill Detail'!BJ74</f>
        <v>149496.36674139608</v>
      </c>
      <c r="BK74" s="105">
        <f>'Hillpointe Detail'!BK74+'Sandhill Detail'!BK74</f>
        <v>152235.52045820432</v>
      </c>
      <c r="BL74" s="105">
        <f>'Hillpointe Detail'!BL74+'Sandhill Detail'!BL74</f>
        <v>295314.22889163415</v>
      </c>
      <c r="BM74" s="105">
        <f>'Hillpointe Detail'!BM74+'Sandhill Detail'!BM74</f>
        <v>6112.1332554336914</v>
      </c>
      <c r="BN74" s="105">
        <f>'Hillpointe Detail'!BN74+'Sandhill Detail'!BN74</f>
        <v>172623.14740224031</v>
      </c>
      <c r="BO74" s="105">
        <f>'Hillpointe Detail'!BO74+'Sandhill Detail'!BO74</f>
        <v>261439.89211836687</v>
      </c>
      <c r="BP74" s="105">
        <f>'Hillpointe Detail'!BP74+'Sandhill Detail'!BP74</f>
        <v>162178.79590113185</v>
      </c>
      <c r="BQ74" s="105">
        <f>'Hillpointe Detail'!BQ74+'Sandhill Detail'!BQ74</f>
        <v>160182.46301266359</v>
      </c>
      <c r="BR74" s="105">
        <f>'Hillpointe Detail'!BR74+'Sandhill Detail'!BR74</f>
        <v>153023.80037033607</v>
      </c>
      <c r="BS74" s="105">
        <f>'Hillpointe Detail'!BS74+'Sandhill Detail'!BS74</f>
        <v>158285.43566097444</v>
      </c>
      <c r="BT74" s="105">
        <f>'Hillpointe Detail'!BT74+'Sandhill Detail'!BT74</f>
        <v>155706.29230025923</v>
      </c>
      <c r="BU74" s="105">
        <f>'Hillpointe Detail'!BU74+'Sandhill Detail'!BU74</f>
        <v>153277.77461965129</v>
      </c>
      <c r="BV74" s="105">
        <f>'Hillpointe Detail'!BV74+'Sandhill Detail'!BV74</f>
        <v>153981.24599045762</v>
      </c>
      <c r="BW74" s="105">
        <f>'Hillpointe Detail'!BW74+'Sandhill Detail'!BW74</f>
        <v>156802.59179791398</v>
      </c>
      <c r="BX74" s="105">
        <f>'Hillpointe Detail'!BX74+'Sandhill Detail'!BX74</f>
        <v>304173.6817239977</v>
      </c>
      <c r="BY74" s="8"/>
      <c r="BZ74" s="105">
        <f t="shared" si="51"/>
        <v>153187.78999999998</v>
      </c>
      <c r="CA74" s="105">
        <f t="shared" si="52"/>
        <v>1538267.28</v>
      </c>
      <c r="CC74" s="105">
        <f t="shared" si="54"/>
        <v>1487761.17</v>
      </c>
      <c r="CD74" s="105">
        <f t="shared" si="54"/>
        <v>1569575.5200000005</v>
      </c>
      <c r="CE74" s="105">
        <f t="shared" si="54"/>
        <v>1553060.63</v>
      </c>
      <c r="CF74" s="105">
        <f t="shared" si="54"/>
        <v>1795415.7397489443</v>
      </c>
      <c r="CG74" s="105">
        <f t="shared" si="54"/>
        <v>1708353.941441356</v>
      </c>
      <c r="CH74" s="105">
        <f t="shared" si="54"/>
        <v>1839937.0546762145</v>
      </c>
      <c r="CI74" s="105">
        <f t="shared" si="54"/>
        <v>1939599.5327227081</v>
      </c>
      <c r="CJ74" s="105">
        <f t="shared" si="54"/>
        <v>1997787.2541534265</v>
      </c>
      <c r="CL74" s="105"/>
      <c r="CM74" s="13"/>
    </row>
    <row r="75" spans="1:91" x14ac:dyDescent="0.3">
      <c r="A75" s="84" t="s">
        <v>37</v>
      </c>
      <c r="B75" s="10"/>
      <c r="C75" s="103">
        <v>0</v>
      </c>
      <c r="D75" s="103">
        <v>0</v>
      </c>
      <c r="E75" s="105">
        <f>'Hillpointe Detail'!E75+'Sandhill Detail'!E75</f>
        <v>0</v>
      </c>
      <c r="F75" s="105">
        <f>'Hillpointe Detail'!F75+'Sandhill Detail'!F75</f>
        <v>0</v>
      </c>
      <c r="G75" s="105">
        <f>'Hillpointe Detail'!G75+'Sandhill Detail'!G75</f>
        <v>0</v>
      </c>
      <c r="H75" s="105">
        <f>'Hillpointe Detail'!H75+'Sandhill Detail'!H75</f>
        <v>0</v>
      </c>
      <c r="I75" s="105">
        <f>'Hillpointe Detail'!I75+'Sandhill Detail'!I75</f>
        <v>0</v>
      </c>
      <c r="J75" s="105">
        <f>'Hillpointe Detail'!J75+'Sandhill Detail'!J75</f>
        <v>0</v>
      </c>
      <c r="K75" s="105">
        <f>'Hillpointe Detail'!K75+'Sandhill Detail'!K75</f>
        <v>0</v>
      </c>
      <c r="L75" s="105">
        <f>'Hillpointe Detail'!L75+'Sandhill Detail'!L75</f>
        <v>0</v>
      </c>
      <c r="M75" s="105">
        <f>'Hillpointe Detail'!M75+'Sandhill Detail'!M75</f>
        <v>0</v>
      </c>
      <c r="N75" s="105">
        <f>'Hillpointe Detail'!N75+'Sandhill Detail'!N75</f>
        <v>0</v>
      </c>
      <c r="O75" s="105">
        <f>'Hillpointe Detail'!O75+'Sandhill Detail'!O75</f>
        <v>0</v>
      </c>
      <c r="P75" s="105">
        <f>'Hillpointe Detail'!P75+'Sandhill Detail'!P75</f>
        <v>0</v>
      </c>
      <c r="Q75" s="105">
        <f>'Hillpointe Detail'!Q75+'Sandhill Detail'!Q75</f>
        <v>0</v>
      </c>
      <c r="R75" s="105">
        <f>'Hillpointe Detail'!R75+'Sandhill Detail'!R75</f>
        <v>0</v>
      </c>
      <c r="S75" s="105">
        <f>'Hillpointe Detail'!S75+'Sandhill Detail'!S75</f>
        <v>0</v>
      </c>
      <c r="T75" s="105">
        <f>'Hillpointe Detail'!T75+'Sandhill Detail'!T75</f>
        <v>0</v>
      </c>
      <c r="U75" s="105">
        <f>'Hillpointe Detail'!U75+'Sandhill Detail'!U75</f>
        <v>0</v>
      </c>
      <c r="V75" s="105">
        <f>'Hillpointe Detail'!V75+'Sandhill Detail'!V75</f>
        <v>0</v>
      </c>
      <c r="W75" s="105">
        <f>'Hillpointe Detail'!W75+'Sandhill Detail'!W75</f>
        <v>0</v>
      </c>
      <c r="X75" s="105">
        <f>'Hillpointe Detail'!X75+'Sandhill Detail'!X75</f>
        <v>0</v>
      </c>
      <c r="Y75" s="105">
        <f>'Hillpointe Detail'!Y75+'Sandhill Detail'!Y75</f>
        <v>0</v>
      </c>
      <c r="Z75" s="105">
        <f>'Hillpointe Detail'!Z75+'Sandhill Detail'!Z75</f>
        <v>0</v>
      </c>
      <c r="AA75" s="105">
        <f>'Hillpointe Detail'!AA75+'Sandhill Detail'!AA75</f>
        <v>0</v>
      </c>
      <c r="AB75" s="105">
        <f>'Hillpointe Detail'!AB75+'Sandhill Detail'!AB75</f>
        <v>0</v>
      </c>
      <c r="AC75" s="105">
        <f>'Hillpointe Detail'!AC75+'Sandhill Detail'!AC75</f>
        <v>0</v>
      </c>
      <c r="AD75" s="105">
        <f>'Hillpointe Detail'!AD75+'Sandhill Detail'!AD75</f>
        <v>0</v>
      </c>
      <c r="AE75" s="105">
        <f>'Hillpointe Detail'!AE75+'Sandhill Detail'!AE75</f>
        <v>0</v>
      </c>
      <c r="AF75" s="105">
        <f>'Hillpointe Detail'!AF75+'Sandhill Detail'!AF75</f>
        <v>0</v>
      </c>
      <c r="AG75" s="105">
        <f>'Hillpointe Detail'!AG75+'Sandhill Detail'!AG75</f>
        <v>0</v>
      </c>
      <c r="AH75" s="105">
        <f>'Hillpointe Detail'!AH75+'Sandhill Detail'!AH75</f>
        <v>0</v>
      </c>
      <c r="AI75" s="105">
        <f>'Hillpointe Detail'!AI75+'Sandhill Detail'!AI75</f>
        <v>0</v>
      </c>
      <c r="AJ75" s="105">
        <f>'Hillpointe Detail'!AJ75+'Sandhill Detail'!AJ75</f>
        <v>0</v>
      </c>
      <c r="AK75" s="105">
        <f>'Hillpointe Detail'!AK75+'Sandhill Detail'!AK75</f>
        <v>0</v>
      </c>
      <c r="AL75" s="105">
        <f>'Hillpointe Detail'!AL75+'Sandhill Detail'!AL75</f>
        <v>0</v>
      </c>
      <c r="AM75" s="105">
        <f>'Hillpointe Detail'!AM75+'Sandhill Detail'!AM75</f>
        <v>0</v>
      </c>
      <c r="AN75" s="105">
        <f>'Hillpointe Detail'!AN75+'Sandhill Detail'!AN75</f>
        <v>0</v>
      </c>
      <c r="AO75" s="105">
        <f>'Hillpointe Detail'!AO75+'Sandhill Detail'!AO75</f>
        <v>0</v>
      </c>
      <c r="AP75" s="105">
        <f>'Hillpointe Detail'!AP75+'Sandhill Detail'!AP75</f>
        <v>0</v>
      </c>
      <c r="AQ75" s="105">
        <f>'Hillpointe Detail'!AQ75+'Sandhill Detail'!AQ75</f>
        <v>0</v>
      </c>
      <c r="AR75" s="105">
        <f>'Hillpointe Detail'!AR75+'Sandhill Detail'!AR75</f>
        <v>0</v>
      </c>
      <c r="AS75" s="105">
        <f>'Hillpointe Detail'!AS75+'Sandhill Detail'!AS75</f>
        <v>0</v>
      </c>
      <c r="AT75" s="105">
        <f>'Hillpointe Detail'!AT75+'Sandhill Detail'!AT75</f>
        <v>0</v>
      </c>
      <c r="AU75" s="105">
        <f>'Hillpointe Detail'!AU75+'Sandhill Detail'!AU75</f>
        <v>0</v>
      </c>
      <c r="AV75" s="105">
        <f>'Hillpointe Detail'!AV75+'Sandhill Detail'!AV75</f>
        <v>0</v>
      </c>
      <c r="AW75" s="105">
        <f>'Hillpointe Detail'!AW75+'Sandhill Detail'!AW75</f>
        <v>0</v>
      </c>
      <c r="AX75" s="105">
        <f>'Hillpointe Detail'!AX75+'Sandhill Detail'!AX75</f>
        <v>0</v>
      </c>
      <c r="AY75" s="105">
        <f>'Hillpointe Detail'!AY75+'Sandhill Detail'!AY75</f>
        <v>0</v>
      </c>
      <c r="AZ75" s="105">
        <f>'Hillpointe Detail'!AZ75+'Sandhill Detail'!AZ75</f>
        <v>0</v>
      </c>
      <c r="BA75" s="105">
        <f>'Hillpointe Detail'!BA75+'Sandhill Detail'!BA75</f>
        <v>0</v>
      </c>
      <c r="BB75" s="105">
        <f>'Hillpointe Detail'!BB75+'Sandhill Detail'!BB75</f>
        <v>0</v>
      </c>
      <c r="BC75" s="105">
        <f>'Hillpointe Detail'!BC75+'Sandhill Detail'!BC75</f>
        <v>0</v>
      </c>
      <c r="BD75" s="105">
        <f>'Hillpointe Detail'!BD75+'Sandhill Detail'!BD75</f>
        <v>0</v>
      </c>
      <c r="BE75" s="105">
        <f>'Hillpointe Detail'!BE75+'Sandhill Detail'!BE75</f>
        <v>0</v>
      </c>
      <c r="BF75" s="105">
        <f>'Hillpointe Detail'!BF75+'Sandhill Detail'!BF75</f>
        <v>0</v>
      </c>
      <c r="BG75" s="105">
        <f>'Hillpointe Detail'!BG75+'Sandhill Detail'!BG75</f>
        <v>0</v>
      </c>
      <c r="BH75" s="105">
        <f>'Hillpointe Detail'!BH75+'Sandhill Detail'!BH75</f>
        <v>0</v>
      </c>
      <c r="BI75" s="105">
        <f>'Hillpointe Detail'!BI75+'Sandhill Detail'!BI75</f>
        <v>0</v>
      </c>
      <c r="BJ75" s="105">
        <f>'Hillpointe Detail'!BJ75+'Sandhill Detail'!BJ75</f>
        <v>0</v>
      </c>
      <c r="BK75" s="105">
        <f>'Hillpointe Detail'!BK75+'Sandhill Detail'!BK75</f>
        <v>0</v>
      </c>
      <c r="BL75" s="105">
        <f>'Hillpointe Detail'!BL75+'Sandhill Detail'!BL75</f>
        <v>0</v>
      </c>
      <c r="BM75" s="105">
        <f>'Hillpointe Detail'!BM75+'Sandhill Detail'!BM75</f>
        <v>0</v>
      </c>
      <c r="BN75" s="105">
        <f>'Hillpointe Detail'!BN75+'Sandhill Detail'!BN75</f>
        <v>0</v>
      </c>
      <c r="BO75" s="105">
        <f>'Hillpointe Detail'!BO75+'Sandhill Detail'!BO75</f>
        <v>0</v>
      </c>
      <c r="BP75" s="105">
        <f>'Hillpointe Detail'!BP75+'Sandhill Detail'!BP75</f>
        <v>0</v>
      </c>
      <c r="BQ75" s="105">
        <f>'Hillpointe Detail'!BQ75+'Sandhill Detail'!BQ75</f>
        <v>0</v>
      </c>
      <c r="BR75" s="105">
        <f>'Hillpointe Detail'!BR75+'Sandhill Detail'!BR75</f>
        <v>0</v>
      </c>
      <c r="BS75" s="105">
        <f>'Hillpointe Detail'!BS75+'Sandhill Detail'!BS75</f>
        <v>0</v>
      </c>
      <c r="BT75" s="105">
        <f>'Hillpointe Detail'!BT75+'Sandhill Detail'!BT75</f>
        <v>0</v>
      </c>
      <c r="BU75" s="105">
        <f>'Hillpointe Detail'!BU75+'Sandhill Detail'!BU75</f>
        <v>0</v>
      </c>
      <c r="BV75" s="105">
        <f>'Hillpointe Detail'!BV75+'Sandhill Detail'!BV75</f>
        <v>0</v>
      </c>
      <c r="BW75" s="105">
        <f>'Hillpointe Detail'!BW75+'Sandhill Detail'!BW75</f>
        <v>0</v>
      </c>
      <c r="BX75" s="105">
        <f>'Hillpointe Detail'!BX75+'Sandhill Detail'!BX75</f>
        <v>0</v>
      </c>
      <c r="BY75" s="8"/>
      <c r="BZ75" s="105">
        <f t="shared" si="51"/>
        <v>0</v>
      </c>
      <c r="CA75" s="105">
        <f t="shared" si="52"/>
        <v>0</v>
      </c>
      <c r="CC75" s="105">
        <f t="shared" si="54"/>
        <v>0</v>
      </c>
      <c r="CD75" s="105">
        <f t="shared" si="54"/>
        <v>0</v>
      </c>
      <c r="CE75" s="105">
        <f t="shared" si="54"/>
        <v>0</v>
      </c>
      <c r="CF75" s="105">
        <f t="shared" si="54"/>
        <v>0</v>
      </c>
      <c r="CG75" s="105">
        <f t="shared" si="54"/>
        <v>0</v>
      </c>
      <c r="CH75" s="105">
        <f t="shared" si="54"/>
        <v>0</v>
      </c>
      <c r="CI75" s="105">
        <f t="shared" si="54"/>
        <v>0</v>
      </c>
      <c r="CJ75" s="105">
        <f t="shared" si="54"/>
        <v>0</v>
      </c>
      <c r="CL75" s="105"/>
      <c r="CM75" s="13"/>
    </row>
    <row r="76" spans="1:91" x14ac:dyDescent="0.3">
      <c r="A76" s="84" t="s">
        <v>38</v>
      </c>
      <c r="B76" s="10" t="s">
        <v>259</v>
      </c>
      <c r="C76" s="103">
        <v>0</v>
      </c>
      <c r="D76" s="103">
        <v>7934.01</v>
      </c>
      <c r="E76" s="105">
        <f>'Hillpointe Detail'!E76+'Sandhill Detail'!E76</f>
        <v>0</v>
      </c>
      <c r="F76" s="105">
        <f>'Hillpointe Detail'!F76+'Sandhill Detail'!F76</f>
        <v>2683.9</v>
      </c>
      <c r="G76" s="105">
        <f>'Hillpointe Detail'!G76+'Sandhill Detail'!G76</f>
        <v>0</v>
      </c>
      <c r="H76" s="105">
        <f>'Hillpointe Detail'!H76+'Sandhill Detail'!H76</f>
        <v>903.89</v>
      </c>
      <c r="I76" s="105">
        <f>'Hillpointe Detail'!I76+'Sandhill Detail'!I76</f>
        <v>0</v>
      </c>
      <c r="J76" s="105">
        <f>'Hillpointe Detail'!J76+'Sandhill Detail'!J76</f>
        <v>0</v>
      </c>
      <c r="K76" s="105">
        <f>'Hillpointe Detail'!K76+'Sandhill Detail'!K76</f>
        <v>1655.25</v>
      </c>
      <c r="L76" s="105">
        <f>'Hillpointe Detail'!L76+'Sandhill Detail'!L76</f>
        <v>2261.1499999999996</v>
      </c>
      <c r="M76" s="105">
        <f>'Hillpointe Detail'!M76+'Sandhill Detail'!M76</f>
        <v>2116.15</v>
      </c>
      <c r="N76" s="105">
        <f>'Hillpointe Detail'!N76+'Sandhill Detail'!N76</f>
        <v>4232.3</v>
      </c>
      <c r="O76" s="105">
        <f>'Hillpointe Detail'!O76+'Sandhill Detail'!O76</f>
        <v>0</v>
      </c>
      <c r="P76" s="105">
        <f>'Hillpointe Detail'!P76+'Sandhill Detail'!P76</f>
        <v>2116.15</v>
      </c>
      <c r="Q76" s="105">
        <f>'Hillpointe Detail'!Q76+'Sandhill Detail'!Q76</f>
        <v>2309.08</v>
      </c>
      <c r="R76" s="105">
        <f>'Hillpointe Detail'!R76+'Sandhill Detail'!R76</f>
        <v>2309.08</v>
      </c>
      <c r="S76" s="105">
        <f>'Hillpointe Detail'!S76+'Sandhill Detail'!S76</f>
        <v>2116.15</v>
      </c>
      <c r="T76" s="105">
        <f>'Hillpointe Detail'!T76+'Sandhill Detail'!T76</f>
        <v>2116.15</v>
      </c>
      <c r="U76" s="105">
        <f>'Hillpointe Detail'!U76+'Sandhill Detail'!U76</f>
        <v>2795</v>
      </c>
      <c r="V76" s="105">
        <f>'Hillpointe Detail'!V76+'Sandhill Detail'!V76</f>
        <v>3205.85</v>
      </c>
      <c r="W76" s="105">
        <f>'Hillpointe Detail'!W76+'Sandhill Detail'!W76</f>
        <v>2795</v>
      </c>
      <c r="X76" s="105">
        <f>'Hillpointe Detail'!X76+'Sandhill Detail'!X76</f>
        <v>2795</v>
      </c>
      <c r="Y76" s="105">
        <f>'Hillpointe Detail'!Y76+'Sandhill Detail'!Y76</f>
        <v>5590</v>
      </c>
      <c r="Z76" s="105">
        <f>'Hillpointe Detail'!Z76+'Sandhill Detail'!Z76</f>
        <v>1306.6099999999999</v>
      </c>
      <c r="AA76" s="105">
        <f>'Hillpointe Detail'!AA76+'Sandhill Detail'!AA76</f>
        <v>2795</v>
      </c>
      <c r="AB76" s="105">
        <f>'Hillpointe Detail'!AB76+'Sandhill Detail'!AB76</f>
        <v>2179.6345000000001</v>
      </c>
      <c r="AC76" s="105">
        <f>'Hillpointe Detail'!AC76+'Sandhill Detail'!AC76</f>
        <v>2378.3523999999998</v>
      </c>
      <c r="AD76" s="105">
        <f>'Hillpointe Detail'!AD76+'Sandhill Detail'!AD76</f>
        <v>2378.3523999999998</v>
      </c>
      <c r="AE76" s="105">
        <f>'Hillpointe Detail'!AE76+'Sandhill Detail'!AE76</f>
        <v>2179.6345000000001</v>
      </c>
      <c r="AF76" s="105">
        <f>'Hillpointe Detail'!AF76+'Sandhill Detail'!AF76</f>
        <v>2179.6345000000001</v>
      </c>
      <c r="AG76" s="105">
        <f>'Hillpointe Detail'!AG76+'Sandhill Detail'!AG76</f>
        <v>2878.85</v>
      </c>
      <c r="AH76" s="105">
        <f>'Hillpointe Detail'!AH76+'Sandhill Detail'!AH76</f>
        <v>3302.0255000000002</v>
      </c>
      <c r="AI76" s="105">
        <f>'Hillpointe Detail'!AI76+'Sandhill Detail'!AI76</f>
        <v>2878.85</v>
      </c>
      <c r="AJ76" s="105">
        <f>'Hillpointe Detail'!AJ76+'Sandhill Detail'!AJ76</f>
        <v>2878.85</v>
      </c>
      <c r="AK76" s="105">
        <f>'Hillpointe Detail'!AK76+'Sandhill Detail'!AK76</f>
        <v>5757.7</v>
      </c>
      <c r="AL76" s="105">
        <f>'Hillpointe Detail'!AL76+'Sandhill Detail'!AL76</f>
        <v>1345.8082999999999</v>
      </c>
      <c r="AM76" s="105">
        <f>'Hillpointe Detail'!AM76+'Sandhill Detail'!AM76</f>
        <v>2878.85</v>
      </c>
      <c r="AN76" s="105">
        <f>'Hillpointe Detail'!AN76+'Sandhill Detail'!AN76</f>
        <v>2245.0235350000003</v>
      </c>
      <c r="AO76" s="105">
        <f>'Hillpointe Detail'!AO76+'Sandhill Detail'!AO76</f>
        <v>2895.3855304347826</v>
      </c>
      <c r="AP76" s="105">
        <f>'Hillpointe Detail'!AP76+'Sandhill Detail'!AP76</f>
        <v>2895.3855304347826</v>
      </c>
      <c r="AQ76" s="105">
        <f>'Hillpointe Detail'!AQ76+'Sandhill Detail'!AQ76</f>
        <v>2653.4680869565223</v>
      </c>
      <c r="AR76" s="105">
        <f>'Hillpointe Detail'!AR76+'Sandhill Detail'!AR76</f>
        <v>2653.4680869565223</v>
      </c>
      <c r="AS76" s="105">
        <f>'Hillpointe Detail'!AS76+'Sandhill Detail'!AS76</f>
        <v>3504.6869565217394</v>
      </c>
      <c r="AT76" s="105">
        <f>'Hillpointe Detail'!AT76+'Sandhill Detail'!AT76</f>
        <v>4019.8571304347829</v>
      </c>
      <c r="AU76" s="105">
        <f>'Hillpointe Detail'!AU76+'Sandhill Detail'!AU76</f>
        <v>3504.6869565217394</v>
      </c>
      <c r="AV76" s="105">
        <f>'Hillpointe Detail'!AV76+'Sandhill Detail'!AV76</f>
        <v>3504.6869565217394</v>
      </c>
      <c r="AW76" s="105">
        <f>'Hillpointe Detail'!AW76+'Sandhill Detail'!AW76</f>
        <v>7009.3739130434788</v>
      </c>
      <c r="AX76" s="105">
        <f>'Hillpointe Detail'!AX76+'Sandhill Detail'!AX76</f>
        <v>1638.3753217391304</v>
      </c>
      <c r="AY76" s="105">
        <f>'Hillpointe Detail'!AY76+'Sandhill Detail'!AY76</f>
        <v>3504.6869565217394</v>
      </c>
      <c r="AZ76" s="105">
        <f>'Hillpointe Detail'!AZ76+'Sandhill Detail'!AZ76</f>
        <v>2733.0721295652179</v>
      </c>
      <c r="BA76" s="105">
        <f>'Hillpointe Detail'!BA76+'Sandhill Detail'!BA76</f>
        <v>2982.2470963478263</v>
      </c>
      <c r="BB76" s="105">
        <f>'Hillpointe Detail'!BB76+'Sandhill Detail'!BB76</f>
        <v>2982.2470963478263</v>
      </c>
      <c r="BC76" s="105">
        <f>'Hillpointe Detail'!BC76+'Sandhill Detail'!BC76</f>
        <v>2733.0721295652179</v>
      </c>
      <c r="BD76" s="105">
        <f>'Hillpointe Detail'!BD76+'Sandhill Detail'!BD76</f>
        <v>2733.0721295652179</v>
      </c>
      <c r="BE76" s="105">
        <f>'Hillpointe Detail'!BE76+'Sandhill Detail'!BE76</f>
        <v>3609.8275652173916</v>
      </c>
      <c r="BF76" s="105">
        <f>'Hillpointe Detail'!BF76+'Sandhill Detail'!BF76</f>
        <v>4140.4528443478266</v>
      </c>
      <c r="BG76" s="105">
        <f>'Hillpointe Detail'!BG76+'Sandhill Detail'!BG76</f>
        <v>3609.8275652173916</v>
      </c>
      <c r="BH76" s="105">
        <f>'Hillpointe Detail'!BH76+'Sandhill Detail'!BH76</f>
        <v>3609.8275652173916</v>
      </c>
      <c r="BI76" s="105">
        <f>'Hillpointe Detail'!BI76+'Sandhill Detail'!BI76</f>
        <v>7219.6551304347831</v>
      </c>
      <c r="BJ76" s="105">
        <f>'Hillpointe Detail'!BJ76+'Sandhill Detail'!BJ76</f>
        <v>1687.5265813913043</v>
      </c>
      <c r="BK76" s="105">
        <f>'Hillpointe Detail'!BK76+'Sandhill Detail'!BK76</f>
        <v>3609.8275652173916</v>
      </c>
      <c r="BL76" s="105">
        <f>'Hillpointe Detail'!BL76+'Sandhill Detail'!BL76</f>
        <v>2815.0642934521743</v>
      </c>
      <c r="BM76" s="105">
        <f>'Hillpointe Detail'!BM76+'Sandhill Detail'!BM76</f>
        <v>3071.7145092382611</v>
      </c>
      <c r="BN76" s="105">
        <f>'Hillpointe Detail'!BN76+'Sandhill Detail'!BN76</f>
        <v>3071.7145092382611</v>
      </c>
      <c r="BO76" s="105">
        <f>'Hillpointe Detail'!BO76+'Sandhill Detail'!BO76</f>
        <v>2815.0642934521743</v>
      </c>
      <c r="BP76" s="105">
        <f>'Hillpointe Detail'!BP76+'Sandhill Detail'!BP76</f>
        <v>2815.0642934521743</v>
      </c>
      <c r="BQ76" s="105">
        <f>'Hillpointe Detail'!BQ76+'Sandhill Detail'!BQ76</f>
        <v>3718.1223921739133</v>
      </c>
      <c r="BR76" s="105">
        <f>'Hillpointe Detail'!BR76+'Sandhill Detail'!BR76</f>
        <v>4264.6664296782619</v>
      </c>
      <c r="BS76" s="105">
        <f>'Hillpointe Detail'!BS76+'Sandhill Detail'!BS76</f>
        <v>3718.1223921739133</v>
      </c>
      <c r="BT76" s="105">
        <f>'Hillpointe Detail'!BT76+'Sandhill Detail'!BT76</f>
        <v>3718.1223921739133</v>
      </c>
      <c r="BU76" s="105">
        <f>'Hillpointe Detail'!BU76+'Sandhill Detail'!BU76</f>
        <v>7436.2447843478267</v>
      </c>
      <c r="BV76" s="105">
        <f>'Hillpointe Detail'!BV76+'Sandhill Detail'!BV76</f>
        <v>1738.1523788330435</v>
      </c>
      <c r="BW76" s="105">
        <f>'Hillpointe Detail'!BW76+'Sandhill Detail'!BW76</f>
        <v>3718.1223921739133</v>
      </c>
      <c r="BX76" s="105">
        <f>'Hillpointe Detail'!BX76+'Sandhill Detail'!BX76</f>
        <v>2899.5162222557396</v>
      </c>
      <c r="BY76" s="8"/>
      <c r="BZ76" s="105">
        <f t="shared" si="51"/>
        <v>2795</v>
      </c>
      <c r="CA76" s="105">
        <f t="shared" si="52"/>
        <v>30132.92</v>
      </c>
      <c r="CC76" s="105">
        <f t="shared" si="54"/>
        <v>0</v>
      </c>
      <c r="CD76" s="105">
        <f t="shared" si="54"/>
        <v>7934.01</v>
      </c>
      <c r="CE76" s="105">
        <f t="shared" si="54"/>
        <v>15968.789999999999</v>
      </c>
      <c r="CF76" s="105">
        <f t="shared" si="54"/>
        <v>32312.554499999998</v>
      </c>
      <c r="CG76" s="105">
        <f t="shared" si="54"/>
        <v>33281.931134999999</v>
      </c>
      <c r="CH76" s="105">
        <f t="shared" si="54"/>
        <v>40517.133555652174</v>
      </c>
      <c r="CI76" s="105">
        <f t="shared" si="54"/>
        <v>41732.647562321741</v>
      </c>
      <c r="CJ76" s="105">
        <f t="shared" si="54"/>
        <v>42984.626989191405</v>
      </c>
      <c r="CL76" s="105"/>
      <c r="CM76" s="13"/>
    </row>
    <row r="77" spans="1:91" x14ac:dyDescent="0.3">
      <c r="A77" s="84" t="s">
        <v>39</v>
      </c>
      <c r="B77" s="10" t="s">
        <v>140</v>
      </c>
      <c r="C77" s="103">
        <v>164.56</v>
      </c>
      <c r="D77" s="103">
        <v>310.58999999999997</v>
      </c>
      <c r="E77" s="105">
        <f>'Hillpointe Detail'!E77+'Sandhill Detail'!E77</f>
        <v>0</v>
      </c>
      <c r="F77" s="105">
        <f>'Hillpointe Detail'!F77+'Sandhill Detail'!F77</f>
        <v>0</v>
      </c>
      <c r="G77" s="105">
        <f>'Hillpointe Detail'!G77+'Sandhill Detail'!G77</f>
        <v>35.4</v>
      </c>
      <c r="H77" s="105">
        <f>'Hillpointe Detail'!H77+'Sandhill Detail'!H77</f>
        <v>0</v>
      </c>
      <c r="I77" s="105">
        <f>'Hillpointe Detail'!I77+'Sandhill Detail'!I77</f>
        <v>0</v>
      </c>
      <c r="J77" s="105">
        <f>'Hillpointe Detail'!J77+'Sandhill Detail'!J77</f>
        <v>0</v>
      </c>
      <c r="K77" s="105">
        <f>'Hillpointe Detail'!K77+'Sandhill Detail'!K77</f>
        <v>25.98</v>
      </c>
      <c r="L77" s="105">
        <f>'Hillpointe Detail'!L77+'Sandhill Detail'!L77</f>
        <v>56.849999999999994</v>
      </c>
      <c r="M77" s="105">
        <f>'Hillpointe Detail'!M77+'Sandhill Detail'!M77</f>
        <v>0</v>
      </c>
      <c r="N77" s="105">
        <f>'Hillpointe Detail'!N77+'Sandhill Detail'!N77</f>
        <v>0</v>
      </c>
      <c r="O77" s="105">
        <f>'Hillpointe Detail'!O77+'Sandhill Detail'!O77</f>
        <v>0</v>
      </c>
      <c r="P77" s="105">
        <f>'Hillpointe Detail'!P77+'Sandhill Detail'!P77</f>
        <v>88.3</v>
      </c>
      <c r="Q77" s="105">
        <f>'Hillpointe Detail'!Q77+'Sandhill Detail'!Q77</f>
        <v>56.85</v>
      </c>
      <c r="R77" s="105">
        <f>'Hillpointe Detail'!R77+'Sandhill Detail'!R77</f>
        <v>0</v>
      </c>
      <c r="S77" s="105">
        <f>'Hillpointe Detail'!S77+'Sandhill Detail'!S77</f>
        <v>0</v>
      </c>
      <c r="T77" s="105">
        <f>'Hillpointe Detail'!T77+'Sandhill Detail'!T77</f>
        <v>0</v>
      </c>
      <c r="U77" s="105">
        <f>'Hillpointe Detail'!U77+'Sandhill Detail'!U77</f>
        <v>0</v>
      </c>
      <c r="V77" s="105">
        <f>'Hillpointe Detail'!V77+'Sandhill Detail'!V77</f>
        <v>0</v>
      </c>
      <c r="W77" s="105">
        <f>'Hillpointe Detail'!W77+'Sandhill Detail'!W77</f>
        <v>0</v>
      </c>
      <c r="X77" s="105">
        <f>'Hillpointe Detail'!X77+'Sandhill Detail'!X77</f>
        <v>0</v>
      </c>
      <c r="Y77" s="105">
        <f>'Hillpointe Detail'!Y77+'Sandhill Detail'!Y77</f>
        <v>0</v>
      </c>
      <c r="Z77" s="105">
        <f>'Hillpointe Detail'!Z77+'Sandhill Detail'!Z77</f>
        <v>0</v>
      </c>
      <c r="AA77" s="105">
        <f>'Hillpointe Detail'!AA77+'Sandhill Detail'!AA77</f>
        <v>0</v>
      </c>
      <c r="AB77" s="105">
        <f>'Hillpointe Detail'!AB77+'Sandhill Detail'!AB77</f>
        <v>90.948999999999998</v>
      </c>
      <c r="AC77" s="105">
        <f>'Hillpointe Detail'!AC77+'Sandhill Detail'!AC77</f>
        <v>58.555500000000002</v>
      </c>
      <c r="AD77" s="105">
        <f>'Hillpointe Detail'!AD77+'Sandhill Detail'!AD77</f>
        <v>0</v>
      </c>
      <c r="AE77" s="105">
        <f>'Hillpointe Detail'!AE77+'Sandhill Detail'!AE77</f>
        <v>0</v>
      </c>
      <c r="AF77" s="105">
        <f>'Hillpointe Detail'!AF77+'Sandhill Detail'!AF77</f>
        <v>0</v>
      </c>
      <c r="AG77" s="105">
        <f>'Hillpointe Detail'!AG77+'Sandhill Detail'!AG77</f>
        <v>0</v>
      </c>
      <c r="AH77" s="105">
        <f>'Hillpointe Detail'!AH77+'Sandhill Detail'!AH77</f>
        <v>0</v>
      </c>
      <c r="AI77" s="105">
        <f>'Hillpointe Detail'!AI77+'Sandhill Detail'!AI77</f>
        <v>0</v>
      </c>
      <c r="AJ77" s="105">
        <f>'Hillpointe Detail'!AJ77+'Sandhill Detail'!AJ77</f>
        <v>0</v>
      </c>
      <c r="AK77" s="105">
        <f>'Hillpointe Detail'!AK77+'Sandhill Detail'!AK77</f>
        <v>0</v>
      </c>
      <c r="AL77" s="105">
        <f>'Hillpointe Detail'!AL77+'Sandhill Detail'!AL77</f>
        <v>0</v>
      </c>
      <c r="AM77" s="105">
        <f>'Hillpointe Detail'!AM77+'Sandhill Detail'!AM77</f>
        <v>0</v>
      </c>
      <c r="AN77" s="105">
        <f>'Hillpointe Detail'!AN77+'Sandhill Detail'!AN77</f>
        <v>93.67747</v>
      </c>
      <c r="AO77" s="105">
        <f>'Hillpointe Detail'!AO77+'Sandhill Detail'!AO77</f>
        <v>71.284956521739133</v>
      </c>
      <c r="AP77" s="105">
        <f>'Hillpointe Detail'!AP77+'Sandhill Detail'!AP77</f>
        <v>0</v>
      </c>
      <c r="AQ77" s="105">
        <f>'Hillpointe Detail'!AQ77+'Sandhill Detail'!AQ77</f>
        <v>0</v>
      </c>
      <c r="AR77" s="105">
        <f>'Hillpointe Detail'!AR77+'Sandhill Detail'!AR77</f>
        <v>0</v>
      </c>
      <c r="AS77" s="105">
        <f>'Hillpointe Detail'!AS77+'Sandhill Detail'!AS77</f>
        <v>0</v>
      </c>
      <c r="AT77" s="105">
        <f>'Hillpointe Detail'!AT77+'Sandhill Detail'!AT77</f>
        <v>0</v>
      </c>
      <c r="AU77" s="105">
        <f>'Hillpointe Detail'!AU77+'Sandhill Detail'!AU77</f>
        <v>0</v>
      </c>
      <c r="AV77" s="105">
        <f>'Hillpointe Detail'!AV77+'Sandhill Detail'!AV77</f>
        <v>0</v>
      </c>
      <c r="AW77" s="105">
        <f>'Hillpointe Detail'!AW77+'Sandhill Detail'!AW77</f>
        <v>0</v>
      </c>
      <c r="AX77" s="105">
        <f>'Hillpointe Detail'!AX77+'Sandhill Detail'!AX77</f>
        <v>0</v>
      </c>
      <c r="AY77" s="105">
        <f>'Hillpointe Detail'!AY77+'Sandhill Detail'!AY77</f>
        <v>0</v>
      </c>
      <c r="AZ77" s="105">
        <f>'Hillpointe Detail'!AZ77+'Sandhill Detail'!AZ77</f>
        <v>113.78766899478262</v>
      </c>
      <c r="BA77" s="105">
        <f>'Hillpointe Detail'!BA77+'Sandhill Detail'!BA77</f>
        <v>73.423505217391309</v>
      </c>
      <c r="BB77" s="105">
        <f>'Hillpointe Detail'!BB77+'Sandhill Detail'!BB77</f>
        <v>0</v>
      </c>
      <c r="BC77" s="105">
        <f>'Hillpointe Detail'!BC77+'Sandhill Detail'!BC77</f>
        <v>0</v>
      </c>
      <c r="BD77" s="105">
        <f>'Hillpointe Detail'!BD77+'Sandhill Detail'!BD77</f>
        <v>0</v>
      </c>
      <c r="BE77" s="105">
        <f>'Hillpointe Detail'!BE77+'Sandhill Detail'!BE77</f>
        <v>0</v>
      </c>
      <c r="BF77" s="105">
        <f>'Hillpointe Detail'!BF77+'Sandhill Detail'!BF77</f>
        <v>0</v>
      </c>
      <c r="BG77" s="105">
        <f>'Hillpointe Detail'!BG77+'Sandhill Detail'!BG77</f>
        <v>0</v>
      </c>
      <c r="BH77" s="105">
        <f>'Hillpointe Detail'!BH77+'Sandhill Detail'!BH77</f>
        <v>0</v>
      </c>
      <c r="BI77" s="105">
        <f>'Hillpointe Detail'!BI77+'Sandhill Detail'!BI77</f>
        <v>0</v>
      </c>
      <c r="BJ77" s="105">
        <f>'Hillpointe Detail'!BJ77+'Sandhill Detail'!BJ77</f>
        <v>0</v>
      </c>
      <c r="BK77" s="105">
        <f>'Hillpointe Detail'!BK77+'Sandhill Detail'!BK77</f>
        <v>0</v>
      </c>
      <c r="BL77" s="105">
        <f>'Hillpointe Detail'!BL77+'Sandhill Detail'!BL77</f>
        <v>117.2012990646261</v>
      </c>
      <c r="BM77" s="105">
        <f>'Hillpointe Detail'!BM77+'Sandhill Detail'!BM77</f>
        <v>75.626210373913054</v>
      </c>
      <c r="BN77" s="105">
        <f>'Hillpointe Detail'!BN77+'Sandhill Detail'!BN77</f>
        <v>0</v>
      </c>
      <c r="BO77" s="105">
        <f>'Hillpointe Detail'!BO77+'Sandhill Detail'!BO77</f>
        <v>0</v>
      </c>
      <c r="BP77" s="105">
        <f>'Hillpointe Detail'!BP77+'Sandhill Detail'!BP77</f>
        <v>0</v>
      </c>
      <c r="BQ77" s="105">
        <f>'Hillpointe Detail'!BQ77+'Sandhill Detail'!BQ77</f>
        <v>0</v>
      </c>
      <c r="BR77" s="105">
        <f>'Hillpointe Detail'!BR77+'Sandhill Detail'!BR77</f>
        <v>0</v>
      </c>
      <c r="BS77" s="105">
        <f>'Hillpointe Detail'!BS77+'Sandhill Detail'!BS77</f>
        <v>0</v>
      </c>
      <c r="BT77" s="105">
        <f>'Hillpointe Detail'!BT77+'Sandhill Detail'!BT77</f>
        <v>0</v>
      </c>
      <c r="BU77" s="105">
        <f>'Hillpointe Detail'!BU77+'Sandhill Detail'!BU77</f>
        <v>0</v>
      </c>
      <c r="BV77" s="105">
        <f>'Hillpointe Detail'!BV77+'Sandhill Detail'!BV77</f>
        <v>0</v>
      </c>
      <c r="BW77" s="105">
        <f>'Hillpointe Detail'!BW77+'Sandhill Detail'!BW77</f>
        <v>0</v>
      </c>
      <c r="BX77" s="105">
        <f>'Hillpointe Detail'!BX77+'Sandhill Detail'!BX77</f>
        <v>120.71733803656488</v>
      </c>
      <c r="BY77" s="8"/>
      <c r="BZ77" s="105">
        <f t="shared" si="51"/>
        <v>0</v>
      </c>
      <c r="CA77" s="105">
        <f t="shared" si="52"/>
        <v>56.85</v>
      </c>
      <c r="CC77" s="105">
        <f t="shared" si="54"/>
        <v>164.56</v>
      </c>
      <c r="CD77" s="105">
        <f t="shared" si="54"/>
        <v>310.58999999999997</v>
      </c>
      <c r="CE77" s="105">
        <f t="shared" si="54"/>
        <v>206.52999999999997</v>
      </c>
      <c r="CF77" s="105">
        <f t="shared" si="54"/>
        <v>147.79900000000001</v>
      </c>
      <c r="CG77" s="105">
        <f t="shared" si="54"/>
        <v>152.23296999999999</v>
      </c>
      <c r="CH77" s="105">
        <f t="shared" si="54"/>
        <v>185.07262551652175</v>
      </c>
      <c r="CI77" s="105">
        <f t="shared" si="54"/>
        <v>190.62480428201741</v>
      </c>
      <c r="CJ77" s="105">
        <f t="shared" si="54"/>
        <v>196.34354841047792</v>
      </c>
      <c r="CL77" s="105"/>
      <c r="CM77" s="13"/>
    </row>
    <row r="78" spans="1:91" x14ac:dyDescent="0.3">
      <c r="A78" s="84" t="s">
        <v>40</v>
      </c>
      <c r="B78" s="10" t="s">
        <v>140</v>
      </c>
      <c r="C78" s="103">
        <v>588.67999999999995</v>
      </c>
      <c r="D78" s="103">
        <v>0</v>
      </c>
      <c r="E78" s="105">
        <f>'Hillpointe Detail'!E78+'Sandhill Detail'!E78</f>
        <v>0</v>
      </c>
      <c r="F78" s="105">
        <f>'Hillpointe Detail'!F78+'Sandhill Detail'!F78</f>
        <v>0</v>
      </c>
      <c r="G78" s="105">
        <f>'Hillpointe Detail'!G78+'Sandhill Detail'!G78</f>
        <v>0</v>
      </c>
      <c r="H78" s="105">
        <f>'Hillpointe Detail'!H78+'Sandhill Detail'!H78</f>
        <v>0</v>
      </c>
      <c r="I78" s="105">
        <f>'Hillpointe Detail'!I78+'Sandhill Detail'!I78</f>
        <v>0</v>
      </c>
      <c r="J78" s="105">
        <f>'Hillpointe Detail'!J78+'Sandhill Detail'!J78</f>
        <v>0</v>
      </c>
      <c r="K78" s="105">
        <f>'Hillpointe Detail'!K78+'Sandhill Detail'!K78</f>
        <v>0</v>
      </c>
      <c r="L78" s="105">
        <f>'Hillpointe Detail'!L78+'Sandhill Detail'!L78</f>
        <v>0</v>
      </c>
      <c r="M78" s="105">
        <f>'Hillpointe Detail'!M78+'Sandhill Detail'!M78</f>
        <v>0</v>
      </c>
      <c r="N78" s="105">
        <f>'Hillpointe Detail'!N78+'Sandhill Detail'!N78</f>
        <v>0</v>
      </c>
      <c r="O78" s="105">
        <f>'Hillpointe Detail'!O78+'Sandhill Detail'!O78</f>
        <v>0</v>
      </c>
      <c r="P78" s="105">
        <f>'Hillpointe Detail'!P78+'Sandhill Detail'!P78</f>
        <v>0</v>
      </c>
      <c r="Q78" s="105">
        <f>'Hillpointe Detail'!Q78+'Sandhill Detail'!Q78</f>
        <v>0</v>
      </c>
      <c r="R78" s="105">
        <f>'Hillpointe Detail'!R78+'Sandhill Detail'!R78</f>
        <v>0</v>
      </c>
      <c r="S78" s="105">
        <f>'Hillpointe Detail'!S78+'Sandhill Detail'!S78</f>
        <v>0</v>
      </c>
      <c r="T78" s="105">
        <f>'Hillpointe Detail'!T78+'Sandhill Detail'!T78</f>
        <v>0</v>
      </c>
      <c r="U78" s="105">
        <f>'Hillpointe Detail'!U78+'Sandhill Detail'!U78</f>
        <v>0</v>
      </c>
      <c r="V78" s="105">
        <f>'Hillpointe Detail'!V78+'Sandhill Detail'!V78</f>
        <v>0</v>
      </c>
      <c r="W78" s="105">
        <f>'Hillpointe Detail'!W78+'Sandhill Detail'!W78</f>
        <v>0</v>
      </c>
      <c r="X78" s="105">
        <f>'Hillpointe Detail'!X78+'Sandhill Detail'!X78</f>
        <v>0</v>
      </c>
      <c r="Y78" s="105">
        <f>'Hillpointe Detail'!Y78+'Sandhill Detail'!Y78</f>
        <v>0</v>
      </c>
      <c r="Z78" s="105">
        <f>'Hillpointe Detail'!Z78+'Sandhill Detail'!Z78</f>
        <v>0</v>
      </c>
      <c r="AA78" s="105">
        <f>'Hillpointe Detail'!AA78+'Sandhill Detail'!AA78</f>
        <v>0</v>
      </c>
      <c r="AB78" s="105">
        <f>'Hillpointe Detail'!AB78+'Sandhill Detail'!AB78</f>
        <v>0</v>
      </c>
      <c r="AC78" s="105">
        <f>'Hillpointe Detail'!AC78+'Sandhill Detail'!AC78</f>
        <v>0</v>
      </c>
      <c r="AD78" s="105">
        <f>'Hillpointe Detail'!AD78+'Sandhill Detail'!AD78</f>
        <v>0</v>
      </c>
      <c r="AE78" s="105">
        <f>'Hillpointe Detail'!AE78+'Sandhill Detail'!AE78</f>
        <v>0</v>
      </c>
      <c r="AF78" s="105">
        <f>'Hillpointe Detail'!AF78+'Sandhill Detail'!AF78</f>
        <v>0</v>
      </c>
      <c r="AG78" s="105">
        <f>'Hillpointe Detail'!AG78+'Sandhill Detail'!AG78</f>
        <v>0</v>
      </c>
      <c r="AH78" s="105">
        <f>'Hillpointe Detail'!AH78+'Sandhill Detail'!AH78</f>
        <v>0</v>
      </c>
      <c r="AI78" s="105">
        <f>'Hillpointe Detail'!AI78+'Sandhill Detail'!AI78</f>
        <v>0</v>
      </c>
      <c r="AJ78" s="105">
        <f>'Hillpointe Detail'!AJ78+'Sandhill Detail'!AJ78</f>
        <v>0</v>
      </c>
      <c r="AK78" s="105">
        <f>'Hillpointe Detail'!AK78+'Sandhill Detail'!AK78</f>
        <v>0</v>
      </c>
      <c r="AL78" s="105">
        <f>'Hillpointe Detail'!AL78+'Sandhill Detail'!AL78</f>
        <v>0</v>
      </c>
      <c r="AM78" s="105">
        <f>'Hillpointe Detail'!AM78+'Sandhill Detail'!AM78</f>
        <v>0</v>
      </c>
      <c r="AN78" s="105">
        <f>'Hillpointe Detail'!AN78+'Sandhill Detail'!AN78</f>
        <v>0</v>
      </c>
      <c r="AO78" s="105">
        <f>'Hillpointe Detail'!AO78+'Sandhill Detail'!AO78</f>
        <v>0</v>
      </c>
      <c r="AP78" s="105">
        <f>'Hillpointe Detail'!AP78+'Sandhill Detail'!AP78</f>
        <v>0</v>
      </c>
      <c r="AQ78" s="105">
        <f>'Hillpointe Detail'!AQ78+'Sandhill Detail'!AQ78</f>
        <v>0</v>
      </c>
      <c r="AR78" s="105">
        <f>'Hillpointe Detail'!AR78+'Sandhill Detail'!AR78</f>
        <v>0</v>
      </c>
      <c r="AS78" s="105">
        <f>'Hillpointe Detail'!AS78+'Sandhill Detail'!AS78</f>
        <v>0</v>
      </c>
      <c r="AT78" s="105">
        <f>'Hillpointe Detail'!AT78+'Sandhill Detail'!AT78</f>
        <v>0</v>
      </c>
      <c r="AU78" s="105">
        <f>'Hillpointe Detail'!AU78+'Sandhill Detail'!AU78</f>
        <v>0</v>
      </c>
      <c r="AV78" s="105">
        <f>'Hillpointe Detail'!AV78+'Sandhill Detail'!AV78</f>
        <v>0</v>
      </c>
      <c r="AW78" s="105">
        <f>'Hillpointe Detail'!AW78+'Sandhill Detail'!AW78</f>
        <v>0</v>
      </c>
      <c r="AX78" s="105">
        <f>'Hillpointe Detail'!AX78+'Sandhill Detail'!AX78</f>
        <v>0</v>
      </c>
      <c r="AY78" s="105">
        <f>'Hillpointe Detail'!AY78+'Sandhill Detail'!AY78</f>
        <v>0</v>
      </c>
      <c r="AZ78" s="105">
        <f>'Hillpointe Detail'!AZ78+'Sandhill Detail'!AZ78</f>
        <v>0</v>
      </c>
      <c r="BA78" s="105">
        <f>'Hillpointe Detail'!BA78+'Sandhill Detail'!BA78</f>
        <v>0</v>
      </c>
      <c r="BB78" s="105">
        <f>'Hillpointe Detail'!BB78+'Sandhill Detail'!BB78</f>
        <v>0</v>
      </c>
      <c r="BC78" s="105">
        <f>'Hillpointe Detail'!BC78+'Sandhill Detail'!BC78</f>
        <v>0</v>
      </c>
      <c r="BD78" s="105">
        <f>'Hillpointe Detail'!BD78+'Sandhill Detail'!BD78</f>
        <v>0</v>
      </c>
      <c r="BE78" s="105">
        <f>'Hillpointe Detail'!BE78+'Sandhill Detail'!BE78</f>
        <v>0</v>
      </c>
      <c r="BF78" s="105">
        <f>'Hillpointe Detail'!BF78+'Sandhill Detail'!BF78</f>
        <v>0</v>
      </c>
      <c r="BG78" s="105">
        <f>'Hillpointe Detail'!BG78+'Sandhill Detail'!BG78</f>
        <v>0</v>
      </c>
      <c r="BH78" s="105">
        <f>'Hillpointe Detail'!BH78+'Sandhill Detail'!BH78</f>
        <v>0</v>
      </c>
      <c r="BI78" s="105">
        <f>'Hillpointe Detail'!BI78+'Sandhill Detail'!BI78</f>
        <v>0</v>
      </c>
      <c r="BJ78" s="105">
        <f>'Hillpointe Detail'!BJ78+'Sandhill Detail'!BJ78</f>
        <v>0</v>
      </c>
      <c r="BK78" s="105">
        <f>'Hillpointe Detail'!BK78+'Sandhill Detail'!BK78</f>
        <v>0</v>
      </c>
      <c r="BL78" s="105">
        <f>'Hillpointe Detail'!BL78+'Sandhill Detail'!BL78</f>
        <v>0</v>
      </c>
      <c r="BM78" s="105">
        <f>'Hillpointe Detail'!BM78+'Sandhill Detail'!BM78</f>
        <v>0</v>
      </c>
      <c r="BN78" s="105">
        <f>'Hillpointe Detail'!BN78+'Sandhill Detail'!BN78</f>
        <v>0</v>
      </c>
      <c r="BO78" s="105">
        <f>'Hillpointe Detail'!BO78+'Sandhill Detail'!BO78</f>
        <v>0</v>
      </c>
      <c r="BP78" s="105">
        <f>'Hillpointe Detail'!BP78+'Sandhill Detail'!BP78</f>
        <v>0</v>
      </c>
      <c r="BQ78" s="105">
        <f>'Hillpointe Detail'!BQ78+'Sandhill Detail'!BQ78</f>
        <v>0</v>
      </c>
      <c r="BR78" s="105">
        <f>'Hillpointe Detail'!BR78+'Sandhill Detail'!BR78</f>
        <v>0</v>
      </c>
      <c r="BS78" s="105">
        <f>'Hillpointe Detail'!BS78+'Sandhill Detail'!BS78</f>
        <v>0</v>
      </c>
      <c r="BT78" s="105">
        <f>'Hillpointe Detail'!BT78+'Sandhill Detail'!BT78</f>
        <v>0</v>
      </c>
      <c r="BU78" s="105">
        <f>'Hillpointe Detail'!BU78+'Sandhill Detail'!BU78</f>
        <v>0</v>
      </c>
      <c r="BV78" s="105">
        <f>'Hillpointe Detail'!BV78+'Sandhill Detail'!BV78</f>
        <v>0</v>
      </c>
      <c r="BW78" s="105">
        <f>'Hillpointe Detail'!BW78+'Sandhill Detail'!BW78</f>
        <v>0</v>
      </c>
      <c r="BX78" s="105">
        <f>'Hillpointe Detail'!BX78+'Sandhill Detail'!BX78</f>
        <v>0</v>
      </c>
      <c r="BY78" s="8"/>
      <c r="BZ78" s="105">
        <f t="shared" si="51"/>
        <v>0</v>
      </c>
      <c r="CA78" s="105">
        <f t="shared" si="52"/>
        <v>0</v>
      </c>
      <c r="CC78" s="105">
        <f t="shared" ref="CC78:CJ87" si="55">SUMIF($C$3:$BY$3,CC$3,$C78:$BY78)</f>
        <v>588.67999999999995</v>
      </c>
      <c r="CD78" s="105">
        <f t="shared" si="55"/>
        <v>0</v>
      </c>
      <c r="CE78" s="105">
        <f t="shared" si="55"/>
        <v>0</v>
      </c>
      <c r="CF78" s="105">
        <f t="shared" si="55"/>
        <v>0</v>
      </c>
      <c r="CG78" s="105">
        <f t="shared" si="55"/>
        <v>0</v>
      </c>
      <c r="CH78" s="105">
        <f t="shared" si="55"/>
        <v>0</v>
      </c>
      <c r="CI78" s="105">
        <f t="shared" si="55"/>
        <v>0</v>
      </c>
      <c r="CJ78" s="105">
        <f t="shared" si="55"/>
        <v>0</v>
      </c>
      <c r="CL78" s="105"/>
      <c r="CM78" s="13"/>
    </row>
    <row r="79" spans="1:91" x14ac:dyDescent="0.3">
      <c r="A79" s="84" t="s">
        <v>325</v>
      </c>
      <c r="B79" s="10" t="s">
        <v>141</v>
      </c>
      <c r="C79" s="103">
        <v>0</v>
      </c>
      <c r="D79" s="103">
        <v>0</v>
      </c>
      <c r="E79" s="105">
        <f>'Hillpointe Detail'!E79+'Sandhill Detail'!E79</f>
        <v>0</v>
      </c>
      <c r="F79" s="105">
        <f>'Hillpointe Detail'!F79+'Sandhill Detail'!F79</f>
        <v>0</v>
      </c>
      <c r="G79" s="105">
        <f>'Hillpointe Detail'!G79+'Sandhill Detail'!G79</f>
        <v>0</v>
      </c>
      <c r="H79" s="105">
        <f>'Hillpointe Detail'!H79+'Sandhill Detail'!H79</f>
        <v>0</v>
      </c>
      <c r="I79" s="105">
        <f>'Hillpointe Detail'!I79+'Sandhill Detail'!I79</f>
        <v>0</v>
      </c>
      <c r="J79" s="105">
        <f>'Hillpointe Detail'!J79+'Sandhill Detail'!J79</f>
        <v>0</v>
      </c>
      <c r="K79" s="105">
        <f>'Hillpointe Detail'!K79+'Sandhill Detail'!K79</f>
        <v>0</v>
      </c>
      <c r="L79" s="105">
        <f>'Hillpointe Detail'!L79+'Sandhill Detail'!L79</f>
        <v>0</v>
      </c>
      <c r="M79" s="105">
        <f>'Hillpointe Detail'!M79+'Sandhill Detail'!M79</f>
        <v>285</v>
      </c>
      <c r="N79" s="105">
        <f>'Hillpointe Detail'!N79+'Sandhill Detail'!N79</f>
        <v>0</v>
      </c>
      <c r="O79" s="105">
        <f>'Hillpointe Detail'!O79+'Sandhill Detail'!O79</f>
        <v>0</v>
      </c>
      <c r="P79" s="105">
        <f>'Hillpointe Detail'!P79+'Sandhill Detail'!P79</f>
        <v>0</v>
      </c>
      <c r="Q79" s="105">
        <f>'Hillpointe Detail'!Q79+'Sandhill Detail'!Q79</f>
        <v>0</v>
      </c>
      <c r="R79" s="105">
        <f>'Hillpointe Detail'!R79+'Sandhill Detail'!R79</f>
        <v>0</v>
      </c>
      <c r="S79" s="105">
        <f>'Hillpointe Detail'!S79+'Sandhill Detail'!S79</f>
        <v>0</v>
      </c>
      <c r="T79" s="105">
        <f>'Hillpointe Detail'!T79+'Sandhill Detail'!T79</f>
        <v>6205.68</v>
      </c>
      <c r="U79" s="105">
        <f>'Hillpointe Detail'!U79+'Sandhill Detail'!U79</f>
        <v>0</v>
      </c>
      <c r="V79" s="105">
        <f>'Hillpointe Detail'!V79+'Sandhill Detail'!V79</f>
        <v>0</v>
      </c>
      <c r="W79" s="105">
        <f>'Hillpointe Detail'!W79+'Sandhill Detail'!W79</f>
        <v>0</v>
      </c>
      <c r="X79" s="105">
        <f>'Hillpointe Detail'!X79+'Sandhill Detail'!X79</f>
        <v>0</v>
      </c>
      <c r="Y79" s="105">
        <f>'Hillpointe Detail'!Y79+'Sandhill Detail'!Y79</f>
        <v>4368.8500000000004</v>
      </c>
      <c r="Z79" s="105">
        <f>'Hillpointe Detail'!Z79+'Sandhill Detail'!Z79</f>
        <v>678.56999999999994</v>
      </c>
      <c r="AA79" s="105">
        <f>'Hillpointe Detail'!AA79+'Sandhill Detail'!AA79</f>
        <v>1214.8400000000001</v>
      </c>
      <c r="AB79" s="105">
        <f>'Hillpointe Detail'!AB79+'Sandhill Detail'!AB79</f>
        <v>0</v>
      </c>
      <c r="AC79" s="105">
        <f>'Hillpointe Detail'!AC79+'Sandhill Detail'!AC79</f>
        <v>0</v>
      </c>
      <c r="AD79" s="105">
        <f>'Hillpointe Detail'!AD79+'Sandhill Detail'!AD79</f>
        <v>0</v>
      </c>
      <c r="AE79" s="105">
        <f>'Hillpointe Detail'!AE79+'Sandhill Detail'!AE79</f>
        <v>0</v>
      </c>
      <c r="AF79" s="105">
        <f>'Hillpointe Detail'!AF79+'Sandhill Detail'!AF79</f>
        <v>6391.8504000000003</v>
      </c>
      <c r="AG79" s="105">
        <f>'Hillpointe Detail'!AG79+'Sandhill Detail'!AG79</f>
        <v>0</v>
      </c>
      <c r="AH79" s="105">
        <f>'Hillpointe Detail'!AH79+'Sandhill Detail'!AH79</f>
        <v>0</v>
      </c>
      <c r="AI79" s="105">
        <f>'Hillpointe Detail'!AI79+'Sandhill Detail'!AI79</f>
        <v>0</v>
      </c>
      <c r="AJ79" s="105">
        <f>'Hillpointe Detail'!AJ79+'Sandhill Detail'!AJ79</f>
        <v>0</v>
      </c>
      <c r="AK79" s="105">
        <f>'Hillpointe Detail'!AK79+'Sandhill Detail'!AK79</f>
        <v>4499.9155000000001</v>
      </c>
      <c r="AL79" s="105">
        <f>'Hillpointe Detail'!AL79+'Sandhill Detail'!AL79</f>
        <v>698.9271</v>
      </c>
      <c r="AM79" s="105">
        <f>'Hillpointe Detail'!AM79+'Sandhill Detail'!AM79</f>
        <v>1251.2852</v>
      </c>
      <c r="AN79" s="105">
        <f>'Hillpointe Detail'!AN79+'Sandhill Detail'!AN79</f>
        <v>0</v>
      </c>
      <c r="AO79" s="105">
        <f>'Hillpointe Detail'!AO79+'Sandhill Detail'!AO79</f>
        <v>0</v>
      </c>
      <c r="AP79" s="105">
        <f>'Hillpointe Detail'!AP79+'Sandhill Detail'!AP79</f>
        <v>0</v>
      </c>
      <c r="AQ79" s="105">
        <f>'Hillpointe Detail'!AQ79+'Sandhill Detail'!AQ79</f>
        <v>0</v>
      </c>
      <c r="AR79" s="105">
        <f>'Hillpointe Detail'!AR79+'Sandhill Detail'!AR79</f>
        <v>7561.1841650000006</v>
      </c>
      <c r="AS79" s="105">
        <f>'Hillpointe Detail'!AS79+'Sandhill Detail'!AS79</f>
        <v>0</v>
      </c>
      <c r="AT79" s="105">
        <f>'Hillpointe Detail'!AT79+'Sandhill Detail'!AT79</f>
        <v>0</v>
      </c>
      <c r="AU79" s="105">
        <f>'Hillpointe Detail'!AU79+'Sandhill Detail'!AU79</f>
        <v>0</v>
      </c>
      <c r="AV79" s="105">
        <f>'Hillpointe Detail'!AV79+'Sandhill Detail'!AV79</f>
        <v>0</v>
      </c>
      <c r="AW79" s="105">
        <f>'Hillpointe Detail'!AW79+'Sandhill Detail'!AW79</f>
        <v>4696.6481869565214</v>
      </c>
      <c r="AX79" s="105">
        <f>'Hillpointe Detail'!AX79+'Sandhill Detail'!AX79</f>
        <v>824.99244530434794</v>
      </c>
      <c r="AY79" s="105">
        <f>'Hillpointe Detail'!AY79+'Sandhill Detail'!AY79</f>
        <v>1471.7190557391305</v>
      </c>
      <c r="AZ79" s="105">
        <f>'Hillpointe Detail'!AZ79+'Sandhill Detail'!AZ79</f>
        <v>0</v>
      </c>
      <c r="BA79" s="105">
        <f>'Hillpointe Detail'!BA79+'Sandhill Detail'!BA79</f>
        <v>0</v>
      </c>
      <c r="BB79" s="105">
        <f>'Hillpointe Detail'!BB79+'Sandhill Detail'!BB79</f>
        <v>0</v>
      </c>
      <c r="BC79" s="105">
        <f>'Hillpointe Detail'!BC79+'Sandhill Detail'!BC79</f>
        <v>0</v>
      </c>
      <c r="BD79" s="105">
        <f>'Hillpointe Detail'!BD79+'Sandhill Detail'!BD79</f>
        <v>7788.0196899500006</v>
      </c>
      <c r="BE79" s="105">
        <f>'Hillpointe Detail'!BE79+'Sandhill Detail'!BE79</f>
        <v>0</v>
      </c>
      <c r="BF79" s="105">
        <f>'Hillpointe Detail'!BF79+'Sandhill Detail'!BF79</f>
        <v>0</v>
      </c>
      <c r="BG79" s="105">
        <f>'Hillpointe Detail'!BG79+'Sandhill Detail'!BG79</f>
        <v>0</v>
      </c>
      <c r="BH79" s="105">
        <f>'Hillpointe Detail'!BH79+'Sandhill Detail'!BH79</f>
        <v>0</v>
      </c>
      <c r="BI79" s="105">
        <f>'Hillpointe Detail'!BI79+'Sandhill Detail'!BI79</f>
        <v>4837.5476325652171</v>
      </c>
      <c r="BJ79" s="105">
        <f>'Hillpointe Detail'!BJ79+'Sandhill Detail'!BJ79</f>
        <v>849.74221866347841</v>
      </c>
      <c r="BK79" s="105">
        <f>'Hillpointe Detail'!BK79+'Sandhill Detail'!BK79</f>
        <v>1515.8706274113044</v>
      </c>
      <c r="BL79" s="105">
        <f>'Hillpointe Detail'!BL79+'Sandhill Detail'!BL79</f>
        <v>0</v>
      </c>
      <c r="BM79" s="105">
        <f>'Hillpointe Detail'!BM79+'Sandhill Detail'!BM79</f>
        <v>0</v>
      </c>
      <c r="BN79" s="105">
        <f>'Hillpointe Detail'!BN79+'Sandhill Detail'!BN79</f>
        <v>0</v>
      </c>
      <c r="BO79" s="105">
        <f>'Hillpointe Detail'!BO79+'Sandhill Detail'!BO79</f>
        <v>0</v>
      </c>
      <c r="BP79" s="105">
        <f>'Hillpointe Detail'!BP79+'Sandhill Detail'!BP79</f>
        <v>8021.6602806485007</v>
      </c>
      <c r="BQ79" s="105">
        <f>'Hillpointe Detail'!BQ79+'Sandhill Detail'!BQ79</f>
        <v>0</v>
      </c>
      <c r="BR79" s="105">
        <f>'Hillpointe Detail'!BR79+'Sandhill Detail'!BR79</f>
        <v>0</v>
      </c>
      <c r="BS79" s="105">
        <f>'Hillpointe Detail'!BS79+'Sandhill Detail'!BS79</f>
        <v>0</v>
      </c>
      <c r="BT79" s="105">
        <f>'Hillpointe Detail'!BT79+'Sandhill Detail'!BT79</f>
        <v>0</v>
      </c>
      <c r="BU79" s="105">
        <f>'Hillpointe Detail'!BU79+'Sandhill Detail'!BU79</f>
        <v>4982.6740615421741</v>
      </c>
      <c r="BV79" s="105">
        <f>'Hillpointe Detail'!BV79+'Sandhill Detail'!BV79</f>
        <v>875.23448522338276</v>
      </c>
      <c r="BW79" s="105">
        <f>'Hillpointe Detail'!BW79+'Sandhill Detail'!BW79</f>
        <v>1561.3467462336437</v>
      </c>
      <c r="BX79" s="105">
        <f>'Hillpointe Detail'!BX79+'Sandhill Detail'!BX79</f>
        <v>0</v>
      </c>
      <c r="BY79" s="8"/>
      <c r="BZ79" s="105">
        <f t="shared" si="51"/>
        <v>1214.8400000000001</v>
      </c>
      <c r="CA79" s="105">
        <f t="shared" si="52"/>
        <v>12467.94</v>
      </c>
      <c r="CC79" s="105">
        <f t="shared" si="55"/>
        <v>0</v>
      </c>
      <c r="CD79" s="105">
        <f t="shared" si="55"/>
        <v>0</v>
      </c>
      <c r="CE79" s="105">
        <f t="shared" si="55"/>
        <v>285</v>
      </c>
      <c r="CF79" s="105">
        <f t="shared" si="55"/>
        <v>12467.94</v>
      </c>
      <c r="CG79" s="105">
        <f t="shared" si="55"/>
        <v>12841.978200000001</v>
      </c>
      <c r="CH79" s="105">
        <f t="shared" si="55"/>
        <v>14554.543852999999</v>
      </c>
      <c r="CI79" s="105">
        <f t="shared" si="55"/>
        <v>14991.180168589999</v>
      </c>
      <c r="CJ79" s="105">
        <f t="shared" si="55"/>
        <v>15440.915573647702</v>
      </c>
      <c r="CL79" s="105"/>
      <c r="CM79" s="13"/>
    </row>
    <row r="80" spans="1:91" x14ac:dyDescent="0.3">
      <c r="A80" s="84" t="s">
        <v>349</v>
      </c>
      <c r="B80" s="10" t="s">
        <v>140</v>
      </c>
      <c r="C80" s="103">
        <v>0</v>
      </c>
      <c r="D80" s="103">
        <v>0</v>
      </c>
      <c r="E80" s="105">
        <f>'Hillpointe Detail'!E80+'Sandhill Detail'!E80</f>
        <v>0</v>
      </c>
      <c r="F80" s="105">
        <f>'Hillpointe Detail'!F80+'Sandhill Detail'!F80</f>
        <v>0</v>
      </c>
      <c r="G80" s="105">
        <f>'Hillpointe Detail'!G80+'Sandhill Detail'!G80</f>
        <v>0</v>
      </c>
      <c r="H80" s="105">
        <f>'Hillpointe Detail'!H80+'Sandhill Detail'!H80</f>
        <v>0</v>
      </c>
      <c r="I80" s="105">
        <f>'Hillpointe Detail'!I80+'Sandhill Detail'!I80</f>
        <v>0</v>
      </c>
      <c r="J80" s="105">
        <f>'Hillpointe Detail'!J80+'Sandhill Detail'!J80</f>
        <v>0</v>
      </c>
      <c r="K80" s="105">
        <f>'Hillpointe Detail'!K80+'Sandhill Detail'!K80</f>
        <v>0</v>
      </c>
      <c r="L80" s="105">
        <f>'Hillpointe Detail'!L80+'Sandhill Detail'!L80</f>
        <v>0</v>
      </c>
      <c r="M80" s="105">
        <f>'Hillpointe Detail'!M80+'Sandhill Detail'!M80</f>
        <v>0</v>
      </c>
      <c r="N80" s="105">
        <f>'Hillpointe Detail'!N80+'Sandhill Detail'!N80</f>
        <v>0</v>
      </c>
      <c r="O80" s="105">
        <f>'Hillpointe Detail'!O80+'Sandhill Detail'!O80</f>
        <v>0</v>
      </c>
      <c r="P80" s="105">
        <f>'Hillpointe Detail'!P80+'Sandhill Detail'!P80</f>
        <v>0</v>
      </c>
      <c r="Q80" s="105">
        <f>'Hillpointe Detail'!Q80+'Sandhill Detail'!Q80</f>
        <v>0</v>
      </c>
      <c r="R80" s="105">
        <f>'Hillpointe Detail'!R80+'Sandhill Detail'!R80</f>
        <v>0</v>
      </c>
      <c r="S80" s="105">
        <f>'Hillpointe Detail'!S80+'Sandhill Detail'!S80</f>
        <v>0</v>
      </c>
      <c r="T80" s="105">
        <f>'Hillpointe Detail'!T80+'Sandhill Detail'!T80</f>
        <v>200</v>
      </c>
      <c r="U80" s="105">
        <f>'Hillpointe Detail'!U80+'Sandhill Detail'!U80</f>
        <v>0</v>
      </c>
      <c r="V80" s="105">
        <f>'Hillpointe Detail'!V80+'Sandhill Detail'!V80</f>
        <v>20</v>
      </c>
      <c r="W80" s="105">
        <f>'Hillpointe Detail'!W80+'Sandhill Detail'!W80</f>
        <v>2058.83</v>
      </c>
      <c r="X80" s="105">
        <f>'Hillpointe Detail'!X80+'Sandhill Detail'!X80</f>
        <v>-145</v>
      </c>
      <c r="Y80" s="105">
        <f>'Hillpointe Detail'!Y80+'Sandhill Detail'!Y80</f>
        <v>-303.25</v>
      </c>
      <c r="Z80" s="105">
        <f>'Hillpointe Detail'!Z80+'Sandhill Detail'!Z80</f>
        <v>-15.26</v>
      </c>
      <c r="AA80" s="105">
        <f>'Hillpointe Detail'!AA80+'Sandhill Detail'!AA80</f>
        <v>0</v>
      </c>
      <c r="AB80" s="105">
        <f>'Hillpointe Detail'!AB80+'Sandhill Detail'!AB80</f>
        <v>0</v>
      </c>
      <c r="AC80" s="105">
        <f>'Hillpointe Detail'!AC80+'Sandhill Detail'!AC80</f>
        <v>0</v>
      </c>
      <c r="AD80" s="105">
        <f>'Hillpointe Detail'!AD80+'Sandhill Detail'!AD80</f>
        <v>0</v>
      </c>
      <c r="AE80" s="105">
        <f>'Hillpointe Detail'!AE80+'Sandhill Detail'!AE80</f>
        <v>0</v>
      </c>
      <c r="AF80" s="105">
        <f>'Hillpointe Detail'!AF80+'Sandhill Detail'!AF80</f>
        <v>206</v>
      </c>
      <c r="AG80" s="105">
        <f>'Hillpointe Detail'!AG80+'Sandhill Detail'!AG80</f>
        <v>0</v>
      </c>
      <c r="AH80" s="105">
        <f>'Hillpointe Detail'!AH80+'Sandhill Detail'!AH80</f>
        <v>20.6</v>
      </c>
      <c r="AI80" s="105">
        <f>'Hillpointe Detail'!AI80+'Sandhill Detail'!AI80</f>
        <v>2120.5949000000001</v>
      </c>
      <c r="AJ80" s="105">
        <f>'Hillpointe Detail'!AJ80+'Sandhill Detail'!AJ80</f>
        <v>-149.35</v>
      </c>
      <c r="AK80" s="105">
        <f>'Hillpointe Detail'!AK80+'Sandhill Detail'!AK80</f>
        <v>-312.34749999999997</v>
      </c>
      <c r="AL80" s="105">
        <f>'Hillpointe Detail'!AL80+'Sandhill Detail'!AL80</f>
        <v>-15.7178</v>
      </c>
      <c r="AM80" s="105">
        <f>'Hillpointe Detail'!AM80+'Sandhill Detail'!AM80</f>
        <v>0</v>
      </c>
      <c r="AN80" s="105">
        <f>'Hillpointe Detail'!AN80+'Sandhill Detail'!AN80</f>
        <v>0</v>
      </c>
      <c r="AO80" s="105">
        <f>'Hillpointe Detail'!AO80+'Sandhill Detail'!AO80</f>
        <v>0</v>
      </c>
      <c r="AP80" s="105">
        <f>'Hillpointe Detail'!AP80+'Sandhill Detail'!AP80</f>
        <v>0</v>
      </c>
      <c r="AQ80" s="105">
        <f>'Hillpointe Detail'!AQ80+'Sandhill Detail'!AQ80</f>
        <v>0</v>
      </c>
      <c r="AR80" s="105">
        <f>'Hillpointe Detail'!AR80+'Sandhill Detail'!AR80</f>
        <v>242.2900347826087</v>
      </c>
      <c r="AS80" s="105">
        <f>'Hillpointe Detail'!AS80+'Sandhill Detail'!AS80</f>
        <v>0</v>
      </c>
      <c r="AT80" s="105">
        <f>'Hillpointe Detail'!AT80+'Sandhill Detail'!AT80</f>
        <v>24.229003478260875</v>
      </c>
      <c r="AU80" s="105">
        <f>'Hillpointe Detail'!AU80+'Sandhill Detail'!AU80</f>
        <v>2494.1704633913046</v>
      </c>
      <c r="AV80" s="105">
        <f>'Hillpointe Detail'!AV80+'Sandhill Detail'!AV80</f>
        <v>-175.6602752173913</v>
      </c>
      <c r="AW80" s="105">
        <f>'Hillpointe Detail'!AW80+'Sandhill Detail'!AW80</f>
        <v>-367.37323030434789</v>
      </c>
      <c r="AX80" s="105">
        <f>'Hillpointe Detail'!AX80+'Sandhill Detail'!AX80</f>
        <v>-18.486189217391306</v>
      </c>
      <c r="AY80" s="105">
        <f>'Hillpointe Detail'!AY80+'Sandhill Detail'!AY80</f>
        <v>0</v>
      </c>
      <c r="AZ80" s="105">
        <f>'Hillpointe Detail'!AZ80+'Sandhill Detail'!AZ80</f>
        <v>0</v>
      </c>
      <c r="BA80" s="105">
        <f>'Hillpointe Detail'!BA80+'Sandhill Detail'!BA80</f>
        <v>0</v>
      </c>
      <c r="BB80" s="105">
        <f>'Hillpointe Detail'!BB80+'Sandhill Detail'!BB80</f>
        <v>0</v>
      </c>
      <c r="BC80" s="105">
        <f>'Hillpointe Detail'!BC80+'Sandhill Detail'!BC80</f>
        <v>0</v>
      </c>
      <c r="BD80" s="105">
        <f>'Hillpointe Detail'!BD80+'Sandhill Detail'!BD80</f>
        <v>249.55873582608695</v>
      </c>
      <c r="BE80" s="105">
        <f>'Hillpointe Detail'!BE80+'Sandhill Detail'!BE80</f>
        <v>0</v>
      </c>
      <c r="BF80" s="105">
        <f>'Hillpointe Detail'!BF80+'Sandhill Detail'!BF80</f>
        <v>24.955873582608699</v>
      </c>
      <c r="BG80" s="105">
        <f>'Hillpointe Detail'!BG80+'Sandhill Detail'!BG80</f>
        <v>2568.9955772930439</v>
      </c>
      <c r="BH80" s="105">
        <f>'Hillpointe Detail'!BH80+'Sandhill Detail'!BH80</f>
        <v>-180.93008347391304</v>
      </c>
      <c r="BI80" s="105">
        <f>'Hillpointe Detail'!BI80+'Sandhill Detail'!BI80</f>
        <v>-378.39442721347831</v>
      </c>
      <c r="BJ80" s="105">
        <f>'Hillpointe Detail'!BJ80+'Sandhill Detail'!BJ80</f>
        <v>-19.040774893913046</v>
      </c>
      <c r="BK80" s="105">
        <f>'Hillpointe Detail'!BK80+'Sandhill Detail'!BK80</f>
        <v>0</v>
      </c>
      <c r="BL80" s="105">
        <f>'Hillpointe Detail'!BL80+'Sandhill Detail'!BL80</f>
        <v>0</v>
      </c>
      <c r="BM80" s="105">
        <f>'Hillpointe Detail'!BM80+'Sandhill Detail'!BM80</f>
        <v>0</v>
      </c>
      <c r="BN80" s="105">
        <f>'Hillpointe Detail'!BN80+'Sandhill Detail'!BN80</f>
        <v>0</v>
      </c>
      <c r="BO80" s="105">
        <f>'Hillpointe Detail'!BO80+'Sandhill Detail'!BO80</f>
        <v>0</v>
      </c>
      <c r="BP80" s="105">
        <f>'Hillpointe Detail'!BP80+'Sandhill Detail'!BP80</f>
        <v>257.04549790086958</v>
      </c>
      <c r="BQ80" s="105">
        <f>'Hillpointe Detail'!BQ80+'Sandhill Detail'!BQ80</f>
        <v>0</v>
      </c>
      <c r="BR80" s="105">
        <f>'Hillpointe Detail'!BR80+'Sandhill Detail'!BR80</f>
        <v>25.704549790086961</v>
      </c>
      <c r="BS80" s="105">
        <f>'Hillpointe Detail'!BS80+'Sandhill Detail'!BS80</f>
        <v>2646.0654446118356</v>
      </c>
      <c r="BT80" s="105">
        <f>'Hillpointe Detail'!BT80+'Sandhill Detail'!BT80</f>
        <v>-186.35798597813044</v>
      </c>
      <c r="BU80" s="105">
        <f>'Hillpointe Detail'!BU80+'Sandhill Detail'!BU80</f>
        <v>-389.74626002988271</v>
      </c>
      <c r="BV80" s="105">
        <f>'Hillpointe Detail'!BV80+'Sandhill Detail'!BV80</f>
        <v>-19.611998140730439</v>
      </c>
      <c r="BW80" s="105">
        <f>'Hillpointe Detail'!BW80+'Sandhill Detail'!BW80</f>
        <v>0</v>
      </c>
      <c r="BX80" s="105">
        <f>'Hillpointe Detail'!BX80+'Sandhill Detail'!BX80</f>
        <v>0</v>
      </c>
      <c r="BY80" s="8"/>
      <c r="BZ80" s="105">
        <f t="shared" si="51"/>
        <v>0</v>
      </c>
      <c r="CA80" s="105">
        <f t="shared" si="52"/>
        <v>1815.32</v>
      </c>
      <c r="CC80" s="105">
        <f t="shared" si="55"/>
        <v>0</v>
      </c>
      <c r="CD80" s="105">
        <f t="shared" si="55"/>
        <v>0</v>
      </c>
      <c r="CE80" s="105">
        <f t="shared" si="55"/>
        <v>0</v>
      </c>
      <c r="CF80" s="105">
        <f t="shared" si="55"/>
        <v>1815.32</v>
      </c>
      <c r="CG80" s="105">
        <f t="shared" si="55"/>
        <v>1869.7796000000003</v>
      </c>
      <c r="CH80" s="105">
        <f t="shared" si="55"/>
        <v>2199.1698069130434</v>
      </c>
      <c r="CI80" s="105">
        <f t="shared" si="55"/>
        <v>2265.1449011204359</v>
      </c>
      <c r="CJ80" s="105">
        <f t="shared" si="55"/>
        <v>2333.0992481540488</v>
      </c>
      <c r="CL80" s="105"/>
      <c r="CM80" s="13"/>
    </row>
    <row r="81" spans="1:91" x14ac:dyDescent="0.3">
      <c r="A81" s="84" t="s">
        <v>41</v>
      </c>
      <c r="B81" s="10" t="s">
        <v>141</v>
      </c>
      <c r="C81" s="103">
        <v>0</v>
      </c>
      <c r="D81" s="103">
        <v>0</v>
      </c>
      <c r="E81" s="105">
        <f>'Hillpointe Detail'!E81+'Sandhill Detail'!E81</f>
        <v>0</v>
      </c>
      <c r="F81" s="105">
        <f>'Hillpointe Detail'!F81+'Sandhill Detail'!F81</f>
        <v>0</v>
      </c>
      <c r="G81" s="105">
        <f>'Hillpointe Detail'!G81+'Sandhill Detail'!G81</f>
        <v>0</v>
      </c>
      <c r="H81" s="105">
        <f>'Hillpointe Detail'!H81+'Sandhill Detail'!H81</f>
        <v>439.74</v>
      </c>
      <c r="I81" s="105">
        <f>'Hillpointe Detail'!I81+'Sandhill Detail'!I81</f>
        <v>0</v>
      </c>
      <c r="J81" s="105">
        <f>'Hillpointe Detail'!J81+'Sandhill Detail'!J81</f>
        <v>462.66</v>
      </c>
      <c r="K81" s="105">
        <f>'Hillpointe Detail'!K81+'Sandhill Detail'!K81</f>
        <v>0</v>
      </c>
      <c r="L81" s="105">
        <f>'Hillpointe Detail'!L81+'Sandhill Detail'!L81</f>
        <v>0</v>
      </c>
      <c r="M81" s="105">
        <f>'Hillpointe Detail'!M81+'Sandhill Detail'!M81</f>
        <v>0</v>
      </c>
      <c r="N81" s="105">
        <f>'Hillpointe Detail'!N81+'Sandhill Detail'!N81</f>
        <v>0</v>
      </c>
      <c r="O81" s="105">
        <f>'Hillpointe Detail'!O81+'Sandhill Detail'!O81</f>
        <v>0</v>
      </c>
      <c r="P81" s="105">
        <f>'Hillpointe Detail'!P81+'Sandhill Detail'!P81</f>
        <v>27.32</v>
      </c>
      <c r="Q81" s="105">
        <f>'Hillpointe Detail'!Q81+'Sandhill Detail'!Q81</f>
        <v>0</v>
      </c>
      <c r="R81" s="105">
        <f>'Hillpointe Detail'!R81+'Sandhill Detail'!R81</f>
        <v>0</v>
      </c>
      <c r="S81" s="105">
        <f>'Hillpointe Detail'!S81+'Sandhill Detail'!S81</f>
        <v>0</v>
      </c>
      <c r="T81" s="105">
        <f>'Hillpointe Detail'!T81+'Sandhill Detail'!T81</f>
        <v>0</v>
      </c>
      <c r="U81" s="105">
        <f>'Hillpointe Detail'!U81+'Sandhill Detail'!U81</f>
        <v>0</v>
      </c>
      <c r="V81" s="105">
        <f>'Hillpointe Detail'!V81+'Sandhill Detail'!V81</f>
        <v>0</v>
      </c>
      <c r="W81" s="105">
        <f>'Hillpointe Detail'!W81+'Sandhill Detail'!W81</f>
        <v>0</v>
      </c>
      <c r="X81" s="105">
        <f>'Hillpointe Detail'!X81+'Sandhill Detail'!X81</f>
        <v>0</v>
      </c>
      <c r="Y81" s="105">
        <f>'Hillpointe Detail'!Y81+'Sandhill Detail'!Y81</f>
        <v>0</v>
      </c>
      <c r="Z81" s="105">
        <f>'Hillpointe Detail'!Z81+'Sandhill Detail'!Z81</f>
        <v>0</v>
      </c>
      <c r="AA81" s="105">
        <f>'Hillpointe Detail'!AA81+'Sandhill Detail'!AA81</f>
        <v>0</v>
      </c>
      <c r="AB81" s="105">
        <f>'Hillpointe Detail'!AB81+'Sandhill Detail'!AB81</f>
        <v>28.139600000000002</v>
      </c>
      <c r="AC81" s="105">
        <f>'Hillpointe Detail'!AC81+'Sandhill Detail'!AC81</f>
        <v>0</v>
      </c>
      <c r="AD81" s="105">
        <f>'Hillpointe Detail'!AD81+'Sandhill Detail'!AD81</f>
        <v>0</v>
      </c>
      <c r="AE81" s="105">
        <f>'Hillpointe Detail'!AE81+'Sandhill Detail'!AE81</f>
        <v>0</v>
      </c>
      <c r="AF81" s="105">
        <f>'Hillpointe Detail'!AF81+'Sandhill Detail'!AF81</f>
        <v>0</v>
      </c>
      <c r="AG81" s="105">
        <f>'Hillpointe Detail'!AG81+'Sandhill Detail'!AG81</f>
        <v>0</v>
      </c>
      <c r="AH81" s="105">
        <f>'Hillpointe Detail'!AH81+'Sandhill Detail'!AH81</f>
        <v>0</v>
      </c>
      <c r="AI81" s="105">
        <f>'Hillpointe Detail'!AI81+'Sandhill Detail'!AI81</f>
        <v>0</v>
      </c>
      <c r="AJ81" s="105">
        <f>'Hillpointe Detail'!AJ81+'Sandhill Detail'!AJ81</f>
        <v>0</v>
      </c>
      <c r="AK81" s="105">
        <f>'Hillpointe Detail'!AK81+'Sandhill Detail'!AK81</f>
        <v>0</v>
      </c>
      <c r="AL81" s="105">
        <f>'Hillpointe Detail'!AL81+'Sandhill Detail'!AL81</f>
        <v>0</v>
      </c>
      <c r="AM81" s="105">
        <f>'Hillpointe Detail'!AM81+'Sandhill Detail'!AM81</f>
        <v>0</v>
      </c>
      <c r="AN81" s="105">
        <f>'Hillpointe Detail'!AN81+'Sandhill Detail'!AN81</f>
        <v>28.983788000000001</v>
      </c>
      <c r="AO81" s="105">
        <f>'Hillpointe Detail'!AO81+'Sandhill Detail'!AO81</f>
        <v>0</v>
      </c>
      <c r="AP81" s="105">
        <f>'Hillpointe Detail'!AP81+'Sandhill Detail'!AP81</f>
        <v>0</v>
      </c>
      <c r="AQ81" s="105">
        <f>'Hillpointe Detail'!AQ81+'Sandhill Detail'!AQ81</f>
        <v>0</v>
      </c>
      <c r="AR81" s="105">
        <f>'Hillpointe Detail'!AR81+'Sandhill Detail'!AR81</f>
        <v>0</v>
      </c>
      <c r="AS81" s="105">
        <f>'Hillpointe Detail'!AS81+'Sandhill Detail'!AS81</f>
        <v>0</v>
      </c>
      <c r="AT81" s="105">
        <f>'Hillpointe Detail'!AT81+'Sandhill Detail'!AT81</f>
        <v>0</v>
      </c>
      <c r="AU81" s="105">
        <f>'Hillpointe Detail'!AU81+'Sandhill Detail'!AU81</f>
        <v>0</v>
      </c>
      <c r="AV81" s="105">
        <f>'Hillpointe Detail'!AV81+'Sandhill Detail'!AV81</f>
        <v>0</v>
      </c>
      <c r="AW81" s="105">
        <f>'Hillpointe Detail'!AW81+'Sandhill Detail'!AW81</f>
        <v>0</v>
      </c>
      <c r="AX81" s="105">
        <f>'Hillpointe Detail'!AX81+'Sandhill Detail'!AX81</f>
        <v>0</v>
      </c>
      <c r="AY81" s="105">
        <f>'Hillpointe Detail'!AY81+'Sandhill Detail'!AY81</f>
        <v>0</v>
      </c>
      <c r="AZ81" s="105">
        <f>'Hillpointe Detail'!AZ81+'Sandhill Detail'!AZ81</f>
        <v>35.284611478260871</v>
      </c>
      <c r="BA81" s="105">
        <f>'Hillpointe Detail'!BA81+'Sandhill Detail'!BA81</f>
        <v>0</v>
      </c>
      <c r="BB81" s="105">
        <f>'Hillpointe Detail'!BB81+'Sandhill Detail'!BB81</f>
        <v>0</v>
      </c>
      <c r="BC81" s="105">
        <f>'Hillpointe Detail'!BC81+'Sandhill Detail'!BC81</f>
        <v>0</v>
      </c>
      <c r="BD81" s="105">
        <f>'Hillpointe Detail'!BD81+'Sandhill Detail'!BD81</f>
        <v>0</v>
      </c>
      <c r="BE81" s="105">
        <f>'Hillpointe Detail'!BE81+'Sandhill Detail'!BE81</f>
        <v>0</v>
      </c>
      <c r="BF81" s="105">
        <f>'Hillpointe Detail'!BF81+'Sandhill Detail'!BF81</f>
        <v>0</v>
      </c>
      <c r="BG81" s="105">
        <f>'Hillpointe Detail'!BG81+'Sandhill Detail'!BG81</f>
        <v>0</v>
      </c>
      <c r="BH81" s="105">
        <f>'Hillpointe Detail'!BH81+'Sandhill Detail'!BH81</f>
        <v>0</v>
      </c>
      <c r="BI81" s="105">
        <f>'Hillpointe Detail'!BI81+'Sandhill Detail'!BI81</f>
        <v>0</v>
      </c>
      <c r="BJ81" s="105">
        <f>'Hillpointe Detail'!BJ81+'Sandhill Detail'!BJ81</f>
        <v>0</v>
      </c>
      <c r="BK81" s="105">
        <f>'Hillpointe Detail'!BK81+'Sandhill Detail'!BK81</f>
        <v>0</v>
      </c>
      <c r="BL81" s="105">
        <f>'Hillpointe Detail'!BL81+'Sandhill Detail'!BL81</f>
        <v>36.343149822608694</v>
      </c>
      <c r="BM81" s="105">
        <f>'Hillpointe Detail'!BM81+'Sandhill Detail'!BM81</f>
        <v>0</v>
      </c>
      <c r="BN81" s="105">
        <f>'Hillpointe Detail'!BN81+'Sandhill Detail'!BN81</f>
        <v>0</v>
      </c>
      <c r="BO81" s="105">
        <f>'Hillpointe Detail'!BO81+'Sandhill Detail'!BO81</f>
        <v>0</v>
      </c>
      <c r="BP81" s="105">
        <f>'Hillpointe Detail'!BP81+'Sandhill Detail'!BP81</f>
        <v>0</v>
      </c>
      <c r="BQ81" s="105">
        <f>'Hillpointe Detail'!BQ81+'Sandhill Detail'!BQ81</f>
        <v>0</v>
      </c>
      <c r="BR81" s="105">
        <f>'Hillpointe Detail'!BR81+'Sandhill Detail'!BR81</f>
        <v>0</v>
      </c>
      <c r="BS81" s="105">
        <f>'Hillpointe Detail'!BS81+'Sandhill Detail'!BS81</f>
        <v>0</v>
      </c>
      <c r="BT81" s="105">
        <f>'Hillpointe Detail'!BT81+'Sandhill Detail'!BT81</f>
        <v>0</v>
      </c>
      <c r="BU81" s="105">
        <f>'Hillpointe Detail'!BU81+'Sandhill Detail'!BU81</f>
        <v>0</v>
      </c>
      <c r="BV81" s="105">
        <f>'Hillpointe Detail'!BV81+'Sandhill Detail'!BV81</f>
        <v>0</v>
      </c>
      <c r="BW81" s="105">
        <f>'Hillpointe Detail'!BW81+'Sandhill Detail'!BW81</f>
        <v>0</v>
      </c>
      <c r="BX81" s="105">
        <f>'Hillpointe Detail'!BX81+'Sandhill Detail'!BX81</f>
        <v>37.433444317286956</v>
      </c>
      <c r="BY81" s="8"/>
      <c r="BZ81" s="105">
        <f t="shared" si="51"/>
        <v>0</v>
      </c>
      <c r="CA81" s="105">
        <f t="shared" si="52"/>
        <v>0</v>
      </c>
      <c r="CC81" s="105">
        <f t="shared" si="55"/>
        <v>0</v>
      </c>
      <c r="CD81" s="105">
        <f t="shared" si="55"/>
        <v>0</v>
      </c>
      <c r="CE81" s="105">
        <f t="shared" si="55"/>
        <v>929.72000000000014</v>
      </c>
      <c r="CF81" s="105">
        <f t="shared" si="55"/>
        <v>28.139600000000002</v>
      </c>
      <c r="CG81" s="105">
        <f t="shared" si="55"/>
        <v>28.983788000000001</v>
      </c>
      <c r="CH81" s="105">
        <f t="shared" si="55"/>
        <v>35.284611478260871</v>
      </c>
      <c r="CI81" s="105">
        <f t="shared" si="55"/>
        <v>36.343149822608694</v>
      </c>
      <c r="CJ81" s="105">
        <f t="shared" si="55"/>
        <v>37.433444317286956</v>
      </c>
      <c r="CL81" s="105"/>
      <c r="CM81" s="13"/>
    </row>
    <row r="82" spans="1:91" x14ac:dyDescent="0.3">
      <c r="A82" s="84" t="s">
        <v>42</v>
      </c>
      <c r="B82" s="10" t="s">
        <v>141</v>
      </c>
      <c r="C82" s="103">
        <v>11272.48</v>
      </c>
      <c r="D82" s="103">
        <v>17998.98</v>
      </c>
      <c r="E82" s="105">
        <f>'Hillpointe Detail'!E82+'Sandhill Detail'!E82</f>
        <v>0</v>
      </c>
      <c r="F82" s="105">
        <f>'Hillpointe Detail'!F82+'Sandhill Detail'!F82</f>
        <v>0</v>
      </c>
      <c r="G82" s="105">
        <f>'Hillpointe Detail'!G82+'Sandhill Detail'!G82</f>
        <v>1108.5999999999999</v>
      </c>
      <c r="H82" s="105">
        <f>'Hillpointe Detail'!H82+'Sandhill Detail'!H82</f>
        <v>0</v>
      </c>
      <c r="I82" s="105">
        <f>'Hillpointe Detail'!I82+'Sandhill Detail'!I82</f>
        <v>0</v>
      </c>
      <c r="J82" s="105">
        <f>'Hillpointe Detail'!J82+'Sandhill Detail'!J82</f>
        <v>0</v>
      </c>
      <c r="K82" s="105">
        <f>'Hillpointe Detail'!K82+'Sandhill Detail'!K82</f>
        <v>0</v>
      </c>
      <c r="L82" s="105">
        <f>'Hillpointe Detail'!L82+'Sandhill Detail'!L82</f>
        <v>240.00000000000006</v>
      </c>
      <c r="M82" s="105">
        <f>'Hillpointe Detail'!M82+'Sandhill Detail'!M82</f>
        <v>1000</v>
      </c>
      <c r="N82" s="105">
        <f>'Hillpointe Detail'!N82+'Sandhill Detail'!N82</f>
        <v>0</v>
      </c>
      <c r="O82" s="105">
        <f>'Hillpointe Detail'!O82+'Sandhill Detail'!O82</f>
        <v>969.78</v>
      </c>
      <c r="P82" s="105">
        <f>'Hillpointe Detail'!P82+'Sandhill Detail'!P82</f>
        <v>0</v>
      </c>
      <c r="Q82" s="105">
        <f>'Hillpointe Detail'!Q82+'Sandhill Detail'!Q82</f>
        <v>0</v>
      </c>
      <c r="R82" s="105">
        <f>'Hillpointe Detail'!R82+'Sandhill Detail'!R82</f>
        <v>0</v>
      </c>
      <c r="S82" s="105">
        <f>'Hillpointe Detail'!S82+'Sandhill Detail'!S82</f>
        <v>45</v>
      </c>
      <c r="T82" s="105">
        <f>'Hillpointe Detail'!T82+'Sandhill Detail'!T82</f>
        <v>0</v>
      </c>
      <c r="U82" s="105">
        <f>'Hillpointe Detail'!U82+'Sandhill Detail'!U82</f>
        <v>0</v>
      </c>
      <c r="V82" s="105">
        <f>'Hillpointe Detail'!V82+'Sandhill Detail'!V82</f>
        <v>0</v>
      </c>
      <c r="W82" s="105">
        <f>'Hillpointe Detail'!W82+'Sandhill Detail'!W82</f>
        <v>259.99</v>
      </c>
      <c r="X82" s="105">
        <f>'Hillpointe Detail'!X82+'Sandhill Detail'!X82</f>
        <v>203.13</v>
      </c>
      <c r="Y82" s="105">
        <f>'Hillpointe Detail'!Y82+'Sandhill Detail'!Y82</f>
        <v>620.34</v>
      </c>
      <c r="Z82" s="105">
        <f>'Hillpointe Detail'!Z82+'Sandhill Detail'!Z82</f>
        <v>0</v>
      </c>
      <c r="AA82" s="105">
        <f>'Hillpointe Detail'!AA82+'Sandhill Detail'!AA82</f>
        <v>1238.8</v>
      </c>
      <c r="AB82" s="105">
        <f>'Hillpointe Detail'!AB82+'Sandhill Detail'!AB82</f>
        <v>0</v>
      </c>
      <c r="AC82" s="105">
        <f>'Hillpointe Detail'!AC82+'Sandhill Detail'!AC82</f>
        <v>0</v>
      </c>
      <c r="AD82" s="105">
        <f>'Hillpointe Detail'!AD82+'Sandhill Detail'!AD82</f>
        <v>0</v>
      </c>
      <c r="AE82" s="105">
        <f>'Hillpointe Detail'!AE82+'Sandhill Detail'!AE82</f>
        <v>46.350000000000009</v>
      </c>
      <c r="AF82" s="105">
        <f>'Hillpointe Detail'!AF82+'Sandhill Detail'!AF82</f>
        <v>0</v>
      </c>
      <c r="AG82" s="105">
        <f>'Hillpointe Detail'!AG82+'Sandhill Detail'!AG82</f>
        <v>0</v>
      </c>
      <c r="AH82" s="105">
        <f>'Hillpointe Detail'!AH82+'Sandhill Detail'!AH82</f>
        <v>0</v>
      </c>
      <c r="AI82" s="105">
        <f>'Hillpointe Detail'!AI82+'Sandhill Detail'!AI82</f>
        <v>267.78970000000004</v>
      </c>
      <c r="AJ82" s="105">
        <f>'Hillpointe Detail'!AJ82+'Sandhill Detail'!AJ82</f>
        <v>209.22389999999999</v>
      </c>
      <c r="AK82" s="105">
        <f>'Hillpointe Detail'!AK82+'Sandhill Detail'!AK82</f>
        <v>638.9502</v>
      </c>
      <c r="AL82" s="105">
        <f>'Hillpointe Detail'!AL82+'Sandhill Detail'!AL82</f>
        <v>0</v>
      </c>
      <c r="AM82" s="105">
        <f>'Hillpointe Detail'!AM82+'Sandhill Detail'!AM82</f>
        <v>1275.9639999999999</v>
      </c>
      <c r="AN82" s="105">
        <f>'Hillpointe Detail'!AN82+'Sandhill Detail'!AN82</f>
        <v>0</v>
      </c>
      <c r="AO82" s="105">
        <f>'Hillpointe Detail'!AO82+'Sandhill Detail'!AO82</f>
        <v>0</v>
      </c>
      <c r="AP82" s="105">
        <f>'Hillpointe Detail'!AP82+'Sandhill Detail'!AP82</f>
        <v>0</v>
      </c>
      <c r="AQ82" s="105">
        <f>'Hillpointe Detail'!AQ82+'Sandhill Detail'!AQ82</f>
        <v>54.515257826086966</v>
      </c>
      <c r="AR82" s="105">
        <f>'Hillpointe Detail'!AR82+'Sandhill Detail'!AR82</f>
        <v>0</v>
      </c>
      <c r="AS82" s="105">
        <f>'Hillpointe Detail'!AS82+'Sandhill Detail'!AS82</f>
        <v>0</v>
      </c>
      <c r="AT82" s="105">
        <f>'Hillpointe Detail'!AT82+'Sandhill Detail'!AT82</f>
        <v>0</v>
      </c>
      <c r="AU82" s="105">
        <f>'Hillpointe Detail'!AU82+'Sandhill Detail'!AU82</f>
        <v>326.00485217391309</v>
      </c>
      <c r="AV82" s="105">
        <f>'Hillpointe Detail'!AV82+'Sandhill Detail'!AV82</f>
        <v>246.08160360869564</v>
      </c>
      <c r="AW82" s="105">
        <f>'Hillpointe Detail'!AW82+'Sandhill Detail'!AW82</f>
        <v>767.23670000000016</v>
      </c>
      <c r="AX82" s="105">
        <f>'Hillpointe Detail'!AX82+'Sandhill Detail'!AX82</f>
        <v>0</v>
      </c>
      <c r="AY82" s="105">
        <f>'Hillpointe Detail'!AY82+'Sandhill Detail'!AY82</f>
        <v>1503.7817286956522</v>
      </c>
      <c r="AZ82" s="105">
        <f>'Hillpointe Detail'!AZ82+'Sandhill Detail'!AZ82</f>
        <v>0</v>
      </c>
      <c r="BA82" s="105">
        <f>'Hillpointe Detail'!BA82+'Sandhill Detail'!BA82</f>
        <v>0</v>
      </c>
      <c r="BB82" s="105">
        <f>'Hillpointe Detail'!BB82+'Sandhill Detail'!BB82</f>
        <v>0</v>
      </c>
      <c r="BC82" s="105">
        <f>'Hillpointe Detail'!BC82+'Sandhill Detail'!BC82</f>
        <v>56.150715560869578</v>
      </c>
      <c r="BD82" s="105">
        <f>'Hillpointe Detail'!BD82+'Sandhill Detail'!BD82</f>
        <v>0</v>
      </c>
      <c r="BE82" s="105">
        <f>'Hillpointe Detail'!BE82+'Sandhill Detail'!BE82</f>
        <v>0</v>
      </c>
      <c r="BF82" s="105">
        <f>'Hillpointe Detail'!BF82+'Sandhill Detail'!BF82</f>
        <v>0</v>
      </c>
      <c r="BG82" s="105">
        <f>'Hillpointe Detail'!BG82+'Sandhill Detail'!BG82</f>
        <v>335.78499773913052</v>
      </c>
      <c r="BH82" s="105">
        <f>'Hillpointe Detail'!BH82+'Sandhill Detail'!BH82</f>
        <v>253.46405171695653</v>
      </c>
      <c r="BI82" s="105">
        <f>'Hillpointe Detail'!BI82+'Sandhill Detail'!BI82</f>
        <v>790.25380100000007</v>
      </c>
      <c r="BJ82" s="105">
        <f>'Hillpointe Detail'!BJ82+'Sandhill Detail'!BJ82</f>
        <v>0</v>
      </c>
      <c r="BK82" s="105">
        <f>'Hillpointe Detail'!BK82+'Sandhill Detail'!BK82</f>
        <v>1548.8951805565216</v>
      </c>
      <c r="BL82" s="105">
        <f>'Hillpointe Detail'!BL82+'Sandhill Detail'!BL82</f>
        <v>0</v>
      </c>
      <c r="BM82" s="105">
        <f>'Hillpointe Detail'!BM82+'Sandhill Detail'!BM82</f>
        <v>0</v>
      </c>
      <c r="BN82" s="105">
        <f>'Hillpointe Detail'!BN82+'Sandhill Detail'!BN82</f>
        <v>0</v>
      </c>
      <c r="BO82" s="105">
        <f>'Hillpointe Detail'!BO82+'Sandhill Detail'!BO82</f>
        <v>57.835237027695669</v>
      </c>
      <c r="BP82" s="105">
        <f>'Hillpointe Detail'!BP82+'Sandhill Detail'!BP82</f>
        <v>0</v>
      </c>
      <c r="BQ82" s="105">
        <f>'Hillpointe Detail'!BQ82+'Sandhill Detail'!BQ82</f>
        <v>0</v>
      </c>
      <c r="BR82" s="105">
        <f>'Hillpointe Detail'!BR82+'Sandhill Detail'!BR82</f>
        <v>0</v>
      </c>
      <c r="BS82" s="105">
        <f>'Hillpointe Detail'!BS82+'Sandhill Detail'!BS82</f>
        <v>345.85854767130445</v>
      </c>
      <c r="BT82" s="105">
        <f>'Hillpointe Detail'!BT82+'Sandhill Detail'!BT82</f>
        <v>261.06797326846521</v>
      </c>
      <c r="BU82" s="105">
        <f>'Hillpointe Detail'!BU82+'Sandhill Detail'!BU82</f>
        <v>813.96141503000024</v>
      </c>
      <c r="BV82" s="105">
        <f>'Hillpointe Detail'!BV82+'Sandhill Detail'!BV82</f>
        <v>0</v>
      </c>
      <c r="BW82" s="105">
        <f>'Hillpointe Detail'!BW82+'Sandhill Detail'!BW82</f>
        <v>1595.3620359732172</v>
      </c>
      <c r="BX82" s="105">
        <f>'Hillpointe Detail'!BX82+'Sandhill Detail'!BX82</f>
        <v>0</v>
      </c>
      <c r="BY82" s="8"/>
      <c r="BZ82" s="105">
        <f t="shared" si="51"/>
        <v>1238.8</v>
      </c>
      <c r="CA82" s="105">
        <f t="shared" si="52"/>
        <v>2367.2600000000002</v>
      </c>
      <c r="CC82" s="105">
        <f t="shared" si="55"/>
        <v>11272.48</v>
      </c>
      <c r="CD82" s="105">
        <f t="shared" si="55"/>
        <v>17998.98</v>
      </c>
      <c r="CE82" s="105">
        <f t="shared" si="55"/>
        <v>3318.38</v>
      </c>
      <c r="CF82" s="105">
        <f t="shared" si="55"/>
        <v>2367.2600000000002</v>
      </c>
      <c r="CG82" s="105">
        <f t="shared" si="55"/>
        <v>2438.2777999999998</v>
      </c>
      <c r="CH82" s="105">
        <f t="shared" si="55"/>
        <v>2897.6201423043481</v>
      </c>
      <c r="CI82" s="105">
        <f t="shared" si="55"/>
        <v>2984.5487465734782</v>
      </c>
      <c r="CJ82" s="105">
        <f t="shared" si="55"/>
        <v>3074.0852089706827</v>
      </c>
      <c r="CL82" s="105"/>
      <c r="CM82" s="13"/>
    </row>
    <row r="83" spans="1:91" x14ac:dyDescent="0.3">
      <c r="A83" s="84" t="s">
        <v>43</v>
      </c>
      <c r="B83" s="10" t="s">
        <v>141</v>
      </c>
      <c r="C83" s="103">
        <v>0</v>
      </c>
      <c r="D83" s="103">
        <v>1746.46</v>
      </c>
      <c r="E83" s="105">
        <f>'Hillpointe Detail'!E83+'Sandhill Detail'!E83</f>
        <v>-1746.46</v>
      </c>
      <c r="F83" s="105">
        <f>'Hillpointe Detail'!F83+'Sandhill Detail'!F83</f>
        <v>1048.72</v>
      </c>
      <c r="G83" s="105">
        <f>'Hillpointe Detail'!G83+'Sandhill Detail'!G83</f>
        <v>0</v>
      </c>
      <c r="H83" s="105">
        <f>'Hillpointe Detail'!H83+'Sandhill Detail'!H83</f>
        <v>0</v>
      </c>
      <c r="I83" s="105">
        <f>'Hillpointe Detail'!I83+'Sandhill Detail'!I83</f>
        <v>0</v>
      </c>
      <c r="J83" s="105">
        <f>'Hillpointe Detail'!J83+'Sandhill Detail'!J83</f>
        <v>721.46</v>
      </c>
      <c r="K83" s="105">
        <f>'Hillpointe Detail'!K83+'Sandhill Detail'!K83</f>
        <v>0</v>
      </c>
      <c r="L83" s="105">
        <f>'Hillpointe Detail'!L83+'Sandhill Detail'!L83</f>
        <v>-361.55000000000007</v>
      </c>
      <c r="M83" s="105">
        <f>'Hillpointe Detail'!M83+'Sandhill Detail'!M83</f>
        <v>1157.8799999999999</v>
      </c>
      <c r="N83" s="105">
        <f>'Hillpointe Detail'!N83+'Sandhill Detail'!N83</f>
        <v>1446.47</v>
      </c>
      <c r="O83" s="105">
        <f>'Hillpointe Detail'!O83+'Sandhill Detail'!O83</f>
        <v>0</v>
      </c>
      <c r="P83" s="105">
        <f>'Hillpointe Detail'!P83+'Sandhill Detail'!P83</f>
        <v>0</v>
      </c>
      <c r="Q83" s="105">
        <f>'Hillpointe Detail'!Q83+'Sandhill Detail'!Q83</f>
        <v>0</v>
      </c>
      <c r="R83" s="105">
        <f>'Hillpointe Detail'!R83+'Sandhill Detail'!R83</f>
        <v>0</v>
      </c>
      <c r="S83" s="105">
        <f>'Hillpointe Detail'!S83+'Sandhill Detail'!S83</f>
        <v>0</v>
      </c>
      <c r="T83" s="105">
        <f>'Hillpointe Detail'!T83+'Sandhill Detail'!T83</f>
        <v>0</v>
      </c>
      <c r="U83" s="105">
        <f>'Hillpointe Detail'!U83+'Sandhill Detail'!U83</f>
        <v>0</v>
      </c>
      <c r="V83" s="105">
        <f>'Hillpointe Detail'!V83+'Sandhill Detail'!V83</f>
        <v>0</v>
      </c>
      <c r="W83" s="105">
        <f>'Hillpointe Detail'!W83+'Sandhill Detail'!W83</f>
        <v>0</v>
      </c>
      <c r="X83" s="105">
        <f>'Hillpointe Detail'!X83+'Sandhill Detail'!X83</f>
        <v>0</v>
      </c>
      <c r="Y83" s="105">
        <f>'Hillpointe Detail'!Y83+'Sandhill Detail'!Y83</f>
        <v>0</v>
      </c>
      <c r="Z83" s="105">
        <f>'Hillpointe Detail'!Z83+'Sandhill Detail'!Z83</f>
        <v>0</v>
      </c>
      <c r="AA83" s="105">
        <f>'Hillpointe Detail'!AA83+'Sandhill Detail'!AA83</f>
        <v>0</v>
      </c>
      <c r="AB83" s="105">
        <f>'Hillpointe Detail'!AB83+'Sandhill Detail'!AB83</f>
        <v>0</v>
      </c>
      <c r="AC83" s="105">
        <f>'Hillpointe Detail'!AC83+'Sandhill Detail'!AC83</f>
        <v>0</v>
      </c>
      <c r="AD83" s="105">
        <f>'Hillpointe Detail'!AD83+'Sandhill Detail'!AD83</f>
        <v>0</v>
      </c>
      <c r="AE83" s="105">
        <f>'Hillpointe Detail'!AE83+'Sandhill Detail'!AE83</f>
        <v>0</v>
      </c>
      <c r="AF83" s="105">
        <f>'Hillpointe Detail'!AF83+'Sandhill Detail'!AF83</f>
        <v>0</v>
      </c>
      <c r="AG83" s="105">
        <f>'Hillpointe Detail'!AG83+'Sandhill Detail'!AG83</f>
        <v>0</v>
      </c>
      <c r="AH83" s="105">
        <f>'Hillpointe Detail'!AH83+'Sandhill Detail'!AH83</f>
        <v>0</v>
      </c>
      <c r="AI83" s="105">
        <f>'Hillpointe Detail'!AI83+'Sandhill Detail'!AI83</f>
        <v>0</v>
      </c>
      <c r="AJ83" s="105">
        <f>'Hillpointe Detail'!AJ83+'Sandhill Detail'!AJ83</f>
        <v>0</v>
      </c>
      <c r="AK83" s="105">
        <f>'Hillpointe Detail'!AK83+'Sandhill Detail'!AK83</f>
        <v>0</v>
      </c>
      <c r="AL83" s="105">
        <f>'Hillpointe Detail'!AL83+'Sandhill Detail'!AL83</f>
        <v>0</v>
      </c>
      <c r="AM83" s="105">
        <f>'Hillpointe Detail'!AM83+'Sandhill Detail'!AM83</f>
        <v>0</v>
      </c>
      <c r="AN83" s="105">
        <f>'Hillpointe Detail'!AN83+'Sandhill Detail'!AN83</f>
        <v>0</v>
      </c>
      <c r="AO83" s="105">
        <f>'Hillpointe Detail'!AO83+'Sandhill Detail'!AO83</f>
        <v>0</v>
      </c>
      <c r="AP83" s="105">
        <f>'Hillpointe Detail'!AP83+'Sandhill Detail'!AP83</f>
        <v>0</v>
      </c>
      <c r="AQ83" s="105">
        <f>'Hillpointe Detail'!AQ83+'Sandhill Detail'!AQ83</f>
        <v>0</v>
      </c>
      <c r="AR83" s="105">
        <f>'Hillpointe Detail'!AR83+'Sandhill Detail'!AR83</f>
        <v>0</v>
      </c>
      <c r="AS83" s="105">
        <f>'Hillpointe Detail'!AS83+'Sandhill Detail'!AS83</f>
        <v>0</v>
      </c>
      <c r="AT83" s="105">
        <f>'Hillpointe Detail'!AT83+'Sandhill Detail'!AT83</f>
        <v>0</v>
      </c>
      <c r="AU83" s="105">
        <f>'Hillpointe Detail'!AU83+'Sandhill Detail'!AU83</f>
        <v>0</v>
      </c>
      <c r="AV83" s="105">
        <f>'Hillpointe Detail'!AV83+'Sandhill Detail'!AV83</f>
        <v>0</v>
      </c>
      <c r="AW83" s="105">
        <f>'Hillpointe Detail'!AW83+'Sandhill Detail'!AW83</f>
        <v>0</v>
      </c>
      <c r="AX83" s="105">
        <f>'Hillpointe Detail'!AX83+'Sandhill Detail'!AX83</f>
        <v>0</v>
      </c>
      <c r="AY83" s="105">
        <f>'Hillpointe Detail'!AY83+'Sandhill Detail'!AY83</f>
        <v>0</v>
      </c>
      <c r="AZ83" s="105">
        <f>'Hillpointe Detail'!AZ83+'Sandhill Detail'!AZ83</f>
        <v>0</v>
      </c>
      <c r="BA83" s="105">
        <f>'Hillpointe Detail'!BA83+'Sandhill Detail'!BA83</f>
        <v>0</v>
      </c>
      <c r="BB83" s="105">
        <f>'Hillpointe Detail'!BB83+'Sandhill Detail'!BB83</f>
        <v>0</v>
      </c>
      <c r="BC83" s="105">
        <f>'Hillpointe Detail'!BC83+'Sandhill Detail'!BC83</f>
        <v>0</v>
      </c>
      <c r="BD83" s="105">
        <f>'Hillpointe Detail'!BD83+'Sandhill Detail'!BD83</f>
        <v>0</v>
      </c>
      <c r="BE83" s="105">
        <f>'Hillpointe Detail'!BE83+'Sandhill Detail'!BE83</f>
        <v>0</v>
      </c>
      <c r="BF83" s="105">
        <f>'Hillpointe Detail'!BF83+'Sandhill Detail'!BF83</f>
        <v>0</v>
      </c>
      <c r="BG83" s="105">
        <f>'Hillpointe Detail'!BG83+'Sandhill Detail'!BG83</f>
        <v>0</v>
      </c>
      <c r="BH83" s="105">
        <f>'Hillpointe Detail'!BH83+'Sandhill Detail'!BH83</f>
        <v>0</v>
      </c>
      <c r="BI83" s="105">
        <f>'Hillpointe Detail'!BI83+'Sandhill Detail'!BI83</f>
        <v>0</v>
      </c>
      <c r="BJ83" s="105">
        <f>'Hillpointe Detail'!BJ83+'Sandhill Detail'!BJ83</f>
        <v>0</v>
      </c>
      <c r="BK83" s="105">
        <f>'Hillpointe Detail'!BK83+'Sandhill Detail'!BK83</f>
        <v>0</v>
      </c>
      <c r="BL83" s="105">
        <f>'Hillpointe Detail'!BL83+'Sandhill Detail'!BL83</f>
        <v>0</v>
      </c>
      <c r="BM83" s="105">
        <f>'Hillpointe Detail'!BM83+'Sandhill Detail'!BM83</f>
        <v>0</v>
      </c>
      <c r="BN83" s="105">
        <f>'Hillpointe Detail'!BN83+'Sandhill Detail'!BN83</f>
        <v>0</v>
      </c>
      <c r="BO83" s="105">
        <f>'Hillpointe Detail'!BO83+'Sandhill Detail'!BO83</f>
        <v>0</v>
      </c>
      <c r="BP83" s="105">
        <f>'Hillpointe Detail'!BP83+'Sandhill Detail'!BP83</f>
        <v>0</v>
      </c>
      <c r="BQ83" s="105">
        <f>'Hillpointe Detail'!BQ83+'Sandhill Detail'!BQ83</f>
        <v>0</v>
      </c>
      <c r="BR83" s="105">
        <f>'Hillpointe Detail'!BR83+'Sandhill Detail'!BR83</f>
        <v>0</v>
      </c>
      <c r="BS83" s="105">
        <f>'Hillpointe Detail'!BS83+'Sandhill Detail'!BS83</f>
        <v>0</v>
      </c>
      <c r="BT83" s="105">
        <f>'Hillpointe Detail'!BT83+'Sandhill Detail'!BT83</f>
        <v>0</v>
      </c>
      <c r="BU83" s="105">
        <f>'Hillpointe Detail'!BU83+'Sandhill Detail'!BU83</f>
        <v>0</v>
      </c>
      <c r="BV83" s="105">
        <f>'Hillpointe Detail'!BV83+'Sandhill Detail'!BV83</f>
        <v>0</v>
      </c>
      <c r="BW83" s="105">
        <f>'Hillpointe Detail'!BW83+'Sandhill Detail'!BW83</f>
        <v>0</v>
      </c>
      <c r="BX83" s="105">
        <f>'Hillpointe Detail'!BX83+'Sandhill Detail'!BX83</f>
        <v>0</v>
      </c>
      <c r="BY83" s="8"/>
      <c r="BZ83" s="105">
        <f t="shared" si="51"/>
        <v>0</v>
      </c>
      <c r="CA83" s="105">
        <f t="shared" si="52"/>
        <v>0</v>
      </c>
      <c r="CC83" s="105">
        <f t="shared" si="55"/>
        <v>0</v>
      </c>
      <c r="CD83" s="105">
        <f t="shared" si="55"/>
        <v>1746.46</v>
      </c>
      <c r="CE83" s="105">
        <f t="shared" si="55"/>
        <v>2266.52</v>
      </c>
      <c r="CF83" s="105">
        <f t="shared" si="55"/>
        <v>0</v>
      </c>
      <c r="CG83" s="105">
        <f t="shared" si="55"/>
        <v>0</v>
      </c>
      <c r="CH83" s="105">
        <f t="shared" si="55"/>
        <v>0</v>
      </c>
      <c r="CI83" s="105">
        <f t="shared" si="55"/>
        <v>0</v>
      </c>
      <c r="CJ83" s="105">
        <f t="shared" si="55"/>
        <v>0</v>
      </c>
      <c r="CL83" s="105"/>
      <c r="CM83" s="13"/>
    </row>
    <row r="84" spans="1:91" x14ac:dyDescent="0.3">
      <c r="A84" s="84" t="s">
        <v>327</v>
      </c>
      <c r="B84" s="10" t="s">
        <v>141</v>
      </c>
      <c r="C84" s="140">
        <v>0</v>
      </c>
      <c r="D84" s="140">
        <v>0</v>
      </c>
      <c r="E84" s="141">
        <f>'Hillpointe Detail'!E84+'Sandhill Detail'!E84</f>
        <v>0</v>
      </c>
      <c r="F84" s="141">
        <f>'Hillpointe Detail'!F84+'Sandhill Detail'!F84</f>
        <v>0</v>
      </c>
      <c r="G84" s="141">
        <f>'Hillpointe Detail'!G84+'Sandhill Detail'!G84</f>
        <v>0</v>
      </c>
      <c r="H84" s="141">
        <f>'Hillpointe Detail'!H84+'Sandhill Detail'!H84</f>
        <v>0</v>
      </c>
      <c r="I84" s="141">
        <f>'Hillpointe Detail'!I84+'Sandhill Detail'!I84</f>
        <v>0</v>
      </c>
      <c r="J84" s="141">
        <f>'Hillpointe Detail'!J84+'Sandhill Detail'!J84</f>
        <v>0</v>
      </c>
      <c r="K84" s="141">
        <f>'Hillpointe Detail'!K84+'Sandhill Detail'!K84</f>
        <v>0</v>
      </c>
      <c r="L84" s="141">
        <f>'Hillpointe Detail'!L84+'Sandhill Detail'!L84</f>
        <v>0</v>
      </c>
      <c r="M84" s="141">
        <f>'Hillpointe Detail'!M84+'Sandhill Detail'!M84</f>
        <v>0</v>
      </c>
      <c r="N84" s="141">
        <f>'Hillpointe Detail'!N84+'Sandhill Detail'!N84</f>
        <v>1122.1599999999999</v>
      </c>
      <c r="O84" s="141">
        <f>'Hillpointe Detail'!O84+'Sandhill Detail'!O84</f>
        <v>2311.2799999999997</v>
      </c>
      <c r="P84" s="141">
        <f>'Hillpointe Detail'!P84+'Sandhill Detail'!P84</f>
        <v>200</v>
      </c>
      <c r="Q84" s="141">
        <f>'Hillpointe Detail'!Q84+'Sandhill Detail'!Q84</f>
        <v>0</v>
      </c>
      <c r="R84" s="141">
        <f>'Hillpointe Detail'!R84+'Sandhill Detail'!R84</f>
        <v>0</v>
      </c>
      <c r="S84" s="141">
        <f>'Hillpointe Detail'!S84+'Sandhill Detail'!S84</f>
        <v>0</v>
      </c>
      <c r="T84" s="141">
        <f>'Hillpointe Detail'!T84+'Sandhill Detail'!T84</f>
        <v>2220.3199999999997</v>
      </c>
      <c r="U84" s="141">
        <f>'Hillpointe Detail'!U84+'Sandhill Detail'!U84</f>
        <v>0</v>
      </c>
      <c r="V84" s="141">
        <f>'Hillpointe Detail'!V84+'Sandhill Detail'!V84</f>
        <v>0</v>
      </c>
      <c r="W84" s="141">
        <f>'Hillpointe Detail'!W84+'Sandhill Detail'!W84</f>
        <v>3491.99</v>
      </c>
      <c r="X84" s="141">
        <f>'Hillpointe Detail'!X84+'Sandhill Detail'!X84</f>
        <v>0</v>
      </c>
      <c r="Y84" s="141">
        <f>'Hillpointe Detail'!Y84+'Sandhill Detail'!Y84</f>
        <v>4800</v>
      </c>
      <c r="Z84" s="141">
        <f>'Hillpointe Detail'!Z84+'Sandhill Detail'!Z84</f>
        <v>2167</v>
      </c>
      <c r="AA84" s="141">
        <f>'Hillpointe Detail'!AA84+'Sandhill Detail'!AA84</f>
        <v>1499.9900000000002</v>
      </c>
      <c r="AB84" s="141">
        <f>'Hillpointe Detail'!AB84+'Sandhill Detail'!AB84</f>
        <v>206</v>
      </c>
      <c r="AC84" s="141">
        <f>'Hillpointe Detail'!AC84+'Sandhill Detail'!AC84</f>
        <v>0</v>
      </c>
      <c r="AD84" s="141">
        <f>'Hillpointe Detail'!AD84+'Sandhill Detail'!AD84</f>
        <v>0</v>
      </c>
      <c r="AE84" s="141">
        <f>'Hillpointe Detail'!AE84+'Sandhill Detail'!AE84</f>
        <v>0</v>
      </c>
      <c r="AF84" s="141">
        <f>'Hillpointe Detail'!AF84+'Sandhill Detail'!AF84</f>
        <v>2286.9295999999999</v>
      </c>
      <c r="AG84" s="141">
        <f>'Hillpointe Detail'!AG84+'Sandhill Detail'!AG84</f>
        <v>0</v>
      </c>
      <c r="AH84" s="141">
        <f>'Hillpointe Detail'!AH84+'Sandhill Detail'!AH84</f>
        <v>0</v>
      </c>
      <c r="AI84" s="141">
        <f>'Hillpointe Detail'!AI84+'Sandhill Detail'!AI84</f>
        <v>3596.7497000000003</v>
      </c>
      <c r="AJ84" s="141">
        <f>'Hillpointe Detail'!AJ84+'Sandhill Detail'!AJ84</f>
        <v>0</v>
      </c>
      <c r="AK84" s="141">
        <f>'Hillpointe Detail'!AK84+'Sandhill Detail'!AK84</f>
        <v>4944</v>
      </c>
      <c r="AL84" s="141">
        <f>'Hillpointe Detail'!AL84+'Sandhill Detail'!AL84</f>
        <v>2232.0099999999998</v>
      </c>
      <c r="AM84" s="141">
        <f>'Hillpointe Detail'!AM84+'Sandhill Detail'!AM84</f>
        <v>1544.9897000000001</v>
      </c>
      <c r="AN84" s="141">
        <f>'Hillpointe Detail'!AN84+'Sandhill Detail'!AN84</f>
        <v>212.18</v>
      </c>
      <c r="AO84" s="141">
        <f>'Hillpointe Detail'!AO84+'Sandhill Detail'!AO84</f>
        <v>0</v>
      </c>
      <c r="AP84" s="141">
        <f>'Hillpointe Detail'!AP84+'Sandhill Detail'!AP84</f>
        <v>0</v>
      </c>
      <c r="AQ84" s="141">
        <f>'Hillpointe Detail'!AQ84+'Sandhill Detail'!AQ84</f>
        <v>0</v>
      </c>
      <c r="AR84" s="141">
        <f>'Hillpointe Detail'!AR84+'Sandhill Detail'!AR84</f>
        <v>2410.6871049130436</v>
      </c>
      <c r="AS84" s="141">
        <f>'Hillpointe Detail'!AS84+'Sandhill Detail'!AS84</f>
        <v>0</v>
      </c>
      <c r="AT84" s="141">
        <f>'Hillpointe Detail'!AT84+'Sandhill Detail'!AT84</f>
        <v>0</v>
      </c>
      <c r="AU84" s="141">
        <f>'Hillpointe Detail'!AU84+'Sandhill Detail'!AU84</f>
        <v>4239.966146565218</v>
      </c>
      <c r="AV84" s="141">
        <f>'Hillpointe Detail'!AV84+'Sandhill Detail'!AV84</f>
        <v>0</v>
      </c>
      <c r="AW84" s="141">
        <f>'Hillpointe Detail'!AW84+'Sandhill Detail'!AW84</f>
        <v>5250.3976826086955</v>
      </c>
      <c r="AX84" s="141">
        <f>'Hillpointe Detail'!AX84+'Sandhill Detail'!AX84</f>
        <v>2309.0571616521738</v>
      </c>
      <c r="AY84" s="141">
        <f>'Hillpointe Detail'!AY84+'Sandhill Detail'!AY84</f>
        <v>1818.0119791304351</v>
      </c>
      <c r="AZ84" s="141">
        <f>'Hillpointe Detail'!AZ84+'Sandhill Detail'!AZ84</f>
        <v>249.558735826087</v>
      </c>
      <c r="BA84" s="141">
        <f>'Hillpointe Detail'!BA84+'Sandhill Detail'!BA84</f>
        <v>0</v>
      </c>
      <c r="BB84" s="141">
        <f>'Hillpointe Detail'!BB84+'Sandhill Detail'!BB84</f>
        <v>0</v>
      </c>
      <c r="BC84" s="141">
        <f>'Hillpointe Detail'!BC84+'Sandhill Detail'!BC84</f>
        <v>0</v>
      </c>
      <c r="BD84" s="141">
        <f>'Hillpointe Detail'!BD84+'Sandhill Detail'!BD84</f>
        <v>2483.0077180604349</v>
      </c>
      <c r="BE84" s="141">
        <f>'Hillpointe Detail'!BE84+'Sandhill Detail'!BE84</f>
        <v>0</v>
      </c>
      <c r="BF84" s="141">
        <f>'Hillpointe Detail'!BF84+'Sandhill Detail'!BF84</f>
        <v>0</v>
      </c>
      <c r="BG84" s="141">
        <f>'Hillpointe Detail'!BG84+'Sandhill Detail'!BG84</f>
        <v>4367.1651309621748</v>
      </c>
      <c r="BH84" s="141">
        <f>'Hillpointe Detail'!BH84+'Sandhill Detail'!BH84</f>
        <v>0</v>
      </c>
      <c r="BI84" s="141">
        <f>'Hillpointe Detail'!BI84+'Sandhill Detail'!BI84</f>
        <v>5407.9096130869566</v>
      </c>
      <c r="BJ84" s="141">
        <f>'Hillpointe Detail'!BJ84+'Sandhill Detail'!BJ84</f>
        <v>2378.3288765017392</v>
      </c>
      <c r="BK84" s="141">
        <f>'Hillpointe Detail'!BK84+'Sandhill Detail'!BK84</f>
        <v>1872.5523385043484</v>
      </c>
      <c r="BL84" s="141">
        <f>'Hillpointe Detail'!BL84+'Sandhill Detail'!BL84</f>
        <v>257.04549790086958</v>
      </c>
      <c r="BM84" s="141">
        <f>'Hillpointe Detail'!BM84+'Sandhill Detail'!BM84</f>
        <v>0</v>
      </c>
      <c r="BN84" s="141">
        <f>'Hillpointe Detail'!BN84+'Sandhill Detail'!BN84</f>
        <v>0</v>
      </c>
      <c r="BO84" s="141">
        <f>'Hillpointe Detail'!BO84+'Sandhill Detail'!BO84</f>
        <v>0</v>
      </c>
      <c r="BP84" s="141">
        <f>'Hillpointe Detail'!BP84+'Sandhill Detail'!BP84</f>
        <v>2557.4979496022484</v>
      </c>
      <c r="BQ84" s="141">
        <f>'Hillpointe Detail'!BQ84+'Sandhill Detail'!BQ84</f>
        <v>0</v>
      </c>
      <c r="BR84" s="141">
        <f>'Hillpointe Detail'!BR84+'Sandhill Detail'!BR84</f>
        <v>0</v>
      </c>
      <c r="BS84" s="141">
        <f>'Hillpointe Detail'!BS84+'Sandhill Detail'!BS84</f>
        <v>4498.1800848910398</v>
      </c>
      <c r="BT84" s="141">
        <f>'Hillpointe Detail'!BT84+'Sandhill Detail'!BT84</f>
        <v>0</v>
      </c>
      <c r="BU84" s="141">
        <f>'Hillpointe Detail'!BU84+'Sandhill Detail'!BU84</f>
        <v>5570.1469014795657</v>
      </c>
      <c r="BV84" s="141">
        <f>'Hillpointe Detail'!BV84+'Sandhill Detail'!BV84</f>
        <v>2449.6787427967915</v>
      </c>
      <c r="BW84" s="141">
        <f>'Hillpointe Detail'!BW84+'Sandhill Detail'!BW84</f>
        <v>1928.7289086594787</v>
      </c>
      <c r="BX84" s="141">
        <f>'Hillpointe Detail'!BX84+'Sandhill Detail'!BX84</f>
        <v>264.75686283789571</v>
      </c>
      <c r="BY84" s="8"/>
      <c r="BZ84" s="141">
        <f t="shared" si="51"/>
        <v>1499.9900000000002</v>
      </c>
      <c r="CA84" s="141">
        <f t="shared" si="52"/>
        <v>14179.3</v>
      </c>
      <c r="CC84" s="141">
        <f t="shared" si="55"/>
        <v>0</v>
      </c>
      <c r="CD84" s="141">
        <f t="shared" si="55"/>
        <v>0</v>
      </c>
      <c r="CE84" s="141">
        <f t="shared" si="55"/>
        <v>3633.4399999999996</v>
      </c>
      <c r="CF84" s="141">
        <f t="shared" si="55"/>
        <v>14385.3</v>
      </c>
      <c r="CG84" s="141">
        <f t="shared" si="55"/>
        <v>14816.859</v>
      </c>
      <c r="CH84" s="141">
        <f t="shared" si="55"/>
        <v>16277.678810695654</v>
      </c>
      <c r="CI84" s="141">
        <f t="shared" si="55"/>
        <v>16766.009175016523</v>
      </c>
      <c r="CJ84" s="141">
        <f t="shared" si="55"/>
        <v>17268.989450267018</v>
      </c>
      <c r="CL84" s="105"/>
      <c r="CM84" s="13"/>
    </row>
    <row r="85" spans="1:91" x14ac:dyDescent="0.3">
      <c r="A85" s="84" t="s">
        <v>44</v>
      </c>
      <c r="B85" s="10"/>
      <c r="C85" s="18">
        <f>SUM(C76:C83)</f>
        <v>12025.72</v>
      </c>
      <c r="D85" s="18">
        <f>SUM(D76:D83)</f>
        <v>27990.04</v>
      </c>
      <c r="E85" s="105">
        <f>'Hillpointe Detail'!E85+'Sandhill Detail'!E85</f>
        <v>-1746.46</v>
      </c>
      <c r="F85" s="105">
        <f>'Hillpointe Detail'!F85+'Sandhill Detail'!F85</f>
        <v>3732.62</v>
      </c>
      <c r="G85" s="105">
        <f>'Hillpointe Detail'!G85+'Sandhill Detail'!G85</f>
        <v>1144</v>
      </c>
      <c r="H85" s="105">
        <f>'Hillpointe Detail'!H85+'Sandhill Detail'!H85</f>
        <v>1343.63</v>
      </c>
      <c r="I85" s="105">
        <f>'Hillpointe Detail'!I85+'Sandhill Detail'!I85</f>
        <v>0</v>
      </c>
      <c r="J85" s="105">
        <f>'Hillpointe Detail'!J85+'Sandhill Detail'!J85</f>
        <v>1184.1200000000001</v>
      </c>
      <c r="K85" s="105">
        <f>'Hillpointe Detail'!K85+'Sandhill Detail'!K85</f>
        <v>1681.23</v>
      </c>
      <c r="L85" s="105">
        <f>'Hillpointe Detail'!L85+'Sandhill Detail'!L85</f>
        <v>2196.4499999999998</v>
      </c>
      <c r="M85" s="105">
        <f>'Hillpointe Detail'!M85+'Sandhill Detail'!M85</f>
        <v>4559.0300000000007</v>
      </c>
      <c r="N85" s="105">
        <f>'Hillpointe Detail'!N85+'Sandhill Detail'!N85</f>
        <v>6800.93</v>
      </c>
      <c r="O85" s="105">
        <f>'Hillpointe Detail'!O85+'Sandhill Detail'!O85</f>
        <v>3281.06</v>
      </c>
      <c r="P85" s="105">
        <f>'Hillpointe Detail'!P85+'Sandhill Detail'!P85</f>
        <v>2431.7700000000004</v>
      </c>
      <c r="Q85" s="105">
        <f>'Hillpointe Detail'!Q85+'Sandhill Detail'!Q85</f>
        <v>2365.9299999999998</v>
      </c>
      <c r="R85" s="105">
        <f>'Hillpointe Detail'!R85+'Sandhill Detail'!R85</f>
        <v>2309.08</v>
      </c>
      <c r="S85" s="105">
        <f>'Hillpointe Detail'!S85+'Sandhill Detail'!S85</f>
        <v>2161.15</v>
      </c>
      <c r="T85" s="105">
        <f>'Hillpointe Detail'!T85+'Sandhill Detail'!T85</f>
        <v>10742.149999999998</v>
      </c>
      <c r="U85" s="105">
        <f>'Hillpointe Detail'!U85+'Sandhill Detail'!U85</f>
        <v>2795</v>
      </c>
      <c r="V85" s="105">
        <f>'Hillpointe Detail'!V85+'Sandhill Detail'!V85</f>
        <v>3225.85</v>
      </c>
      <c r="W85" s="105">
        <f>'Hillpointe Detail'!W85+'Sandhill Detail'!W85</f>
        <v>8605.81</v>
      </c>
      <c r="X85" s="105">
        <f>'Hillpointe Detail'!X85+'Sandhill Detail'!X85</f>
        <v>2853.13</v>
      </c>
      <c r="Y85" s="105">
        <f>'Hillpointe Detail'!Y85+'Sandhill Detail'!Y85</f>
        <v>15075.94</v>
      </c>
      <c r="Z85" s="105">
        <f>'Hillpointe Detail'!Z85+'Sandhill Detail'!Z85</f>
        <v>4136.9199999999992</v>
      </c>
      <c r="AA85" s="105">
        <f>'Hillpointe Detail'!AA85+'Sandhill Detail'!AA85</f>
        <v>6748.63</v>
      </c>
      <c r="AB85" s="105">
        <f>'Hillpointe Detail'!AB85+'Sandhill Detail'!AB85</f>
        <v>2504.7230999999997</v>
      </c>
      <c r="AC85" s="105">
        <f>'Hillpointe Detail'!AC85+'Sandhill Detail'!AC85</f>
        <v>2436.9078999999997</v>
      </c>
      <c r="AD85" s="105">
        <f>'Hillpointe Detail'!AD85+'Sandhill Detail'!AD85</f>
        <v>2378.3523999999998</v>
      </c>
      <c r="AE85" s="105">
        <f>'Hillpointe Detail'!AE85+'Sandhill Detail'!AE85</f>
        <v>2225.9845</v>
      </c>
      <c r="AF85" s="105">
        <f>'Hillpointe Detail'!AF85+'Sandhill Detail'!AF85</f>
        <v>11064.414500000001</v>
      </c>
      <c r="AG85" s="105">
        <f>'Hillpointe Detail'!AG85+'Sandhill Detail'!AG85</f>
        <v>2878.85</v>
      </c>
      <c r="AH85" s="105">
        <f>'Hillpointe Detail'!AH85+'Sandhill Detail'!AH85</f>
        <v>3322.6255000000006</v>
      </c>
      <c r="AI85" s="105">
        <f>'Hillpointe Detail'!AI85+'Sandhill Detail'!AI85</f>
        <v>8863.9843000000001</v>
      </c>
      <c r="AJ85" s="105">
        <f>'Hillpointe Detail'!AJ85+'Sandhill Detail'!AJ85</f>
        <v>2938.7239</v>
      </c>
      <c r="AK85" s="105">
        <f>'Hillpointe Detail'!AK85+'Sandhill Detail'!AK85</f>
        <v>15528.218199999999</v>
      </c>
      <c r="AL85" s="105">
        <f>'Hillpointe Detail'!AL85+'Sandhill Detail'!AL85</f>
        <v>4261.0275999999994</v>
      </c>
      <c r="AM85" s="105">
        <f>'Hillpointe Detail'!AM85+'Sandhill Detail'!AM85</f>
        <v>6951.0888999999997</v>
      </c>
      <c r="AN85" s="105">
        <f>'Hillpointe Detail'!AN85+'Sandhill Detail'!AN85</f>
        <v>2579.8647929999997</v>
      </c>
      <c r="AO85" s="105">
        <f>'Hillpointe Detail'!AO85+'Sandhill Detail'!AO85</f>
        <v>2966.6704869565219</v>
      </c>
      <c r="AP85" s="105">
        <f>'Hillpointe Detail'!AP85+'Sandhill Detail'!AP85</f>
        <v>2895.3855304347826</v>
      </c>
      <c r="AQ85" s="105">
        <f>'Hillpointe Detail'!AQ85+'Sandhill Detail'!AQ85</f>
        <v>2707.9833447826095</v>
      </c>
      <c r="AR85" s="105">
        <f>'Hillpointe Detail'!AR85+'Sandhill Detail'!AR85</f>
        <v>12867.629391652175</v>
      </c>
      <c r="AS85" s="105">
        <f>'Hillpointe Detail'!AS85+'Sandhill Detail'!AS85</f>
        <v>3504.6869565217394</v>
      </c>
      <c r="AT85" s="105">
        <f>'Hillpointe Detail'!AT85+'Sandhill Detail'!AT85</f>
        <v>4044.0861339130438</v>
      </c>
      <c r="AU85" s="105">
        <f>'Hillpointe Detail'!AU85+'Sandhill Detail'!AU85</f>
        <v>10564.828418652174</v>
      </c>
      <c r="AV85" s="105">
        <f>'Hillpointe Detail'!AV85+'Sandhill Detail'!AV85</f>
        <v>3575.1082849130435</v>
      </c>
      <c r="AW85" s="105">
        <f>'Hillpointe Detail'!AW85+'Sandhill Detail'!AW85</f>
        <v>17356.283252304347</v>
      </c>
      <c r="AX85" s="105">
        <f>'Hillpointe Detail'!AX85+'Sandhill Detail'!AX85</f>
        <v>4753.9387394782607</v>
      </c>
      <c r="AY85" s="105">
        <f>'Hillpointe Detail'!AY85+'Sandhill Detail'!AY85</f>
        <v>8298.1997200869573</v>
      </c>
      <c r="AZ85" s="105">
        <f>'Hillpointe Detail'!AZ85+'Sandhill Detail'!AZ85</f>
        <v>3131.7031458643482</v>
      </c>
      <c r="BA85" s="105">
        <f>'Hillpointe Detail'!BA85+'Sandhill Detail'!BA85</f>
        <v>3055.6706015652176</v>
      </c>
      <c r="BB85" s="105">
        <f>'Hillpointe Detail'!BB85+'Sandhill Detail'!BB85</f>
        <v>2982.2470963478263</v>
      </c>
      <c r="BC85" s="105">
        <f>'Hillpointe Detail'!BC85+'Sandhill Detail'!BC85</f>
        <v>2789.2228451260876</v>
      </c>
      <c r="BD85" s="105">
        <f>'Hillpointe Detail'!BD85+'Sandhill Detail'!BD85</f>
        <v>13253.658273401741</v>
      </c>
      <c r="BE85" s="105">
        <f>'Hillpointe Detail'!BE85+'Sandhill Detail'!BE85</f>
        <v>3609.8275652173916</v>
      </c>
      <c r="BF85" s="105">
        <f>'Hillpointe Detail'!BF85+'Sandhill Detail'!BF85</f>
        <v>4165.4087179304352</v>
      </c>
      <c r="BG85" s="105">
        <f>'Hillpointe Detail'!BG85+'Sandhill Detail'!BG85</f>
        <v>10881.773271211741</v>
      </c>
      <c r="BH85" s="105">
        <f>'Hillpointe Detail'!BH85+'Sandhill Detail'!BH85</f>
        <v>3682.3615334604351</v>
      </c>
      <c r="BI85" s="105">
        <f>'Hillpointe Detail'!BI85+'Sandhill Detail'!BI85</f>
        <v>17876.971749873479</v>
      </c>
      <c r="BJ85" s="105">
        <f>'Hillpointe Detail'!BJ85+'Sandhill Detail'!BJ85</f>
        <v>4896.5569016626087</v>
      </c>
      <c r="BK85" s="105">
        <f>'Hillpointe Detail'!BK85+'Sandhill Detail'!BK85</f>
        <v>8547.1457116895654</v>
      </c>
      <c r="BL85" s="105">
        <f>'Hillpointe Detail'!BL85+'Sandhill Detail'!BL85</f>
        <v>3225.6542402402788</v>
      </c>
      <c r="BM85" s="105">
        <f>'Hillpointe Detail'!BM85+'Sandhill Detail'!BM85</f>
        <v>3147.3407196121743</v>
      </c>
      <c r="BN85" s="105">
        <f>'Hillpointe Detail'!BN85+'Sandhill Detail'!BN85</f>
        <v>3071.7145092382611</v>
      </c>
      <c r="BO85" s="105">
        <f>'Hillpointe Detail'!BO85+'Sandhill Detail'!BO85</f>
        <v>2872.89953047987</v>
      </c>
      <c r="BP85" s="105">
        <f>'Hillpointe Detail'!BP85+'Sandhill Detail'!BP85</f>
        <v>13651.268021603795</v>
      </c>
      <c r="BQ85" s="105">
        <f>'Hillpointe Detail'!BQ85+'Sandhill Detail'!BQ85</f>
        <v>3718.1223921739133</v>
      </c>
      <c r="BR85" s="105">
        <f>'Hillpointe Detail'!BR85+'Sandhill Detail'!BR85</f>
        <v>4290.3709794683491</v>
      </c>
      <c r="BS85" s="105">
        <f>'Hillpointe Detail'!BS85+'Sandhill Detail'!BS85</f>
        <v>11208.226469348094</v>
      </c>
      <c r="BT85" s="105">
        <f>'Hillpointe Detail'!BT85+'Sandhill Detail'!BT85</f>
        <v>3792.8323794642483</v>
      </c>
      <c r="BU85" s="105">
        <f>'Hillpointe Detail'!BU85+'Sandhill Detail'!BU85</f>
        <v>18413.280902369683</v>
      </c>
      <c r="BV85" s="105">
        <f>'Hillpointe Detail'!BV85+'Sandhill Detail'!BV85</f>
        <v>5043.453608712487</v>
      </c>
      <c r="BW85" s="105">
        <f>'Hillpointe Detail'!BW85+'Sandhill Detail'!BW85</f>
        <v>8803.5600830402527</v>
      </c>
      <c r="BX85" s="105">
        <f>'Hillpointe Detail'!BX85+'Sandhill Detail'!BX85</f>
        <v>3322.4238674474873</v>
      </c>
      <c r="BY85" s="8"/>
      <c r="BZ85" s="105">
        <f t="shared" si="51"/>
        <v>6748.63</v>
      </c>
      <c r="CA85" s="105">
        <f t="shared" si="52"/>
        <v>61019.589999999989</v>
      </c>
      <c r="CC85" s="105">
        <f t="shared" si="55"/>
        <v>12025.72</v>
      </c>
      <c r="CD85" s="105">
        <f t="shared" si="55"/>
        <v>27990.04</v>
      </c>
      <c r="CE85" s="105">
        <f t="shared" si="55"/>
        <v>26608.380000000005</v>
      </c>
      <c r="CF85" s="105">
        <f t="shared" si="55"/>
        <v>63524.313099999992</v>
      </c>
      <c r="CG85" s="105">
        <f t="shared" si="55"/>
        <v>65430.042493000001</v>
      </c>
      <c r="CH85" s="105">
        <f t="shared" si="55"/>
        <v>76666.503405559997</v>
      </c>
      <c r="CI85" s="105">
        <f t="shared" si="55"/>
        <v>78966.498507726807</v>
      </c>
      <c r="CJ85" s="105">
        <f t="shared" si="55"/>
        <v>81335.493462958621</v>
      </c>
      <c r="CL85" s="105"/>
      <c r="CM85" s="13"/>
    </row>
    <row r="86" spans="1:91" x14ac:dyDescent="0.3">
      <c r="A86" s="84" t="s">
        <v>45</v>
      </c>
      <c r="B86" s="10"/>
      <c r="C86" s="103">
        <v>0</v>
      </c>
      <c r="D86" s="103">
        <v>0</v>
      </c>
      <c r="E86" s="105">
        <f>'Hillpointe Detail'!E86+'Sandhill Detail'!E86</f>
        <v>0</v>
      </c>
      <c r="F86" s="105">
        <f>'Hillpointe Detail'!F86+'Sandhill Detail'!F86</f>
        <v>0</v>
      </c>
      <c r="G86" s="105">
        <f>'Hillpointe Detail'!G86+'Sandhill Detail'!G86</f>
        <v>0</v>
      </c>
      <c r="H86" s="105">
        <f>'Hillpointe Detail'!H86+'Sandhill Detail'!H86</f>
        <v>0</v>
      </c>
      <c r="I86" s="105">
        <f>'Hillpointe Detail'!I86+'Sandhill Detail'!I86</f>
        <v>0</v>
      </c>
      <c r="J86" s="105">
        <f>'Hillpointe Detail'!J86+'Sandhill Detail'!J86</f>
        <v>0</v>
      </c>
      <c r="K86" s="105">
        <f>'Hillpointe Detail'!K86+'Sandhill Detail'!K86</f>
        <v>0</v>
      </c>
      <c r="L86" s="105">
        <f>'Hillpointe Detail'!L86+'Sandhill Detail'!L86</f>
        <v>0</v>
      </c>
      <c r="M86" s="105">
        <f>'Hillpointe Detail'!M86+'Sandhill Detail'!M86</f>
        <v>0</v>
      </c>
      <c r="N86" s="105">
        <f>'Hillpointe Detail'!N86+'Sandhill Detail'!N86</f>
        <v>0</v>
      </c>
      <c r="O86" s="105">
        <f>'Hillpointe Detail'!O86+'Sandhill Detail'!O86</f>
        <v>0</v>
      </c>
      <c r="P86" s="105">
        <f>'Hillpointe Detail'!P86+'Sandhill Detail'!P86</f>
        <v>0</v>
      </c>
      <c r="Q86" s="105">
        <f>'Hillpointe Detail'!Q86+'Sandhill Detail'!Q86</f>
        <v>0</v>
      </c>
      <c r="R86" s="105">
        <f>'Hillpointe Detail'!R86+'Sandhill Detail'!R86</f>
        <v>0</v>
      </c>
      <c r="S86" s="105">
        <f>'Hillpointe Detail'!S86+'Sandhill Detail'!S86</f>
        <v>0</v>
      </c>
      <c r="T86" s="105">
        <f>'Hillpointe Detail'!T86+'Sandhill Detail'!T86</f>
        <v>0</v>
      </c>
      <c r="U86" s="105">
        <f>'Hillpointe Detail'!U86+'Sandhill Detail'!U86</f>
        <v>0</v>
      </c>
      <c r="V86" s="105">
        <f>'Hillpointe Detail'!V86+'Sandhill Detail'!V86</f>
        <v>0</v>
      </c>
      <c r="W86" s="105">
        <f>'Hillpointe Detail'!W86+'Sandhill Detail'!W86</f>
        <v>0</v>
      </c>
      <c r="X86" s="105">
        <f>'Hillpointe Detail'!X86+'Sandhill Detail'!X86</f>
        <v>0</v>
      </c>
      <c r="Y86" s="105">
        <f>'Hillpointe Detail'!Y86+'Sandhill Detail'!Y86</f>
        <v>0</v>
      </c>
      <c r="Z86" s="105">
        <f>'Hillpointe Detail'!Z86+'Sandhill Detail'!Z86</f>
        <v>0</v>
      </c>
      <c r="AA86" s="105">
        <f>'Hillpointe Detail'!AA86+'Sandhill Detail'!AA86</f>
        <v>0</v>
      </c>
      <c r="AB86" s="105">
        <f>'Hillpointe Detail'!AB86+'Sandhill Detail'!AB86</f>
        <v>0</v>
      </c>
      <c r="AC86" s="105">
        <f>'Hillpointe Detail'!AC86+'Sandhill Detail'!AC86</f>
        <v>0</v>
      </c>
      <c r="AD86" s="105">
        <f>'Hillpointe Detail'!AD86+'Sandhill Detail'!AD86</f>
        <v>0</v>
      </c>
      <c r="AE86" s="105">
        <f>'Hillpointe Detail'!AE86+'Sandhill Detail'!AE86</f>
        <v>0</v>
      </c>
      <c r="AF86" s="105">
        <f>'Hillpointe Detail'!AF86+'Sandhill Detail'!AF86</f>
        <v>0</v>
      </c>
      <c r="AG86" s="105">
        <f>'Hillpointe Detail'!AG86+'Sandhill Detail'!AG86</f>
        <v>0</v>
      </c>
      <c r="AH86" s="105">
        <f>'Hillpointe Detail'!AH86+'Sandhill Detail'!AH86</f>
        <v>0</v>
      </c>
      <c r="AI86" s="105">
        <f>'Hillpointe Detail'!AI86+'Sandhill Detail'!AI86</f>
        <v>0</v>
      </c>
      <c r="AJ86" s="105">
        <f>'Hillpointe Detail'!AJ86+'Sandhill Detail'!AJ86</f>
        <v>0</v>
      </c>
      <c r="AK86" s="105">
        <f>'Hillpointe Detail'!AK86+'Sandhill Detail'!AK86</f>
        <v>0</v>
      </c>
      <c r="AL86" s="105">
        <f>'Hillpointe Detail'!AL86+'Sandhill Detail'!AL86</f>
        <v>0</v>
      </c>
      <c r="AM86" s="105">
        <f>'Hillpointe Detail'!AM86+'Sandhill Detail'!AM86</f>
        <v>0</v>
      </c>
      <c r="AN86" s="105">
        <f>'Hillpointe Detail'!AN86+'Sandhill Detail'!AN86</f>
        <v>0</v>
      </c>
      <c r="AO86" s="105">
        <f>'Hillpointe Detail'!AO86+'Sandhill Detail'!AO86</f>
        <v>0</v>
      </c>
      <c r="AP86" s="105">
        <f>'Hillpointe Detail'!AP86+'Sandhill Detail'!AP86</f>
        <v>0</v>
      </c>
      <c r="AQ86" s="105">
        <f>'Hillpointe Detail'!AQ86+'Sandhill Detail'!AQ86</f>
        <v>0</v>
      </c>
      <c r="AR86" s="105">
        <f>'Hillpointe Detail'!AR86+'Sandhill Detail'!AR86</f>
        <v>0</v>
      </c>
      <c r="AS86" s="105">
        <f>'Hillpointe Detail'!AS86+'Sandhill Detail'!AS86</f>
        <v>0</v>
      </c>
      <c r="AT86" s="105">
        <f>'Hillpointe Detail'!AT86+'Sandhill Detail'!AT86</f>
        <v>0</v>
      </c>
      <c r="AU86" s="105">
        <f>'Hillpointe Detail'!AU86+'Sandhill Detail'!AU86</f>
        <v>0</v>
      </c>
      <c r="AV86" s="105">
        <f>'Hillpointe Detail'!AV86+'Sandhill Detail'!AV86</f>
        <v>0</v>
      </c>
      <c r="AW86" s="105">
        <f>'Hillpointe Detail'!AW86+'Sandhill Detail'!AW86</f>
        <v>0</v>
      </c>
      <c r="AX86" s="105">
        <f>'Hillpointe Detail'!AX86+'Sandhill Detail'!AX86</f>
        <v>0</v>
      </c>
      <c r="AY86" s="105">
        <f>'Hillpointe Detail'!AY86+'Sandhill Detail'!AY86</f>
        <v>0</v>
      </c>
      <c r="AZ86" s="105">
        <f>'Hillpointe Detail'!AZ86+'Sandhill Detail'!AZ86</f>
        <v>0</v>
      </c>
      <c r="BA86" s="105">
        <f>'Hillpointe Detail'!BA86+'Sandhill Detail'!BA86</f>
        <v>0</v>
      </c>
      <c r="BB86" s="105">
        <f>'Hillpointe Detail'!BB86+'Sandhill Detail'!BB86</f>
        <v>0</v>
      </c>
      <c r="BC86" s="105">
        <f>'Hillpointe Detail'!BC86+'Sandhill Detail'!BC86</f>
        <v>0</v>
      </c>
      <c r="BD86" s="105">
        <f>'Hillpointe Detail'!BD86+'Sandhill Detail'!BD86</f>
        <v>0</v>
      </c>
      <c r="BE86" s="105">
        <f>'Hillpointe Detail'!BE86+'Sandhill Detail'!BE86</f>
        <v>0</v>
      </c>
      <c r="BF86" s="105">
        <f>'Hillpointe Detail'!BF86+'Sandhill Detail'!BF86</f>
        <v>0</v>
      </c>
      <c r="BG86" s="105">
        <f>'Hillpointe Detail'!BG86+'Sandhill Detail'!BG86</f>
        <v>0</v>
      </c>
      <c r="BH86" s="105">
        <f>'Hillpointe Detail'!BH86+'Sandhill Detail'!BH86</f>
        <v>0</v>
      </c>
      <c r="BI86" s="105">
        <f>'Hillpointe Detail'!BI86+'Sandhill Detail'!BI86</f>
        <v>0</v>
      </c>
      <c r="BJ86" s="105">
        <f>'Hillpointe Detail'!BJ86+'Sandhill Detail'!BJ86</f>
        <v>0</v>
      </c>
      <c r="BK86" s="105">
        <f>'Hillpointe Detail'!BK86+'Sandhill Detail'!BK86</f>
        <v>0</v>
      </c>
      <c r="BL86" s="105">
        <f>'Hillpointe Detail'!BL86+'Sandhill Detail'!BL86</f>
        <v>0</v>
      </c>
      <c r="BM86" s="105">
        <f>'Hillpointe Detail'!BM86+'Sandhill Detail'!BM86</f>
        <v>0</v>
      </c>
      <c r="BN86" s="105">
        <f>'Hillpointe Detail'!BN86+'Sandhill Detail'!BN86</f>
        <v>0</v>
      </c>
      <c r="BO86" s="105">
        <f>'Hillpointe Detail'!BO86+'Sandhill Detail'!BO86</f>
        <v>0</v>
      </c>
      <c r="BP86" s="105">
        <f>'Hillpointe Detail'!BP86+'Sandhill Detail'!BP86</f>
        <v>0</v>
      </c>
      <c r="BQ86" s="105">
        <f>'Hillpointe Detail'!BQ86+'Sandhill Detail'!BQ86</f>
        <v>0</v>
      </c>
      <c r="BR86" s="105">
        <f>'Hillpointe Detail'!BR86+'Sandhill Detail'!BR86</f>
        <v>0</v>
      </c>
      <c r="BS86" s="105">
        <f>'Hillpointe Detail'!BS86+'Sandhill Detail'!BS86</f>
        <v>0</v>
      </c>
      <c r="BT86" s="105">
        <f>'Hillpointe Detail'!BT86+'Sandhill Detail'!BT86</f>
        <v>0</v>
      </c>
      <c r="BU86" s="105">
        <f>'Hillpointe Detail'!BU86+'Sandhill Detail'!BU86</f>
        <v>0</v>
      </c>
      <c r="BV86" s="105">
        <f>'Hillpointe Detail'!BV86+'Sandhill Detail'!BV86</f>
        <v>0</v>
      </c>
      <c r="BW86" s="105">
        <f>'Hillpointe Detail'!BW86+'Sandhill Detail'!BW86</f>
        <v>0</v>
      </c>
      <c r="BX86" s="105">
        <f>'Hillpointe Detail'!BX86+'Sandhill Detail'!BX86</f>
        <v>0</v>
      </c>
      <c r="BY86" s="8"/>
      <c r="BZ86" s="105">
        <f t="shared" si="51"/>
        <v>0</v>
      </c>
      <c r="CA86" s="105">
        <f t="shared" si="52"/>
        <v>0</v>
      </c>
      <c r="CC86" s="105">
        <f t="shared" si="55"/>
        <v>0</v>
      </c>
      <c r="CD86" s="105">
        <f t="shared" si="55"/>
        <v>0</v>
      </c>
      <c r="CE86" s="105">
        <f t="shared" si="55"/>
        <v>0</v>
      </c>
      <c r="CF86" s="105">
        <f t="shared" si="55"/>
        <v>0</v>
      </c>
      <c r="CG86" s="105">
        <f t="shared" si="55"/>
        <v>0</v>
      </c>
      <c r="CH86" s="105">
        <f t="shared" si="55"/>
        <v>0</v>
      </c>
      <c r="CI86" s="105">
        <f t="shared" si="55"/>
        <v>0</v>
      </c>
      <c r="CJ86" s="105">
        <f t="shared" si="55"/>
        <v>0</v>
      </c>
      <c r="CL86" s="105"/>
      <c r="CM86" s="13"/>
    </row>
    <row r="87" spans="1:91" x14ac:dyDescent="0.3">
      <c r="A87" s="84" t="s">
        <v>46</v>
      </c>
      <c r="B87" s="10" t="s">
        <v>135</v>
      </c>
      <c r="C87" s="103">
        <v>0</v>
      </c>
      <c r="D87" s="103">
        <v>340269.4</v>
      </c>
      <c r="E87" s="105">
        <f>'Hillpointe Detail'!E87+'Sandhill Detail'!E87</f>
        <v>-17363.36</v>
      </c>
      <c r="F87" s="105">
        <f>'Hillpointe Detail'!F87+'Sandhill Detail'!F87</f>
        <v>13377.5</v>
      </c>
      <c r="G87" s="105">
        <f>'Hillpointe Detail'!G87+'Sandhill Detail'!G87</f>
        <v>12791.11</v>
      </c>
      <c r="H87" s="105">
        <f>'Hillpointe Detail'!H87+'Sandhill Detail'!H87</f>
        <v>14453.73</v>
      </c>
      <c r="I87" s="105">
        <f>'Hillpointe Detail'!I87+'Sandhill Detail'!I87</f>
        <v>18056.23</v>
      </c>
      <c r="J87" s="105">
        <f>'Hillpointe Detail'!J87+'Sandhill Detail'!J87</f>
        <v>16278.08</v>
      </c>
      <c r="K87" s="105">
        <f>'Hillpointe Detail'!K87+'Sandhill Detail'!K87</f>
        <v>15512.57</v>
      </c>
      <c r="L87" s="105">
        <f>'Hillpointe Detail'!L87+'Sandhill Detail'!L87</f>
        <v>18578.219999999994</v>
      </c>
      <c r="M87" s="105">
        <f>'Hillpointe Detail'!M87+'Sandhill Detail'!M87</f>
        <v>18350.25</v>
      </c>
      <c r="N87" s="105">
        <f>'Hillpointe Detail'!N87+'Sandhill Detail'!N87</f>
        <v>18932.37</v>
      </c>
      <c r="O87" s="105">
        <f>'Hillpointe Detail'!O87+'Sandhill Detail'!O87</f>
        <v>18160.09</v>
      </c>
      <c r="P87" s="105">
        <f>'Hillpointe Detail'!P87+'Sandhill Detail'!P87</f>
        <v>37096.15</v>
      </c>
      <c r="Q87" s="105">
        <f>'Hillpointe Detail'!Q87+'Sandhill Detail'!Q87</f>
        <v>0</v>
      </c>
      <c r="R87" s="105">
        <f>'Hillpointe Detail'!R87+'Sandhill Detail'!R87</f>
        <v>24949.51</v>
      </c>
      <c r="S87" s="105">
        <f>'Hillpointe Detail'!S87+'Sandhill Detail'!S87</f>
        <v>32069.79</v>
      </c>
      <c r="T87" s="105">
        <f>'Hillpointe Detail'!T87+'Sandhill Detail'!T87</f>
        <v>29948.27</v>
      </c>
      <c r="U87" s="105">
        <f>'Hillpointe Detail'!U87+'Sandhill Detail'!U87</f>
        <v>30719.35</v>
      </c>
      <c r="V87" s="105">
        <f>'Hillpointe Detail'!V87+'Sandhill Detail'!V87</f>
        <v>28143.1</v>
      </c>
      <c r="W87" s="105">
        <f>'Hillpointe Detail'!W87+'Sandhill Detail'!W87</f>
        <v>25279.85</v>
      </c>
      <c r="X87" s="105">
        <f>'Hillpointe Detail'!X87+'Sandhill Detail'!X87</f>
        <v>31426.1</v>
      </c>
      <c r="Y87" s="105">
        <f>'Hillpointe Detail'!Y87+'Sandhill Detail'!Y87</f>
        <v>29979.010000000002</v>
      </c>
      <c r="Z87" s="105">
        <f>'Hillpointe Detail'!Z87+'Sandhill Detail'!Z87</f>
        <v>29250.799999999999</v>
      </c>
      <c r="AA87" s="105">
        <f>'Hillpointe Detail'!AA87+'Sandhill Detail'!AA87</f>
        <v>31943</v>
      </c>
      <c r="AB87" s="105">
        <f>'Hillpointe Detail'!AB87+'Sandhill Detail'!AB87</f>
        <v>56566.033333333333</v>
      </c>
      <c r="AC87" s="105">
        <f>'Hillpointe Detail'!AC87+'Sandhill Detail'!AC87</f>
        <v>0</v>
      </c>
      <c r="AD87" s="105">
        <f>'Hillpointe Detail'!AD87+'Sandhill Detail'!AD87</f>
        <v>26444.620555555553</v>
      </c>
      <c r="AE87" s="105">
        <f>'Hillpointe Detail'!AE87+'Sandhill Detail'!AE87</f>
        <v>26444.620555555553</v>
      </c>
      <c r="AF87" s="105">
        <f>'Hillpointe Detail'!AF87+'Sandhill Detail'!AF87</f>
        <v>26444.620555555553</v>
      </c>
      <c r="AG87" s="105">
        <f>'Hillpointe Detail'!AG87+'Sandhill Detail'!AG87</f>
        <v>26444.620555555553</v>
      </c>
      <c r="AH87" s="105">
        <f>'Hillpointe Detail'!AH87+'Sandhill Detail'!AH87</f>
        <v>26444.620555555553</v>
      </c>
      <c r="AI87" s="105">
        <f>'Hillpointe Detail'!AI87+'Sandhill Detail'!AI87</f>
        <v>26444.620555555553</v>
      </c>
      <c r="AJ87" s="105">
        <f>'Hillpointe Detail'!AJ87+'Sandhill Detail'!AJ87</f>
        <v>26444.620555555553</v>
      </c>
      <c r="AK87" s="105">
        <f>'Hillpointe Detail'!AK87+'Sandhill Detail'!AK87</f>
        <v>26444.620555555553</v>
      </c>
      <c r="AL87" s="105">
        <f>'Hillpointe Detail'!AL87+'Sandhill Detail'!AL87</f>
        <v>26444.620555555553</v>
      </c>
      <c r="AM87" s="105">
        <f>'Hillpointe Detail'!AM87+'Sandhill Detail'!AM87</f>
        <v>26444.620555555553</v>
      </c>
      <c r="AN87" s="105">
        <f>'Hillpointe Detail'!AN87+'Sandhill Detail'!AN87</f>
        <v>52889.241111111107</v>
      </c>
      <c r="AO87" s="105">
        <f>'Hillpointe Detail'!AO87+'Sandhill Detail'!AO87</f>
        <v>0</v>
      </c>
      <c r="AP87" s="105">
        <f>'Hillpointe Detail'!AP87+'Sandhill Detail'!AP87</f>
        <v>32918.60315555556</v>
      </c>
      <c r="AQ87" s="105">
        <f>'Hillpointe Detail'!AQ87+'Sandhill Detail'!AQ87</f>
        <v>32918.60315555556</v>
      </c>
      <c r="AR87" s="105">
        <f>'Hillpointe Detail'!AR87+'Sandhill Detail'!AR87</f>
        <v>32918.60315555556</v>
      </c>
      <c r="AS87" s="105">
        <f>'Hillpointe Detail'!AS87+'Sandhill Detail'!AS87</f>
        <v>32918.60315555556</v>
      </c>
      <c r="AT87" s="105">
        <f>'Hillpointe Detail'!AT87+'Sandhill Detail'!AT87</f>
        <v>32918.60315555556</v>
      </c>
      <c r="AU87" s="105">
        <f>'Hillpointe Detail'!AU87+'Sandhill Detail'!AU87</f>
        <v>32918.60315555556</v>
      </c>
      <c r="AV87" s="105">
        <f>'Hillpointe Detail'!AV87+'Sandhill Detail'!AV87</f>
        <v>32918.60315555556</v>
      </c>
      <c r="AW87" s="105">
        <f>'Hillpointe Detail'!AW87+'Sandhill Detail'!AW87</f>
        <v>32918.60315555556</v>
      </c>
      <c r="AX87" s="105">
        <f>'Hillpointe Detail'!AX87+'Sandhill Detail'!AX87</f>
        <v>32918.60315555556</v>
      </c>
      <c r="AY87" s="105">
        <f>'Hillpointe Detail'!AY87+'Sandhill Detail'!AY87</f>
        <v>32918.60315555556</v>
      </c>
      <c r="AZ87" s="105">
        <f>'Hillpointe Detail'!AZ87+'Sandhill Detail'!AZ87</f>
        <v>65837.20631111112</v>
      </c>
      <c r="BA87" s="105">
        <f>'Hillpointe Detail'!BA87+'Sandhill Detail'!BA87</f>
        <v>0</v>
      </c>
      <c r="BB87" s="105">
        <f>'Hillpointe Detail'!BB87+'Sandhill Detail'!BB87</f>
        <v>33906.161250222227</v>
      </c>
      <c r="BC87" s="105">
        <f>'Hillpointe Detail'!BC87+'Sandhill Detail'!BC87</f>
        <v>33906.161250222227</v>
      </c>
      <c r="BD87" s="105">
        <f>'Hillpointe Detail'!BD87+'Sandhill Detail'!BD87</f>
        <v>33906.161250222227</v>
      </c>
      <c r="BE87" s="105">
        <f>'Hillpointe Detail'!BE87+'Sandhill Detail'!BE87</f>
        <v>33906.161250222227</v>
      </c>
      <c r="BF87" s="105">
        <f>'Hillpointe Detail'!BF87+'Sandhill Detail'!BF87</f>
        <v>33906.161250222227</v>
      </c>
      <c r="BG87" s="105">
        <f>'Hillpointe Detail'!BG87+'Sandhill Detail'!BG87</f>
        <v>33906.161250222227</v>
      </c>
      <c r="BH87" s="105">
        <f>'Hillpointe Detail'!BH87+'Sandhill Detail'!BH87</f>
        <v>33906.161250222227</v>
      </c>
      <c r="BI87" s="105">
        <f>'Hillpointe Detail'!BI87+'Sandhill Detail'!BI87</f>
        <v>33906.161250222227</v>
      </c>
      <c r="BJ87" s="105">
        <f>'Hillpointe Detail'!BJ87+'Sandhill Detail'!BJ87</f>
        <v>33906.161250222227</v>
      </c>
      <c r="BK87" s="105">
        <f>'Hillpointe Detail'!BK87+'Sandhill Detail'!BK87</f>
        <v>33906.161250222227</v>
      </c>
      <c r="BL87" s="105">
        <f>'Hillpointe Detail'!BL87+'Sandhill Detail'!BL87</f>
        <v>67812.322500444454</v>
      </c>
      <c r="BM87" s="105">
        <f>'Hillpointe Detail'!BM87+'Sandhill Detail'!BM87</f>
        <v>0</v>
      </c>
      <c r="BN87" s="105">
        <f>'Hillpointe Detail'!BN87+'Sandhill Detail'!BN87</f>
        <v>34923.346087728896</v>
      </c>
      <c r="BO87" s="105">
        <f>'Hillpointe Detail'!BO87+'Sandhill Detail'!BO87</f>
        <v>34923.346087728896</v>
      </c>
      <c r="BP87" s="105">
        <f>'Hillpointe Detail'!BP87+'Sandhill Detail'!BP87</f>
        <v>34923.346087728896</v>
      </c>
      <c r="BQ87" s="105">
        <f>'Hillpointe Detail'!BQ87+'Sandhill Detail'!BQ87</f>
        <v>34923.346087728896</v>
      </c>
      <c r="BR87" s="105">
        <f>'Hillpointe Detail'!BR87+'Sandhill Detail'!BR87</f>
        <v>34923.346087728896</v>
      </c>
      <c r="BS87" s="105">
        <f>'Hillpointe Detail'!BS87+'Sandhill Detail'!BS87</f>
        <v>34923.346087728896</v>
      </c>
      <c r="BT87" s="105">
        <f>'Hillpointe Detail'!BT87+'Sandhill Detail'!BT87</f>
        <v>34923.346087728896</v>
      </c>
      <c r="BU87" s="105">
        <f>'Hillpointe Detail'!BU87+'Sandhill Detail'!BU87</f>
        <v>34923.346087728896</v>
      </c>
      <c r="BV87" s="105">
        <f>'Hillpointe Detail'!BV87+'Sandhill Detail'!BV87</f>
        <v>34923.346087728896</v>
      </c>
      <c r="BW87" s="105">
        <f>'Hillpointe Detail'!BW87+'Sandhill Detail'!BW87</f>
        <v>34923.346087728896</v>
      </c>
      <c r="BX87" s="105">
        <f>'Hillpointe Detail'!BX87+'Sandhill Detail'!BX87</f>
        <v>69846.692175457792</v>
      </c>
      <c r="BY87" s="8"/>
      <c r="BZ87" s="105">
        <f t="shared" si="51"/>
        <v>31943</v>
      </c>
      <c r="CA87" s="105">
        <f t="shared" si="52"/>
        <v>293708.78000000003</v>
      </c>
      <c r="CC87" s="105">
        <f t="shared" si="55"/>
        <v>0</v>
      </c>
      <c r="CD87" s="105">
        <f t="shared" si="55"/>
        <v>340269.4</v>
      </c>
      <c r="CE87" s="105">
        <f t="shared" si="55"/>
        <v>184222.93999999997</v>
      </c>
      <c r="CF87" s="105">
        <f t="shared" si="55"/>
        <v>350274.81333333335</v>
      </c>
      <c r="CG87" s="105">
        <f t="shared" si="55"/>
        <v>317335.44666666671</v>
      </c>
      <c r="CH87" s="105">
        <f t="shared" si="55"/>
        <v>395023.23786666669</v>
      </c>
      <c r="CI87" s="105">
        <f t="shared" si="55"/>
        <v>406873.93500266678</v>
      </c>
      <c r="CJ87" s="105">
        <f t="shared" si="55"/>
        <v>419080.15305274678</v>
      </c>
      <c r="CL87" s="105"/>
      <c r="CM87" s="13"/>
    </row>
    <row r="88" spans="1:91" x14ac:dyDescent="0.3">
      <c r="A88" s="84" t="s">
        <v>47</v>
      </c>
      <c r="B88" s="10" t="s">
        <v>136</v>
      </c>
      <c r="C88" s="103">
        <v>0</v>
      </c>
      <c r="D88" s="103">
        <v>0</v>
      </c>
      <c r="E88" s="105">
        <f>'Hillpointe Detail'!E88+'Sandhill Detail'!E88</f>
        <v>0</v>
      </c>
      <c r="F88" s="105">
        <f>'Hillpointe Detail'!F88+'Sandhill Detail'!F88</f>
        <v>0</v>
      </c>
      <c r="G88" s="105">
        <f>'Hillpointe Detail'!G88+'Sandhill Detail'!G88</f>
        <v>0</v>
      </c>
      <c r="H88" s="105">
        <f>'Hillpointe Detail'!H88+'Sandhill Detail'!H88</f>
        <v>0</v>
      </c>
      <c r="I88" s="105">
        <f>'Hillpointe Detail'!I88+'Sandhill Detail'!I88</f>
        <v>0</v>
      </c>
      <c r="J88" s="105">
        <f>'Hillpointe Detail'!J88+'Sandhill Detail'!J88</f>
        <v>0</v>
      </c>
      <c r="K88" s="105">
        <f>'Hillpointe Detail'!K88+'Sandhill Detail'!K88</f>
        <v>0</v>
      </c>
      <c r="L88" s="105">
        <f>'Hillpointe Detail'!L88+'Sandhill Detail'!L88</f>
        <v>0</v>
      </c>
      <c r="M88" s="105">
        <f>'Hillpointe Detail'!M88+'Sandhill Detail'!M88</f>
        <v>0</v>
      </c>
      <c r="N88" s="105">
        <f>'Hillpointe Detail'!N88+'Sandhill Detail'!N88</f>
        <v>0</v>
      </c>
      <c r="O88" s="105">
        <f>'Hillpointe Detail'!O88+'Sandhill Detail'!O88</f>
        <v>0</v>
      </c>
      <c r="P88" s="105">
        <f>'Hillpointe Detail'!P88+'Sandhill Detail'!P88</f>
        <v>0</v>
      </c>
      <c r="Q88" s="105">
        <f>'Hillpointe Detail'!Q88+'Sandhill Detail'!Q88</f>
        <v>0</v>
      </c>
      <c r="R88" s="105">
        <f>'Hillpointe Detail'!R88+'Sandhill Detail'!R88</f>
        <v>0</v>
      </c>
      <c r="S88" s="105">
        <f>'Hillpointe Detail'!S88+'Sandhill Detail'!S88</f>
        <v>0</v>
      </c>
      <c r="T88" s="105">
        <f>'Hillpointe Detail'!T88+'Sandhill Detail'!T88</f>
        <v>0</v>
      </c>
      <c r="U88" s="105">
        <f>'Hillpointe Detail'!U88+'Sandhill Detail'!U88</f>
        <v>0</v>
      </c>
      <c r="V88" s="105">
        <f>'Hillpointe Detail'!V88+'Sandhill Detail'!V88</f>
        <v>0</v>
      </c>
      <c r="W88" s="105">
        <f>'Hillpointe Detail'!W88+'Sandhill Detail'!W88</f>
        <v>0</v>
      </c>
      <c r="X88" s="105">
        <f>'Hillpointe Detail'!X88+'Sandhill Detail'!X88</f>
        <v>0</v>
      </c>
      <c r="Y88" s="105">
        <f>'Hillpointe Detail'!Y88+'Sandhill Detail'!Y88</f>
        <v>0</v>
      </c>
      <c r="Z88" s="105">
        <f>'Hillpointe Detail'!Z88+'Sandhill Detail'!Z88</f>
        <v>0</v>
      </c>
      <c r="AA88" s="105">
        <f>'Hillpointe Detail'!AA88+'Sandhill Detail'!AA88</f>
        <v>0</v>
      </c>
      <c r="AB88" s="105">
        <f>'Hillpointe Detail'!AB88+'Sandhill Detail'!AB88</f>
        <v>0</v>
      </c>
      <c r="AC88" s="105">
        <f>'Hillpointe Detail'!AC88+'Sandhill Detail'!AC88</f>
        <v>0</v>
      </c>
      <c r="AD88" s="105">
        <f>'Hillpointe Detail'!AD88+'Sandhill Detail'!AD88</f>
        <v>0</v>
      </c>
      <c r="AE88" s="105">
        <f>'Hillpointe Detail'!AE88+'Sandhill Detail'!AE88</f>
        <v>0</v>
      </c>
      <c r="AF88" s="105">
        <f>'Hillpointe Detail'!AF88+'Sandhill Detail'!AF88</f>
        <v>0</v>
      </c>
      <c r="AG88" s="105">
        <f>'Hillpointe Detail'!AG88+'Sandhill Detail'!AG88</f>
        <v>0</v>
      </c>
      <c r="AH88" s="105">
        <f>'Hillpointe Detail'!AH88+'Sandhill Detail'!AH88</f>
        <v>0</v>
      </c>
      <c r="AI88" s="105">
        <f>'Hillpointe Detail'!AI88+'Sandhill Detail'!AI88</f>
        <v>0</v>
      </c>
      <c r="AJ88" s="105">
        <f>'Hillpointe Detail'!AJ88+'Sandhill Detail'!AJ88</f>
        <v>0</v>
      </c>
      <c r="AK88" s="105">
        <f>'Hillpointe Detail'!AK88+'Sandhill Detail'!AK88</f>
        <v>0</v>
      </c>
      <c r="AL88" s="105">
        <f>'Hillpointe Detail'!AL88+'Sandhill Detail'!AL88</f>
        <v>0</v>
      </c>
      <c r="AM88" s="105">
        <f>'Hillpointe Detail'!AM88+'Sandhill Detail'!AM88</f>
        <v>0</v>
      </c>
      <c r="AN88" s="105">
        <f>'Hillpointe Detail'!AN88+'Sandhill Detail'!AN88</f>
        <v>0</v>
      </c>
      <c r="AO88" s="105">
        <f>'Hillpointe Detail'!AO88+'Sandhill Detail'!AO88</f>
        <v>0</v>
      </c>
      <c r="AP88" s="105">
        <f>'Hillpointe Detail'!AP88+'Sandhill Detail'!AP88</f>
        <v>0</v>
      </c>
      <c r="AQ88" s="105">
        <f>'Hillpointe Detail'!AQ88+'Sandhill Detail'!AQ88</f>
        <v>0</v>
      </c>
      <c r="AR88" s="105">
        <f>'Hillpointe Detail'!AR88+'Sandhill Detail'!AR88</f>
        <v>0</v>
      </c>
      <c r="AS88" s="105">
        <f>'Hillpointe Detail'!AS88+'Sandhill Detail'!AS88</f>
        <v>0</v>
      </c>
      <c r="AT88" s="105">
        <f>'Hillpointe Detail'!AT88+'Sandhill Detail'!AT88</f>
        <v>0</v>
      </c>
      <c r="AU88" s="105">
        <f>'Hillpointe Detail'!AU88+'Sandhill Detail'!AU88</f>
        <v>0</v>
      </c>
      <c r="AV88" s="105">
        <f>'Hillpointe Detail'!AV88+'Sandhill Detail'!AV88</f>
        <v>0</v>
      </c>
      <c r="AW88" s="105">
        <f>'Hillpointe Detail'!AW88+'Sandhill Detail'!AW88</f>
        <v>0</v>
      </c>
      <c r="AX88" s="105">
        <f>'Hillpointe Detail'!AX88+'Sandhill Detail'!AX88</f>
        <v>0</v>
      </c>
      <c r="AY88" s="105">
        <f>'Hillpointe Detail'!AY88+'Sandhill Detail'!AY88</f>
        <v>0</v>
      </c>
      <c r="AZ88" s="105">
        <f>'Hillpointe Detail'!AZ88+'Sandhill Detail'!AZ88</f>
        <v>0</v>
      </c>
      <c r="BA88" s="105">
        <f>'Hillpointe Detail'!BA88+'Sandhill Detail'!BA88</f>
        <v>0</v>
      </c>
      <c r="BB88" s="105">
        <f>'Hillpointe Detail'!BB88+'Sandhill Detail'!BB88</f>
        <v>0</v>
      </c>
      <c r="BC88" s="105">
        <f>'Hillpointe Detail'!BC88+'Sandhill Detail'!BC88</f>
        <v>0</v>
      </c>
      <c r="BD88" s="105">
        <f>'Hillpointe Detail'!BD88+'Sandhill Detail'!BD88</f>
        <v>0</v>
      </c>
      <c r="BE88" s="105">
        <f>'Hillpointe Detail'!BE88+'Sandhill Detail'!BE88</f>
        <v>0</v>
      </c>
      <c r="BF88" s="105">
        <f>'Hillpointe Detail'!BF88+'Sandhill Detail'!BF88</f>
        <v>0</v>
      </c>
      <c r="BG88" s="105">
        <f>'Hillpointe Detail'!BG88+'Sandhill Detail'!BG88</f>
        <v>0</v>
      </c>
      <c r="BH88" s="105">
        <f>'Hillpointe Detail'!BH88+'Sandhill Detail'!BH88</f>
        <v>0</v>
      </c>
      <c r="BI88" s="105">
        <f>'Hillpointe Detail'!BI88+'Sandhill Detail'!BI88</f>
        <v>0</v>
      </c>
      <c r="BJ88" s="105">
        <f>'Hillpointe Detail'!BJ88+'Sandhill Detail'!BJ88</f>
        <v>0</v>
      </c>
      <c r="BK88" s="105">
        <f>'Hillpointe Detail'!BK88+'Sandhill Detail'!BK88</f>
        <v>0</v>
      </c>
      <c r="BL88" s="105">
        <f>'Hillpointe Detail'!BL88+'Sandhill Detail'!BL88</f>
        <v>0</v>
      </c>
      <c r="BM88" s="105">
        <f>'Hillpointe Detail'!BM88+'Sandhill Detail'!BM88</f>
        <v>0</v>
      </c>
      <c r="BN88" s="105">
        <f>'Hillpointe Detail'!BN88+'Sandhill Detail'!BN88</f>
        <v>0</v>
      </c>
      <c r="BO88" s="105">
        <f>'Hillpointe Detail'!BO88+'Sandhill Detail'!BO88</f>
        <v>0</v>
      </c>
      <c r="BP88" s="105">
        <f>'Hillpointe Detail'!BP88+'Sandhill Detail'!BP88</f>
        <v>0</v>
      </c>
      <c r="BQ88" s="105">
        <f>'Hillpointe Detail'!BQ88+'Sandhill Detail'!BQ88</f>
        <v>0</v>
      </c>
      <c r="BR88" s="105">
        <f>'Hillpointe Detail'!BR88+'Sandhill Detail'!BR88</f>
        <v>0</v>
      </c>
      <c r="BS88" s="105">
        <f>'Hillpointe Detail'!BS88+'Sandhill Detail'!BS88</f>
        <v>0</v>
      </c>
      <c r="BT88" s="105">
        <f>'Hillpointe Detail'!BT88+'Sandhill Detail'!BT88</f>
        <v>0</v>
      </c>
      <c r="BU88" s="105">
        <f>'Hillpointe Detail'!BU88+'Sandhill Detail'!BU88</f>
        <v>0</v>
      </c>
      <c r="BV88" s="105">
        <f>'Hillpointe Detail'!BV88+'Sandhill Detail'!BV88</f>
        <v>0</v>
      </c>
      <c r="BW88" s="105">
        <f>'Hillpointe Detail'!BW88+'Sandhill Detail'!BW88</f>
        <v>0</v>
      </c>
      <c r="BX88" s="105">
        <f>'Hillpointe Detail'!BX88+'Sandhill Detail'!BX88</f>
        <v>0</v>
      </c>
      <c r="BY88" s="8"/>
      <c r="BZ88" s="105">
        <f t="shared" si="51"/>
        <v>0</v>
      </c>
      <c r="CA88" s="105">
        <f t="shared" si="52"/>
        <v>0</v>
      </c>
      <c r="CC88" s="105">
        <f t="shared" ref="CC88:CJ97" si="56">SUMIF($C$3:$BY$3,CC$3,$C88:$BY88)</f>
        <v>0</v>
      </c>
      <c r="CD88" s="105">
        <f t="shared" si="56"/>
        <v>0</v>
      </c>
      <c r="CE88" s="105">
        <f t="shared" si="56"/>
        <v>0</v>
      </c>
      <c r="CF88" s="105">
        <f t="shared" si="56"/>
        <v>0</v>
      </c>
      <c r="CG88" s="105">
        <f t="shared" si="56"/>
        <v>0</v>
      </c>
      <c r="CH88" s="105">
        <f t="shared" si="56"/>
        <v>0</v>
      </c>
      <c r="CI88" s="105">
        <f t="shared" si="56"/>
        <v>0</v>
      </c>
      <c r="CJ88" s="105">
        <f t="shared" si="56"/>
        <v>0</v>
      </c>
      <c r="CL88" s="105"/>
      <c r="CM88" s="13"/>
    </row>
    <row r="89" spans="1:91" x14ac:dyDescent="0.3">
      <c r="A89" s="84" t="s">
        <v>48</v>
      </c>
      <c r="B89" s="10" t="s">
        <v>136</v>
      </c>
      <c r="C89" s="103">
        <v>0</v>
      </c>
      <c r="D89" s="103">
        <v>14015.43</v>
      </c>
      <c r="E89" s="105">
        <f>'Hillpointe Detail'!E89+'Sandhill Detail'!E89</f>
        <v>-554.1</v>
      </c>
      <c r="F89" s="105">
        <f>'Hillpointe Detail'!F89+'Sandhill Detail'!F89</f>
        <v>441.52</v>
      </c>
      <c r="G89" s="105">
        <f>'Hillpointe Detail'!G89+'Sandhill Detail'!G89</f>
        <v>440.68</v>
      </c>
      <c r="H89" s="105">
        <f>'Hillpointe Detail'!H89+'Sandhill Detail'!H89</f>
        <v>583.16000000000008</v>
      </c>
      <c r="I89" s="105">
        <f>'Hillpointe Detail'!I89+'Sandhill Detail'!I89</f>
        <v>751.89</v>
      </c>
      <c r="J89" s="105">
        <f>'Hillpointe Detail'!J89+'Sandhill Detail'!J89</f>
        <v>605.93000000000006</v>
      </c>
      <c r="K89" s="105">
        <f>'Hillpointe Detail'!K89+'Sandhill Detail'!K89</f>
        <v>536.28</v>
      </c>
      <c r="L89" s="105">
        <f>'Hillpointe Detail'!L89+'Sandhill Detail'!L89</f>
        <v>685.53999999999985</v>
      </c>
      <c r="M89" s="105">
        <f>'Hillpointe Detail'!M89+'Sandhill Detail'!M89</f>
        <v>652.45000000000005</v>
      </c>
      <c r="N89" s="105">
        <f>'Hillpointe Detail'!N89+'Sandhill Detail'!N89</f>
        <v>621.01</v>
      </c>
      <c r="O89" s="105">
        <f>'Hillpointe Detail'!O89+'Sandhill Detail'!O89</f>
        <v>526.20000000000005</v>
      </c>
      <c r="P89" s="105">
        <f>'Hillpointe Detail'!P89+'Sandhill Detail'!P89</f>
        <v>759.59</v>
      </c>
      <c r="Q89" s="105">
        <f>'Hillpointe Detail'!Q89+'Sandhill Detail'!Q89</f>
        <v>0</v>
      </c>
      <c r="R89" s="105">
        <f>'Hillpointe Detail'!R89+'Sandhill Detail'!R89</f>
        <v>1036.1299999999999</v>
      </c>
      <c r="S89" s="105">
        <f>'Hillpointe Detail'!S89+'Sandhill Detail'!S89</f>
        <v>1394.06</v>
      </c>
      <c r="T89" s="105">
        <f>'Hillpointe Detail'!T89+'Sandhill Detail'!T89</f>
        <v>1047.8700000000001</v>
      </c>
      <c r="U89" s="105">
        <f>'Hillpointe Detail'!U89+'Sandhill Detail'!U89</f>
        <v>987.51</v>
      </c>
      <c r="V89" s="105">
        <f>'Hillpointe Detail'!V89+'Sandhill Detail'!V89</f>
        <v>904.63</v>
      </c>
      <c r="W89" s="105">
        <f>'Hillpointe Detail'!W89+'Sandhill Detail'!W89</f>
        <v>899.52</v>
      </c>
      <c r="X89" s="105">
        <f>'Hillpointe Detail'!X89+'Sandhill Detail'!X89</f>
        <v>1415.1799999999998</v>
      </c>
      <c r="Y89" s="105">
        <f>'Hillpointe Detail'!Y89+'Sandhill Detail'!Y89</f>
        <v>1242.02</v>
      </c>
      <c r="Z89" s="105">
        <f>'Hillpointe Detail'!Z89+'Sandhill Detail'!Z89</f>
        <v>1142.3499999999999</v>
      </c>
      <c r="AA89" s="105">
        <f>'Hillpointe Detail'!AA89+'Sandhill Detail'!AA89</f>
        <v>1414.74</v>
      </c>
      <c r="AB89" s="105">
        <f>'Hillpointe Detail'!AB89+'Sandhill Detail'!AB89</f>
        <v>2190.4913614711404</v>
      </c>
      <c r="AC89" s="105">
        <f>'Hillpointe Detail'!AC89+'Sandhill Detail'!AC89</f>
        <v>0</v>
      </c>
      <c r="AD89" s="105">
        <f>'Hillpointe Detail'!AD89+'Sandhill Detail'!AD89</f>
        <v>1074.1485239711126</v>
      </c>
      <c r="AE89" s="105">
        <f>'Hillpointe Detail'!AE89+'Sandhill Detail'!AE89</f>
        <v>1090.5210457009382</v>
      </c>
      <c r="AF89" s="105">
        <f>'Hillpointe Detail'!AF89+'Sandhill Detail'!AF89</f>
        <v>1074.8092538212886</v>
      </c>
      <c r="AG89" s="105">
        <f>'Hillpointe Detail'!AG89+'Sandhill Detail'!AG89</f>
        <v>1071.6490766388174</v>
      </c>
      <c r="AH89" s="105">
        <f>'Hillpointe Detail'!AH89+'Sandhill Detail'!AH89</f>
        <v>1077.5019173737976</v>
      </c>
      <c r="AI89" s="105">
        <f>'Hillpointe Detail'!AI89+'Sandhill Detail'!AI89</f>
        <v>1061.6492962437781</v>
      </c>
      <c r="AJ89" s="105">
        <f>'Hillpointe Detail'!AJ89+'Sandhill Detail'!AJ89</f>
        <v>1075.0465189582885</v>
      </c>
      <c r="AK89" s="105">
        <f>'Hillpointe Detail'!AK89+'Sandhill Detail'!AK89</f>
        <v>1075.0465189582885</v>
      </c>
      <c r="AL89" s="105">
        <f>'Hillpointe Detail'!AL89+'Sandhill Detail'!AL89</f>
        <v>1075.1748039564566</v>
      </c>
      <c r="AM89" s="105">
        <f>'Hillpointe Detail'!AM89+'Sandhill Detail'!AM89</f>
        <v>1072.9824837072451</v>
      </c>
      <c r="AN89" s="105">
        <f>'Hillpointe Detail'!AN89+'Sandhill Detail'!AN89</f>
        <v>2145.4430330961923</v>
      </c>
      <c r="AO89" s="105">
        <f>'Hillpointe Detail'!AO89+'Sandhill Detail'!AO89</f>
        <v>0</v>
      </c>
      <c r="AP89" s="105">
        <f>'Hillpointe Detail'!AP89+'Sandhill Detail'!AP89</f>
        <v>1334.6591561375772</v>
      </c>
      <c r="AQ89" s="105">
        <f>'Hillpointe Detail'!AQ89+'Sandhill Detail'!AQ89</f>
        <v>1336.4718892881797</v>
      </c>
      <c r="AR89" s="105">
        <f>'Hillpointe Detail'!AR89+'Sandhill Detail'!AR89</f>
        <v>1336.2391108621864</v>
      </c>
      <c r="AS89" s="105">
        <f>'Hillpointe Detail'!AS89+'Sandhill Detail'!AS89</f>
        <v>1335.983886724031</v>
      </c>
      <c r="AT89" s="105">
        <f>'Hillpointe Detail'!AT89+'Sandhill Detail'!AT89</f>
        <v>1335.6847763162689</v>
      </c>
      <c r="AU89" s="105">
        <f>'Hillpointe Detail'!AU89+'Sandhill Detail'!AU89</f>
        <v>1335.6894332755901</v>
      </c>
      <c r="AV89" s="105">
        <f>'Hillpointe Detail'!AV89+'Sandhill Detail'!AV89</f>
        <v>1335.7880421006391</v>
      </c>
      <c r="AW89" s="105">
        <f>'Hillpointe Detail'!AW89+'Sandhill Detail'!AW89</f>
        <v>1335.7880421006391</v>
      </c>
      <c r="AX89" s="105">
        <f>'Hillpointe Detail'!AX89+'Sandhill Detail'!AX89</f>
        <v>1335.9493115239336</v>
      </c>
      <c r="AY89" s="105">
        <f>'Hillpointe Detail'!AY89+'Sandhill Detail'!AY89</f>
        <v>1335.8746575576129</v>
      </c>
      <c r="AZ89" s="105">
        <f>'Hillpointe Detail'!AZ89+'Sandhill Detail'!AZ89</f>
        <v>2671.6451855996329</v>
      </c>
      <c r="BA89" s="105">
        <f>'Hillpointe Detail'!BA89+'Sandhill Detail'!BA89</f>
        <v>0</v>
      </c>
      <c r="BB89" s="105">
        <f>'Hillpointe Detail'!BB89+'Sandhill Detail'!BB89</f>
        <v>1375.893816046113</v>
      </c>
      <c r="BC89" s="105">
        <f>'Hillpointe Detail'!BC89+'Sandhill Detail'!BC89</f>
        <v>1375.912834505893</v>
      </c>
      <c r="BD89" s="105">
        <f>'Hillpointe Detail'!BD89+'Sandhill Detail'!BD89</f>
        <v>1375.920079710176</v>
      </c>
      <c r="BE89" s="105">
        <f>'Hillpointe Detail'!BE89+'Sandhill Detail'!BE89</f>
        <v>1375.9283161483304</v>
      </c>
      <c r="BF89" s="105">
        <f>'Hillpointe Detail'!BF89+'Sandhill Detail'!BF89</f>
        <v>1375.9143449796056</v>
      </c>
      <c r="BG89" s="105">
        <f>'Hillpointe Detail'!BG89+'Sandhill Detail'!BG89</f>
        <v>1375.9092327691528</v>
      </c>
      <c r="BH89" s="105">
        <f>'Hillpointe Detail'!BH89+'Sandhill Detail'!BH89</f>
        <v>1375.9131040265452</v>
      </c>
      <c r="BI89" s="105">
        <f>'Hillpointe Detail'!BI89+'Sandhill Detail'!BI89</f>
        <v>1375.9131040265452</v>
      </c>
      <c r="BJ89" s="105">
        <f>'Hillpointe Detail'!BJ89+'Sandhill Detail'!BJ89</f>
        <v>1375.9158594523215</v>
      </c>
      <c r="BK89" s="105">
        <f>'Hillpointe Detail'!BK89+'Sandhill Detail'!BK89</f>
        <v>1375.9162915875254</v>
      </c>
      <c r="BL89" s="105">
        <f>'Hillpointe Detail'!BL89+'Sandhill Detail'!BL89</f>
        <v>2751.8315008542932</v>
      </c>
      <c r="BM89" s="105">
        <f>'Hillpointe Detail'!BM89+'Sandhill Detail'!BM89</f>
        <v>0</v>
      </c>
      <c r="BN89" s="105">
        <f>'Hillpointe Detail'!BN89+'Sandhill Detail'!BN89</f>
        <v>1417.1915807854105</v>
      </c>
      <c r="BO89" s="105">
        <f>'Hillpointe Detail'!BO89+'Sandhill Detail'!BO89</f>
        <v>1417.1923021272573</v>
      </c>
      <c r="BP89" s="105">
        <f>'Hillpointe Detail'!BP89+'Sandhill Detail'!BP89</f>
        <v>1417.1925577901352</v>
      </c>
      <c r="BQ89" s="105">
        <f>'Hillpointe Detail'!BQ89+'Sandhill Detail'!BQ89</f>
        <v>1417.1928484308676</v>
      </c>
      <c r="BR89" s="105">
        <f>'Hillpointe Detail'!BR89+'Sandhill Detail'!BR89</f>
        <v>1417.1927800593753</v>
      </c>
      <c r="BS89" s="105">
        <f>'Hillpointe Detail'!BS89+'Sandhill Detail'!BS89</f>
        <v>1417.1926401606656</v>
      </c>
      <c r="BT89" s="105">
        <f>'Hillpointe Detail'!BT89+'Sandhill Detail'!BT89</f>
        <v>1417.1924515589517</v>
      </c>
      <c r="BU89" s="105">
        <f>'Hillpointe Detail'!BU89+'Sandhill Detail'!BU89</f>
        <v>1417.1924515589517</v>
      </c>
      <c r="BV89" s="105">
        <f>'Hillpointe Detail'!BV89+'Sandhill Detail'!BV89</f>
        <v>1417.1925759551718</v>
      </c>
      <c r="BW89" s="105">
        <f>'Hillpointe Detail'!BW89+'Sandhill Detail'!BW89</f>
        <v>1417.1926150734455</v>
      </c>
      <c r="BX89" s="105">
        <f>'Hillpointe Detail'!BX89+'Sandhill Detail'!BX89</f>
        <v>2834.385246513551</v>
      </c>
      <c r="BY89" s="8"/>
      <c r="BZ89" s="105">
        <f t="shared" si="51"/>
        <v>1414.74</v>
      </c>
      <c r="CA89" s="105">
        <f t="shared" si="52"/>
        <v>11484.01</v>
      </c>
      <c r="CC89" s="105">
        <f t="shared" si="56"/>
        <v>0</v>
      </c>
      <c r="CD89" s="105">
        <f t="shared" si="56"/>
        <v>14015.43</v>
      </c>
      <c r="CE89" s="105">
        <f t="shared" si="56"/>
        <v>6050.15</v>
      </c>
      <c r="CF89" s="105">
        <f t="shared" si="56"/>
        <v>13674.501361471141</v>
      </c>
      <c r="CG89" s="105">
        <f t="shared" si="56"/>
        <v>12893.972472426201</v>
      </c>
      <c r="CH89" s="105">
        <f t="shared" si="56"/>
        <v>16029.77349148629</v>
      </c>
      <c r="CI89" s="105">
        <f t="shared" si="56"/>
        <v>16510.968484106503</v>
      </c>
      <c r="CJ89" s="105">
        <f t="shared" si="56"/>
        <v>17006.310050013784</v>
      </c>
      <c r="CL89" s="105"/>
      <c r="CM89" s="13"/>
    </row>
    <row r="90" spans="1:91" x14ac:dyDescent="0.3">
      <c r="A90" s="84" t="s">
        <v>49</v>
      </c>
      <c r="B90" s="10" t="s">
        <v>136</v>
      </c>
      <c r="C90" s="103">
        <v>0</v>
      </c>
      <c r="D90" s="103">
        <v>37059.83</v>
      </c>
      <c r="E90" s="105">
        <f>'Hillpointe Detail'!E90+'Sandhill Detail'!E90</f>
        <v>-1766.03</v>
      </c>
      <c r="F90" s="105">
        <f>'Hillpointe Detail'!F90+'Sandhill Detail'!F90</f>
        <v>1766.03</v>
      </c>
      <c r="G90" s="105">
        <f>'Hillpointe Detail'!G90+'Sandhill Detail'!G90</f>
        <v>1447.96</v>
      </c>
      <c r="H90" s="105">
        <f>'Hillpointe Detail'!H90+'Sandhill Detail'!H90</f>
        <v>1447.96</v>
      </c>
      <c r="I90" s="105">
        <f>'Hillpointe Detail'!I90+'Sandhill Detail'!I90</f>
        <v>1447.96</v>
      </c>
      <c r="J90" s="105">
        <f>'Hillpointe Detail'!J90+'Sandhill Detail'!J90</f>
        <v>1447.96</v>
      </c>
      <c r="K90" s="105">
        <f>'Hillpointe Detail'!K90+'Sandhill Detail'!K90</f>
        <v>1447.96</v>
      </c>
      <c r="L90" s="105">
        <f>'Hillpointe Detail'!L90+'Sandhill Detail'!L90</f>
        <v>1447.9599999999998</v>
      </c>
      <c r="M90" s="105">
        <f>'Hillpointe Detail'!M90+'Sandhill Detail'!M90</f>
        <v>1447.96</v>
      </c>
      <c r="N90" s="105">
        <f>'Hillpointe Detail'!N90+'Sandhill Detail'!N90</f>
        <v>1447.96</v>
      </c>
      <c r="O90" s="105">
        <f>'Hillpointe Detail'!O90+'Sandhill Detail'!O90</f>
        <v>1447.96</v>
      </c>
      <c r="P90" s="105">
        <f>'Hillpointe Detail'!P90+'Sandhill Detail'!P90</f>
        <v>3588.27</v>
      </c>
      <c r="Q90" s="105">
        <f>'Hillpointe Detail'!Q90+'Sandhill Detail'!Q90</f>
        <v>0</v>
      </c>
      <c r="R90" s="105">
        <f>'Hillpointe Detail'!R90+'Sandhill Detail'!R90</f>
        <v>1845.68</v>
      </c>
      <c r="S90" s="105">
        <f>'Hillpointe Detail'!S90+'Sandhill Detail'!S90</f>
        <v>3423.84</v>
      </c>
      <c r="T90" s="105">
        <f>'Hillpointe Detail'!T90+'Sandhill Detail'!T90</f>
        <v>1564.53</v>
      </c>
      <c r="U90" s="105">
        <f>'Hillpointe Detail'!U90+'Sandhill Detail'!U90</f>
        <v>1549.28</v>
      </c>
      <c r="V90" s="105">
        <f>'Hillpointe Detail'!V90+'Sandhill Detail'!V90</f>
        <v>692.33999999999992</v>
      </c>
      <c r="W90" s="105">
        <f>'Hillpointe Detail'!W90+'Sandhill Detail'!W90</f>
        <v>711.41</v>
      </c>
      <c r="X90" s="105">
        <f>'Hillpointe Detail'!X90+'Sandhill Detail'!X90</f>
        <v>703.78000000000009</v>
      </c>
      <c r="Y90" s="105">
        <f>'Hillpointe Detail'!Y90+'Sandhill Detail'!Y90</f>
        <v>696.16</v>
      </c>
      <c r="Z90" s="105">
        <f>'Hillpointe Detail'!Z90+'Sandhill Detail'!Z90</f>
        <v>703.78000000000009</v>
      </c>
      <c r="AA90" s="105">
        <f>'Hillpointe Detail'!AA90+'Sandhill Detail'!AA90</f>
        <v>1105.6599999999999</v>
      </c>
      <c r="AB90" s="105">
        <f>'Hillpointe Detail'!AB90+'Sandhill Detail'!AB90</f>
        <v>1686.0842087248584</v>
      </c>
      <c r="AC90" s="105">
        <f>'Hillpointe Detail'!AC90+'Sandhill Detail'!AC90</f>
        <v>0</v>
      </c>
      <c r="AD90" s="105">
        <f>'Hillpointe Detail'!AD90+'Sandhill Detail'!AD90</f>
        <v>725.24065182151651</v>
      </c>
      <c r="AE90" s="105">
        <f>'Hillpointe Detail'!AE90+'Sandhill Detail'!AE90</f>
        <v>722.91138484481644</v>
      </c>
      <c r="AF90" s="105">
        <f>'Hillpointe Detail'!AF90+'Sandhill Detail'!AF90</f>
        <v>743.37719413382661</v>
      </c>
      <c r="AG90" s="105">
        <f>'Hillpointe Detail'!AG90+'Sandhill Detail'!AG90</f>
        <v>763.03716125452877</v>
      </c>
      <c r="AH90" s="105">
        <f>'Hillpointe Detail'!AH90+'Sandhill Detail'!AH90</f>
        <v>782.11883492490449</v>
      </c>
      <c r="AI90" s="105">
        <f>'Hillpointe Detail'!AI90+'Sandhill Detail'!AI90</f>
        <v>759.58801098072331</v>
      </c>
      <c r="AJ90" s="105">
        <f>'Hillpointe Detail'!AJ90+'Sandhill Detail'!AJ90</f>
        <v>749.37887299338593</v>
      </c>
      <c r="AK90" s="105">
        <f>'Hillpointe Detail'!AK90+'Sandhill Detail'!AK90</f>
        <v>749.37887299338581</v>
      </c>
      <c r="AL90" s="105">
        <f>'Hillpointe Detail'!AL90+'Sandhill Detail'!AL90</f>
        <v>752.82719030365297</v>
      </c>
      <c r="AM90" s="105">
        <f>'Hillpointe Detail'!AM90+'Sandhill Detail'!AM90</f>
        <v>757.10087679777246</v>
      </c>
      <c r="AN90" s="105">
        <f>'Hillpointe Detail'!AN90+'Sandhill Detail'!AN90</f>
        <v>1518.1228057852438</v>
      </c>
      <c r="AO90" s="105">
        <f>'Hillpointe Detail'!AO90+'Sandhill Detail'!AO90</f>
        <v>0</v>
      </c>
      <c r="AP90" s="105">
        <f>'Hillpointe Detail'!AP90+'Sandhill Detail'!AP90</f>
        <v>940.1367754996628</v>
      </c>
      <c r="AQ90" s="105">
        <f>'Hillpointe Detail'!AQ90+'Sandhill Detail'!AQ90</f>
        <v>939.38252173482317</v>
      </c>
      <c r="AR90" s="105">
        <f>'Hillpointe Detail'!AR90+'Sandhill Detail'!AR90</f>
        <v>940.24845313131243</v>
      </c>
      <c r="AS90" s="105">
        <f>'Hillpointe Detail'!AS90+'Sandhill Detail'!AS90</f>
        <v>941.19826159407842</v>
      </c>
      <c r="AT90" s="105">
        <f>'Hillpointe Detail'!AT90+'Sandhill Detail'!AT90</f>
        <v>941.70081409907266</v>
      </c>
      <c r="AU90" s="105">
        <f>'Hillpointe Detail'!AU90+'Sandhill Detail'!AU90</f>
        <v>941.60398653803441</v>
      </c>
      <c r="AV90" s="105">
        <f>'Hillpointe Detail'!AV90+'Sandhill Detail'!AV90</f>
        <v>940.71180209949728</v>
      </c>
      <c r="AW90" s="105">
        <f>'Hillpointe Detail'!AW90+'Sandhill Detail'!AW90</f>
        <v>940.71180209949739</v>
      </c>
      <c r="AX90" s="105">
        <f>'Hillpointe Detail'!AX90+'Sandhill Detail'!AX90</f>
        <v>940.79394875661671</v>
      </c>
      <c r="AY90" s="105">
        <f>'Hillpointe Detail'!AY90+'Sandhill Detail'!AY90</f>
        <v>940.99558118830146</v>
      </c>
      <c r="AZ90" s="105">
        <f>'Hillpointe Detail'!AZ90+'Sandhill Detail'!AZ90</f>
        <v>1882.2046275357425</v>
      </c>
      <c r="BA90" s="105">
        <f>'Hillpointe Detail'!BA90+'Sandhill Detail'!BA90</f>
        <v>0</v>
      </c>
      <c r="BB90" s="105">
        <f>'Hillpointe Detail'!BB90+'Sandhill Detail'!BB90</f>
        <v>969.23320009488862</v>
      </c>
      <c r="BC90" s="105">
        <f>'Hillpointe Detail'!BC90+'Sandhill Detail'!BC90</f>
        <v>969.14516225146224</v>
      </c>
      <c r="BD90" s="105">
        <f>'Hillpointe Detail'!BD90+'Sandhill Detail'!BD90</f>
        <v>969.17519144253606</v>
      </c>
      <c r="BE90" s="105">
        <f>'Hillpointe Detail'!BE90+'Sandhill Detail'!BE90</f>
        <v>969.20932899966647</v>
      </c>
      <c r="BF90" s="105">
        <f>'Hillpointe Detail'!BF90+'Sandhill Detail'!BF90</f>
        <v>969.23623374409772</v>
      </c>
      <c r="BG90" s="105">
        <f>'Hillpointe Detail'!BG90+'Sandhill Detail'!BG90</f>
        <v>969.23774215251001</v>
      </c>
      <c r="BH90" s="105">
        <f>'Hillpointe Detail'!BH90+'Sandhill Detail'!BH90</f>
        <v>969.20614311419354</v>
      </c>
      <c r="BI90" s="105">
        <f>'Hillpointe Detail'!BI90+'Sandhill Detail'!BI90</f>
        <v>969.20614311419354</v>
      </c>
      <c r="BJ90" s="105">
        <f>'Hillpointe Detail'!BJ90+'Sandhill Detail'!BJ90</f>
        <v>969.20227783123721</v>
      </c>
      <c r="BK90" s="105">
        <f>'Hillpointe Detail'!BK90+'Sandhill Detail'!BK90</f>
        <v>969.21043719977649</v>
      </c>
      <c r="BL90" s="105">
        <f>'Hillpointe Detail'!BL90+'Sandhill Detail'!BL90</f>
        <v>1938.4309446159073</v>
      </c>
      <c r="BM90" s="105">
        <f>'Hillpointe Detail'!BM90+'Sandhill Detail'!BM90</f>
        <v>0</v>
      </c>
      <c r="BN90" s="105">
        <f>'Hillpointe Detail'!BN90+'Sandhill Detail'!BN90</f>
        <v>998.28978552409308</v>
      </c>
      <c r="BO90" s="105">
        <f>'Hillpointe Detail'!BO90+'Sandhill Detail'!BO90</f>
        <v>998.28621669151971</v>
      </c>
      <c r="BP90" s="105">
        <f>'Hillpointe Detail'!BP90+'Sandhill Detail'!BP90</f>
        <v>998.28676758159054</v>
      </c>
      <c r="BQ90" s="105">
        <f>'Hillpointe Detail'!BQ90+'Sandhill Detail'!BQ90</f>
        <v>998.28739384026062</v>
      </c>
      <c r="BR90" s="105">
        <f>'Hillpointe Detail'!BR90+'Sandhill Detail'!BR90</f>
        <v>998.2886645810031</v>
      </c>
      <c r="BS90" s="105">
        <f>'Hillpointe Detail'!BS90+'Sandhill Detail'!BS90</f>
        <v>998.28893231040638</v>
      </c>
      <c r="BT90" s="105">
        <f>'Hillpointe Detail'!BT90+'Sandhill Detail'!BT90</f>
        <v>998.28796008814538</v>
      </c>
      <c r="BU90" s="105">
        <f>'Hillpointe Detail'!BU90+'Sandhill Detail'!BU90</f>
        <v>998.28796008814538</v>
      </c>
      <c r="BV90" s="105">
        <f>'Hillpointe Detail'!BV90+'Sandhill Detail'!BV90</f>
        <v>998.28769931158138</v>
      </c>
      <c r="BW90" s="105">
        <f>'Hillpointe Detail'!BW90+'Sandhill Detail'!BW90</f>
        <v>998.28791111444752</v>
      </c>
      <c r="BX90" s="105">
        <f>'Hillpointe Detail'!BX90+'Sandhill Detail'!BX90</f>
        <v>1996.576148952568</v>
      </c>
      <c r="BY90" s="8"/>
      <c r="BZ90" s="105">
        <f t="shared" ref="BZ90:BZ121" si="57">SUMIF($B$252:$BY$252,1,$B90:$BY90)</f>
        <v>1105.6599999999999</v>
      </c>
      <c r="CA90" s="105">
        <f t="shared" ref="CA90:CA121" si="58">SUMIF($B$253:$BY$253,1,$B90:$BY90)</f>
        <v>12996.460000000001</v>
      </c>
      <c r="CC90" s="105">
        <f t="shared" si="56"/>
        <v>0</v>
      </c>
      <c r="CD90" s="105">
        <f t="shared" si="56"/>
        <v>37059.83</v>
      </c>
      <c r="CE90" s="105">
        <f t="shared" si="56"/>
        <v>16619.91</v>
      </c>
      <c r="CF90" s="105">
        <f t="shared" si="56"/>
        <v>14682.544208724859</v>
      </c>
      <c r="CG90" s="105">
        <f t="shared" si="56"/>
        <v>9023.0818568337581</v>
      </c>
      <c r="CH90" s="105">
        <f t="shared" si="56"/>
        <v>11289.688574276639</v>
      </c>
      <c r="CI90" s="105">
        <f t="shared" si="56"/>
        <v>11630.49280456047</v>
      </c>
      <c r="CJ90" s="105">
        <f t="shared" si="56"/>
        <v>11979.455440083762</v>
      </c>
      <c r="CL90" s="105"/>
      <c r="CM90" s="13"/>
    </row>
    <row r="91" spans="1:91" x14ac:dyDescent="0.3">
      <c r="A91" s="84" t="s">
        <v>50</v>
      </c>
      <c r="B91" s="10" t="s">
        <v>136</v>
      </c>
      <c r="C91" s="103">
        <v>0</v>
      </c>
      <c r="D91" s="103">
        <v>1940.13</v>
      </c>
      <c r="E91" s="105">
        <f>'Hillpointe Detail'!E91+'Sandhill Detail'!E91</f>
        <v>-312.54000000000002</v>
      </c>
      <c r="F91" s="105">
        <f>'Hillpointe Detail'!F91+'Sandhill Detail'!F91</f>
        <v>240.79</v>
      </c>
      <c r="G91" s="105">
        <f>'Hillpointe Detail'!G91+'Sandhill Detail'!G91</f>
        <v>218.34</v>
      </c>
      <c r="H91" s="105">
        <f>'Hillpointe Detail'!H91+'Sandhill Detail'!H91</f>
        <v>268.47000000000003</v>
      </c>
      <c r="I91" s="105">
        <f>'Hillpointe Detail'!I91+'Sandhill Detail'!I91</f>
        <v>325.01</v>
      </c>
      <c r="J91" s="105">
        <f>'Hillpointe Detail'!J91+'Sandhill Detail'!J91</f>
        <v>293.01</v>
      </c>
      <c r="K91" s="105">
        <f>'Hillpointe Detail'!K91+'Sandhill Detail'!K91</f>
        <v>279.23</v>
      </c>
      <c r="L91" s="105">
        <f>'Hillpointe Detail'!L91+'Sandhill Detail'!L91</f>
        <v>334.40000000000015</v>
      </c>
      <c r="M91" s="105">
        <f>'Hillpointe Detail'!M91+'Sandhill Detail'!M91</f>
        <v>275.25</v>
      </c>
      <c r="N91" s="105">
        <f>'Hillpointe Detail'!N91+'Sandhill Detail'!N91</f>
        <v>283.99</v>
      </c>
      <c r="O91" s="105">
        <f>'Hillpointe Detail'!O91+'Sandhill Detail'!O91</f>
        <v>272.39999999999998</v>
      </c>
      <c r="P91" s="105">
        <f>'Hillpointe Detail'!P91+'Sandhill Detail'!P91</f>
        <v>556.44999999999993</v>
      </c>
      <c r="Q91" s="105">
        <f>'Hillpointe Detail'!Q91+'Sandhill Detail'!Q91</f>
        <v>0</v>
      </c>
      <c r="R91" s="105">
        <f>'Hillpointe Detail'!R91+'Sandhill Detail'!R91</f>
        <v>374.24</v>
      </c>
      <c r="S91" s="105">
        <f>'Hillpointe Detail'!S91+'Sandhill Detail'!S91</f>
        <v>481.05</v>
      </c>
      <c r="T91" s="105">
        <f>'Hillpointe Detail'!T91+'Sandhill Detail'!T91</f>
        <v>449.21999999999997</v>
      </c>
      <c r="U91" s="105">
        <f>'Hillpointe Detail'!U91+'Sandhill Detail'!U91</f>
        <v>460.8</v>
      </c>
      <c r="V91" s="105">
        <f>'Hillpointe Detail'!V91+'Sandhill Detail'!V91</f>
        <v>391.77</v>
      </c>
      <c r="W91" s="105">
        <f>'Hillpointe Detail'!W91+'Sandhill Detail'!W91</f>
        <v>379.2</v>
      </c>
      <c r="X91" s="105">
        <f>'Hillpointe Detail'!X91+'Sandhill Detail'!X91</f>
        <v>471.39</v>
      </c>
      <c r="Y91" s="105">
        <f>'Hillpointe Detail'!Y91+'Sandhill Detail'!Y91</f>
        <v>449.68</v>
      </c>
      <c r="Z91" s="105">
        <f>'Hillpointe Detail'!Z91+'Sandhill Detail'!Z91</f>
        <v>438.76</v>
      </c>
      <c r="AA91" s="105">
        <f>'Hillpointe Detail'!AA91+'Sandhill Detail'!AA91</f>
        <v>479.14</v>
      </c>
      <c r="AB91" s="105">
        <f>'Hillpointe Detail'!AB91+'Sandhill Detail'!AB91</f>
        <v>840.17879743438164</v>
      </c>
      <c r="AC91" s="105">
        <f>'Hillpointe Detail'!AC91+'Sandhill Detail'!AC91</f>
        <v>0</v>
      </c>
      <c r="AD91" s="105">
        <f>'Hillpointe Detail'!AD91+'Sandhill Detail'!AD91</f>
        <v>395.59277980202592</v>
      </c>
      <c r="AE91" s="105">
        <f>'Hillpointe Detail'!AE91+'Sandhill Detail'!AE91</f>
        <v>395.46018985199197</v>
      </c>
      <c r="AF91" s="105">
        <f>'Hillpointe Detail'!AF91+'Sandhill Detail'!AF91</f>
        <v>395.27100079940556</v>
      </c>
      <c r="AG91" s="105">
        <f>'Hillpointe Detail'!AG91+'Sandhill Detail'!AG91</f>
        <v>395.0590564039336</v>
      </c>
      <c r="AH91" s="105">
        <f>'Hillpointe Detail'!AH91+'Sandhill Detail'!AH91</f>
        <v>394.81693840524082</v>
      </c>
      <c r="AI91" s="105">
        <f>'Hillpointe Detail'!AI91+'Sandhill Detail'!AI91</f>
        <v>394.50425003421879</v>
      </c>
      <c r="AJ91" s="105">
        <f>'Hillpointe Detail'!AJ91+'Sandhill Detail'!AJ91</f>
        <v>395.11736921613613</v>
      </c>
      <c r="AK91" s="105">
        <f>'Hillpointe Detail'!AK91+'Sandhill Detail'!AK91</f>
        <v>395.11736921613601</v>
      </c>
      <c r="AL91" s="105">
        <f>'Hillpointe Detail'!AL91+'Sandhill Detail'!AL91</f>
        <v>395.04945341815181</v>
      </c>
      <c r="AM91" s="105">
        <f>'Hillpointe Detail'!AM91+'Sandhill Detail'!AM91</f>
        <v>394.99077678474606</v>
      </c>
      <c r="AN91" s="105">
        <f>'Hillpointe Detail'!AN91+'Sandhill Detail'!AN91</f>
        <v>789.90148956530345</v>
      </c>
      <c r="AO91" s="105">
        <f>'Hillpointe Detail'!AO91+'Sandhill Detail'!AO91</f>
        <v>0</v>
      </c>
      <c r="AP91" s="105">
        <f>'Hillpointe Detail'!AP91+'Sandhill Detail'!AP91</f>
        <v>491.64278500331943</v>
      </c>
      <c r="AQ91" s="105">
        <f>'Hillpointe Detail'!AQ91+'Sandhill Detail'!AQ91</f>
        <v>491.72018235725585</v>
      </c>
      <c r="AR91" s="105">
        <f>'Hillpointe Detail'!AR91+'Sandhill Detail'!AR91</f>
        <v>491.70342274849054</v>
      </c>
      <c r="AS91" s="105">
        <f>'Hillpointe Detail'!AS91+'Sandhill Detail'!AS91</f>
        <v>491.68504325674888</v>
      </c>
      <c r="AT91" s="105">
        <f>'Hillpointe Detail'!AT91+'Sandhill Detail'!AT91</f>
        <v>491.67550820075991</v>
      </c>
      <c r="AU91" s="105">
        <f>'Hillpointe Detail'!AU91+'Sandhill Detail'!AU91</f>
        <v>491.67396357361679</v>
      </c>
      <c r="AV91" s="105">
        <f>'Hillpointe Detail'!AV91+'Sandhill Detail'!AV91</f>
        <v>491.68348419003195</v>
      </c>
      <c r="AW91" s="105">
        <f>'Hillpointe Detail'!AW91+'Sandhill Detail'!AW91</f>
        <v>491.68348419003195</v>
      </c>
      <c r="AX91" s="105">
        <f>'Hillpointe Detail'!AX91+'Sandhill Detail'!AX91</f>
        <v>491.68929835956237</v>
      </c>
      <c r="AY91" s="105">
        <f>'Hillpointe Detail'!AY91+'Sandhill Detail'!AY91</f>
        <v>491.68488635989183</v>
      </c>
      <c r="AZ91" s="105">
        <f>'Hillpointe Detail'!AZ91+'Sandhill Detail'!AZ91</f>
        <v>983.36447660875547</v>
      </c>
      <c r="BA91" s="105">
        <f>'Hillpointe Detail'!BA91+'Sandhill Detail'!BA91</f>
        <v>0</v>
      </c>
      <c r="BB91" s="105">
        <f>'Hillpointe Detail'!BB91+'Sandhill Detail'!BB91</f>
        <v>506.43328301147818</v>
      </c>
      <c r="BC91" s="105">
        <f>'Hillpointe Detail'!BC91+'Sandhill Detail'!BC91</f>
        <v>506.4345775393092</v>
      </c>
      <c r="BD91" s="105">
        <f>'Hillpointe Detail'!BD91+'Sandhill Detail'!BD91</f>
        <v>506.43466094208213</v>
      </c>
      <c r="BE91" s="105">
        <f>'Hillpointe Detail'!BE91+'Sandhill Detail'!BE91</f>
        <v>506.43475575538957</v>
      </c>
      <c r="BF91" s="105">
        <f>'Hillpointe Detail'!BF91+'Sandhill Detail'!BF91</f>
        <v>506.43402239092887</v>
      </c>
      <c r="BG91" s="105">
        <f>'Hillpointe Detail'!BG91+'Sandhill Detail'!BG91</f>
        <v>506.43382510984367</v>
      </c>
      <c r="BH91" s="105">
        <f>'Hillpointe Detail'!BH91+'Sandhill Detail'!BH91</f>
        <v>506.43418745817195</v>
      </c>
      <c r="BI91" s="105">
        <f>'Hillpointe Detail'!BI91+'Sandhill Detail'!BI91</f>
        <v>506.434187458172</v>
      </c>
      <c r="BJ91" s="105">
        <f>'Hillpointe Detail'!BJ91+'Sandhill Detail'!BJ91</f>
        <v>506.43431666484253</v>
      </c>
      <c r="BK91" s="105">
        <f>'Hillpointe Detail'!BK91+'Sandhill Detail'!BK91</f>
        <v>506.43427939706152</v>
      </c>
      <c r="BL91" s="105">
        <f>'Hillpointe Detail'!BL91+'Sandhill Detail'!BL91</f>
        <v>1012.8684497812601</v>
      </c>
      <c r="BM91" s="105">
        <f>'Hillpointe Detail'!BM91+'Sandhill Detail'!BM91</f>
        <v>0</v>
      </c>
      <c r="BN91" s="105">
        <f>'Hillpointe Detail'!BN91+'Sandhill Detail'!BN91</f>
        <v>521.62720332077595</v>
      </c>
      <c r="BO91" s="105">
        <f>'Hillpointe Detail'!BO91+'Sandhill Detail'!BO91</f>
        <v>521.62725502172009</v>
      </c>
      <c r="BP91" s="105">
        <f>'Hillpointe Detail'!BP91+'Sandhill Detail'!BP91</f>
        <v>521.62726096220217</v>
      </c>
      <c r="BQ91" s="105">
        <f>'Hillpointe Detail'!BQ91+'Sandhill Detail'!BQ91</f>
        <v>521.62726771541577</v>
      </c>
      <c r="BR91" s="105">
        <f>'Hillpointe Detail'!BR91+'Sandhill Detail'!BR91</f>
        <v>521.62725669724546</v>
      </c>
      <c r="BS91" s="105">
        <f>'Hillpointe Detail'!BS91+'Sandhill Detail'!BS91</f>
        <v>521.627249552948</v>
      </c>
      <c r="BT91" s="105">
        <f>'Hillpointe Detail'!BT91+'Sandhill Detail'!BT91</f>
        <v>521.62724887838442</v>
      </c>
      <c r="BU91" s="105">
        <f>'Hillpointe Detail'!BU91+'Sandhill Detail'!BU91</f>
        <v>521.62724887838453</v>
      </c>
      <c r="BV91" s="105">
        <f>'Hillpointe Detail'!BV91+'Sandhill Detail'!BV91</f>
        <v>521.62725538661425</v>
      </c>
      <c r="BW91" s="105">
        <f>'Hillpointe Detail'!BW91+'Sandhill Detail'!BW91</f>
        <v>521.62725543874217</v>
      </c>
      <c r="BX91" s="105">
        <f>'Hillpointe Detail'!BX91+'Sandhill Detail'!BX91</f>
        <v>1043.2545092993528</v>
      </c>
      <c r="BY91" s="8"/>
      <c r="BZ91" s="105">
        <f t="shared" si="57"/>
        <v>479.14</v>
      </c>
      <c r="CA91" s="105">
        <f t="shared" si="58"/>
        <v>4375.25</v>
      </c>
      <c r="CC91" s="105">
        <f t="shared" si="56"/>
        <v>0</v>
      </c>
      <c r="CD91" s="105">
        <f t="shared" si="56"/>
        <v>1940.13</v>
      </c>
      <c r="CE91" s="105">
        <f t="shared" si="56"/>
        <v>3034.7999999999997</v>
      </c>
      <c r="CF91" s="105">
        <f t="shared" si="56"/>
        <v>5215.4287974343815</v>
      </c>
      <c r="CG91" s="105">
        <f t="shared" si="56"/>
        <v>4740.8806734972895</v>
      </c>
      <c r="CH91" s="105">
        <f t="shared" si="56"/>
        <v>5900.2065348484648</v>
      </c>
      <c r="CI91" s="105">
        <f t="shared" si="56"/>
        <v>6077.2105455085402</v>
      </c>
      <c r="CJ91" s="105">
        <f t="shared" si="56"/>
        <v>6259.5270111517857</v>
      </c>
      <c r="CL91" s="105"/>
      <c r="CM91" s="13"/>
    </row>
    <row r="92" spans="1:91" x14ac:dyDescent="0.3">
      <c r="A92" s="84" t="s">
        <v>51</v>
      </c>
      <c r="B92" s="31" t="s">
        <v>136</v>
      </c>
      <c r="C92" s="103">
        <v>0</v>
      </c>
      <c r="D92" s="103">
        <v>11059.62</v>
      </c>
      <c r="E92" s="105">
        <f>'Hillpointe Detail'!E92+'Sandhill Detail'!E92</f>
        <v>367.52</v>
      </c>
      <c r="F92" s="105">
        <f>'Hillpointe Detail'!F92+'Sandhill Detail'!F92</f>
        <v>229.7</v>
      </c>
      <c r="G92" s="105">
        <f>'Hillpointe Detail'!G92+'Sandhill Detail'!G92</f>
        <v>183.76000000000002</v>
      </c>
      <c r="H92" s="105">
        <f>'Hillpointe Detail'!H92+'Sandhill Detail'!H92</f>
        <v>183.76000000000002</v>
      </c>
      <c r="I92" s="105">
        <f>'Hillpointe Detail'!I92+'Sandhill Detail'!I92</f>
        <v>183.76000000000002</v>
      </c>
      <c r="J92" s="105">
        <f>'Hillpointe Detail'!J92+'Sandhill Detail'!J92</f>
        <v>183.76000000000002</v>
      </c>
      <c r="K92" s="105">
        <f>'Hillpointe Detail'!K92+'Sandhill Detail'!K92</f>
        <v>183.76000000000002</v>
      </c>
      <c r="L92" s="105">
        <f>'Hillpointe Detail'!L92+'Sandhill Detail'!L92</f>
        <v>183.75999999999988</v>
      </c>
      <c r="M92" s="105">
        <f>'Hillpointe Detail'!M92+'Sandhill Detail'!M92</f>
        <v>183.76000000000002</v>
      </c>
      <c r="N92" s="105">
        <f>'Hillpointe Detail'!N92+'Sandhill Detail'!N92</f>
        <v>183.76000000000002</v>
      </c>
      <c r="O92" s="105">
        <f>'Hillpointe Detail'!O92+'Sandhill Detail'!O92</f>
        <v>183.76000000000002</v>
      </c>
      <c r="P92" s="105">
        <f>'Hillpointe Detail'!P92+'Sandhill Detail'!P92</f>
        <v>275.63</v>
      </c>
      <c r="Q92" s="105">
        <f>'Hillpointe Detail'!Q92+'Sandhill Detail'!Q92</f>
        <v>183.76000000000002</v>
      </c>
      <c r="R92" s="105">
        <f>'Hillpointe Detail'!R92+'Sandhill Detail'!R92</f>
        <v>256.86</v>
      </c>
      <c r="S92" s="105">
        <f>'Hillpointe Detail'!S92+'Sandhill Detail'!S92</f>
        <v>358.19</v>
      </c>
      <c r="T92" s="105">
        <f>'Hillpointe Detail'!T92+'Sandhill Detail'!T92</f>
        <v>230.67</v>
      </c>
      <c r="U92" s="105">
        <f>'Hillpointe Detail'!U92+'Sandhill Detail'!U92</f>
        <v>206.68</v>
      </c>
      <c r="V92" s="105">
        <f>'Hillpointe Detail'!V92+'Sandhill Detail'!V92</f>
        <v>142.1</v>
      </c>
      <c r="W92" s="105">
        <f>'Hillpointe Detail'!W92+'Sandhill Detail'!W92</f>
        <v>127.79</v>
      </c>
      <c r="X92" s="105">
        <f>'Hillpointe Detail'!X92+'Sandhill Detail'!X92</f>
        <v>143.30000000000001</v>
      </c>
      <c r="Y92" s="105">
        <f>'Hillpointe Detail'!Y92+'Sandhill Detail'!Y92</f>
        <v>122.36</v>
      </c>
      <c r="Z92" s="105">
        <f>'Hillpointe Detail'!Z92+'Sandhill Detail'!Z92</f>
        <v>128.85</v>
      </c>
      <c r="AA92" s="105">
        <f>'Hillpointe Detail'!AA92+'Sandhill Detail'!AA92</f>
        <v>124.34</v>
      </c>
      <c r="AB92" s="105">
        <f>'Hillpointe Detail'!AB92+'Sandhill Detail'!AB92</f>
        <v>272.3547999970142</v>
      </c>
      <c r="AC92" s="105">
        <f>'Hillpointe Detail'!AC92+'Sandhill Detail'!AC92</f>
        <v>0</v>
      </c>
      <c r="AD92" s="105">
        <f>'Hillpointe Detail'!AD92+'Sandhill Detail'!AD92</f>
        <v>118.87055134556491</v>
      </c>
      <c r="AE92" s="105">
        <f>'Hillpointe Detail'!AE92+'Sandhill Detail'!AE92</f>
        <v>117.05028732516458</v>
      </c>
      <c r="AF92" s="105">
        <f>'Hillpointe Detail'!AF92+'Sandhill Detail'!AF92</f>
        <v>116.49672138912572</v>
      </c>
      <c r="AG92" s="105">
        <f>'Hillpointe Detail'!AG92+'Sandhill Detail'!AG92</f>
        <v>117.79865153699033</v>
      </c>
      <c r="AH92" s="105">
        <f>'Hillpointe Detail'!AH92+'Sandhill Detail'!AH92</f>
        <v>117.99578762560053</v>
      </c>
      <c r="AI92" s="105">
        <f>'Hillpointe Detail'!AI92+'Sandhill Detail'!AI92</f>
        <v>120.54303062074055</v>
      </c>
      <c r="AJ92" s="105">
        <f>'Hillpointe Detail'!AJ92+'Sandhill Detail'!AJ92</f>
        <v>118.12583830719777</v>
      </c>
      <c r="AK92" s="105">
        <f>'Hillpointe Detail'!AK92+'Sandhill Detail'!AK92</f>
        <v>118.12583830719777</v>
      </c>
      <c r="AL92" s="105">
        <f>'Hillpointe Detail'!AL92+'Sandhill Detail'!AL92</f>
        <v>118.01945073028816</v>
      </c>
      <c r="AM92" s="105">
        <f>'Hillpointe Detail'!AM92+'Sandhill Detail'!AM92</f>
        <v>118.15790264530582</v>
      </c>
      <c r="AN92" s="105">
        <f>'Hillpointe Detail'!AN92+'Sandhill Detail'!AN92</f>
        <v>236.79042850666309</v>
      </c>
      <c r="AO92" s="105">
        <f>'Hillpointe Detail'!AO92+'Sandhill Detail'!AO92</f>
        <v>0</v>
      </c>
      <c r="AP92" s="105">
        <f>'Hillpointe Detail'!AP92+'Sandhill Detail'!AP92</f>
        <v>147.55960869521033</v>
      </c>
      <c r="AQ92" s="105">
        <f>'Hillpointe Detail'!AQ92+'Sandhill Detail'!AQ92</f>
        <v>147.21477061622682</v>
      </c>
      <c r="AR92" s="105">
        <f>'Hillpointe Detail'!AR92+'Sandhill Detail'!AR92</f>
        <v>147.23724766008311</v>
      </c>
      <c r="AS92" s="105">
        <f>'Hillpointe Detail'!AS92+'Sandhill Detail'!AS92</f>
        <v>147.26187853541367</v>
      </c>
      <c r="AT92" s="105">
        <f>'Hillpointe Detail'!AT92+'Sandhill Detail'!AT92</f>
        <v>147.30535992350775</v>
      </c>
      <c r="AU92" s="105">
        <f>'Hillpointe Detail'!AU92+'Sandhill Detail'!AU92</f>
        <v>147.33190610241886</v>
      </c>
      <c r="AV92" s="105">
        <f>'Hillpointe Detail'!AV92+'Sandhill Detail'!AV92</f>
        <v>147.31846192214346</v>
      </c>
      <c r="AW92" s="105">
        <f>'Hillpointe Detail'!AW92+'Sandhill Detail'!AW92</f>
        <v>147.31846192214346</v>
      </c>
      <c r="AX92" s="105">
        <f>'Hillpointe Detail'!AX92+'Sandhill Detail'!AX92</f>
        <v>147.2840123831339</v>
      </c>
      <c r="AY92" s="105">
        <f>'Hillpointe Detail'!AY92+'Sandhill Detail'!AY92</f>
        <v>147.29390406412062</v>
      </c>
      <c r="AZ92" s="105">
        <f>'Hillpointe Detail'!AZ92+'Sandhill Detail'!AZ92</f>
        <v>294.60399567225193</v>
      </c>
      <c r="BA92" s="105">
        <f>'Hillpointe Detail'!BA92+'Sandhill Detail'!BA92</f>
        <v>0</v>
      </c>
      <c r="BB92" s="105">
        <f>'Hillpointe Detail'!BB92+'Sandhill Detail'!BB92</f>
        <v>151.72646633259981</v>
      </c>
      <c r="BC92" s="105">
        <f>'Hillpointe Detail'!BC92+'Sandhill Detail'!BC92</f>
        <v>151.72285367927239</v>
      </c>
      <c r="BD92" s="105">
        <f>'Hillpointe Detail'!BD92+'Sandhill Detail'!BD92</f>
        <v>151.72070607296428</v>
      </c>
      <c r="BE92" s="105">
        <f>'Hillpointe Detail'!BE92+'Sandhill Detail'!BE92</f>
        <v>151.71826464745749</v>
      </c>
      <c r="BF92" s="105">
        <f>'Hillpointe Detail'!BF92+'Sandhill Detail'!BF92</f>
        <v>151.72047418296722</v>
      </c>
      <c r="BG92" s="105">
        <f>'Hillpointe Detail'!BG92+'Sandhill Detail'!BG92</f>
        <v>151.72155851820119</v>
      </c>
      <c r="BH92" s="105">
        <f>'Hillpointe Detail'!BH92+'Sandhill Detail'!BH92</f>
        <v>151.72172057224373</v>
      </c>
      <c r="BI92" s="105">
        <f>'Hillpointe Detail'!BI92+'Sandhill Detail'!BI92</f>
        <v>151.72172057224373</v>
      </c>
      <c r="BJ92" s="105">
        <f>'Hillpointe Detail'!BJ92+'Sandhill Detail'!BJ92</f>
        <v>151.72104260647859</v>
      </c>
      <c r="BK92" s="105">
        <f>'Hillpointe Detail'!BK92+'Sandhill Detail'!BK92</f>
        <v>151.72078388179375</v>
      </c>
      <c r="BL92" s="105">
        <f>'Hillpointe Detail'!BL92+'Sandhill Detail'!BL92</f>
        <v>303.44158999468164</v>
      </c>
      <c r="BM92" s="105">
        <f>'Hillpointe Detail'!BM92+'Sandhill Detail'!BM92</f>
        <v>0</v>
      </c>
      <c r="BN92" s="105">
        <f>'Hillpointe Detail'!BN92+'Sandhill Detail'!BN92</f>
        <v>156.27283837571599</v>
      </c>
      <c r="BO92" s="105">
        <f>'Hillpointe Detail'!BO92+'Sandhill Detail'!BO92</f>
        <v>156.2727861853844</v>
      </c>
      <c r="BP92" s="105">
        <f>'Hillpointe Detail'!BP92+'Sandhill Detail'!BP92</f>
        <v>156.27270318198117</v>
      </c>
      <c r="BQ92" s="105">
        <f>'Hillpointe Detail'!BQ92+'Sandhill Detail'!BQ92</f>
        <v>156.27260882268214</v>
      </c>
      <c r="BR92" s="105">
        <f>'Hillpointe Detail'!BR92+'Sandhill Detail'!BR92</f>
        <v>156.2725996847621</v>
      </c>
      <c r="BS92" s="105">
        <f>'Hillpointe Detail'!BS92+'Sandhill Detail'!BS92</f>
        <v>156.27262657798093</v>
      </c>
      <c r="BT92" s="105">
        <f>'Hillpointe Detail'!BT92+'Sandhill Detail'!BT92</f>
        <v>156.27269380475113</v>
      </c>
      <c r="BU92" s="105">
        <f>'Hillpointe Detail'!BU92+'Sandhill Detail'!BU92</f>
        <v>156.2726938047511</v>
      </c>
      <c r="BV92" s="105">
        <f>'Hillpointe Detail'!BV92+'Sandhill Detail'!BV92</f>
        <v>156.27267315175612</v>
      </c>
      <c r="BW92" s="105">
        <f>'Hillpointe Detail'!BW92+'Sandhill Detail'!BW92</f>
        <v>156.27265700409495</v>
      </c>
      <c r="BX92" s="105">
        <f>'Hillpointe Detail'!BX92+'Sandhill Detail'!BX92</f>
        <v>312.5453008145081</v>
      </c>
      <c r="BY92" s="8"/>
      <c r="BZ92" s="105">
        <f t="shared" si="57"/>
        <v>124.34</v>
      </c>
      <c r="CA92" s="105">
        <f t="shared" si="58"/>
        <v>2024.8999999999996</v>
      </c>
      <c r="CC92" s="105">
        <f t="shared" si="56"/>
        <v>0</v>
      </c>
      <c r="CD92" s="105">
        <f t="shared" si="56"/>
        <v>11059.62</v>
      </c>
      <c r="CE92" s="105">
        <f t="shared" si="56"/>
        <v>2526.69</v>
      </c>
      <c r="CF92" s="105">
        <f t="shared" si="56"/>
        <v>2297.2547999970138</v>
      </c>
      <c r="CG92" s="105">
        <f t="shared" si="56"/>
        <v>1417.9744883398391</v>
      </c>
      <c r="CH92" s="105">
        <f t="shared" si="56"/>
        <v>1767.7296074966539</v>
      </c>
      <c r="CI92" s="105">
        <f t="shared" si="56"/>
        <v>1820.6571810609037</v>
      </c>
      <c r="CJ92" s="105">
        <f t="shared" si="56"/>
        <v>1875.2721814083679</v>
      </c>
      <c r="CL92" s="105"/>
      <c r="CM92" s="13"/>
    </row>
    <row r="93" spans="1:91" x14ac:dyDescent="0.3">
      <c r="A93" s="84" t="s">
        <v>52</v>
      </c>
      <c r="B93" s="10" t="s">
        <v>258</v>
      </c>
      <c r="C93" s="103">
        <v>194459.58000000002</v>
      </c>
      <c r="D93" s="103">
        <v>375</v>
      </c>
      <c r="E93" s="105">
        <f>'Hillpointe Detail'!E93+'Sandhill Detail'!E93</f>
        <v>0</v>
      </c>
      <c r="F93" s="105">
        <f>'Hillpointe Detail'!F93+'Sandhill Detail'!F93</f>
        <v>0</v>
      </c>
      <c r="G93" s="105">
        <f>'Hillpointe Detail'!G93+'Sandhill Detail'!G93</f>
        <v>0</v>
      </c>
      <c r="H93" s="105">
        <f>'Hillpointe Detail'!H93+'Sandhill Detail'!H93</f>
        <v>0</v>
      </c>
      <c r="I93" s="105">
        <f>'Hillpointe Detail'!I93+'Sandhill Detail'!I93</f>
        <v>152</v>
      </c>
      <c r="J93" s="105">
        <f>'Hillpointe Detail'!J93+'Sandhill Detail'!J93</f>
        <v>0</v>
      </c>
      <c r="K93" s="105">
        <f>'Hillpointe Detail'!K93+'Sandhill Detail'!K93</f>
        <v>4181.26</v>
      </c>
      <c r="L93" s="105">
        <f>'Hillpointe Detail'!L93+'Sandhill Detail'!L93</f>
        <v>152</v>
      </c>
      <c r="M93" s="105">
        <f>'Hillpointe Detail'!M93+'Sandhill Detail'!M93</f>
        <v>952</v>
      </c>
      <c r="N93" s="105">
        <f>'Hillpointe Detail'!N93+'Sandhill Detail'!N93</f>
        <v>1652</v>
      </c>
      <c r="O93" s="105">
        <f>'Hillpointe Detail'!O93+'Sandhill Detail'!O93</f>
        <v>152</v>
      </c>
      <c r="P93" s="105">
        <f>'Hillpointe Detail'!P93+'Sandhill Detail'!P93</f>
        <v>5200</v>
      </c>
      <c r="Q93" s="105">
        <f>'Hillpointe Detail'!Q93+'Sandhill Detail'!Q93</f>
        <v>604</v>
      </c>
      <c r="R93" s="105">
        <f>'Hillpointe Detail'!R93+'Sandhill Detail'!R93</f>
        <v>152</v>
      </c>
      <c r="S93" s="105">
        <f>'Hillpointe Detail'!S93+'Sandhill Detail'!S93</f>
        <v>2952</v>
      </c>
      <c r="T93" s="105">
        <f>'Hillpointe Detail'!T93+'Sandhill Detail'!T93</f>
        <v>1450</v>
      </c>
      <c r="U93" s="105">
        <f>'Hillpointe Detail'!U93+'Sandhill Detail'!U93</f>
        <v>6402</v>
      </c>
      <c r="V93" s="105">
        <f>'Hillpointe Detail'!V93+'Sandhill Detail'!V93</f>
        <v>15420.400000000001</v>
      </c>
      <c r="W93" s="105">
        <f>'Hillpointe Detail'!W93+'Sandhill Detail'!W93</f>
        <v>4605</v>
      </c>
      <c r="X93" s="105">
        <f>'Hillpointe Detail'!X93+'Sandhill Detail'!X93</f>
        <v>7795</v>
      </c>
      <c r="Y93" s="105">
        <f>'Hillpointe Detail'!Y93+'Sandhill Detail'!Y93</f>
        <v>5485</v>
      </c>
      <c r="Z93" s="105">
        <f>'Hillpointe Detail'!Z93+'Sandhill Detail'!Z93</f>
        <v>11425</v>
      </c>
      <c r="AA93" s="105">
        <f>'Hillpointe Detail'!AA93+'Sandhill Detail'!AA93</f>
        <v>18385</v>
      </c>
      <c r="AB93" s="105">
        <f>'Hillpointe Detail'!AB93+'Sandhill Detail'!AB93</f>
        <v>7795</v>
      </c>
      <c r="AC93" s="105">
        <f>'Hillpointe Detail'!AC93+'Sandhill Detail'!AC93</f>
        <v>0</v>
      </c>
      <c r="AD93" s="105">
        <f>'Hillpointe Detail'!AD93+'Sandhill Detail'!AD93</f>
        <v>5000</v>
      </c>
      <c r="AE93" s="105">
        <f>'Hillpointe Detail'!AE93+'Sandhill Detail'!AE93</f>
        <v>5500</v>
      </c>
      <c r="AF93" s="105">
        <f>'Hillpointe Detail'!AF93+'Sandhill Detail'!AF93</f>
        <v>5500</v>
      </c>
      <c r="AG93" s="105">
        <f>'Hillpointe Detail'!AG93+'Sandhill Detail'!AG93</f>
        <v>5500</v>
      </c>
      <c r="AH93" s="105">
        <f>'Hillpointe Detail'!AH93+'Sandhill Detail'!AH93</f>
        <v>5500</v>
      </c>
      <c r="AI93" s="105">
        <f>'Hillpointe Detail'!AI93+'Sandhill Detail'!AI93</f>
        <v>5500</v>
      </c>
      <c r="AJ93" s="105">
        <f>'Hillpointe Detail'!AJ93+'Sandhill Detail'!AJ93</f>
        <v>5500</v>
      </c>
      <c r="AK93" s="105">
        <f>'Hillpointe Detail'!AK93+'Sandhill Detail'!AK93</f>
        <v>5500</v>
      </c>
      <c r="AL93" s="105">
        <f>'Hillpointe Detail'!AL93+'Sandhill Detail'!AL93</f>
        <v>5500</v>
      </c>
      <c r="AM93" s="105">
        <f>'Hillpointe Detail'!AM93+'Sandhill Detail'!AM93</f>
        <v>5500</v>
      </c>
      <c r="AN93" s="105">
        <f>'Hillpointe Detail'!AN93+'Sandhill Detail'!AN93</f>
        <v>5500</v>
      </c>
      <c r="AO93" s="105">
        <f>'Hillpointe Detail'!AO93+'Sandhill Detail'!AO93</f>
        <v>0</v>
      </c>
      <c r="AP93" s="105">
        <f>'Hillpointe Detail'!AP93+'Sandhill Detail'!AP93</f>
        <v>5150</v>
      </c>
      <c r="AQ93" s="105">
        <f>'Hillpointe Detail'!AQ93+'Sandhill Detail'!AQ93</f>
        <v>5665</v>
      </c>
      <c r="AR93" s="105">
        <f>'Hillpointe Detail'!AR93+'Sandhill Detail'!AR93</f>
        <v>5665</v>
      </c>
      <c r="AS93" s="105">
        <f>'Hillpointe Detail'!AS93+'Sandhill Detail'!AS93</f>
        <v>5665</v>
      </c>
      <c r="AT93" s="105">
        <f>'Hillpointe Detail'!AT93+'Sandhill Detail'!AT93</f>
        <v>5665</v>
      </c>
      <c r="AU93" s="105">
        <f>'Hillpointe Detail'!AU93+'Sandhill Detail'!AU93</f>
        <v>5665</v>
      </c>
      <c r="AV93" s="105">
        <f>'Hillpointe Detail'!AV93+'Sandhill Detail'!AV93</f>
        <v>5665</v>
      </c>
      <c r="AW93" s="105">
        <f>'Hillpointe Detail'!AW93+'Sandhill Detail'!AW93</f>
        <v>5665</v>
      </c>
      <c r="AX93" s="105">
        <f>'Hillpointe Detail'!AX93+'Sandhill Detail'!AX93</f>
        <v>5665</v>
      </c>
      <c r="AY93" s="105">
        <f>'Hillpointe Detail'!AY93+'Sandhill Detail'!AY93</f>
        <v>5665</v>
      </c>
      <c r="AZ93" s="105">
        <f>'Hillpointe Detail'!AZ93+'Sandhill Detail'!AZ93</f>
        <v>5665</v>
      </c>
      <c r="BA93" s="105">
        <f>'Hillpointe Detail'!BA93+'Sandhill Detail'!BA93</f>
        <v>0</v>
      </c>
      <c r="BB93" s="105">
        <f>'Hillpointe Detail'!BB93+'Sandhill Detail'!BB93</f>
        <v>5304.5</v>
      </c>
      <c r="BC93" s="105">
        <f>'Hillpointe Detail'!BC93+'Sandhill Detail'!BC93</f>
        <v>5834.95</v>
      </c>
      <c r="BD93" s="105">
        <f>'Hillpointe Detail'!BD93+'Sandhill Detail'!BD93</f>
        <v>5834.95</v>
      </c>
      <c r="BE93" s="105">
        <f>'Hillpointe Detail'!BE93+'Sandhill Detail'!BE93</f>
        <v>5834.95</v>
      </c>
      <c r="BF93" s="105">
        <f>'Hillpointe Detail'!BF93+'Sandhill Detail'!BF93</f>
        <v>5834.95</v>
      </c>
      <c r="BG93" s="105">
        <f>'Hillpointe Detail'!BG93+'Sandhill Detail'!BG93</f>
        <v>5834.95</v>
      </c>
      <c r="BH93" s="105">
        <f>'Hillpointe Detail'!BH93+'Sandhill Detail'!BH93</f>
        <v>5834.95</v>
      </c>
      <c r="BI93" s="105">
        <f>'Hillpointe Detail'!BI93+'Sandhill Detail'!BI93</f>
        <v>5834.95</v>
      </c>
      <c r="BJ93" s="105">
        <f>'Hillpointe Detail'!BJ93+'Sandhill Detail'!BJ93</f>
        <v>5834.95</v>
      </c>
      <c r="BK93" s="105">
        <f>'Hillpointe Detail'!BK93+'Sandhill Detail'!BK93</f>
        <v>5834.95</v>
      </c>
      <c r="BL93" s="105">
        <f>'Hillpointe Detail'!BL93+'Sandhill Detail'!BL93</f>
        <v>5834.95</v>
      </c>
      <c r="BM93" s="105">
        <f>'Hillpointe Detail'!BM93+'Sandhill Detail'!BM93</f>
        <v>0</v>
      </c>
      <c r="BN93" s="105">
        <f>'Hillpointe Detail'!BN93+'Sandhill Detail'!BN93</f>
        <v>5463.6350000000002</v>
      </c>
      <c r="BO93" s="105">
        <f>'Hillpointe Detail'!BO93+'Sandhill Detail'!BO93</f>
        <v>6009.9985000000006</v>
      </c>
      <c r="BP93" s="105">
        <f>'Hillpointe Detail'!BP93+'Sandhill Detail'!BP93</f>
        <v>6009.9985000000006</v>
      </c>
      <c r="BQ93" s="105">
        <f>'Hillpointe Detail'!BQ93+'Sandhill Detail'!BQ93</f>
        <v>6009.9985000000006</v>
      </c>
      <c r="BR93" s="105">
        <f>'Hillpointe Detail'!BR93+'Sandhill Detail'!BR93</f>
        <v>6009.9985000000006</v>
      </c>
      <c r="BS93" s="105">
        <f>'Hillpointe Detail'!BS93+'Sandhill Detail'!BS93</f>
        <v>6009.9985000000006</v>
      </c>
      <c r="BT93" s="105">
        <f>'Hillpointe Detail'!BT93+'Sandhill Detail'!BT93</f>
        <v>6009.9985000000006</v>
      </c>
      <c r="BU93" s="105">
        <f>'Hillpointe Detail'!BU93+'Sandhill Detail'!BU93</f>
        <v>6009.9985000000006</v>
      </c>
      <c r="BV93" s="105">
        <f>'Hillpointe Detail'!BV93+'Sandhill Detail'!BV93</f>
        <v>6009.9985000000006</v>
      </c>
      <c r="BW93" s="105">
        <f>'Hillpointe Detail'!BW93+'Sandhill Detail'!BW93</f>
        <v>6009.9985000000006</v>
      </c>
      <c r="BX93" s="105">
        <f>'Hillpointe Detail'!BX93+'Sandhill Detail'!BX93</f>
        <v>6009.9985000000006</v>
      </c>
      <c r="BY93" s="8"/>
      <c r="BZ93" s="105">
        <f t="shared" si="57"/>
        <v>18385</v>
      </c>
      <c r="CA93" s="105">
        <f t="shared" si="58"/>
        <v>74675.399999999994</v>
      </c>
      <c r="CC93" s="105">
        <f t="shared" si="56"/>
        <v>194459.58000000002</v>
      </c>
      <c r="CD93" s="105">
        <f t="shared" si="56"/>
        <v>375</v>
      </c>
      <c r="CE93" s="105">
        <f t="shared" si="56"/>
        <v>12441.26</v>
      </c>
      <c r="CF93" s="105">
        <f t="shared" si="56"/>
        <v>82470.399999999994</v>
      </c>
      <c r="CG93" s="105">
        <f t="shared" si="56"/>
        <v>60000</v>
      </c>
      <c r="CH93" s="105">
        <f t="shared" si="56"/>
        <v>61800</v>
      </c>
      <c r="CI93" s="105">
        <f t="shared" si="56"/>
        <v>63653.999999999985</v>
      </c>
      <c r="CJ93" s="105">
        <f t="shared" si="56"/>
        <v>65563.62000000001</v>
      </c>
      <c r="CL93" s="105"/>
      <c r="CM93" s="13"/>
    </row>
    <row r="94" spans="1:91" x14ac:dyDescent="0.3">
      <c r="A94" s="84" t="s">
        <v>53</v>
      </c>
      <c r="B94" s="10" t="s">
        <v>258</v>
      </c>
      <c r="C94" s="103">
        <v>0</v>
      </c>
      <c r="D94" s="103">
        <v>11462.5</v>
      </c>
      <c r="E94" s="105">
        <f>'Hillpointe Detail'!E94+'Sandhill Detail'!E94</f>
        <v>-3375</v>
      </c>
      <c r="F94" s="105">
        <f>'Hillpointe Detail'!F94+'Sandhill Detail'!F94</f>
        <v>0</v>
      </c>
      <c r="G94" s="105">
        <f>'Hillpointe Detail'!G94+'Sandhill Detail'!G94</f>
        <v>0</v>
      </c>
      <c r="H94" s="105">
        <f>'Hillpointe Detail'!H94+'Sandhill Detail'!H94</f>
        <v>0</v>
      </c>
      <c r="I94" s="105">
        <f>'Hillpointe Detail'!I94+'Sandhill Detail'!I94</f>
        <v>0</v>
      </c>
      <c r="J94" s="105">
        <f>'Hillpointe Detail'!J94+'Sandhill Detail'!J94</f>
        <v>0</v>
      </c>
      <c r="K94" s="105">
        <f>'Hillpointe Detail'!K94+'Sandhill Detail'!K94</f>
        <v>0</v>
      </c>
      <c r="L94" s="105">
        <f>'Hillpointe Detail'!L94+'Sandhill Detail'!L94</f>
        <v>0</v>
      </c>
      <c r="M94" s="105">
        <f>'Hillpointe Detail'!M94+'Sandhill Detail'!M94</f>
        <v>0</v>
      </c>
      <c r="N94" s="105">
        <f>'Hillpointe Detail'!N94+'Sandhill Detail'!N94</f>
        <v>0</v>
      </c>
      <c r="O94" s="105">
        <f>'Hillpointe Detail'!O94+'Sandhill Detail'!O94</f>
        <v>691</v>
      </c>
      <c r="P94" s="105">
        <f>'Hillpointe Detail'!P94+'Sandhill Detail'!P94</f>
        <v>0</v>
      </c>
      <c r="Q94" s="105">
        <f>'Hillpointe Detail'!Q94+'Sandhill Detail'!Q94</f>
        <v>0</v>
      </c>
      <c r="R94" s="105">
        <f>'Hillpointe Detail'!R94+'Sandhill Detail'!R94</f>
        <v>0</v>
      </c>
      <c r="S94" s="105">
        <f>'Hillpointe Detail'!S94+'Sandhill Detail'!S94</f>
        <v>691</v>
      </c>
      <c r="T94" s="105">
        <f>'Hillpointe Detail'!T94+'Sandhill Detail'!T94</f>
        <v>0</v>
      </c>
      <c r="U94" s="105">
        <f>'Hillpointe Detail'!U94+'Sandhill Detail'!U94</f>
        <v>300</v>
      </c>
      <c r="V94" s="105">
        <f>'Hillpointe Detail'!V94+'Sandhill Detail'!V94</f>
        <v>0</v>
      </c>
      <c r="W94" s="105">
        <f>'Hillpointe Detail'!W94+'Sandhill Detail'!W94</f>
        <v>0</v>
      </c>
      <c r="X94" s="105">
        <f>'Hillpointe Detail'!X94+'Sandhill Detail'!X94</f>
        <v>0</v>
      </c>
      <c r="Y94" s="105">
        <f>'Hillpointe Detail'!Y94+'Sandhill Detail'!Y94</f>
        <v>0</v>
      </c>
      <c r="Z94" s="105">
        <f>'Hillpointe Detail'!Z94+'Sandhill Detail'!Z94</f>
        <v>0</v>
      </c>
      <c r="AA94" s="105">
        <f>'Hillpointe Detail'!AA94+'Sandhill Detail'!AA94</f>
        <v>0</v>
      </c>
      <c r="AB94" s="105">
        <f>'Hillpointe Detail'!AB94+'Sandhill Detail'!AB94</f>
        <v>0</v>
      </c>
      <c r="AC94" s="105">
        <f>'Hillpointe Detail'!AC94+'Sandhill Detail'!AC94</f>
        <v>0</v>
      </c>
      <c r="AD94" s="105">
        <f>'Hillpointe Detail'!AD94+'Sandhill Detail'!AD94</f>
        <v>0</v>
      </c>
      <c r="AE94" s="105">
        <f>'Hillpointe Detail'!AE94+'Sandhill Detail'!AE94</f>
        <v>711.73</v>
      </c>
      <c r="AF94" s="105">
        <f>'Hillpointe Detail'!AF94+'Sandhill Detail'!AF94</f>
        <v>0</v>
      </c>
      <c r="AG94" s="105">
        <f>'Hillpointe Detail'!AG94+'Sandhill Detail'!AG94</f>
        <v>309</v>
      </c>
      <c r="AH94" s="105">
        <f>'Hillpointe Detail'!AH94+'Sandhill Detail'!AH94</f>
        <v>0</v>
      </c>
      <c r="AI94" s="105">
        <f>'Hillpointe Detail'!AI94+'Sandhill Detail'!AI94</f>
        <v>0</v>
      </c>
      <c r="AJ94" s="105">
        <f>'Hillpointe Detail'!AJ94+'Sandhill Detail'!AJ94</f>
        <v>0</v>
      </c>
      <c r="AK94" s="105">
        <f>'Hillpointe Detail'!AK94+'Sandhill Detail'!AK94</f>
        <v>0</v>
      </c>
      <c r="AL94" s="105">
        <f>'Hillpointe Detail'!AL94+'Sandhill Detail'!AL94</f>
        <v>0</v>
      </c>
      <c r="AM94" s="105">
        <f>'Hillpointe Detail'!AM94+'Sandhill Detail'!AM94</f>
        <v>0</v>
      </c>
      <c r="AN94" s="105">
        <f>'Hillpointe Detail'!AN94+'Sandhill Detail'!AN94</f>
        <v>0</v>
      </c>
      <c r="AO94" s="105">
        <f>'Hillpointe Detail'!AO94+'Sandhill Detail'!AO94</f>
        <v>0</v>
      </c>
      <c r="AP94" s="105">
        <f>'Hillpointe Detail'!AP94+'Sandhill Detail'!AP94</f>
        <v>0</v>
      </c>
      <c r="AQ94" s="105">
        <f>'Hillpointe Detail'!AQ94+'Sandhill Detail'!AQ94</f>
        <v>733.08190000000002</v>
      </c>
      <c r="AR94" s="105">
        <f>'Hillpointe Detail'!AR94+'Sandhill Detail'!AR94</f>
        <v>0</v>
      </c>
      <c r="AS94" s="105">
        <f>'Hillpointe Detail'!AS94+'Sandhill Detail'!AS94</f>
        <v>318.27000000000004</v>
      </c>
      <c r="AT94" s="105">
        <f>'Hillpointe Detail'!AT94+'Sandhill Detail'!AT94</f>
        <v>0</v>
      </c>
      <c r="AU94" s="105">
        <f>'Hillpointe Detail'!AU94+'Sandhill Detail'!AU94</f>
        <v>0</v>
      </c>
      <c r="AV94" s="105">
        <f>'Hillpointe Detail'!AV94+'Sandhill Detail'!AV94</f>
        <v>0</v>
      </c>
      <c r="AW94" s="105">
        <f>'Hillpointe Detail'!AW94+'Sandhill Detail'!AW94</f>
        <v>0</v>
      </c>
      <c r="AX94" s="105">
        <f>'Hillpointe Detail'!AX94+'Sandhill Detail'!AX94</f>
        <v>0</v>
      </c>
      <c r="AY94" s="105">
        <f>'Hillpointe Detail'!AY94+'Sandhill Detail'!AY94</f>
        <v>0</v>
      </c>
      <c r="AZ94" s="105">
        <f>'Hillpointe Detail'!AZ94+'Sandhill Detail'!AZ94</f>
        <v>0</v>
      </c>
      <c r="BA94" s="105">
        <f>'Hillpointe Detail'!BA94+'Sandhill Detail'!BA94</f>
        <v>0</v>
      </c>
      <c r="BB94" s="105">
        <f>'Hillpointe Detail'!BB94+'Sandhill Detail'!BB94</f>
        <v>0</v>
      </c>
      <c r="BC94" s="105">
        <f>'Hillpointe Detail'!BC94+'Sandhill Detail'!BC94</f>
        <v>755.07435700000008</v>
      </c>
      <c r="BD94" s="105">
        <f>'Hillpointe Detail'!BD94+'Sandhill Detail'!BD94</f>
        <v>0</v>
      </c>
      <c r="BE94" s="105">
        <f>'Hillpointe Detail'!BE94+'Sandhill Detail'!BE94</f>
        <v>327.81810000000002</v>
      </c>
      <c r="BF94" s="105">
        <f>'Hillpointe Detail'!BF94+'Sandhill Detail'!BF94</f>
        <v>0</v>
      </c>
      <c r="BG94" s="105">
        <f>'Hillpointe Detail'!BG94+'Sandhill Detail'!BG94</f>
        <v>0</v>
      </c>
      <c r="BH94" s="105">
        <f>'Hillpointe Detail'!BH94+'Sandhill Detail'!BH94</f>
        <v>0</v>
      </c>
      <c r="BI94" s="105">
        <f>'Hillpointe Detail'!BI94+'Sandhill Detail'!BI94</f>
        <v>0</v>
      </c>
      <c r="BJ94" s="105">
        <f>'Hillpointe Detail'!BJ94+'Sandhill Detail'!BJ94</f>
        <v>0</v>
      </c>
      <c r="BK94" s="105">
        <f>'Hillpointe Detail'!BK94+'Sandhill Detail'!BK94</f>
        <v>0</v>
      </c>
      <c r="BL94" s="105">
        <f>'Hillpointe Detail'!BL94+'Sandhill Detail'!BL94</f>
        <v>0</v>
      </c>
      <c r="BM94" s="105">
        <f>'Hillpointe Detail'!BM94+'Sandhill Detail'!BM94</f>
        <v>0</v>
      </c>
      <c r="BN94" s="105">
        <f>'Hillpointe Detail'!BN94+'Sandhill Detail'!BN94</f>
        <v>0</v>
      </c>
      <c r="BO94" s="105">
        <f>'Hillpointe Detail'!BO94+'Sandhill Detail'!BO94</f>
        <v>777.7265877100001</v>
      </c>
      <c r="BP94" s="105">
        <f>'Hillpointe Detail'!BP94+'Sandhill Detail'!BP94</f>
        <v>0</v>
      </c>
      <c r="BQ94" s="105">
        <f>'Hillpointe Detail'!BQ94+'Sandhill Detail'!BQ94</f>
        <v>337.65264300000001</v>
      </c>
      <c r="BR94" s="105">
        <f>'Hillpointe Detail'!BR94+'Sandhill Detail'!BR94</f>
        <v>0</v>
      </c>
      <c r="BS94" s="105">
        <f>'Hillpointe Detail'!BS94+'Sandhill Detail'!BS94</f>
        <v>0</v>
      </c>
      <c r="BT94" s="105">
        <f>'Hillpointe Detail'!BT94+'Sandhill Detail'!BT94</f>
        <v>0</v>
      </c>
      <c r="BU94" s="105">
        <f>'Hillpointe Detail'!BU94+'Sandhill Detail'!BU94</f>
        <v>0</v>
      </c>
      <c r="BV94" s="105">
        <f>'Hillpointe Detail'!BV94+'Sandhill Detail'!BV94</f>
        <v>0</v>
      </c>
      <c r="BW94" s="105">
        <f>'Hillpointe Detail'!BW94+'Sandhill Detail'!BW94</f>
        <v>0</v>
      </c>
      <c r="BX94" s="105">
        <f>'Hillpointe Detail'!BX94+'Sandhill Detail'!BX94</f>
        <v>0</v>
      </c>
      <c r="BY94" s="8"/>
      <c r="BZ94" s="105">
        <f t="shared" si="57"/>
        <v>0</v>
      </c>
      <c r="CA94" s="105">
        <f t="shared" si="58"/>
        <v>991</v>
      </c>
      <c r="CC94" s="105">
        <f t="shared" si="56"/>
        <v>0</v>
      </c>
      <c r="CD94" s="105">
        <f t="shared" si="56"/>
        <v>11462.5</v>
      </c>
      <c r="CE94" s="105">
        <f t="shared" si="56"/>
        <v>-2684</v>
      </c>
      <c r="CF94" s="105">
        <f t="shared" si="56"/>
        <v>991</v>
      </c>
      <c r="CG94" s="105">
        <f t="shared" si="56"/>
        <v>1020.73</v>
      </c>
      <c r="CH94" s="105">
        <f t="shared" si="56"/>
        <v>1051.3519000000001</v>
      </c>
      <c r="CI94" s="105">
        <f t="shared" si="56"/>
        <v>1082.8924570000001</v>
      </c>
      <c r="CJ94" s="105">
        <f t="shared" si="56"/>
        <v>1115.3792307100002</v>
      </c>
      <c r="CL94" s="105"/>
      <c r="CM94" s="13"/>
    </row>
    <row r="95" spans="1:91" x14ac:dyDescent="0.3">
      <c r="A95" s="84" t="s">
        <v>54</v>
      </c>
      <c r="B95" s="10" t="s">
        <v>135</v>
      </c>
      <c r="C95" s="140">
        <v>0</v>
      </c>
      <c r="D95" s="140">
        <v>1846.35</v>
      </c>
      <c r="E95" s="141">
        <f>'Hillpointe Detail'!E95+'Sandhill Detail'!E95</f>
        <v>0</v>
      </c>
      <c r="F95" s="141">
        <f>'Hillpointe Detail'!F95+'Sandhill Detail'!F95</f>
        <v>0</v>
      </c>
      <c r="G95" s="141">
        <f>'Hillpointe Detail'!G95+'Sandhill Detail'!G95</f>
        <v>0</v>
      </c>
      <c r="H95" s="141">
        <f>'Hillpointe Detail'!H95+'Sandhill Detail'!H95</f>
        <v>0</v>
      </c>
      <c r="I95" s="141">
        <f>'Hillpointe Detail'!I95+'Sandhill Detail'!I95</f>
        <v>0</v>
      </c>
      <c r="J95" s="141">
        <f>'Hillpointe Detail'!J95+'Sandhill Detail'!J95</f>
        <v>3700</v>
      </c>
      <c r="K95" s="141">
        <f>'Hillpointe Detail'!K95+'Sandhill Detail'!K95</f>
        <v>0</v>
      </c>
      <c r="L95" s="141">
        <f>'Hillpointe Detail'!L95+'Sandhill Detail'!L95</f>
        <v>0</v>
      </c>
      <c r="M95" s="141">
        <f>'Hillpointe Detail'!M95+'Sandhill Detail'!M95</f>
        <v>0</v>
      </c>
      <c r="N95" s="141">
        <f>'Hillpointe Detail'!N95+'Sandhill Detail'!N95</f>
        <v>0</v>
      </c>
      <c r="O95" s="141">
        <f>'Hillpointe Detail'!O95+'Sandhill Detail'!O95</f>
        <v>0</v>
      </c>
      <c r="P95" s="141">
        <f>'Hillpointe Detail'!P95+'Sandhill Detail'!P95</f>
        <v>0</v>
      </c>
      <c r="Q95" s="141">
        <f>'Hillpointe Detail'!Q95+'Sandhill Detail'!Q95</f>
        <v>0</v>
      </c>
      <c r="R95" s="141">
        <f>'Hillpointe Detail'!R95+'Sandhill Detail'!R95</f>
        <v>0</v>
      </c>
      <c r="S95" s="141">
        <f>'Hillpointe Detail'!S95+'Sandhill Detail'!S95</f>
        <v>0</v>
      </c>
      <c r="T95" s="141">
        <f>'Hillpointe Detail'!T95+'Sandhill Detail'!T95</f>
        <v>0</v>
      </c>
      <c r="U95" s="141">
        <f>'Hillpointe Detail'!U95+'Sandhill Detail'!U95</f>
        <v>0</v>
      </c>
      <c r="V95" s="141">
        <f>'Hillpointe Detail'!V95+'Sandhill Detail'!V95</f>
        <v>0</v>
      </c>
      <c r="W95" s="141">
        <f>'Hillpointe Detail'!W95+'Sandhill Detail'!W95</f>
        <v>0</v>
      </c>
      <c r="X95" s="141">
        <f>'Hillpointe Detail'!X95+'Sandhill Detail'!X95</f>
        <v>0</v>
      </c>
      <c r="Y95" s="141">
        <f>'Hillpointe Detail'!Y95+'Sandhill Detail'!Y95</f>
        <v>0</v>
      </c>
      <c r="Z95" s="141">
        <f>'Hillpointe Detail'!Z95+'Sandhill Detail'!Z95</f>
        <v>0</v>
      </c>
      <c r="AA95" s="141">
        <f>'Hillpointe Detail'!AA95+'Sandhill Detail'!AA95</f>
        <v>100</v>
      </c>
      <c r="AB95" s="141">
        <f>'Hillpointe Detail'!AB95+'Sandhill Detail'!AB95</f>
        <v>0</v>
      </c>
      <c r="AC95" s="141">
        <f>'Hillpointe Detail'!AC95+'Sandhill Detail'!AC95</f>
        <v>0</v>
      </c>
      <c r="AD95" s="141">
        <f>'Hillpointe Detail'!AD95+'Sandhill Detail'!AD95</f>
        <v>0</v>
      </c>
      <c r="AE95" s="141">
        <f>'Hillpointe Detail'!AE95+'Sandhill Detail'!AE95</f>
        <v>0</v>
      </c>
      <c r="AF95" s="141">
        <f>'Hillpointe Detail'!AF95+'Sandhill Detail'!AF95</f>
        <v>0</v>
      </c>
      <c r="AG95" s="141">
        <f>'Hillpointe Detail'!AG95+'Sandhill Detail'!AG95</f>
        <v>0</v>
      </c>
      <c r="AH95" s="141">
        <f>'Hillpointe Detail'!AH95+'Sandhill Detail'!AH95</f>
        <v>0</v>
      </c>
      <c r="AI95" s="141">
        <f>'Hillpointe Detail'!AI95+'Sandhill Detail'!AI95</f>
        <v>0</v>
      </c>
      <c r="AJ95" s="141">
        <f>'Hillpointe Detail'!AJ95+'Sandhill Detail'!AJ95</f>
        <v>0</v>
      </c>
      <c r="AK95" s="141">
        <f>'Hillpointe Detail'!AK95+'Sandhill Detail'!AK95</f>
        <v>0</v>
      </c>
      <c r="AL95" s="141">
        <f>'Hillpointe Detail'!AL95+'Sandhill Detail'!AL95</f>
        <v>0</v>
      </c>
      <c r="AM95" s="141">
        <f>'Hillpointe Detail'!AM95+'Sandhill Detail'!AM95</f>
        <v>103</v>
      </c>
      <c r="AN95" s="141">
        <f>'Hillpointe Detail'!AN95+'Sandhill Detail'!AN95</f>
        <v>0</v>
      </c>
      <c r="AO95" s="141">
        <f>'Hillpointe Detail'!AO95+'Sandhill Detail'!AO95</f>
        <v>0</v>
      </c>
      <c r="AP95" s="141">
        <f>'Hillpointe Detail'!AP95+'Sandhill Detail'!AP95</f>
        <v>0</v>
      </c>
      <c r="AQ95" s="141">
        <f>'Hillpointe Detail'!AQ95+'Sandhill Detail'!AQ95</f>
        <v>0</v>
      </c>
      <c r="AR95" s="141">
        <f>'Hillpointe Detail'!AR95+'Sandhill Detail'!AR95</f>
        <v>0</v>
      </c>
      <c r="AS95" s="141">
        <f>'Hillpointe Detail'!AS95+'Sandhill Detail'!AS95</f>
        <v>0</v>
      </c>
      <c r="AT95" s="141">
        <f>'Hillpointe Detail'!AT95+'Sandhill Detail'!AT95</f>
        <v>0</v>
      </c>
      <c r="AU95" s="141">
        <f>'Hillpointe Detail'!AU95+'Sandhill Detail'!AU95</f>
        <v>0</v>
      </c>
      <c r="AV95" s="141">
        <f>'Hillpointe Detail'!AV95+'Sandhill Detail'!AV95</f>
        <v>0</v>
      </c>
      <c r="AW95" s="141">
        <f>'Hillpointe Detail'!AW95+'Sandhill Detail'!AW95</f>
        <v>0</v>
      </c>
      <c r="AX95" s="141">
        <f>'Hillpointe Detail'!AX95+'Sandhill Detail'!AX95</f>
        <v>0</v>
      </c>
      <c r="AY95" s="141">
        <f>'Hillpointe Detail'!AY95+'Sandhill Detail'!AY95</f>
        <v>106.09</v>
      </c>
      <c r="AZ95" s="141">
        <f>'Hillpointe Detail'!AZ95+'Sandhill Detail'!AZ95</f>
        <v>0</v>
      </c>
      <c r="BA95" s="141">
        <f>'Hillpointe Detail'!BA95+'Sandhill Detail'!BA95</f>
        <v>0</v>
      </c>
      <c r="BB95" s="141">
        <f>'Hillpointe Detail'!BB95+'Sandhill Detail'!BB95</f>
        <v>0</v>
      </c>
      <c r="BC95" s="141">
        <f>'Hillpointe Detail'!BC95+'Sandhill Detail'!BC95</f>
        <v>0</v>
      </c>
      <c r="BD95" s="141">
        <f>'Hillpointe Detail'!BD95+'Sandhill Detail'!BD95</f>
        <v>0</v>
      </c>
      <c r="BE95" s="141">
        <f>'Hillpointe Detail'!BE95+'Sandhill Detail'!BE95</f>
        <v>0</v>
      </c>
      <c r="BF95" s="141">
        <f>'Hillpointe Detail'!BF95+'Sandhill Detail'!BF95</f>
        <v>0</v>
      </c>
      <c r="BG95" s="141">
        <f>'Hillpointe Detail'!BG95+'Sandhill Detail'!BG95</f>
        <v>0</v>
      </c>
      <c r="BH95" s="141">
        <f>'Hillpointe Detail'!BH95+'Sandhill Detail'!BH95</f>
        <v>0</v>
      </c>
      <c r="BI95" s="141">
        <f>'Hillpointe Detail'!BI95+'Sandhill Detail'!BI95</f>
        <v>0</v>
      </c>
      <c r="BJ95" s="141">
        <f>'Hillpointe Detail'!BJ95+'Sandhill Detail'!BJ95</f>
        <v>0</v>
      </c>
      <c r="BK95" s="141">
        <f>'Hillpointe Detail'!BK95+'Sandhill Detail'!BK95</f>
        <v>109.27270000000001</v>
      </c>
      <c r="BL95" s="141">
        <f>'Hillpointe Detail'!BL95+'Sandhill Detail'!BL95</f>
        <v>0</v>
      </c>
      <c r="BM95" s="141">
        <f>'Hillpointe Detail'!BM95+'Sandhill Detail'!BM95</f>
        <v>0</v>
      </c>
      <c r="BN95" s="141">
        <f>'Hillpointe Detail'!BN95+'Sandhill Detail'!BN95</f>
        <v>0</v>
      </c>
      <c r="BO95" s="141">
        <f>'Hillpointe Detail'!BO95+'Sandhill Detail'!BO95</f>
        <v>0</v>
      </c>
      <c r="BP95" s="141">
        <f>'Hillpointe Detail'!BP95+'Sandhill Detail'!BP95</f>
        <v>0</v>
      </c>
      <c r="BQ95" s="141">
        <f>'Hillpointe Detail'!BQ95+'Sandhill Detail'!BQ95</f>
        <v>0</v>
      </c>
      <c r="BR95" s="141">
        <f>'Hillpointe Detail'!BR95+'Sandhill Detail'!BR95</f>
        <v>0</v>
      </c>
      <c r="BS95" s="141">
        <f>'Hillpointe Detail'!BS95+'Sandhill Detail'!BS95</f>
        <v>0</v>
      </c>
      <c r="BT95" s="141">
        <f>'Hillpointe Detail'!BT95+'Sandhill Detail'!BT95</f>
        <v>0</v>
      </c>
      <c r="BU95" s="141">
        <f>'Hillpointe Detail'!BU95+'Sandhill Detail'!BU95</f>
        <v>0</v>
      </c>
      <c r="BV95" s="141">
        <f>'Hillpointe Detail'!BV95+'Sandhill Detail'!BV95</f>
        <v>0</v>
      </c>
      <c r="BW95" s="141">
        <f>'Hillpointe Detail'!BW95+'Sandhill Detail'!BW95</f>
        <v>112.55088100000002</v>
      </c>
      <c r="BX95" s="141">
        <f>'Hillpointe Detail'!BX95+'Sandhill Detail'!BX95</f>
        <v>0</v>
      </c>
      <c r="BY95" s="8"/>
      <c r="BZ95" s="141">
        <f t="shared" si="57"/>
        <v>100</v>
      </c>
      <c r="CA95" s="141">
        <f t="shared" si="58"/>
        <v>100</v>
      </c>
      <c r="CC95" s="141">
        <f t="shared" si="56"/>
        <v>0</v>
      </c>
      <c r="CD95" s="141">
        <f t="shared" si="56"/>
        <v>1846.35</v>
      </c>
      <c r="CE95" s="141">
        <f t="shared" si="56"/>
        <v>3700</v>
      </c>
      <c r="CF95" s="141">
        <f t="shared" si="56"/>
        <v>100</v>
      </c>
      <c r="CG95" s="141">
        <f t="shared" si="56"/>
        <v>103</v>
      </c>
      <c r="CH95" s="141">
        <f t="shared" si="56"/>
        <v>106.09</v>
      </c>
      <c r="CI95" s="141">
        <f t="shared" si="56"/>
        <v>109.27270000000001</v>
      </c>
      <c r="CJ95" s="141">
        <f t="shared" si="56"/>
        <v>112.55088100000002</v>
      </c>
      <c r="CL95" s="105"/>
      <c r="CM95" s="13"/>
    </row>
    <row r="96" spans="1:91" x14ac:dyDescent="0.3">
      <c r="A96" s="84" t="s">
        <v>55</v>
      </c>
      <c r="B96" s="10"/>
      <c r="C96" s="18">
        <f>SUM(C87:C95)</f>
        <v>194459.58000000002</v>
      </c>
      <c r="D96" s="18">
        <f>SUM(D87:D95)</f>
        <v>418028.26</v>
      </c>
      <c r="E96" s="105">
        <f>'Hillpointe Detail'!E96+'Sandhill Detail'!E96</f>
        <v>-23003.510000000002</v>
      </c>
      <c r="F96" s="105">
        <f>'Hillpointe Detail'!F96+'Sandhill Detail'!F96</f>
        <v>16055.54</v>
      </c>
      <c r="G96" s="105">
        <f>'Hillpointe Detail'!G96+'Sandhill Detail'!G96</f>
        <v>15081.849999999999</v>
      </c>
      <c r="H96" s="105">
        <f>'Hillpointe Detail'!H96+'Sandhill Detail'!H96</f>
        <v>16937.080000000002</v>
      </c>
      <c r="I96" s="105">
        <f>'Hillpointe Detail'!I96+'Sandhill Detail'!I96</f>
        <v>20916.849999999999</v>
      </c>
      <c r="J96" s="105">
        <f>'Hillpointe Detail'!J96+'Sandhill Detail'!J96</f>
        <v>22508.739999999998</v>
      </c>
      <c r="K96" s="105">
        <f>'Hillpointe Detail'!K96+'Sandhill Detail'!K96</f>
        <v>22141.059999999998</v>
      </c>
      <c r="L96" s="105">
        <f>'Hillpointe Detail'!L96+'Sandhill Detail'!L96</f>
        <v>21381.879999999994</v>
      </c>
      <c r="M96" s="105">
        <f>'Hillpointe Detail'!M96+'Sandhill Detail'!M96</f>
        <v>21861.670000000006</v>
      </c>
      <c r="N96" s="105">
        <f>'Hillpointe Detail'!N96+'Sandhill Detail'!N96</f>
        <v>23121.09</v>
      </c>
      <c r="O96" s="105">
        <f>'Hillpointe Detail'!O96+'Sandhill Detail'!O96</f>
        <v>21433.41</v>
      </c>
      <c r="P96" s="105">
        <f>'Hillpointe Detail'!P96+'Sandhill Detail'!P96</f>
        <v>47476.09</v>
      </c>
      <c r="Q96" s="105">
        <f>'Hillpointe Detail'!Q96+'Sandhill Detail'!Q96</f>
        <v>787.76</v>
      </c>
      <c r="R96" s="105">
        <f>'Hillpointe Detail'!R96+'Sandhill Detail'!R96</f>
        <v>28614.42</v>
      </c>
      <c r="S96" s="105">
        <f>'Hillpointe Detail'!S96+'Sandhill Detail'!S96</f>
        <v>41369.929999999993</v>
      </c>
      <c r="T96" s="105">
        <f>'Hillpointe Detail'!T96+'Sandhill Detail'!T96</f>
        <v>34690.559999999998</v>
      </c>
      <c r="U96" s="105">
        <f>'Hillpointe Detail'!U96+'Sandhill Detail'!U96</f>
        <v>40625.619999999995</v>
      </c>
      <c r="V96" s="105">
        <f>'Hillpointe Detail'!V96+'Sandhill Detail'!V96</f>
        <v>45694.34</v>
      </c>
      <c r="W96" s="105">
        <f>'Hillpointe Detail'!W96+'Sandhill Detail'!W96</f>
        <v>32002.77</v>
      </c>
      <c r="X96" s="105">
        <f>'Hillpointe Detail'!X96+'Sandhill Detail'!X96</f>
        <v>41954.75</v>
      </c>
      <c r="Y96" s="105">
        <f>'Hillpointe Detail'!Y96+'Sandhill Detail'!Y96</f>
        <v>37974.229999999996</v>
      </c>
      <c r="Z96" s="105">
        <f>'Hillpointe Detail'!Z96+'Sandhill Detail'!Z96</f>
        <v>43089.539999999994</v>
      </c>
      <c r="AA96" s="105">
        <f>'Hillpointe Detail'!AA96+'Sandhill Detail'!AA96</f>
        <v>53551.88</v>
      </c>
      <c r="AB96" s="105">
        <f>'Hillpointe Detail'!AB96+'Sandhill Detail'!AB96</f>
        <v>69350.142500960734</v>
      </c>
      <c r="AC96" s="105">
        <f>'Hillpointe Detail'!AC96+'Sandhill Detail'!AC96</f>
        <v>0</v>
      </c>
      <c r="AD96" s="105">
        <f>'Hillpointe Detail'!AD96+'Sandhill Detail'!AD96</f>
        <v>33758.473062495774</v>
      </c>
      <c r="AE96" s="105">
        <f>'Hillpointe Detail'!AE96+'Sandhill Detail'!AE96</f>
        <v>34982.293463278467</v>
      </c>
      <c r="AF96" s="105">
        <f>'Hillpointe Detail'!AF96+'Sandhill Detail'!AF96</f>
        <v>34274.574725699204</v>
      </c>
      <c r="AG96" s="105">
        <f>'Hillpointe Detail'!AG96+'Sandhill Detail'!AG96</f>
        <v>34601.164501389823</v>
      </c>
      <c r="AH96" s="105">
        <f>'Hillpointe Detail'!AH96+'Sandhill Detail'!AH96</f>
        <v>34317.054033885099</v>
      </c>
      <c r="AI96" s="105">
        <f>'Hillpointe Detail'!AI96+'Sandhill Detail'!AI96</f>
        <v>34280.905143435011</v>
      </c>
      <c r="AJ96" s="105">
        <f>'Hillpointe Detail'!AJ96+'Sandhill Detail'!AJ96</f>
        <v>34282.289155030565</v>
      </c>
      <c r="AK96" s="105">
        <f>'Hillpointe Detail'!AK96+'Sandhill Detail'!AK96</f>
        <v>34282.289155030565</v>
      </c>
      <c r="AL96" s="105">
        <f>'Hillpointe Detail'!AL96+'Sandhill Detail'!AL96</f>
        <v>34285.6914539641</v>
      </c>
      <c r="AM96" s="105">
        <f>'Hillpointe Detail'!AM96+'Sandhill Detail'!AM96</f>
        <v>34390.852595490622</v>
      </c>
      <c r="AN96" s="105">
        <f>'Hillpointe Detail'!AN96+'Sandhill Detail'!AN96</f>
        <v>63079.498868064518</v>
      </c>
      <c r="AO96" s="105">
        <f>'Hillpointe Detail'!AO96+'Sandhill Detail'!AO96</f>
        <v>0</v>
      </c>
      <c r="AP96" s="105">
        <f>'Hillpointe Detail'!AP96+'Sandhill Detail'!AP96</f>
        <v>40982.601480891324</v>
      </c>
      <c r="AQ96" s="105">
        <f>'Hillpointe Detail'!AQ96+'Sandhill Detail'!AQ96</f>
        <v>42231.47441955204</v>
      </c>
      <c r="AR96" s="105">
        <f>'Hillpointe Detail'!AR96+'Sandhill Detail'!AR96</f>
        <v>41499.031389957629</v>
      </c>
      <c r="AS96" s="105">
        <f>'Hillpointe Detail'!AS96+'Sandhill Detail'!AS96</f>
        <v>41818.002225665834</v>
      </c>
      <c r="AT96" s="105">
        <f>'Hillpointe Detail'!AT96+'Sandhill Detail'!AT96</f>
        <v>41499.969614095171</v>
      </c>
      <c r="AU96" s="105">
        <f>'Hillpointe Detail'!AU96+'Sandhill Detail'!AU96</f>
        <v>41499.902445045213</v>
      </c>
      <c r="AV96" s="105">
        <f>'Hillpointe Detail'!AV96+'Sandhill Detail'!AV96</f>
        <v>41499.104945867875</v>
      </c>
      <c r="AW96" s="105">
        <f>'Hillpointe Detail'!AW96+'Sandhill Detail'!AW96</f>
        <v>41499.104945867875</v>
      </c>
      <c r="AX96" s="105">
        <f>'Hillpointe Detail'!AX96+'Sandhill Detail'!AX96</f>
        <v>41499.319726578804</v>
      </c>
      <c r="AY96" s="105">
        <f>'Hillpointe Detail'!AY96+'Sandhill Detail'!AY96</f>
        <v>41605.542184725484</v>
      </c>
      <c r="AZ96" s="105">
        <f>'Hillpointe Detail'!AZ96+'Sandhill Detail'!AZ96</f>
        <v>77334.024596527495</v>
      </c>
      <c r="BA96" s="105">
        <f>'Hillpointe Detail'!BA96+'Sandhill Detail'!BA96</f>
        <v>0</v>
      </c>
      <c r="BB96" s="105">
        <f>'Hillpointe Detail'!BB96+'Sandhill Detail'!BB96</f>
        <v>42213.948015707305</v>
      </c>
      <c r="BC96" s="105">
        <f>'Hillpointe Detail'!BC96+'Sandhill Detail'!BC96</f>
        <v>43499.401035198163</v>
      </c>
      <c r="BD96" s="105">
        <f>'Hillpointe Detail'!BD96+'Sandhill Detail'!BD96</f>
        <v>42744.361888389991</v>
      </c>
      <c r="BE96" s="105">
        <f>'Hillpointe Detail'!BE96+'Sandhill Detail'!BE96</f>
        <v>43072.220015773062</v>
      </c>
      <c r="BF96" s="105">
        <f>'Hillpointe Detail'!BF96+'Sandhill Detail'!BF96</f>
        <v>42744.416325519815</v>
      </c>
      <c r="BG96" s="105">
        <f>'Hillpointe Detail'!BG96+'Sandhill Detail'!BG96</f>
        <v>42744.413608771931</v>
      </c>
      <c r="BH96" s="105">
        <f>'Hillpointe Detail'!BH96+'Sandhill Detail'!BH96</f>
        <v>42744.386405393387</v>
      </c>
      <c r="BI96" s="105">
        <f>'Hillpointe Detail'!BI96+'Sandhill Detail'!BI96</f>
        <v>42744.386405393387</v>
      </c>
      <c r="BJ96" s="105">
        <f>'Hillpointe Detail'!BJ96+'Sandhill Detail'!BJ96</f>
        <v>42744.384746777105</v>
      </c>
      <c r="BK96" s="105">
        <f>'Hillpointe Detail'!BK96+'Sandhill Detail'!BK96</f>
        <v>42853.66574228838</v>
      </c>
      <c r="BL96" s="105">
        <f>'Hillpointe Detail'!BL96+'Sandhill Detail'!BL96</f>
        <v>79653.844985690594</v>
      </c>
      <c r="BM96" s="105">
        <f>'Hillpointe Detail'!BM96+'Sandhill Detail'!BM96</f>
        <v>0</v>
      </c>
      <c r="BN96" s="105">
        <f>'Hillpointe Detail'!BN96+'Sandhill Detail'!BN96</f>
        <v>43480.362495734887</v>
      </c>
      <c r="BO96" s="105">
        <f>'Hillpointe Detail'!BO96+'Sandhill Detail'!BO96</f>
        <v>44804.449735464776</v>
      </c>
      <c r="BP96" s="105">
        <f>'Hillpointe Detail'!BP96+'Sandhill Detail'!BP96</f>
        <v>44026.723877244804</v>
      </c>
      <c r="BQ96" s="105">
        <f>'Hillpointe Detail'!BQ96+'Sandhill Detail'!BQ96</f>
        <v>44364.377349538117</v>
      </c>
      <c r="BR96" s="105">
        <f>'Hillpointe Detail'!BR96+'Sandhill Detail'!BR96</f>
        <v>44026.725888751287</v>
      </c>
      <c r="BS96" s="105">
        <f>'Hillpointe Detail'!BS96+'Sandhill Detail'!BS96</f>
        <v>44026.726036330896</v>
      </c>
      <c r="BT96" s="105">
        <f>'Hillpointe Detail'!BT96+'Sandhill Detail'!BT96</f>
        <v>44026.724942059125</v>
      </c>
      <c r="BU96" s="105">
        <f>'Hillpointe Detail'!BU96+'Sandhill Detail'!BU96</f>
        <v>44026.724942059125</v>
      </c>
      <c r="BV96" s="105">
        <f>'Hillpointe Detail'!BV96+'Sandhill Detail'!BV96</f>
        <v>44026.724791534019</v>
      </c>
      <c r="BW96" s="105">
        <f>'Hillpointe Detail'!BW96+'Sandhill Detail'!BW96</f>
        <v>44139.275907359617</v>
      </c>
      <c r="BX96" s="105">
        <f>'Hillpointe Detail'!BX96+'Sandhill Detail'!BX96</f>
        <v>82043.451881037763</v>
      </c>
      <c r="BY96" s="8"/>
      <c r="BZ96" s="105">
        <f t="shared" si="57"/>
        <v>53551.88</v>
      </c>
      <c r="CA96" s="105">
        <f t="shared" si="58"/>
        <v>400355.79999999993</v>
      </c>
      <c r="CC96" s="105">
        <f t="shared" si="56"/>
        <v>194459.58000000002</v>
      </c>
      <c r="CD96" s="105">
        <f t="shared" si="56"/>
        <v>418028.26</v>
      </c>
      <c r="CE96" s="105">
        <f t="shared" si="56"/>
        <v>225911.74999999997</v>
      </c>
      <c r="CF96" s="105">
        <f t="shared" si="56"/>
        <v>469705.94250096066</v>
      </c>
      <c r="CG96" s="105">
        <f t="shared" si="56"/>
        <v>406535.08615776373</v>
      </c>
      <c r="CH96" s="105">
        <f t="shared" si="56"/>
        <v>492968.07797477476</v>
      </c>
      <c r="CI96" s="105">
        <f t="shared" si="56"/>
        <v>507759.42917490314</v>
      </c>
      <c r="CJ96" s="105">
        <f t="shared" si="56"/>
        <v>522992.26784711448</v>
      </c>
      <c r="CL96" s="105"/>
      <c r="CM96" s="13"/>
    </row>
    <row r="97" spans="1:91" x14ac:dyDescent="0.3">
      <c r="A97" s="84" t="s">
        <v>56</v>
      </c>
      <c r="B97" s="10" t="s">
        <v>257</v>
      </c>
      <c r="C97" s="103">
        <v>0</v>
      </c>
      <c r="D97" s="103">
        <v>0</v>
      </c>
      <c r="E97" s="105">
        <f>'Hillpointe Detail'!E97+'Sandhill Detail'!E97</f>
        <v>0</v>
      </c>
      <c r="F97" s="105">
        <f>'Hillpointe Detail'!F97+'Sandhill Detail'!F97</f>
        <v>0</v>
      </c>
      <c r="G97" s="105">
        <f>'Hillpointe Detail'!G97+'Sandhill Detail'!G97</f>
        <v>0</v>
      </c>
      <c r="H97" s="105">
        <f>'Hillpointe Detail'!H97+'Sandhill Detail'!H97</f>
        <v>0</v>
      </c>
      <c r="I97" s="105">
        <f>'Hillpointe Detail'!I97+'Sandhill Detail'!I97</f>
        <v>0</v>
      </c>
      <c r="J97" s="105">
        <f>'Hillpointe Detail'!J97+'Sandhill Detail'!J97</f>
        <v>0</v>
      </c>
      <c r="K97" s="105">
        <f>'Hillpointe Detail'!K97+'Sandhill Detail'!K97</f>
        <v>0</v>
      </c>
      <c r="L97" s="105">
        <f>'Hillpointe Detail'!L97+'Sandhill Detail'!L97</f>
        <v>0</v>
      </c>
      <c r="M97" s="105">
        <f>'Hillpointe Detail'!M97+'Sandhill Detail'!M97</f>
        <v>718</v>
      </c>
      <c r="N97" s="105">
        <f>'Hillpointe Detail'!N97+'Sandhill Detail'!N97</f>
        <v>0</v>
      </c>
      <c r="O97" s="105">
        <f>'Hillpointe Detail'!O97+'Sandhill Detail'!O97</f>
        <v>0</v>
      </c>
      <c r="P97" s="105">
        <f>'Hillpointe Detail'!P97+'Sandhill Detail'!P97</f>
        <v>0</v>
      </c>
      <c r="Q97" s="105">
        <f>'Hillpointe Detail'!Q97+'Sandhill Detail'!Q97</f>
        <v>0</v>
      </c>
      <c r="R97" s="105">
        <f>'Hillpointe Detail'!R97+'Sandhill Detail'!R97</f>
        <v>0</v>
      </c>
      <c r="S97" s="105">
        <f>'Hillpointe Detail'!S97+'Sandhill Detail'!S97</f>
        <v>0</v>
      </c>
      <c r="T97" s="105">
        <f>'Hillpointe Detail'!T97+'Sandhill Detail'!T97</f>
        <v>967.75</v>
      </c>
      <c r="U97" s="105">
        <f>'Hillpointe Detail'!U97+'Sandhill Detail'!U97</f>
        <v>0</v>
      </c>
      <c r="V97" s="105">
        <f>'Hillpointe Detail'!V97+'Sandhill Detail'!V97</f>
        <v>0</v>
      </c>
      <c r="W97" s="105">
        <f>'Hillpointe Detail'!W97+'Sandhill Detail'!W97</f>
        <v>0</v>
      </c>
      <c r="X97" s="105">
        <f>'Hillpointe Detail'!X97+'Sandhill Detail'!X97</f>
        <v>0</v>
      </c>
      <c r="Y97" s="105">
        <f>'Hillpointe Detail'!Y97+'Sandhill Detail'!Y97</f>
        <v>0</v>
      </c>
      <c r="Z97" s="105">
        <f>'Hillpointe Detail'!Z97+'Sandhill Detail'!Z97</f>
        <v>0</v>
      </c>
      <c r="AA97" s="105">
        <f>'Hillpointe Detail'!AA97+'Sandhill Detail'!AA97</f>
        <v>0</v>
      </c>
      <c r="AB97" s="105">
        <f>'Hillpointe Detail'!AB97+'Sandhill Detail'!AB97</f>
        <v>0</v>
      </c>
      <c r="AC97" s="105">
        <f>'Hillpointe Detail'!AC97+'Sandhill Detail'!AC97</f>
        <v>0</v>
      </c>
      <c r="AD97" s="105">
        <f>'Hillpointe Detail'!AD97+'Sandhill Detail'!AD97</f>
        <v>0</v>
      </c>
      <c r="AE97" s="105">
        <f>'Hillpointe Detail'!AE97+'Sandhill Detail'!AE97</f>
        <v>0</v>
      </c>
      <c r="AF97" s="105">
        <f>'Hillpointe Detail'!AF97+'Sandhill Detail'!AF97</f>
        <v>0</v>
      </c>
      <c r="AG97" s="105">
        <f>'Hillpointe Detail'!AG97+'Sandhill Detail'!AG97</f>
        <v>0</v>
      </c>
      <c r="AH97" s="105">
        <f>'Hillpointe Detail'!AH97+'Sandhill Detail'!AH97</f>
        <v>0</v>
      </c>
      <c r="AI97" s="105">
        <f>'Hillpointe Detail'!AI97+'Sandhill Detail'!AI97</f>
        <v>0</v>
      </c>
      <c r="AJ97" s="105">
        <f>'Hillpointe Detail'!AJ97+'Sandhill Detail'!AJ97</f>
        <v>0</v>
      </c>
      <c r="AK97" s="105">
        <f>'Hillpointe Detail'!AK97+'Sandhill Detail'!AK97</f>
        <v>0</v>
      </c>
      <c r="AL97" s="105">
        <f>'Hillpointe Detail'!AL97+'Sandhill Detail'!AL97</f>
        <v>0</v>
      </c>
      <c r="AM97" s="105">
        <f>'Hillpointe Detail'!AM97+'Sandhill Detail'!AM97</f>
        <v>0</v>
      </c>
      <c r="AN97" s="105">
        <f>'Hillpointe Detail'!AN97+'Sandhill Detail'!AN97</f>
        <v>0</v>
      </c>
      <c r="AO97" s="105">
        <f>'Hillpointe Detail'!AO97+'Sandhill Detail'!AO97</f>
        <v>0</v>
      </c>
      <c r="AP97" s="105">
        <f>'Hillpointe Detail'!AP97+'Sandhill Detail'!AP97</f>
        <v>0</v>
      </c>
      <c r="AQ97" s="105">
        <f>'Hillpointe Detail'!AQ97+'Sandhill Detail'!AQ97</f>
        <v>0</v>
      </c>
      <c r="AR97" s="105">
        <f>'Hillpointe Detail'!AR97+'Sandhill Detail'!AR97</f>
        <v>0</v>
      </c>
      <c r="AS97" s="105">
        <f>'Hillpointe Detail'!AS97+'Sandhill Detail'!AS97</f>
        <v>0</v>
      </c>
      <c r="AT97" s="105">
        <f>'Hillpointe Detail'!AT97+'Sandhill Detail'!AT97</f>
        <v>0</v>
      </c>
      <c r="AU97" s="105">
        <f>'Hillpointe Detail'!AU97+'Sandhill Detail'!AU97</f>
        <v>0</v>
      </c>
      <c r="AV97" s="105">
        <f>'Hillpointe Detail'!AV97+'Sandhill Detail'!AV97</f>
        <v>0</v>
      </c>
      <c r="AW97" s="105">
        <f>'Hillpointe Detail'!AW97+'Sandhill Detail'!AW97</f>
        <v>0</v>
      </c>
      <c r="AX97" s="105">
        <f>'Hillpointe Detail'!AX97+'Sandhill Detail'!AX97</f>
        <v>0</v>
      </c>
      <c r="AY97" s="105">
        <f>'Hillpointe Detail'!AY97+'Sandhill Detail'!AY97</f>
        <v>0</v>
      </c>
      <c r="AZ97" s="105">
        <f>'Hillpointe Detail'!AZ97+'Sandhill Detail'!AZ97</f>
        <v>0</v>
      </c>
      <c r="BA97" s="105">
        <f>'Hillpointe Detail'!BA97+'Sandhill Detail'!BA97</f>
        <v>0</v>
      </c>
      <c r="BB97" s="105">
        <f>'Hillpointe Detail'!BB97+'Sandhill Detail'!BB97</f>
        <v>0</v>
      </c>
      <c r="BC97" s="105">
        <f>'Hillpointe Detail'!BC97+'Sandhill Detail'!BC97</f>
        <v>0</v>
      </c>
      <c r="BD97" s="105">
        <f>'Hillpointe Detail'!BD97+'Sandhill Detail'!BD97</f>
        <v>0</v>
      </c>
      <c r="BE97" s="105">
        <f>'Hillpointe Detail'!BE97+'Sandhill Detail'!BE97</f>
        <v>0</v>
      </c>
      <c r="BF97" s="105">
        <f>'Hillpointe Detail'!BF97+'Sandhill Detail'!BF97</f>
        <v>0</v>
      </c>
      <c r="BG97" s="105">
        <f>'Hillpointe Detail'!BG97+'Sandhill Detail'!BG97</f>
        <v>0</v>
      </c>
      <c r="BH97" s="105">
        <f>'Hillpointe Detail'!BH97+'Sandhill Detail'!BH97</f>
        <v>0</v>
      </c>
      <c r="BI97" s="105">
        <f>'Hillpointe Detail'!BI97+'Sandhill Detail'!BI97</f>
        <v>0</v>
      </c>
      <c r="BJ97" s="105">
        <f>'Hillpointe Detail'!BJ97+'Sandhill Detail'!BJ97</f>
        <v>0</v>
      </c>
      <c r="BK97" s="105">
        <f>'Hillpointe Detail'!BK97+'Sandhill Detail'!BK97</f>
        <v>0</v>
      </c>
      <c r="BL97" s="105">
        <f>'Hillpointe Detail'!BL97+'Sandhill Detail'!BL97</f>
        <v>0</v>
      </c>
      <c r="BM97" s="105">
        <f>'Hillpointe Detail'!BM97+'Sandhill Detail'!BM97</f>
        <v>0</v>
      </c>
      <c r="BN97" s="105">
        <f>'Hillpointe Detail'!BN97+'Sandhill Detail'!BN97</f>
        <v>0</v>
      </c>
      <c r="BO97" s="105">
        <f>'Hillpointe Detail'!BO97+'Sandhill Detail'!BO97</f>
        <v>0</v>
      </c>
      <c r="BP97" s="105">
        <f>'Hillpointe Detail'!BP97+'Sandhill Detail'!BP97</f>
        <v>0</v>
      </c>
      <c r="BQ97" s="105">
        <f>'Hillpointe Detail'!BQ97+'Sandhill Detail'!BQ97</f>
        <v>0</v>
      </c>
      <c r="BR97" s="105">
        <f>'Hillpointe Detail'!BR97+'Sandhill Detail'!BR97</f>
        <v>0</v>
      </c>
      <c r="BS97" s="105">
        <f>'Hillpointe Detail'!BS97+'Sandhill Detail'!BS97</f>
        <v>0</v>
      </c>
      <c r="BT97" s="105">
        <f>'Hillpointe Detail'!BT97+'Sandhill Detail'!BT97</f>
        <v>0</v>
      </c>
      <c r="BU97" s="105">
        <f>'Hillpointe Detail'!BU97+'Sandhill Detail'!BU97</f>
        <v>0</v>
      </c>
      <c r="BV97" s="105">
        <f>'Hillpointe Detail'!BV97+'Sandhill Detail'!BV97</f>
        <v>0</v>
      </c>
      <c r="BW97" s="105">
        <f>'Hillpointe Detail'!BW97+'Sandhill Detail'!BW97</f>
        <v>0</v>
      </c>
      <c r="BX97" s="105">
        <f>'Hillpointe Detail'!BX97+'Sandhill Detail'!BX97</f>
        <v>0</v>
      </c>
      <c r="BY97" s="8"/>
      <c r="BZ97" s="105">
        <f t="shared" si="57"/>
        <v>0</v>
      </c>
      <c r="CA97" s="105">
        <f t="shared" si="58"/>
        <v>967.75</v>
      </c>
      <c r="CC97" s="105">
        <f t="shared" si="56"/>
        <v>0</v>
      </c>
      <c r="CD97" s="105">
        <f t="shared" si="56"/>
        <v>0</v>
      </c>
      <c r="CE97" s="105">
        <f t="shared" si="56"/>
        <v>718</v>
      </c>
      <c r="CF97" s="105">
        <f t="shared" si="56"/>
        <v>967.75</v>
      </c>
      <c r="CG97" s="105">
        <f t="shared" si="56"/>
        <v>0</v>
      </c>
      <c r="CH97" s="105">
        <f t="shared" si="56"/>
        <v>0</v>
      </c>
      <c r="CI97" s="105">
        <f t="shared" si="56"/>
        <v>0</v>
      </c>
      <c r="CJ97" s="105">
        <f t="shared" si="56"/>
        <v>0</v>
      </c>
      <c r="CL97" s="105"/>
      <c r="CM97" s="13"/>
    </row>
    <row r="98" spans="1:91" x14ac:dyDescent="0.3">
      <c r="A98" s="84" t="s">
        <v>57</v>
      </c>
      <c r="B98" s="10" t="s">
        <v>257</v>
      </c>
      <c r="C98" s="140">
        <v>6510.5300000000007</v>
      </c>
      <c r="D98" s="140">
        <v>5159.6899999999996</v>
      </c>
      <c r="E98" s="141">
        <f>'Hillpointe Detail'!E98+'Sandhill Detail'!E98</f>
        <v>75.849999999999994</v>
      </c>
      <c r="F98" s="141">
        <f>'Hillpointe Detail'!F98+'Sandhill Detail'!F98</f>
        <v>750</v>
      </c>
      <c r="G98" s="141">
        <f>'Hillpointe Detail'!G98+'Sandhill Detail'!G98</f>
        <v>0</v>
      </c>
      <c r="H98" s="141">
        <f>'Hillpointe Detail'!H98+'Sandhill Detail'!H98</f>
        <v>1801</v>
      </c>
      <c r="I98" s="141">
        <f>'Hillpointe Detail'!I98+'Sandhill Detail'!I98</f>
        <v>2771.6</v>
      </c>
      <c r="J98" s="141">
        <f>'Hillpointe Detail'!J98+'Sandhill Detail'!J98</f>
        <v>0</v>
      </c>
      <c r="K98" s="141">
        <f>'Hillpointe Detail'!K98+'Sandhill Detail'!K98</f>
        <v>0</v>
      </c>
      <c r="L98" s="141">
        <f>'Hillpointe Detail'!L98+'Sandhill Detail'!L98</f>
        <v>8509.99</v>
      </c>
      <c r="M98" s="141">
        <f>'Hillpointe Detail'!M98+'Sandhill Detail'!M98</f>
        <v>225</v>
      </c>
      <c r="N98" s="141">
        <f>'Hillpointe Detail'!N98+'Sandhill Detail'!N98</f>
        <v>0</v>
      </c>
      <c r="O98" s="141">
        <f>'Hillpointe Detail'!O98+'Sandhill Detail'!O98</f>
        <v>1742</v>
      </c>
      <c r="P98" s="141">
        <f>'Hillpointe Detail'!P98+'Sandhill Detail'!P98</f>
        <v>0</v>
      </c>
      <c r="Q98" s="141">
        <f>'Hillpointe Detail'!Q98+'Sandhill Detail'!Q98</f>
        <v>736</v>
      </c>
      <c r="R98" s="141">
        <f>'Hillpointe Detail'!R98+'Sandhill Detail'!R98</f>
        <v>4500</v>
      </c>
      <c r="S98" s="141">
        <f>'Hillpointe Detail'!S98+'Sandhill Detail'!S98</f>
        <v>0</v>
      </c>
      <c r="T98" s="141">
        <f>'Hillpointe Detail'!T98+'Sandhill Detail'!T98</f>
        <v>248.89</v>
      </c>
      <c r="U98" s="141">
        <f>'Hillpointe Detail'!U98+'Sandhill Detail'!U98</f>
        <v>0</v>
      </c>
      <c r="V98" s="141">
        <f>'Hillpointe Detail'!V98+'Sandhill Detail'!V98</f>
        <v>0</v>
      </c>
      <c r="W98" s="141">
        <f>'Hillpointe Detail'!W98+'Sandhill Detail'!W98</f>
        <v>0</v>
      </c>
      <c r="X98" s="141">
        <f>'Hillpointe Detail'!X98+'Sandhill Detail'!X98</f>
        <v>0</v>
      </c>
      <c r="Y98" s="141">
        <f>'Hillpointe Detail'!Y98+'Sandhill Detail'!Y98</f>
        <v>2139.6</v>
      </c>
      <c r="Z98" s="141">
        <f>'Hillpointe Detail'!Z98+'Sandhill Detail'!Z98</f>
        <v>4457.5</v>
      </c>
      <c r="AA98" s="141">
        <f>'Hillpointe Detail'!AA98+'Sandhill Detail'!AA98</f>
        <v>1186.68</v>
      </c>
      <c r="AB98" s="141">
        <f>'Hillpointe Detail'!AB98+'Sandhill Detail'!AB98</f>
        <v>0</v>
      </c>
      <c r="AC98" s="141">
        <f>'Hillpointe Detail'!AC98+'Sandhill Detail'!AC98</f>
        <v>758.08</v>
      </c>
      <c r="AD98" s="141">
        <f>'Hillpointe Detail'!AD98+'Sandhill Detail'!AD98</f>
        <v>4635</v>
      </c>
      <c r="AE98" s="141">
        <f>'Hillpointe Detail'!AE98+'Sandhill Detail'!AE98</f>
        <v>0</v>
      </c>
      <c r="AF98" s="141">
        <f>'Hillpointe Detail'!AF98+'Sandhill Detail'!AF98</f>
        <v>256.35669999999999</v>
      </c>
      <c r="AG98" s="141">
        <f>'Hillpointe Detail'!AG98+'Sandhill Detail'!AG98</f>
        <v>0</v>
      </c>
      <c r="AH98" s="141">
        <f>'Hillpointe Detail'!AH98+'Sandhill Detail'!AH98</f>
        <v>0</v>
      </c>
      <c r="AI98" s="141">
        <f>'Hillpointe Detail'!AI98+'Sandhill Detail'!AI98</f>
        <v>0</v>
      </c>
      <c r="AJ98" s="141">
        <f>'Hillpointe Detail'!AJ98+'Sandhill Detail'!AJ98</f>
        <v>0</v>
      </c>
      <c r="AK98" s="141">
        <f>'Hillpointe Detail'!AK98+'Sandhill Detail'!AK98</f>
        <v>2203.788</v>
      </c>
      <c r="AL98" s="141">
        <f>'Hillpointe Detail'!AL98+'Sandhill Detail'!AL98</f>
        <v>4591.2250000000004</v>
      </c>
      <c r="AM98" s="141">
        <f>'Hillpointe Detail'!AM98+'Sandhill Detail'!AM98</f>
        <v>1222.2804000000001</v>
      </c>
      <c r="AN98" s="141">
        <f>'Hillpointe Detail'!AN98+'Sandhill Detail'!AN98</f>
        <v>0</v>
      </c>
      <c r="AO98" s="141">
        <f>'Hillpointe Detail'!AO98+'Sandhill Detail'!AO98</f>
        <v>780.82240000000002</v>
      </c>
      <c r="AP98" s="141">
        <f>'Hillpointe Detail'!AP98+'Sandhill Detail'!AP98</f>
        <v>4774.0500000000011</v>
      </c>
      <c r="AQ98" s="141">
        <f>'Hillpointe Detail'!AQ98+'Sandhill Detail'!AQ98</f>
        <v>0</v>
      </c>
      <c r="AR98" s="141">
        <f>'Hillpointe Detail'!AR98+'Sandhill Detail'!AR98</f>
        <v>264.04740099999998</v>
      </c>
      <c r="AS98" s="141">
        <f>'Hillpointe Detail'!AS98+'Sandhill Detail'!AS98</f>
        <v>0</v>
      </c>
      <c r="AT98" s="141">
        <f>'Hillpointe Detail'!AT98+'Sandhill Detail'!AT98</f>
        <v>0</v>
      </c>
      <c r="AU98" s="141">
        <f>'Hillpointe Detail'!AU98+'Sandhill Detail'!AU98</f>
        <v>0</v>
      </c>
      <c r="AV98" s="141">
        <f>'Hillpointe Detail'!AV98+'Sandhill Detail'!AV98</f>
        <v>0</v>
      </c>
      <c r="AW98" s="141">
        <f>'Hillpointe Detail'!AW98+'Sandhill Detail'!AW98</f>
        <v>2269.90164</v>
      </c>
      <c r="AX98" s="141">
        <f>'Hillpointe Detail'!AX98+'Sandhill Detail'!AX98</f>
        <v>4728.9617500000004</v>
      </c>
      <c r="AY98" s="141">
        <f>'Hillpointe Detail'!AY98+'Sandhill Detail'!AY98</f>
        <v>1258.9488120000001</v>
      </c>
      <c r="AZ98" s="141">
        <f>'Hillpointe Detail'!AZ98+'Sandhill Detail'!AZ98</f>
        <v>0</v>
      </c>
      <c r="BA98" s="141">
        <f>'Hillpointe Detail'!BA98+'Sandhill Detail'!BA98</f>
        <v>804.247072</v>
      </c>
      <c r="BB98" s="141">
        <f>'Hillpointe Detail'!BB98+'Sandhill Detail'!BB98</f>
        <v>4917.2715000000007</v>
      </c>
      <c r="BC98" s="141">
        <f>'Hillpointe Detail'!BC98+'Sandhill Detail'!BC98</f>
        <v>0</v>
      </c>
      <c r="BD98" s="141">
        <f>'Hillpointe Detail'!BD98+'Sandhill Detail'!BD98</f>
        <v>271.96882303000001</v>
      </c>
      <c r="BE98" s="141">
        <f>'Hillpointe Detail'!BE98+'Sandhill Detail'!BE98</f>
        <v>0</v>
      </c>
      <c r="BF98" s="141">
        <f>'Hillpointe Detail'!BF98+'Sandhill Detail'!BF98</f>
        <v>0</v>
      </c>
      <c r="BG98" s="141">
        <f>'Hillpointe Detail'!BG98+'Sandhill Detail'!BG98</f>
        <v>0</v>
      </c>
      <c r="BH98" s="141">
        <f>'Hillpointe Detail'!BH98+'Sandhill Detail'!BH98</f>
        <v>0</v>
      </c>
      <c r="BI98" s="141">
        <f>'Hillpointe Detail'!BI98+'Sandhill Detail'!BI98</f>
        <v>2337.9986892000002</v>
      </c>
      <c r="BJ98" s="141">
        <f>'Hillpointe Detail'!BJ98+'Sandhill Detail'!BJ98</f>
        <v>4870.8306025000002</v>
      </c>
      <c r="BK98" s="141">
        <f>'Hillpointe Detail'!BK98+'Sandhill Detail'!BK98</f>
        <v>1296.7172763600001</v>
      </c>
      <c r="BL98" s="141">
        <f>'Hillpointe Detail'!BL98+'Sandhill Detail'!BL98</f>
        <v>0</v>
      </c>
      <c r="BM98" s="141">
        <f>'Hillpointe Detail'!BM98+'Sandhill Detail'!BM98</f>
        <v>828.37448416000007</v>
      </c>
      <c r="BN98" s="141">
        <f>'Hillpointe Detail'!BN98+'Sandhill Detail'!BN98</f>
        <v>5064.7896450000007</v>
      </c>
      <c r="BO98" s="141">
        <f>'Hillpointe Detail'!BO98+'Sandhill Detail'!BO98</f>
        <v>0</v>
      </c>
      <c r="BP98" s="141">
        <f>'Hillpointe Detail'!BP98+'Sandhill Detail'!BP98</f>
        <v>280.12788772090005</v>
      </c>
      <c r="BQ98" s="141">
        <f>'Hillpointe Detail'!BQ98+'Sandhill Detail'!BQ98</f>
        <v>0</v>
      </c>
      <c r="BR98" s="141">
        <f>'Hillpointe Detail'!BR98+'Sandhill Detail'!BR98</f>
        <v>0</v>
      </c>
      <c r="BS98" s="141">
        <f>'Hillpointe Detail'!BS98+'Sandhill Detail'!BS98</f>
        <v>0</v>
      </c>
      <c r="BT98" s="141">
        <f>'Hillpointe Detail'!BT98+'Sandhill Detail'!BT98</f>
        <v>0</v>
      </c>
      <c r="BU98" s="141">
        <f>'Hillpointe Detail'!BU98+'Sandhill Detail'!BU98</f>
        <v>2408.1386498760003</v>
      </c>
      <c r="BV98" s="141">
        <f>'Hillpointe Detail'!BV98+'Sandhill Detail'!BV98</f>
        <v>5016.9555205750003</v>
      </c>
      <c r="BW98" s="141">
        <f>'Hillpointe Detail'!BW98+'Sandhill Detail'!BW98</f>
        <v>1335.6187946508003</v>
      </c>
      <c r="BX98" s="141">
        <f>'Hillpointe Detail'!BX98+'Sandhill Detail'!BX98</f>
        <v>0</v>
      </c>
      <c r="BY98" s="8"/>
      <c r="BZ98" s="141">
        <f t="shared" si="57"/>
        <v>1186.68</v>
      </c>
      <c r="CA98" s="141">
        <f t="shared" si="58"/>
        <v>13268.67</v>
      </c>
      <c r="CC98" s="141">
        <f t="shared" ref="CC98:CC163" si="59">SUMIF($C$3:$BY$3,CC$3,$C98:$BY98)</f>
        <v>6510.5300000000007</v>
      </c>
      <c r="CD98" s="141">
        <f t="shared" ref="CD98:CJ107" si="60">SUMIF($C$3:$BY$3,CD$3,$C98:$BY98)</f>
        <v>5159.6899999999996</v>
      </c>
      <c r="CE98" s="141">
        <f t="shared" si="60"/>
        <v>15875.439999999999</v>
      </c>
      <c r="CF98" s="141">
        <f t="shared" si="60"/>
        <v>13268.67</v>
      </c>
      <c r="CG98" s="141">
        <f t="shared" si="60"/>
        <v>13666.730100000001</v>
      </c>
      <c r="CH98" s="141">
        <f t="shared" si="60"/>
        <v>14076.732003000003</v>
      </c>
      <c r="CI98" s="141">
        <f t="shared" si="60"/>
        <v>14499.033963090002</v>
      </c>
      <c r="CJ98" s="141">
        <f t="shared" si="60"/>
        <v>14934.0049819827</v>
      </c>
      <c r="CL98" s="105"/>
      <c r="CM98" s="13"/>
    </row>
    <row r="99" spans="1:91" x14ac:dyDescent="0.3">
      <c r="A99" s="84" t="s">
        <v>58</v>
      </c>
      <c r="B99" s="10"/>
      <c r="C99" s="18">
        <v>6510.5300000000007</v>
      </c>
      <c r="D99" s="18">
        <v>5159.6899999999996</v>
      </c>
      <c r="E99" s="105">
        <f>'Hillpointe Detail'!E99+'Sandhill Detail'!E99</f>
        <v>75.849999999999994</v>
      </c>
      <c r="F99" s="105">
        <f>'Hillpointe Detail'!F99+'Sandhill Detail'!F99</f>
        <v>750</v>
      </c>
      <c r="G99" s="105">
        <f>'Hillpointe Detail'!G99+'Sandhill Detail'!G99</f>
        <v>0</v>
      </c>
      <c r="H99" s="105">
        <f>'Hillpointe Detail'!H99+'Sandhill Detail'!H99</f>
        <v>1801</v>
      </c>
      <c r="I99" s="105">
        <f>'Hillpointe Detail'!I99+'Sandhill Detail'!I99</f>
        <v>2771.6</v>
      </c>
      <c r="J99" s="105">
        <f>'Hillpointe Detail'!J99+'Sandhill Detail'!J99</f>
        <v>0</v>
      </c>
      <c r="K99" s="105">
        <f>'Hillpointe Detail'!K99+'Sandhill Detail'!K99</f>
        <v>0</v>
      </c>
      <c r="L99" s="105">
        <f>'Hillpointe Detail'!L99+'Sandhill Detail'!L99</f>
        <v>8509.99</v>
      </c>
      <c r="M99" s="105">
        <f>'Hillpointe Detail'!M99+'Sandhill Detail'!M99</f>
        <v>943</v>
      </c>
      <c r="N99" s="105">
        <f>'Hillpointe Detail'!N99+'Sandhill Detail'!N99</f>
        <v>0</v>
      </c>
      <c r="O99" s="105">
        <f>'Hillpointe Detail'!O99+'Sandhill Detail'!O99</f>
        <v>1742</v>
      </c>
      <c r="P99" s="105">
        <f>'Hillpointe Detail'!P99+'Sandhill Detail'!P99</f>
        <v>0</v>
      </c>
      <c r="Q99" s="105">
        <f>'Hillpointe Detail'!Q99+'Sandhill Detail'!Q99</f>
        <v>736</v>
      </c>
      <c r="R99" s="105">
        <f>'Hillpointe Detail'!R99+'Sandhill Detail'!R99</f>
        <v>4500</v>
      </c>
      <c r="S99" s="105">
        <f>'Hillpointe Detail'!S99+'Sandhill Detail'!S99</f>
        <v>0</v>
      </c>
      <c r="T99" s="105">
        <f>'Hillpointe Detail'!T99+'Sandhill Detail'!T99</f>
        <v>1216.6399999999999</v>
      </c>
      <c r="U99" s="105">
        <f>'Hillpointe Detail'!U99+'Sandhill Detail'!U99</f>
        <v>0</v>
      </c>
      <c r="V99" s="105">
        <f>'Hillpointe Detail'!V99+'Sandhill Detail'!V99</f>
        <v>0</v>
      </c>
      <c r="W99" s="105">
        <f>'Hillpointe Detail'!W99+'Sandhill Detail'!W99</f>
        <v>0</v>
      </c>
      <c r="X99" s="105">
        <f>'Hillpointe Detail'!X99+'Sandhill Detail'!X99</f>
        <v>0</v>
      </c>
      <c r="Y99" s="105">
        <f>'Hillpointe Detail'!Y99+'Sandhill Detail'!Y99</f>
        <v>2139.6</v>
      </c>
      <c r="Z99" s="105">
        <f>'Hillpointe Detail'!Z99+'Sandhill Detail'!Z99</f>
        <v>4457.5</v>
      </c>
      <c r="AA99" s="105">
        <f>'Hillpointe Detail'!AA99+'Sandhill Detail'!AA99</f>
        <v>1186.68</v>
      </c>
      <c r="AB99" s="105">
        <f>'Hillpointe Detail'!AB99+'Sandhill Detail'!AB99</f>
        <v>0</v>
      </c>
      <c r="AC99" s="105">
        <f>'Hillpointe Detail'!AC99+'Sandhill Detail'!AC99</f>
        <v>758.08</v>
      </c>
      <c r="AD99" s="105">
        <f>'Hillpointe Detail'!AD99+'Sandhill Detail'!AD99</f>
        <v>4635</v>
      </c>
      <c r="AE99" s="105">
        <f>'Hillpointe Detail'!AE99+'Sandhill Detail'!AE99</f>
        <v>0</v>
      </c>
      <c r="AF99" s="105">
        <f>'Hillpointe Detail'!AF99+'Sandhill Detail'!AF99</f>
        <v>256.35669999999999</v>
      </c>
      <c r="AG99" s="105">
        <f>'Hillpointe Detail'!AG99+'Sandhill Detail'!AG99</f>
        <v>0</v>
      </c>
      <c r="AH99" s="105">
        <f>'Hillpointe Detail'!AH99+'Sandhill Detail'!AH99</f>
        <v>0</v>
      </c>
      <c r="AI99" s="105">
        <f>'Hillpointe Detail'!AI99+'Sandhill Detail'!AI99</f>
        <v>0</v>
      </c>
      <c r="AJ99" s="105">
        <f>'Hillpointe Detail'!AJ99+'Sandhill Detail'!AJ99</f>
        <v>0</v>
      </c>
      <c r="AK99" s="105">
        <f>'Hillpointe Detail'!AK99+'Sandhill Detail'!AK99</f>
        <v>2203.788</v>
      </c>
      <c r="AL99" s="105">
        <f>'Hillpointe Detail'!AL99+'Sandhill Detail'!AL99</f>
        <v>4591.2250000000004</v>
      </c>
      <c r="AM99" s="105">
        <f>'Hillpointe Detail'!AM99+'Sandhill Detail'!AM99</f>
        <v>1222.2804000000001</v>
      </c>
      <c r="AN99" s="105">
        <f>'Hillpointe Detail'!AN99+'Sandhill Detail'!AN99</f>
        <v>0</v>
      </c>
      <c r="AO99" s="105">
        <f>'Hillpointe Detail'!AO99+'Sandhill Detail'!AO99</f>
        <v>780.82240000000002</v>
      </c>
      <c r="AP99" s="105">
        <f>'Hillpointe Detail'!AP99+'Sandhill Detail'!AP99</f>
        <v>4774.0500000000011</v>
      </c>
      <c r="AQ99" s="105">
        <f>'Hillpointe Detail'!AQ99+'Sandhill Detail'!AQ99</f>
        <v>0</v>
      </c>
      <c r="AR99" s="105">
        <f>'Hillpointe Detail'!AR99+'Sandhill Detail'!AR99</f>
        <v>264.04740099999998</v>
      </c>
      <c r="AS99" s="105">
        <f>'Hillpointe Detail'!AS99+'Sandhill Detail'!AS99</f>
        <v>0</v>
      </c>
      <c r="AT99" s="105">
        <f>'Hillpointe Detail'!AT99+'Sandhill Detail'!AT99</f>
        <v>0</v>
      </c>
      <c r="AU99" s="105">
        <f>'Hillpointe Detail'!AU99+'Sandhill Detail'!AU99</f>
        <v>0</v>
      </c>
      <c r="AV99" s="105">
        <f>'Hillpointe Detail'!AV99+'Sandhill Detail'!AV99</f>
        <v>0</v>
      </c>
      <c r="AW99" s="105">
        <f>'Hillpointe Detail'!AW99+'Sandhill Detail'!AW99</f>
        <v>2269.90164</v>
      </c>
      <c r="AX99" s="105">
        <f>'Hillpointe Detail'!AX99+'Sandhill Detail'!AX99</f>
        <v>4728.9617500000004</v>
      </c>
      <c r="AY99" s="105">
        <f>'Hillpointe Detail'!AY99+'Sandhill Detail'!AY99</f>
        <v>1258.9488120000001</v>
      </c>
      <c r="AZ99" s="105">
        <f>'Hillpointe Detail'!AZ99+'Sandhill Detail'!AZ99</f>
        <v>0</v>
      </c>
      <c r="BA99" s="105">
        <f>'Hillpointe Detail'!BA99+'Sandhill Detail'!BA99</f>
        <v>804.247072</v>
      </c>
      <c r="BB99" s="105">
        <f>'Hillpointe Detail'!BB99+'Sandhill Detail'!BB99</f>
        <v>4917.2715000000007</v>
      </c>
      <c r="BC99" s="105">
        <f>'Hillpointe Detail'!BC99+'Sandhill Detail'!BC99</f>
        <v>0</v>
      </c>
      <c r="BD99" s="105">
        <f>'Hillpointe Detail'!BD99+'Sandhill Detail'!BD99</f>
        <v>271.96882303000001</v>
      </c>
      <c r="BE99" s="105">
        <f>'Hillpointe Detail'!BE99+'Sandhill Detail'!BE99</f>
        <v>0</v>
      </c>
      <c r="BF99" s="105">
        <f>'Hillpointe Detail'!BF99+'Sandhill Detail'!BF99</f>
        <v>0</v>
      </c>
      <c r="BG99" s="105">
        <f>'Hillpointe Detail'!BG99+'Sandhill Detail'!BG99</f>
        <v>0</v>
      </c>
      <c r="BH99" s="105">
        <f>'Hillpointe Detail'!BH99+'Sandhill Detail'!BH99</f>
        <v>0</v>
      </c>
      <c r="BI99" s="105">
        <f>'Hillpointe Detail'!BI99+'Sandhill Detail'!BI99</f>
        <v>2337.9986892000002</v>
      </c>
      <c r="BJ99" s="105">
        <f>'Hillpointe Detail'!BJ99+'Sandhill Detail'!BJ99</f>
        <v>4870.8306025000002</v>
      </c>
      <c r="BK99" s="105">
        <f>'Hillpointe Detail'!BK99+'Sandhill Detail'!BK99</f>
        <v>1296.7172763600001</v>
      </c>
      <c r="BL99" s="105">
        <f>'Hillpointe Detail'!BL99+'Sandhill Detail'!BL99</f>
        <v>0</v>
      </c>
      <c r="BM99" s="105">
        <f>'Hillpointe Detail'!BM99+'Sandhill Detail'!BM99</f>
        <v>828.37448416000007</v>
      </c>
      <c r="BN99" s="105">
        <f>'Hillpointe Detail'!BN99+'Sandhill Detail'!BN99</f>
        <v>5064.7896450000007</v>
      </c>
      <c r="BO99" s="105">
        <f>'Hillpointe Detail'!BO99+'Sandhill Detail'!BO99</f>
        <v>0</v>
      </c>
      <c r="BP99" s="105">
        <f>'Hillpointe Detail'!BP99+'Sandhill Detail'!BP99</f>
        <v>280.12788772090005</v>
      </c>
      <c r="BQ99" s="105">
        <f>'Hillpointe Detail'!BQ99+'Sandhill Detail'!BQ99</f>
        <v>0</v>
      </c>
      <c r="BR99" s="105">
        <f>'Hillpointe Detail'!BR99+'Sandhill Detail'!BR99</f>
        <v>0</v>
      </c>
      <c r="BS99" s="105">
        <f>'Hillpointe Detail'!BS99+'Sandhill Detail'!BS99</f>
        <v>0</v>
      </c>
      <c r="BT99" s="105">
        <f>'Hillpointe Detail'!BT99+'Sandhill Detail'!BT99</f>
        <v>0</v>
      </c>
      <c r="BU99" s="105">
        <f>'Hillpointe Detail'!BU99+'Sandhill Detail'!BU99</f>
        <v>2408.1386498760003</v>
      </c>
      <c r="BV99" s="105">
        <f>'Hillpointe Detail'!BV99+'Sandhill Detail'!BV99</f>
        <v>5016.9555205750003</v>
      </c>
      <c r="BW99" s="105">
        <f>'Hillpointe Detail'!BW99+'Sandhill Detail'!BW99</f>
        <v>1335.6187946508003</v>
      </c>
      <c r="BX99" s="105">
        <f>'Hillpointe Detail'!BX99+'Sandhill Detail'!BX99</f>
        <v>0</v>
      </c>
      <c r="BY99" s="8"/>
      <c r="BZ99" s="105">
        <f t="shared" si="57"/>
        <v>1186.68</v>
      </c>
      <c r="CA99" s="105">
        <f t="shared" si="58"/>
        <v>14236.42</v>
      </c>
      <c r="CC99" s="105">
        <f t="shared" si="59"/>
        <v>6510.5300000000007</v>
      </c>
      <c r="CD99" s="105">
        <f t="shared" si="60"/>
        <v>5159.6899999999996</v>
      </c>
      <c r="CE99" s="105">
        <f t="shared" si="60"/>
        <v>16593.439999999999</v>
      </c>
      <c r="CF99" s="105">
        <f t="shared" si="60"/>
        <v>14236.42</v>
      </c>
      <c r="CG99" s="105">
        <f t="shared" si="60"/>
        <v>13666.730100000001</v>
      </c>
      <c r="CH99" s="105">
        <f t="shared" si="60"/>
        <v>14076.732003000003</v>
      </c>
      <c r="CI99" s="105">
        <f t="shared" si="60"/>
        <v>14499.033963090002</v>
      </c>
      <c r="CJ99" s="105">
        <f t="shared" si="60"/>
        <v>14934.0049819827</v>
      </c>
      <c r="CL99" s="105"/>
      <c r="CM99" s="13"/>
    </row>
    <row r="100" spans="1:91" x14ac:dyDescent="0.3">
      <c r="A100" s="84" t="s">
        <v>59</v>
      </c>
      <c r="B100" s="10" t="s">
        <v>146</v>
      </c>
      <c r="C100" s="103">
        <v>-310</v>
      </c>
      <c r="D100" s="103">
        <v>0</v>
      </c>
      <c r="E100" s="105">
        <f>'Hillpointe Detail'!E100+'Sandhill Detail'!E100</f>
        <v>258.16000000000003</v>
      </c>
      <c r="F100" s="105">
        <f>'Hillpointe Detail'!F100+'Sandhill Detail'!F100</f>
        <v>0</v>
      </c>
      <c r="G100" s="105">
        <f>'Hillpointe Detail'!G100+'Sandhill Detail'!G100</f>
        <v>0</v>
      </c>
      <c r="H100" s="105">
        <f>'Hillpointe Detail'!H100+'Sandhill Detail'!H100</f>
        <v>0</v>
      </c>
      <c r="I100" s="105">
        <f>'Hillpointe Detail'!I100+'Sandhill Detail'!I100</f>
        <v>0</v>
      </c>
      <c r="J100" s="105">
        <f>'Hillpointe Detail'!J100+'Sandhill Detail'!J100</f>
        <v>0</v>
      </c>
      <c r="K100" s="105">
        <f>'Hillpointe Detail'!K100+'Sandhill Detail'!K100</f>
        <v>0</v>
      </c>
      <c r="L100" s="105">
        <f>'Hillpointe Detail'!L100+'Sandhill Detail'!L100</f>
        <v>0</v>
      </c>
      <c r="M100" s="105">
        <f>'Hillpointe Detail'!M100+'Sandhill Detail'!M100</f>
        <v>0</v>
      </c>
      <c r="N100" s="105">
        <f>'Hillpointe Detail'!N100+'Sandhill Detail'!N100</f>
        <v>0</v>
      </c>
      <c r="O100" s="105">
        <f>'Hillpointe Detail'!O100+'Sandhill Detail'!O100</f>
        <v>0</v>
      </c>
      <c r="P100" s="105">
        <f>'Hillpointe Detail'!P100+'Sandhill Detail'!P100</f>
        <v>0</v>
      </c>
      <c r="Q100" s="105">
        <f>'Hillpointe Detail'!Q100+'Sandhill Detail'!Q100</f>
        <v>0</v>
      </c>
      <c r="R100" s="105">
        <f>'Hillpointe Detail'!R100+'Sandhill Detail'!R100</f>
        <v>0</v>
      </c>
      <c r="S100" s="105">
        <f>'Hillpointe Detail'!S100+'Sandhill Detail'!S100</f>
        <v>0</v>
      </c>
      <c r="T100" s="105">
        <f>'Hillpointe Detail'!T100+'Sandhill Detail'!T100</f>
        <v>0</v>
      </c>
      <c r="U100" s="105">
        <f>'Hillpointe Detail'!U100+'Sandhill Detail'!U100</f>
        <v>0</v>
      </c>
      <c r="V100" s="105">
        <f>'Hillpointe Detail'!V100+'Sandhill Detail'!V100</f>
        <v>0</v>
      </c>
      <c r="W100" s="105">
        <f>'Hillpointe Detail'!W100+'Sandhill Detail'!W100</f>
        <v>0</v>
      </c>
      <c r="X100" s="105">
        <f>'Hillpointe Detail'!X100+'Sandhill Detail'!X100</f>
        <v>0</v>
      </c>
      <c r="Y100" s="105">
        <f>'Hillpointe Detail'!Y100+'Sandhill Detail'!Y100</f>
        <v>0</v>
      </c>
      <c r="Z100" s="105">
        <f>'Hillpointe Detail'!Z100+'Sandhill Detail'!Z100</f>
        <v>0</v>
      </c>
      <c r="AA100" s="105">
        <f>'Hillpointe Detail'!AA100+'Sandhill Detail'!AA100</f>
        <v>0</v>
      </c>
      <c r="AB100" s="105">
        <f>'Hillpointe Detail'!AB100+'Sandhill Detail'!AB100</f>
        <v>0</v>
      </c>
      <c r="AC100" s="105">
        <f>'Hillpointe Detail'!AC100+'Sandhill Detail'!AC100</f>
        <v>0</v>
      </c>
      <c r="AD100" s="105">
        <f>'Hillpointe Detail'!AD100+'Sandhill Detail'!AD100</f>
        <v>0</v>
      </c>
      <c r="AE100" s="105">
        <f>'Hillpointe Detail'!AE100+'Sandhill Detail'!AE100</f>
        <v>0</v>
      </c>
      <c r="AF100" s="105">
        <f>'Hillpointe Detail'!AF100+'Sandhill Detail'!AF100</f>
        <v>0</v>
      </c>
      <c r="AG100" s="105">
        <f>'Hillpointe Detail'!AG100+'Sandhill Detail'!AG100</f>
        <v>0</v>
      </c>
      <c r="AH100" s="105">
        <f>'Hillpointe Detail'!AH100+'Sandhill Detail'!AH100</f>
        <v>0</v>
      </c>
      <c r="AI100" s="105">
        <f>'Hillpointe Detail'!AI100+'Sandhill Detail'!AI100</f>
        <v>0</v>
      </c>
      <c r="AJ100" s="105">
        <f>'Hillpointe Detail'!AJ100+'Sandhill Detail'!AJ100</f>
        <v>0</v>
      </c>
      <c r="AK100" s="105">
        <f>'Hillpointe Detail'!AK100+'Sandhill Detail'!AK100</f>
        <v>0</v>
      </c>
      <c r="AL100" s="105">
        <f>'Hillpointe Detail'!AL100+'Sandhill Detail'!AL100</f>
        <v>0</v>
      </c>
      <c r="AM100" s="105">
        <f>'Hillpointe Detail'!AM100+'Sandhill Detail'!AM100</f>
        <v>0</v>
      </c>
      <c r="AN100" s="105">
        <f>'Hillpointe Detail'!AN100+'Sandhill Detail'!AN100</f>
        <v>0</v>
      </c>
      <c r="AO100" s="105">
        <f>'Hillpointe Detail'!AO100+'Sandhill Detail'!AO100</f>
        <v>0</v>
      </c>
      <c r="AP100" s="105">
        <f>'Hillpointe Detail'!AP100+'Sandhill Detail'!AP100</f>
        <v>0</v>
      </c>
      <c r="AQ100" s="105">
        <f>'Hillpointe Detail'!AQ100+'Sandhill Detail'!AQ100</f>
        <v>0</v>
      </c>
      <c r="AR100" s="105">
        <f>'Hillpointe Detail'!AR100+'Sandhill Detail'!AR100</f>
        <v>0</v>
      </c>
      <c r="AS100" s="105">
        <f>'Hillpointe Detail'!AS100+'Sandhill Detail'!AS100</f>
        <v>0</v>
      </c>
      <c r="AT100" s="105">
        <f>'Hillpointe Detail'!AT100+'Sandhill Detail'!AT100</f>
        <v>0</v>
      </c>
      <c r="AU100" s="105">
        <f>'Hillpointe Detail'!AU100+'Sandhill Detail'!AU100</f>
        <v>0</v>
      </c>
      <c r="AV100" s="105">
        <f>'Hillpointe Detail'!AV100+'Sandhill Detail'!AV100</f>
        <v>0</v>
      </c>
      <c r="AW100" s="105">
        <f>'Hillpointe Detail'!AW100+'Sandhill Detail'!AW100</f>
        <v>0</v>
      </c>
      <c r="AX100" s="105">
        <f>'Hillpointe Detail'!AX100+'Sandhill Detail'!AX100</f>
        <v>0</v>
      </c>
      <c r="AY100" s="105">
        <f>'Hillpointe Detail'!AY100+'Sandhill Detail'!AY100</f>
        <v>0</v>
      </c>
      <c r="AZ100" s="105">
        <f>'Hillpointe Detail'!AZ100+'Sandhill Detail'!AZ100</f>
        <v>0</v>
      </c>
      <c r="BA100" s="105">
        <f>'Hillpointe Detail'!BA100+'Sandhill Detail'!BA100</f>
        <v>0</v>
      </c>
      <c r="BB100" s="105">
        <f>'Hillpointe Detail'!BB100+'Sandhill Detail'!BB100</f>
        <v>0</v>
      </c>
      <c r="BC100" s="105">
        <f>'Hillpointe Detail'!BC100+'Sandhill Detail'!BC100</f>
        <v>0</v>
      </c>
      <c r="BD100" s="105">
        <f>'Hillpointe Detail'!BD100+'Sandhill Detail'!BD100</f>
        <v>0</v>
      </c>
      <c r="BE100" s="105">
        <f>'Hillpointe Detail'!BE100+'Sandhill Detail'!BE100</f>
        <v>0</v>
      </c>
      <c r="BF100" s="105">
        <f>'Hillpointe Detail'!BF100+'Sandhill Detail'!BF100</f>
        <v>0</v>
      </c>
      <c r="BG100" s="105">
        <f>'Hillpointe Detail'!BG100+'Sandhill Detail'!BG100</f>
        <v>0</v>
      </c>
      <c r="BH100" s="105">
        <f>'Hillpointe Detail'!BH100+'Sandhill Detail'!BH100</f>
        <v>0</v>
      </c>
      <c r="BI100" s="105">
        <f>'Hillpointe Detail'!BI100+'Sandhill Detail'!BI100</f>
        <v>0</v>
      </c>
      <c r="BJ100" s="105">
        <f>'Hillpointe Detail'!BJ100+'Sandhill Detail'!BJ100</f>
        <v>0</v>
      </c>
      <c r="BK100" s="105">
        <f>'Hillpointe Detail'!BK100+'Sandhill Detail'!BK100</f>
        <v>0</v>
      </c>
      <c r="BL100" s="105">
        <f>'Hillpointe Detail'!BL100+'Sandhill Detail'!BL100</f>
        <v>0</v>
      </c>
      <c r="BM100" s="105">
        <f>'Hillpointe Detail'!BM100+'Sandhill Detail'!BM100</f>
        <v>0</v>
      </c>
      <c r="BN100" s="105">
        <f>'Hillpointe Detail'!BN100+'Sandhill Detail'!BN100</f>
        <v>0</v>
      </c>
      <c r="BO100" s="105">
        <f>'Hillpointe Detail'!BO100+'Sandhill Detail'!BO100</f>
        <v>0</v>
      </c>
      <c r="BP100" s="105">
        <f>'Hillpointe Detail'!BP100+'Sandhill Detail'!BP100</f>
        <v>0</v>
      </c>
      <c r="BQ100" s="105">
        <f>'Hillpointe Detail'!BQ100+'Sandhill Detail'!BQ100</f>
        <v>0</v>
      </c>
      <c r="BR100" s="105">
        <f>'Hillpointe Detail'!BR100+'Sandhill Detail'!BR100</f>
        <v>0</v>
      </c>
      <c r="BS100" s="105">
        <f>'Hillpointe Detail'!BS100+'Sandhill Detail'!BS100</f>
        <v>0</v>
      </c>
      <c r="BT100" s="105">
        <f>'Hillpointe Detail'!BT100+'Sandhill Detail'!BT100</f>
        <v>0</v>
      </c>
      <c r="BU100" s="105">
        <f>'Hillpointe Detail'!BU100+'Sandhill Detail'!BU100</f>
        <v>0</v>
      </c>
      <c r="BV100" s="105">
        <f>'Hillpointe Detail'!BV100+'Sandhill Detail'!BV100</f>
        <v>0</v>
      </c>
      <c r="BW100" s="105">
        <f>'Hillpointe Detail'!BW100+'Sandhill Detail'!BW100</f>
        <v>0</v>
      </c>
      <c r="BX100" s="105">
        <f>'Hillpointe Detail'!BX100+'Sandhill Detail'!BX100</f>
        <v>0</v>
      </c>
      <c r="BY100" s="8"/>
      <c r="BZ100" s="105">
        <f t="shared" si="57"/>
        <v>0</v>
      </c>
      <c r="CA100" s="105">
        <f t="shared" si="58"/>
        <v>0</v>
      </c>
      <c r="CC100" s="105">
        <f t="shared" si="59"/>
        <v>-310</v>
      </c>
      <c r="CD100" s="105">
        <f t="shared" si="60"/>
        <v>0</v>
      </c>
      <c r="CE100" s="105">
        <f t="shared" si="60"/>
        <v>258.16000000000003</v>
      </c>
      <c r="CF100" s="105">
        <f t="shared" si="60"/>
        <v>0</v>
      </c>
      <c r="CG100" s="105">
        <f t="shared" si="60"/>
        <v>0</v>
      </c>
      <c r="CH100" s="105">
        <f t="shared" si="60"/>
        <v>0</v>
      </c>
      <c r="CI100" s="105">
        <f t="shared" si="60"/>
        <v>0</v>
      </c>
      <c r="CJ100" s="105">
        <f t="shared" si="60"/>
        <v>0</v>
      </c>
      <c r="CL100" s="105"/>
      <c r="CM100" s="13"/>
    </row>
    <row r="101" spans="1:91" x14ac:dyDescent="0.3">
      <c r="A101" s="84" t="s">
        <v>60</v>
      </c>
      <c r="B101" s="10" t="s">
        <v>135</v>
      </c>
      <c r="C101" s="103">
        <v>0</v>
      </c>
      <c r="D101" s="103">
        <v>8443.32</v>
      </c>
      <c r="E101" s="105">
        <f>'Hillpointe Detail'!E101+'Sandhill Detail'!E101</f>
        <v>0</v>
      </c>
      <c r="F101" s="105">
        <f>'Hillpointe Detail'!F101+'Sandhill Detail'!F101</f>
        <v>1053.75</v>
      </c>
      <c r="G101" s="105">
        <f>'Hillpointe Detail'!G101+'Sandhill Detail'!G101</f>
        <v>2025</v>
      </c>
      <c r="H101" s="105">
        <f>'Hillpointe Detail'!H101+'Sandhill Detail'!H101</f>
        <v>1470</v>
      </c>
      <c r="I101" s="105">
        <f>'Hillpointe Detail'!I101+'Sandhill Detail'!I101</f>
        <v>900</v>
      </c>
      <c r="J101" s="105">
        <f>'Hillpointe Detail'!J101+'Sandhill Detail'!J101</f>
        <v>0</v>
      </c>
      <c r="K101" s="105">
        <f>'Hillpointe Detail'!K101+'Sandhill Detail'!K101</f>
        <v>0</v>
      </c>
      <c r="L101" s="105">
        <f>'Hillpointe Detail'!L101+'Sandhill Detail'!L101</f>
        <v>0</v>
      </c>
      <c r="M101" s="105">
        <f>'Hillpointe Detail'!M101+'Sandhill Detail'!M101</f>
        <v>0</v>
      </c>
      <c r="N101" s="105">
        <f>'Hillpointe Detail'!N101+'Sandhill Detail'!N101</f>
        <v>900</v>
      </c>
      <c r="O101" s="105">
        <f>'Hillpointe Detail'!O101+'Sandhill Detail'!O101</f>
        <v>200</v>
      </c>
      <c r="P101" s="105">
        <f>'Hillpointe Detail'!P101+'Sandhill Detail'!P101</f>
        <v>0</v>
      </c>
      <c r="Q101" s="105">
        <f>'Hillpointe Detail'!Q101+'Sandhill Detail'!Q101</f>
        <v>0</v>
      </c>
      <c r="R101" s="105">
        <f>'Hillpointe Detail'!R101+'Sandhill Detail'!R101</f>
        <v>300</v>
      </c>
      <c r="S101" s="105">
        <f>'Hillpointe Detail'!S101+'Sandhill Detail'!S101</f>
        <v>0</v>
      </c>
      <c r="T101" s="105">
        <f>'Hillpointe Detail'!T101+'Sandhill Detail'!T101</f>
        <v>0</v>
      </c>
      <c r="U101" s="105">
        <f>'Hillpointe Detail'!U101+'Sandhill Detail'!U101</f>
        <v>1350</v>
      </c>
      <c r="V101" s="105">
        <f>'Hillpointe Detail'!V101+'Sandhill Detail'!V101</f>
        <v>0</v>
      </c>
      <c r="W101" s="105">
        <f>'Hillpointe Detail'!W101+'Sandhill Detail'!W101</f>
        <v>900</v>
      </c>
      <c r="X101" s="105">
        <f>'Hillpointe Detail'!X101+'Sandhill Detail'!X101</f>
        <v>0</v>
      </c>
      <c r="Y101" s="105">
        <f>'Hillpointe Detail'!Y101+'Sandhill Detail'!Y101</f>
        <v>0</v>
      </c>
      <c r="Z101" s="105">
        <f>'Hillpointe Detail'!Z101+'Sandhill Detail'!Z101</f>
        <v>1050</v>
      </c>
      <c r="AA101" s="105">
        <f>'Hillpointe Detail'!AA101+'Sandhill Detail'!AA101</f>
        <v>0</v>
      </c>
      <c r="AB101" s="105">
        <f>'Hillpointe Detail'!AB101+'Sandhill Detail'!AB101</f>
        <v>0</v>
      </c>
      <c r="AC101" s="105">
        <f>'Hillpointe Detail'!AC101+'Sandhill Detail'!AC101</f>
        <v>0</v>
      </c>
      <c r="AD101" s="105">
        <f>'Hillpointe Detail'!AD101+'Sandhill Detail'!AD101</f>
        <v>309</v>
      </c>
      <c r="AE101" s="105">
        <f>'Hillpointe Detail'!AE101+'Sandhill Detail'!AE101</f>
        <v>0</v>
      </c>
      <c r="AF101" s="105">
        <f>'Hillpointe Detail'!AF101+'Sandhill Detail'!AF101</f>
        <v>0</v>
      </c>
      <c r="AG101" s="105">
        <f>'Hillpointe Detail'!AG101+'Sandhill Detail'!AG101</f>
        <v>1390.5</v>
      </c>
      <c r="AH101" s="105">
        <f>'Hillpointe Detail'!AH101+'Sandhill Detail'!AH101</f>
        <v>0</v>
      </c>
      <c r="AI101" s="105">
        <f>'Hillpointe Detail'!AI101+'Sandhill Detail'!AI101</f>
        <v>927</v>
      </c>
      <c r="AJ101" s="105">
        <f>'Hillpointe Detail'!AJ101+'Sandhill Detail'!AJ101</f>
        <v>0</v>
      </c>
      <c r="AK101" s="105">
        <f>'Hillpointe Detail'!AK101+'Sandhill Detail'!AK101</f>
        <v>0</v>
      </c>
      <c r="AL101" s="105">
        <f>'Hillpointe Detail'!AL101+'Sandhill Detail'!AL101</f>
        <v>1081.5</v>
      </c>
      <c r="AM101" s="105">
        <f>'Hillpointe Detail'!AM101+'Sandhill Detail'!AM101</f>
        <v>0</v>
      </c>
      <c r="AN101" s="105">
        <f>'Hillpointe Detail'!AN101+'Sandhill Detail'!AN101</f>
        <v>0</v>
      </c>
      <c r="AO101" s="105">
        <f>'Hillpointe Detail'!AO101+'Sandhill Detail'!AO101</f>
        <v>0</v>
      </c>
      <c r="AP101" s="105">
        <f>'Hillpointe Detail'!AP101+'Sandhill Detail'!AP101</f>
        <v>318.27000000000004</v>
      </c>
      <c r="AQ101" s="105">
        <f>'Hillpointe Detail'!AQ101+'Sandhill Detail'!AQ101</f>
        <v>0</v>
      </c>
      <c r="AR101" s="105">
        <f>'Hillpointe Detail'!AR101+'Sandhill Detail'!AR101</f>
        <v>0</v>
      </c>
      <c r="AS101" s="105">
        <f>'Hillpointe Detail'!AS101+'Sandhill Detail'!AS101</f>
        <v>1432.2150000000001</v>
      </c>
      <c r="AT101" s="105">
        <f>'Hillpointe Detail'!AT101+'Sandhill Detail'!AT101</f>
        <v>0</v>
      </c>
      <c r="AU101" s="105">
        <f>'Hillpointe Detail'!AU101+'Sandhill Detail'!AU101</f>
        <v>954.81000000000017</v>
      </c>
      <c r="AV101" s="105">
        <f>'Hillpointe Detail'!AV101+'Sandhill Detail'!AV101</f>
        <v>0</v>
      </c>
      <c r="AW101" s="105">
        <f>'Hillpointe Detail'!AW101+'Sandhill Detail'!AW101</f>
        <v>0</v>
      </c>
      <c r="AX101" s="105">
        <f>'Hillpointe Detail'!AX101+'Sandhill Detail'!AX101</f>
        <v>1113.9450000000002</v>
      </c>
      <c r="AY101" s="105">
        <f>'Hillpointe Detail'!AY101+'Sandhill Detail'!AY101</f>
        <v>0</v>
      </c>
      <c r="AZ101" s="105">
        <f>'Hillpointe Detail'!AZ101+'Sandhill Detail'!AZ101</f>
        <v>0</v>
      </c>
      <c r="BA101" s="105">
        <f>'Hillpointe Detail'!BA101+'Sandhill Detail'!BA101</f>
        <v>0</v>
      </c>
      <c r="BB101" s="105">
        <f>'Hillpointe Detail'!BB101+'Sandhill Detail'!BB101</f>
        <v>327.81810000000002</v>
      </c>
      <c r="BC101" s="105">
        <f>'Hillpointe Detail'!BC101+'Sandhill Detail'!BC101</f>
        <v>0</v>
      </c>
      <c r="BD101" s="105">
        <f>'Hillpointe Detail'!BD101+'Sandhill Detail'!BD101</f>
        <v>0</v>
      </c>
      <c r="BE101" s="105">
        <f>'Hillpointe Detail'!BE101+'Sandhill Detail'!BE101</f>
        <v>1475.18145</v>
      </c>
      <c r="BF101" s="105">
        <f>'Hillpointe Detail'!BF101+'Sandhill Detail'!BF101</f>
        <v>0</v>
      </c>
      <c r="BG101" s="105">
        <f>'Hillpointe Detail'!BG101+'Sandhill Detail'!BG101</f>
        <v>983.45430000000022</v>
      </c>
      <c r="BH101" s="105">
        <f>'Hillpointe Detail'!BH101+'Sandhill Detail'!BH101</f>
        <v>0</v>
      </c>
      <c r="BI101" s="105">
        <f>'Hillpointe Detail'!BI101+'Sandhill Detail'!BI101</f>
        <v>0</v>
      </c>
      <c r="BJ101" s="105">
        <f>'Hillpointe Detail'!BJ101+'Sandhill Detail'!BJ101</f>
        <v>1147.3633500000001</v>
      </c>
      <c r="BK101" s="105">
        <f>'Hillpointe Detail'!BK101+'Sandhill Detail'!BK101</f>
        <v>0</v>
      </c>
      <c r="BL101" s="105">
        <f>'Hillpointe Detail'!BL101+'Sandhill Detail'!BL101</f>
        <v>0</v>
      </c>
      <c r="BM101" s="105">
        <f>'Hillpointe Detail'!BM101+'Sandhill Detail'!BM101</f>
        <v>0</v>
      </c>
      <c r="BN101" s="105">
        <f>'Hillpointe Detail'!BN101+'Sandhill Detail'!BN101</f>
        <v>337.65264300000001</v>
      </c>
      <c r="BO101" s="105">
        <f>'Hillpointe Detail'!BO101+'Sandhill Detail'!BO101</f>
        <v>0</v>
      </c>
      <c r="BP101" s="105">
        <f>'Hillpointe Detail'!BP101+'Sandhill Detail'!BP101</f>
        <v>0</v>
      </c>
      <c r="BQ101" s="105">
        <f>'Hillpointe Detail'!BQ101+'Sandhill Detail'!BQ101</f>
        <v>1519.4368935000002</v>
      </c>
      <c r="BR101" s="105">
        <f>'Hillpointe Detail'!BR101+'Sandhill Detail'!BR101</f>
        <v>0</v>
      </c>
      <c r="BS101" s="105">
        <f>'Hillpointe Detail'!BS101+'Sandhill Detail'!BS101</f>
        <v>1012.9579290000003</v>
      </c>
      <c r="BT101" s="105">
        <f>'Hillpointe Detail'!BT101+'Sandhill Detail'!BT101</f>
        <v>0</v>
      </c>
      <c r="BU101" s="105">
        <f>'Hillpointe Detail'!BU101+'Sandhill Detail'!BU101</f>
        <v>0</v>
      </c>
      <c r="BV101" s="105">
        <f>'Hillpointe Detail'!BV101+'Sandhill Detail'!BV101</f>
        <v>1181.7842505000001</v>
      </c>
      <c r="BW101" s="105">
        <f>'Hillpointe Detail'!BW101+'Sandhill Detail'!BW101</f>
        <v>0</v>
      </c>
      <c r="BX101" s="105">
        <f>'Hillpointe Detail'!BX101+'Sandhill Detail'!BX101</f>
        <v>0</v>
      </c>
      <c r="BY101" s="8"/>
      <c r="BZ101" s="105">
        <f t="shared" si="57"/>
        <v>0</v>
      </c>
      <c r="CA101" s="105">
        <f t="shared" si="58"/>
        <v>3600</v>
      </c>
      <c r="CC101" s="105">
        <f t="shared" si="59"/>
        <v>0</v>
      </c>
      <c r="CD101" s="105">
        <f t="shared" si="60"/>
        <v>8443.32</v>
      </c>
      <c r="CE101" s="105">
        <f t="shared" si="60"/>
        <v>6548.75</v>
      </c>
      <c r="CF101" s="105">
        <f t="shared" si="60"/>
        <v>3600</v>
      </c>
      <c r="CG101" s="105">
        <f t="shared" si="60"/>
        <v>3708</v>
      </c>
      <c r="CH101" s="105">
        <f t="shared" si="60"/>
        <v>3819.2400000000002</v>
      </c>
      <c r="CI101" s="105">
        <f t="shared" si="60"/>
        <v>3933.8172000000004</v>
      </c>
      <c r="CJ101" s="105">
        <f t="shared" si="60"/>
        <v>4051.8317160000006</v>
      </c>
      <c r="CL101" s="105"/>
      <c r="CM101" s="13"/>
    </row>
    <row r="102" spans="1:91" x14ac:dyDescent="0.3">
      <c r="A102" s="84" t="s">
        <v>61</v>
      </c>
      <c r="B102" s="10" t="s">
        <v>136</v>
      </c>
      <c r="C102" s="103">
        <v>2634.44</v>
      </c>
      <c r="D102" s="103">
        <v>2052.48</v>
      </c>
      <c r="E102" s="105">
        <f>'Hillpointe Detail'!E102+'Sandhill Detail'!E102</f>
        <v>0</v>
      </c>
      <c r="F102" s="105">
        <f>'Hillpointe Detail'!F102+'Sandhill Detail'!F102</f>
        <v>86.949999999999989</v>
      </c>
      <c r="G102" s="105">
        <f>'Hillpointe Detail'!G102+'Sandhill Detail'!G102</f>
        <v>167.06</v>
      </c>
      <c r="H102" s="105">
        <f>'Hillpointe Detail'!H102+'Sandhill Detail'!H102</f>
        <v>121.28</v>
      </c>
      <c r="I102" s="105">
        <f>'Hillpointe Detail'!I102+'Sandhill Detail'!I102</f>
        <v>74.25</v>
      </c>
      <c r="J102" s="105">
        <f>'Hillpointe Detail'!J102+'Sandhill Detail'!J102</f>
        <v>0</v>
      </c>
      <c r="K102" s="105">
        <f>'Hillpointe Detail'!K102+'Sandhill Detail'!K102</f>
        <v>0</v>
      </c>
      <c r="L102" s="105">
        <f>'Hillpointe Detail'!L102+'Sandhill Detail'!L102</f>
        <v>0</v>
      </c>
      <c r="M102" s="105">
        <f>'Hillpointe Detail'!M102+'Sandhill Detail'!M102</f>
        <v>0</v>
      </c>
      <c r="N102" s="105">
        <f>'Hillpointe Detail'!N102+'Sandhill Detail'!N102</f>
        <v>74.25</v>
      </c>
      <c r="O102" s="105">
        <f>'Hillpointe Detail'!O102+'Sandhill Detail'!O102</f>
        <v>16.5</v>
      </c>
      <c r="P102" s="105">
        <f>'Hillpointe Detail'!P102+'Sandhill Detail'!P102</f>
        <v>0</v>
      </c>
      <c r="Q102" s="105">
        <f>'Hillpointe Detail'!Q102+'Sandhill Detail'!Q102</f>
        <v>0</v>
      </c>
      <c r="R102" s="105">
        <f>'Hillpointe Detail'!R102+'Sandhill Detail'!R102</f>
        <v>24.75</v>
      </c>
      <c r="S102" s="105">
        <f>'Hillpointe Detail'!S102+'Sandhill Detail'!S102</f>
        <v>0</v>
      </c>
      <c r="T102" s="105">
        <f>'Hillpointe Detail'!T102+'Sandhill Detail'!T102</f>
        <v>0</v>
      </c>
      <c r="U102" s="105">
        <f>'Hillpointe Detail'!U102+'Sandhill Detail'!U102</f>
        <v>111.38</v>
      </c>
      <c r="V102" s="105">
        <f>'Hillpointe Detail'!V102+'Sandhill Detail'!V102</f>
        <v>0</v>
      </c>
      <c r="W102" s="105">
        <f>'Hillpointe Detail'!W102+'Sandhill Detail'!W102</f>
        <v>74.25</v>
      </c>
      <c r="X102" s="105">
        <f>'Hillpointe Detail'!X102+'Sandhill Detail'!X102</f>
        <v>0</v>
      </c>
      <c r="Y102" s="105">
        <f>'Hillpointe Detail'!Y102+'Sandhill Detail'!Y102</f>
        <v>0</v>
      </c>
      <c r="Z102" s="105">
        <f>'Hillpointe Detail'!Z102+'Sandhill Detail'!Z102</f>
        <v>86.63</v>
      </c>
      <c r="AA102" s="105">
        <f>'Hillpointe Detail'!AA102+'Sandhill Detail'!AA102</f>
        <v>0</v>
      </c>
      <c r="AB102" s="105">
        <f>'Hillpointe Detail'!AB102+'Sandhill Detail'!AB102</f>
        <v>0</v>
      </c>
      <c r="AC102" s="105">
        <f>'Hillpointe Detail'!AC102+'Sandhill Detail'!AC102</f>
        <v>0</v>
      </c>
      <c r="AD102" s="105">
        <f>'Hillpointe Detail'!AD102+'Sandhill Detail'!AD102</f>
        <v>25.4925</v>
      </c>
      <c r="AE102" s="105">
        <f>'Hillpointe Detail'!AE102+'Sandhill Detail'!AE102</f>
        <v>0</v>
      </c>
      <c r="AF102" s="105">
        <f>'Hillpointe Detail'!AF102+'Sandhill Detail'!AF102</f>
        <v>0</v>
      </c>
      <c r="AG102" s="105">
        <f>'Hillpointe Detail'!AG102+'Sandhill Detail'!AG102</f>
        <v>114.7214</v>
      </c>
      <c r="AH102" s="105">
        <f>'Hillpointe Detail'!AH102+'Sandhill Detail'!AH102</f>
        <v>0</v>
      </c>
      <c r="AI102" s="105">
        <f>'Hillpointe Detail'!AI102+'Sandhill Detail'!AI102</f>
        <v>76.477499999999992</v>
      </c>
      <c r="AJ102" s="105">
        <f>'Hillpointe Detail'!AJ102+'Sandhill Detail'!AJ102</f>
        <v>0</v>
      </c>
      <c r="AK102" s="105">
        <f>'Hillpointe Detail'!AK102+'Sandhill Detail'!AK102</f>
        <v>0</v>
      </c>
      <c r="AL102" s="105">
        <f>'Hillpointe Detail'!AL102+'Sandhill Detail'!AL102</f>
        <v>89.228899999999996</v>
      </c>
      <c r="AM102" s="105">
        <f>'Hillpointe Detail'!AM102+'Sandhill Detail'!AM102</f>
        <v>0</v>
      </c>
      <c r="AN102" s="105">
        <f>'Hillpointe Detail'!AN102+'Sandhill Detail'!AN102</f>
        <v>0</v>
      </c>
      <c r="AO102" s="105">
        <f>'Hillpointe Detail'!AO102+'Sandhill Detail'!AO102</f>
        <v>0</v>
      </c>
      <c r="AP102" s="105">
        <f>'Hillpointe Detail'!AP102+'Sandhill Detail'!AP102</f>
        <v>26.257275</v>
      </c>
      <c r="AQ102" s="105">
        <f>'Hillpointe Detail'!AQ102+'Sandhill Detail'!AQ102</f>
        <v>0</v>
      </c>
      <c r="AR102" s="105">
        <f>'Hillpointe Detail'!AR102+'Sandhill Detail'!AR102</f>
        <v>0</v>
      </c>
      <c r="AS102" s="105">
        <f>'Hillpointe Detail'!AS102+'Sandhill Detail'!AS102</f>
        <v>118.16304200000002</v>
      </c>
      <c r="AT102" s="105">
        <f>'Hillpointe Detail'!AT102+'Sandhill Detail'!AT102</f>
        <v>0</v>
      </c>
      <c r="AU102" s="105">
        <f>'Hillpointe Detail'!AU102+'Sandhill Detail'!AU102</f>
        <v>78.771825000000007</v>
      </c>
      <c r="AV102" s="105">
        <f>'Hillpointe Detail'!AV102+'Sandhill Detail'!AV102</f>
        <v>0</v>
      </c>
      <c r="AW102" s="105">
        <f>'Hillpointe Detail'!AW102+'Sandhill Detail'!AW102</f>
        <v>0</v>
      </c>
      <c r="AX102" s="105">
        <f>'Hillpointe Detail'!AX102+'Sandhill Detail'!AX102</f>
        <v>91.905766999999997</v>
      </c>
      <c r="AY102" s="105">
        <f>'Hillpointe Detail'!AY102+'Sandhill Detail'!AY102</f>
        <v>0</v>
      </c>
      <c r="AZ102" s="105">
        <f>'Hillpointe Detail'!AZ102+'Sandhill Detail'!AZ102</f>
        <v>0</v>
      </c>
      <c r="BA102" s="105">
        <f>'Hillpointe Detail'!BA102+'Sandhill Detail'!BA102</f>
        <v>0</v>
      </c>
      <c r="BB102" s="105">
        <f>'Hillpointe Detail'!BB102+'Sandhill Detail'!BB102</f>
        <v>27.044993250000001</v>
      </c>
      <c r="BC102" s="105">
        <f>'Hillpointe Detail'!BC102+'Sandhill Detail'!BC102</f>
        <v>0</v>
      </c>
      <c r="BD102" s="105">
        <f>'Hillpointe Detail'!BD102+'Sandhill Detail'!BD102</f>
        <v>0</v>
      </c>
      <c r="BE102" s="105">
        <f>'Hillpointe Detail'!BE102+'Sandhill Detail'!BE102</f>
        <v>121.70793326000002</v>
      </c>
      <c r="BF102" s="105">
        <f>'Hillpointe Detail'!BF102+'Sandhill Detail'!BF102</f>
        <v>0</v>
      </c>
      <c r="BG102" s="105">
        <f>'Hillpointe Detail'!BG102+'Sandhill Detail'!BG102</f>
        <v>81.134979750000014</v>
      </c>
      <c r="BH102" s="105">
        <f>'Hillpointe Detail'!BH102+'Sandhill Detail'!BH102</f>
        <v>0</v>
      </c>
      <c r="BI102" s="105">
        <f>'Hillpointe Detail'!BI102+'Sandhill Detail'!BI102</f>
        <v>0</v>
      </c>
      <c r="BJ102" s="105">
        <f>'Hillpointe Detail'!BJ102+'Sandhill Detail'!BJ102</f>
        <v>94.66294001</v>
      </c>
      <c r="BK102" s="105">
        <f>'Hillpointe Detail'!BK102+'Sandhill Detail'!BK102</f>
        <v>0</v>
      </c>
      <c r="BL102" s="105">
        <f>'Hillpointe Detail'!BL102+'Sandhill Detail'!BL102</f>
        <v>0</v>
      </c>
      <c r="BM102" s="105">
        <f>'Hillpointe Detail'!BM102+'Sandhill Detail'!BM102</f>
        <v>0</v>
      </c>
      <c r="BN102" s="105">
        <f>'Hillpointe Detail'!BN102+'Sandhill Detail'!BN102</f>
        <v>27.856343047500005</v>
      </c>
      <c r="BO102" s="105">
        <f>'Hillpointe Detail'!BO102+'Sandhill Detail'!BO102</f>
        <v>0</v>
      </c>
      <c r="BP102" s="105">
        <f>'Hillpointe Detail'!BP102+'Sandhill Detail'!BP102</f>
        <v>0</v>
      </c>
      <c r="BQ102" s="105">
        <f>'Hillpointe Detail'!BQ102+'Sandhill Detail'!BQ102</f>
        <v>125.35917125780001</v>
      </c>
      <c r="BR102" s="105">
        <f>'Hillpointe Detail'!BR102+'Sandhill Detail'!BR102</f>
        <v>0</v>
      </c>
      <c r="BS102" s="105">
        <f>'Hillpointe Detail'!BS102+'Sandhill Detail'!BS102</f>
        <v>83.5690291425</v>
      </c>
      <c r="BT102" s="105">
        <f>'Hillpointe Detail'!BT102+'Sandhill Detail'!BT102</f>
        <v>0</v>
      </c>
      <c r="BU102" s="105">
        <f>'Hillpointe Detail'!BU102+'Sandhill Detail'!BU102</f>
        <v>0</v>
      </c>
      <c r="BV102" s="105">
        <f>'Hillpointe Detail'!BV102+'Sandhill Detail'!BV102</f>
        <v>97.502828210300009</v>
      </c>
      <c r="BW102" s="105">
        <f>'Hillpointe Detail'!BW102+'Sandhill Detail'!BW102</f>
        <v>0</v>
      </c>
      <c r="BX102" s="105">
        <f>'Hillpointe Detail'!BX102+'Sandhill Detail'!BX102</f>
        <v>0</v>
      </c>
      <c r="BY102" s="8"/>
      <c r="BZ102" s="105">
        <f t="shared" si="57"/>
        <v>0</v>
      </c>
      <c r="CA102" s="105">
        <f t="shared" si="58"/>
        <v>297.01</v>
      </c>
      <c r="CC102" s="105">
        <f t="shared" si="59"/>
        <v>2634.44</v>
      </c>
      <c r="CD102" s="105">
        <f t="shared" si="60"/>
        <v>2052.48</v>
      </c>
      <c r="CE102" s="105">
        <f t="shared" si="60"/>
        <v>540.29</v>
      </c>
      <c r="CF102" s="105">
        <f t="shared" si="60"/>
        <v>297.01</v>
      </c>
      <c r="CG102" s="105">
        <f t="shared" si="60"/>
        <v>305.9203</v>
      </c>
      <c r="CH102" s="105">
        <f t="shared" si="60"/>
        <v>315.09790900000002</v>
      </c>
      <c r="CI102" s="105">
        <f t="shared" si="60"/>
        <v>324.55084627000002</v>
      </c>
      <c r="CJ102" s="105">
        <f t="shared" si="60"/>
        <v>334.28737165810003</v>
      </c>
      <c r="CL102" s="105"/>
      <c r="CM102" s="13"/>
    </row>
    <row r="103" spans="1:91" x14ac:dyDescent="0.3">
      <c r="A103" s="84" t="s">
        <v>62</v>
      </c>
      <c r="B103" s="10" t="s">
        <v>136</v>
      </c>
      <c r="C103" s="103">
        <v>44356.9</v>
      </c>
      <c r="D103" s="103">
        <v>0</v>
      </c>
      <c r="E103" s="105">
        <f>'Hillpointe Detail'!E103+'Sandhill Detail'!E103</f>
        <v>0</v>
      </c>
      <c r="F103" s="105">
        <f>'Hillpointe Detail'!F103+'Sandhill Detail'!F103</f>
        <v>18.97</v>
      </c>
      <c r="G103" s="105">
        <f>'Hillpointe Detail'!G103+'Sandhill Detail'!G103</f>
        <v>36.450000000000003</v>
      </c>
      <c r="H103" s="105">
        <f>'Hillpointe Detail'!H103+'Sandhill Detail'!H103</f>
        <v>26.46</v>
      </c>
      <c r="I103" s="105">
        <f>'Hillpointe Detail'!I103+'Sandhill Detail'!I103</f>
        <v>16.2</v>
      </c>
      <c r="J103" s="105">
        <f>'Hillpointe Detail'!J103+'Sandhill Detail'!J103</f>
        <v>0</v>
      </c>
      <c r="K103" s="105">
        <f>'Hillpointe Detail'!K103+'Sandhill Detail'!K103</f>
        <v>0</v>
      </c>
      <c r="L103" s="105">
        <f>'Hillpointe Detail'!L103+'Sandhill Detail'!L103</f>
        <v>0</v>
      </c>
      <c r="M103" s="105">
        <f>'Hillpointe Detail'!M103+'Sandhill Detail'!M103</f>
        <v>0</v>
      </c>
      <c r="N103" s="105">
        <f>'Hillpointe Detail'!N103+'Sandhill Detail'!N103</f>
        <v>13.5</v>
      </c>
      <c r="O103" s="105">
        <f>'Hillpointe Detail'!O103+'Sandhill Detail'!O103</f>
        <v>3</v>
      </c>
      <c r="P103" s="105">
        <f>'Hillpointe Detail'!P103+'Sandhill Detail'!P103</f>
        <v>0</v>
      </c>
      <c r="Q103" s="105">
        <f>'Hillpointe Detail'!Q103+'Sandhill Detail'!Q103</f>
        <v>0</v>
      </c>
      <c r="R103" s="105">
        <f>'Hillpointe Detail'!R103+'Sandhill Detail'!R103</f>
        <v>4.5</v>
      </c>
      <c r="S103" s="105">
        <f>'Hillpointe Detail'!S103+'Sandhill Detail'!S103</f>
        <v>0</v>
      </c>
      <c r="T103" s="105">
        <f>'Hillpointe Detail'!T103+'Sandhill Detail'!T103</f>
        <v>0</v>
      </c>
      <c r="U103" s="105">
        <f>'Hillpointe Detail'!U103+'Sandhill Detail'!U103</f>
        <v>20.25</v>
      </c>
      <c r="V103" s="105">
        <f>'Hillpointe Detail'!V103+'Sandhill Detail'!V103</f>
        <v>0</v>
      </c>
      <c r="W103" s="105">
        <f>'Hillpointe Detail'!W103+'Sandhill Detail'!W103</f>
        <v>13.5</v>
      </c>
      <c r="X103" s="105">
        <f>'Hillpointe Detail'!X103+'Sandhill Detail'!X103</f>
        <v>0</v>
      </c>
      <c r="Y103" s="105">
        <f>'Hillpointe Detail'!Y103+'Sandhill Detail'!Y103</f>
        <v>0</v>
      </c>
      <c r="Z103" s="105">
        <f>'Hillpointe Detail'!Z103+'Sandhill Detail'!Z103</f>
        <v>15.76</v>
      </c>
      <c r="AA103" s="105">
        <f>'Hillpointe Detail'!AA103+'Sandhill Detail'!AA103</f>
        <v>0</v>
      </c>
      <c r="AB103" s="105">
        <f>'Hillpointe Detail'!AB103+'Sandhill Detail'!AB103</f>
        <v>0</v>
      </c>
      <c r="AC103" s="105">
        <f>'Hillpointe Detail'!AC103+'Sandhill Detail'!AC103</f>
        <v>0</v>
      </c>
      <c r="AD103" s="105">
        <f>'Hillpointe Detail'!AD103+'Sandhill Detail'!AD103</f>
        <v>4.6349999999999998</v>
      </c>
      <c r="AE103" s="105">
        <f>'Hillpointe Detail'!AE103+'Sandhill Detail'!AE103</f>
        <v>0</v>
      </c>
      <c r="AF103" s="105">
        <f>'Hillpointe Detail'!AF103+'Sandhill Detail'!AF103</f>
        <v>0</v>
      </c>
      <c r="AG103" s="105">
        <f>'Hillpointe Detail'!AG103+'Sandhill Detail'!AG103</f>
        <v>20.857500000000002</v>
      </c>
      <c r="AH103" s="105">
        <f>'Hillpointe Detail'!AH103+'Sandhill Detail'!AH103</f>
        <v>0</v>
      </c>
      <c r="AI103" s="105">
        <f>'Hillpointe Detail'!AI103+'Sandhill Detail'!AI103</f>
        <v>13.905000000000001</v>
      </c>
      <c r="AJ103" s="105">
        <f>'Hillpointe Detail'!AJ103+'Sandhill Detail'!AJ103</f>
        <v>0</v>
      </c>
      <c r="AK103" s="105">
        <f>'Hillpointe Detail'!AK103+'Sandhill Detail'!AK103</f>
        <v>0</v>
      </c>
      <c r="AL103" s="105">
        <f>'Hillpointe Detail'!AL103+'Sandhill Detail'!AL103</f>
        <v>16.232800000000001</v>
      </c>
      <c r="AM103" s="105">
        <f>'Hillpointe Detail'!AM103+'Sandhill Detail'!AM103</f>
        <v>0</v>
      </c>
      <c r="AN103" s="105">
        <f>'Hillpointe Detail'!AN103+'Sandhill Detail'!AN103</f>
        <v>0</v>
      </c>
      <c r="AO103" s="105">
        <f>'Hillpointe Detail'!AO103+'Sandhill Detail'!AO103</f>
        <v>0</v>
      </c>
      <c r="AP103" s="105">
        <f>'Hillpointe Detail'!AP103+'Sandhill Detail'!AP103</f>
        <v>4.7740500000000008</v>
      </c>
      <c r="AQ103" s="105">
        <f>'Hillpointe Detail'!AQ103+'Sandhill Detail'!AQ103</f>
        <v>0</v>
      </c>
      <c r="AR103" s="105">
        <f>'Hillpointe Detail'!AR103+'Sandhill Detail'!AR103</f>
        <v>0</v>
      </c>
      <c r="AS103" s="105">
        <f>'Hillpointe Detail'!AS103+'Sandhill Detail'!AS103</f>
        <v>21.483225000000004</v>
      </c>
      <c r="AT103" s="105">
        <f>'Hillpointe Detail'!AT103+'Sandhill Detail'!AT103</f>
        <v>0</v>
      </c>
      <c r="AU103" s="105">
        <f>'Hillpointe Detail'!AU103+'Sandhill Detail'!AU103</f>
        <v>14.322150000000001</v>
      </c>
      <c r="AV103" s="105">
        <f>'Hillpointe Detail'!AV103+'Sandhill Detail'!AV103</f>
        <v>0</v>
      </c>
      <c r="AW103" s="105">
        <f>'Hillpointe Detail'!AW103+'Sandhill Detail'!AW103</f>
        <v>0</v>
      </c>
      <c r="AX103" s="105">
        <f>'Hillpointe Detail'!AX103+'Sandhill Detail'!AX103</f>
        <v>16.719784000000001</v>
      </c>
      <c r="AY103" s="105">
        <f>'Hillpointe Detail'!AY103+'Sandhill Detail'!AY103</f>
        <v>0</v>
      </c>
      <c r="AZ103" s="105">
        <f>'Hillpointe Detail'!AZ103+'Sandhill Detail'!AZ103</f>
        <v>0</v>
      </c>
      <c r="BA103" s="105">
        <f>'Hillpointe Detail'!BA103+'Sandhill Detail'!BA103</f>
        <v>0</v>
      </c>
      <c r="BB103" s="105">
        <f>'Hillpointe Detail'!BB103+'Sandhill Detail'!BB103</f>
        <v>4.9172715</v>
      </c>
      <c r="BC103" s="105">
        <f>'Hillpointe Detail'!BC103+'Sandhill Detail'!BC103</f>
        <v>0</v>
      </c>
      <c r="BD103" s="105">
        <f>'Hillpointe Detail'!BD103+'Sandhill Detail'!BD103</f>
        <v>0</v>
      </c>
      <c r="BE103" s="105">
        <f>'Hillpointe Detail'!BE103+'Sandhill Detail'!BE103</f>
        <v>22.127721750000003</v>
      </c>
      <c r="BF103" s="105">
        <f>'Hillpointe Detail'!BF103+'Sandhill Detail'!BF103</f>
        <v>0</v>
      </c>
      <c r="BG103" s="105">
        <f>'Hillpointe Detail'!BG103+'Sandhill Detail'!BG103</f>
        <v>14.7518145</v>
      </c>
      <c r="BH103" s="105">
        <f>'Hillpointe Detail'!BH103+'Sandhill Detail'!BH103</f>
        <v>0</v>
      </c>
      <c r="BI103" s="105">
        <f>'Hillpointe Detail'!BI103+'Sandhill Detail'!BI103</f>
        <v>0</v>
      </c>
      <c r="BJ103" s="105">
        <f>'Hillpointe Detail'!BJ103+'Sandhill Detail'!BJ103</f>
        <v>17.221377520000001</v>
      </c>
      <c r="BK103" s="105">
        <f>'Hillpointe Detail'!BK103+'Sandhill Detail'!BK103</f>
        <v>0</v>
      </c>
      <c r="BL103" s="105">
        <f>'Hillpointe Detail'!BL103+'Sandhill Detail'!BL103</f>
        <v>0</v>
      </c>
      <c r="BM103" s="105">
        <f>'Hillpointe Detail'!BM103+'Sandhill Detail'!BM103</f>
        <v>0</v>
      </c>
      <c r="BN103" s="105">
        <f>'Hillpointe Detail'!BN103+'Sandhill Detail'!BN103</f>
        <v>5.0647896450000003</v>
      </c>
      <c r="BO103" s="105">
        <f>'Hillpointe Detail'!BO103+'Sandhill Detail'!BO103</f>
        <v>0</v>
      </c>
      <c r="BP103" s="105">
        <f>'Hillpointe Detail'!BP103+'Sandhill Detail'!BP103</f>
        <v>0</v>
      </c>
      <c r="BQ103" s="105">
        <f>'Hillpointe Detail'!BQ103+'Sandhill Detail'!BQ103</f>
        <v>22.791553402500004</v>
      </c>
      <c r="BR103" s="105">
        <f>'Hillpointe Detail'!BR103+'Sandhill Detail'!BR103</f>
        <v>0</v>
      </c>
      <c r="BS103" s="105">
        <f>'Hillpointe Detail'!BS103+'Sandhill Detail'!BS103</f>
        <v>15.194368935</v>
      </c>
      <c r="BT103" s="105">
        <f>'Hillpointe Detail'!BT103+'Sandhill Detail'!BT103</f>
        <v>0</v>
      </c>
      <c r="BU103" s="105">
        <f>'Hillpointe Detail'!BU103+'Sandhill Detail'!BU103</f>
        <v>0</v>
      </c>
      <c r="BV103" s="105">
        <f>'Hillpointe Detail'!BV103+'Sandhill Detail'!BV103</f>
        <v>17.738018845600003</v>
      </c>
      <c r="BW103" s="105">
        <f>'Hillpointe Detail'!BW103+'Sandhill Detail'!BW103</f>
        <v>0</v>
      </c>
      <c r="BX103" s="105">
        <f>'Hillpointe Detail'!BX103+'Sandhill Detail'!BX103</f>
        <v>0</v>
      </c>
      <c r="BY103" s="8"/>
      <c r="BZ103" s="105">
        <f t="shared" si="57"/>
        <v>0</v>
      </c>
      <c r="CA103" s="105">
        <f t="shared" si="58"/>
        <v>54.01</v>
      </c>
      <c r="CC103" s="105">
        <f t="shared" si="59"/>
        <v>44356.9</v>
      </c>
      <c r="CD103" s="105">
        <f t="shared" si="60"/>
        <v>0</v>
      </c>
      <c r="CE103" s="105">
        <f t="shared" si="60"/>
        <v>114.58</v>
      </c>
      <c r="CF103" s="105">
        <f t="shared" si="60"/>
        <v>54.01</v>
      </c>
      <c r="CG103" s="105">
        <f t="shared" si="60"/>
        <v>55.630300000000005</v>
      </c>
      <c r="CH103" s="105">
        <f t="shared" si="60"/>
        <v>57.299209000000005</v>
      </c>
      <c r="CI103" s="105">
        <f t="shared" si="60"/>
        <v>59.018185270000004</v>
      </c>
      <c r="CJ103" s="105">
        <f t="shared" si="60"/>
        <v>60.788730828100007</v>
      </c>
      <c r="CL103" s="105"/>
      <c r="CM103" s="13"/>
    </row>
    <row r="104" spans="1:91" x14ac:dyDescent="0.3">
      <c r="A104" s="84" t="s">
        <v>63</v>
      </c>
      <c r="B104" s="10" t="s">
        <v>258</v>
      </c>
      <c r="C104" s="103">
        <v>25896.99</v>
      </c>
      <c r="D104" s="103">
        <v>24989.919999999998</v>
      </c>
      <c r="E104" s="105">
        <f>'Hillpointe Detail'!E104+'Sandhill Detail'!E104</f>
        <v>0</v>
      </c>
      <c r="F104" s="105">
        <f>'Hillpointe Detail'!F104+'Sandhill Detail'!F104</f>
        <v>0</v>
      </c>
      <c r="G104" s="105">
        <f>'Hillpointe Detail'!G104+'Sandhill Detail'!G104</f>
        <v>0</v>
      </c>
      <c r="H104" s="105">
        <f>'Hillpointe Detail'!H104+'Sandhill Detail'!H104</f>
        <v>6437.5</v>
      </c>
      <c r="I104" s="105">
        <f>'Hillpointe Detail'!I104+'Sandhill Detail'!I104</f>
        <v>6437.5</v>
      </c>
      <c r="J104" s="105">
        <f>'Hillpointe Detail'!J104+'Sandhill Detail'!J104</f>
        <v>0</v>
      </c>
      <c r="K104" s="105">
        <f>'Hillpointe Detail'!K104+'Sandhill Detail'!K104</f>
        <v>7067.5</v>
      </c>
      <c r="L104" s="105">
        <f>'Hillpointe Detail'!L104+'Sandhill Detail'!L104</f>
        <v>6727.1900000000005</v>
      </c>
      <c r="M104" s="105">
        <f>'Hillpointe Detail'!M104+'Sandhill Detail'!M104</f>
        <v>0</v>
      </c>
      <c r="N104" s="105">
        <f>'Hillpointe Detail'!N104+'Sandhill Detail'!N104</f>
        <v>0</v>
      </c>
      <c r="O104" s="105">
        <f>'Hillpointe Detail'!O104+'Sandhill Detail'!O104</f>
        <v>0</v>
      </c>
      <c r="P104" s="105">
        <f>'Hillpointe Detail'!P104+'Sandhill Detail'!P104</f>
        <v>0</v>
      </c>
      <c r="Q104" s="105">
        <f>'Hillpointe Detail'!Q104+'Sandhill Detail'!Q104</f>
        <v>0</v>
      </c>
      <c r="R104" s="105">
        <f>'Hillpointe Detail'!R104+'Sandhill Detail'!R104</f>
        <v>0</v>
      </c>
      <c r="S104" s="105">
        <f>'Hillpointe Detail'!S104+'Sandhill Detail'!S104</f>
        <v>0</v>
      </c>
      <c r="T104" s="105">
        <f>'Hillpointe Detail'!T104+'Sandhill Detail'!T104</f>
        <v>0</v>
      </c>
      <c r="U104" s="105">
        <f>'Hillpointe Detail'!U104+'Sandhill Detail'!U104</f>
        <v>34020</v>
      </c>
      <c r="V104" s="105">
        <f>'Hillpointe Detail'!V104+'Sandhill Detail'!V104</f>
        <v>0</v>
      </c>
      <c r="W104" s="105">
        <f>'Hillpointe Detail'!W104+'Sandhill Detail'!W104</f>
        <v>0</v>
      </c>
      <c r="X104" s="105">
        <f>'Hillpointe Detail'!X104+'Sandhill Detail'!X104</f>
        <v>0</v>
      </c>
      <c r="Y104" s="105">
        <f>'Hillpointe Detail'!Y104+'Sandhill Detail'!Y104</f>
        <v>0</v>
      </c>
      <c r="Z104" s="105">
        <f>'Hillpointe Detail'!Z104+'Sandhill Detail'!Z104</f>
        <v>0</v>
      </c>
      <c r="AA104" s="105">
        <f>'Hillpointe Detail'!AA104+'Sandhill Detail'!AA104</f>
        <v>0</v>
      </c>
      <c r="AB104" s="105">
        <f>'Hillpointe Detail'!AB104+'Sandhill Detail'!AB104</f>
        <v>0</v>
      </c>
      <c r="AC104" s="105">
        <f>'Hillpointe Detail'!AC104+'Sandhill Detail'!AC104</f>
        <v>0</v>
      </c>
      <c r="AD104" s="105">
        <f>'Hillpointe Detail'!AD104+'Sandhill Detail'!AD104</f>
        <v>0</v>
      </c>
      <c r="AE104" s="105">
        <f>'Hillpointe Detail'!AE104+'Sandhill Detail'!AE104</f>
        <v>0</v>
      </c>
      <c r="AF104" s="105">
        <f>'Hillpointe Detail'!AF104+'Sandhill Detail'!AF104</f>
        <v>0</v>
      </c>
      <c r="AG104" s="105">
        <f>'Hillpointe Detail'!AG104+'Sandhill Detail'!AG104</f>
        <v>35040.6</v>
      </c>
      <c r="AH104" s="105">
        <f>'Hillpointe Detail'!AH104+'Sandhill Detail'!AH104</f>
        <v>0</v>
      </c>
      <c r="AI104" s="105">
        <f>'Hillpointe Detail'!AI104+'Sandhill Detail'!AI104</f>
        <v>0</v>
      </c>
      <c r="AJ104" s="105">
        <f>'Hillpointe Detail'!AJ104+'Sandhill Detail'!AJ104</f>
        <v>0</v>
      </c>
      <c r="AK104" s="105">
        <f>'Hillpointe Detail'!AK104+'Sandhill Detail'!AK104</f>
        <v>0</v>
      </c>
      <c r="AL104" s="105">
        <f>'Hillpointe Detail'!AL104+'Sandhill Detail'!AL104</f>
        <v>0</v>
      </c>
      <c r="AM104" s="105">
        <f>'Hillpointe Detail'!AM104+'Sandhill Detail'!AM104</f>
        <v>0</v>
      </c>
      <c r="AN104" s="105">
        <f>'Hillpointe Detail'!AN104+'Sandhill Detail'!AN104</f>
        <v>0</v>
      </c>
      <c r="AO104" s="105">
        <f>'Hillpointe Detail'!AO104+'Sandhill Detail'!AO104</f>
        <v>0</v>
      </c>
      <c r="AP104" s="105">
        <f>'Hillpointe Detail'!AP104+'Sandhill Detail'!AP104</f>
        <v>0</v>
      </c>
      <c r="AQ104" s="105">
        <f>'Hillpointe Detail'!AQ104+'Sandhill Detail'!AQ104</f>
        <v>0</v>
      </c>
      <c r="AR104" s="105">
        <f>'Hillpointe Detail'!AR104+'Sandhill Detail'!AR104</f>
        <v>0</v>
      </c>
      <c r="AS104" s="105">
        <f>'Hillpointe Detail'!AS104+'Sandhill Detail'!AS104</f>
        <v>36091.817999999999</v>
      </c>
      <c r="AT104" s="105">
        <f>'Hillpointe Detail'!AT104+'Sandhill Detail'!AT104</f>
        <v>0</v>
      </c>
      <c r="AU104" s="105">
        <f>'Hillpointe Detail'!AU104+'Sandhill Detail'!AU104</f>
        <v>0</v>
      </c>
      <c r="AV104" s="105">
        <f>'Hillpointe Detail'!AV104+'Sandhill Detail'!AV104</f>
        <v>0</v>
      </c>
      <c r="AW104" s="105">
        <f>'Hillpointe Detail'!AW104+'Sandhill Detail'!AW104</f>
        <v>0</v>
      </c>
      <c r="AX104" s="105">
        <f>'Hillpointe Detail'!AX104+'Sandhill Detail'!AX104</f>
        <v>0</v>
      </c>
      <c r="AY104" s="105">
        <f>'Hillpointe Detail'!AY104+'Sandhill Detail'!AY104</f>
        <v>0</v>
      </c>
      <c r="AZ104" s="105">
        <f>'Hillpointe Detail'!AZ104+'Sandhill Detail'!AZ104</f>
        <v>0</v>
      </c>
      <c r="BA104" s="105">
        <f>'Hillpointe Detail'!BA104+'Sandhill Detail'!BA104</f>
        <v>0</v>
      </c>
      <c r="BB104" s="105">
        <f>'Hillpointe Detail'!BB104+'Sandhill Detail'!BB104</f>
        <v>0</v>
      </c>
      <c r="BC104" s="105">
        <f>'Hillpointe Detail'!BC104+'Sandhill Detail'!BC104</f>
        <v>0</v>
      </c>
      <c r="BD104" s="105">
        <f>'Hillpointe Detail'!BD104+'Sandhill Detail'!BD104</f>
        <v>0</v>
      </c>
      <c r="BE104" s="105">
        <f>'Hillpointe Detail'!BE104+'Sandhill Detail'!BE104</f>
        <v>37174.572540000001</v>
      </c>
      <c r="BF104" s="105">
        <f>'Hillpointe Detail'!BF104+'Sandhill Detail'!BF104</f>
        <v>0</v>
      </c>
      <c r="BG104" s="105">
        <f>'Hillpointe Detail'!BG104+'Sandhill Detail'!BG104</f>
        <v>0</v>
      </c>
      <c r="BH104" s="105">
        <f>'Hillpointe Detail'!BH104+'Sandhill Detail'!BH104</f>
        <v>0</v>
      </c>
      <c r="BI104" s="105">
        <f>'Hillpointe Detail'!BI104+'Sandhill Detail'!BI104</f>
        <v>0</v>
      </c>
      <c r="BJ104" s="105">
        <f>'Hillpointe Detail'!BJ104+'Sandhill Detail'!BJ104</f>
        <v>0</v>
      </c>
      <c r="BK104" s="105">
        <f>'Hillpointe Detail'!BK104+'Sandhill Detail'!BK104</f>
        <v>0</v>
      </c>
      <c r="BL104" s="105">
        <f>'Hillpointe Detail'!BL104+'Sandhill Detail'!BL104</f>
        <v>0</v>
      </c>
      <c r="BM104" s="105">
        <f>'Hillpointe Detail'!BM104+'Sandhill Detail'!BM104</f>
        <v>0</v>
      </c>
      <c r="BN104" s="105">
        <f>'Hillpointe Detail'!BN104+'Sandhill Detail'!BN104</f>
        <v>0</v>
      </c>
      <c r="BO104" s="105">
        <f>'Hillpointe Detail'!BO104+'Sandhill Detail'!BO104</f>
        <v>0</v>
      </c>
      <c r="BP104" s="105">
        <f>'Hillpointe Detail'!BP104+'Sandhill Detail'!BP104</f>
        <v>0</v>
      </c>
      <c r="BQ104" s="105">
        <f>'Hillpointe Detail'!BQ104+'Sandhill Detail'!BQ104</f>
        <v>38289.809716200005</v>
      </c>
      <c r="BR104" s="105">
        <f>'Hillpointe Detail'!BR104+'Sandhill Detail'!BR104</f>
        <v>0</v>
      </c>
      <c r="BS104" s="105">
        <f>'Hillpointe Detail'!BS104+'Sandhill Detail'!BS104</f>
        <v>0</v>
      </c>
      <c r="BT104" s="105">
        <f>'Hillpointe Detail'!BT104+'Sandhill Detail'!BT104</f>
        <v>0</v>
      </c>
      <c r="BU104" s="105">
        <f>'Hillpointe Detail'!BU104+'Sandhill Detail'!BU104</f>
        <v>0</v>
      </c>
      <c r="BV104" s="105">
        <f>'Hillpointe Detail'!BV104+'Sandhill Detail'!BV104</f>
        <v>0</v>
      </c>
      <c r="BW104" s="105">
        <f>'Hillpointe Detail'!BW104+'Sandhill Detail'!BW104</f>
        <v>0</v>
      </c>
      <c r="BX104" s="105">
        <f>'Hillpointe Detail'!BX104+'Sandhill Detail'!BX104</f>
        <v>0</v>
      </c>
      <c r="BY104" s="8"/>
      <c r="BZ104" s="105">
        <f t="shared" si="57"/>
        <v>0</v>
      </c>
      <c r="CA104" s="105">
        <f t="shared" si="58"/>
        <v>34020</v>
      </c>
      <c r="CC104" s="105">
        <f t="shared" si="59"/>
        <v>25896.99</v>
      </c>
      <c r="CD104" s="105">
        <f t="shared" si="60"/>
        <v>24989.919999999998</v>
      </c>
      <c r="CE104" s="105">
        <f t="shared" si="60"/>
        <v>26669.690000000002</v>
      </c>
      <c r="CF104" s="105">
        <f t="shared" si="60"/>
        <v>34020</v>
      </c>
      <c r="CG104" s="105">
        <f t="shared" si="60"/>
        <v>35040.6</v>
      </c>
      <c r="CH104" s="105">
        <f t="shared" si="60"/>
        <v>36091.817999999999</v>
      </c>
      <c r="CI104" s="105">
        <f t="shared" si="60"/>
        <v>37174.572540000001</v>
      </c>
      <c r="CJ104" s="105">
        <f t="shared" si="60"/>
        <v>38289.809716200005</v>
      </c>
      <c r="CL104" s="105"/>
      <c r="CM104" s="13"/>
    </row>
    <row r="105" spans="1:91" x14ac:dyDescent="0.3">
      <c r="A105" s="84" t="s">
        <v>64</v>
      </c>
      <c r="B105" s="10" t="s">
        <v>258</v>
      </c>
      <c r="C105" s="103">
        <v>15600</v>
      </c>
      <c r="D105" s="103">
        <v>16507.2</v>
      </c>
      <c r="E105" s="105">
        <f>'Hillpointe Detail'!E105+'Sandhill Detail'!E105</f>
        <v>0</v>
      </c>
      <c r="F105" s="105">
        <f>'Hillpointe Detail'!F105+'Sandhill Detail'!F105</f>
        <v>0</v>
      </c>
      <c r="G105" s="105">
        <f>'Hillpointe Detail'!G105+'Sandhill Detail'!G105</f>
        <v>2730</v>
      </c>
      <c r="H105" s="105">
        <f>'Hillpointe Detail'!H105+'Sandhill Detail'!H105</f>
        <v>10680.5</v>
      </c>
      <c r="I105" s="105">
        <f>'Hillpointe Detail'!I105+'Sandhill Detail'!I105</f>
        <v>8157.5</v>
      </c>
      <c r="J105" s="105">
        <f>'Hillpointe Detail'!J105+'Sandhill Detail'!J105</f>
        <v>0</v>
      </c>
      <c r="K105" s="105">
        <f>'Hillpointe Detail'!K105+'Sandhill Detail'!K105</f>
        <v>594</v>
      </c>
      <c r="L105" s="105">
        <f>'Hillpointe Detail'!L105+'Sandhill Detail'!L105</f>
        <v>0</v>
      </c>
      <c r="M105" s="105">
        <f>'Hillpointe Detail'!M105+'Sandhill Detail'!M105</f>
        <v>0</v>
      </c>
      <c r="N105" s="105">
        <f>'Hillpointe Detail'!N105+'Sandhill Detail'!N105</f>
        <v>0</v>
      </c>
      <c r="O105" s="105">
        <f>'Hillpointe Detail'!O105+'Sandhill Detail'!O105</f>
        <v>0</v>
      </c>
      <c r="P105" s="105">
        <f>'Hillpointe Detail'!P105+'Sandhill Detail'!P105</f>
        <v>1632</v>
      </c>
      <c r="Q105" s="105">
        <f>'Hillpointe Detail'!Q105+'Sandhill Detail'!Q105</f>
        <v>0</v>
      </c>
      <c r="R105" s="105">
        <f>'Hillpointe Detail'!R105+'Sandhill Detail'!R105</f>
        <v>3332.5</v>
      </c>
      <c r="S105" s="105">
        <f>'Hillpointe Detail'!S105+'Sandhill Detail'!S105</f>
        <v>5887.5</v>
      </c>
      <c r="T105" s="105">
        <f>'Hillpointe Detail'!T105+'Sandhill Detail'!T105</f>
        <v>9724.1299999999992</v>
      </c>
      <c r="U105" s="105">
        <f>'Hillpointe Detail'!U105+'Sandhill Detail'!U105</f>
        <v>315</v>
      </c>
      <c r="V105" s="105">
        <f>'Hillpointe Detail'!V105+'Sandhill Detail'!V105</f>
        <v>0</v>
      </c>
      <c r="W105" s="105">
        <f>'Hillpointe Detail'!W105+'Sandhill Detail'!W105</f>
        <v>3545</v>
      </c>
      <c r="X105" s="105">
        <f>'Hillpointe Detail'!X105+'Sandhill Detail'!X105</f>
        <v>0</v>
      </c>
      <c r="Y105" s="105">
        <f>'Hillpointe Detail'!Y105+'Sandhill Detail'!Y105</f>
        <v>0</v>
      </c>
      <c r="Z105" s="105">
        <f>'Hillpointe Detail'!Z105+'Sandhill Detail'!Z105</f>
        <v>2656</v>
      </c>
      <c r="AA105" s="105">
        <f>'Hillpointe Detail'!AA105+'Sandhill Detail'!AA105</f>
        <v>1680.1999999999998</v>
      </c>
      <c r="AB105" s="105">
        <f>'Hillpointe Detail'!AB105+'Sandhill Detail'!AB105</f>
        <v>1680.9600000000003</v>
      </c>
      <c r="AC105" s="105">
        <f>'Hillpointe Detail'!AC105+'Sandhill Detail'!AC105</f>
        <v>0</v>
      </c>
      <c r="AD105" s="105">
        <f>'Hillpointe Detail'!AD105+'Sandhill Detail'!AD105</f>
        <v>3432.4749999999999</v>
      </c>
      <c r="AE105" s="105">
        <f>'Hillpointe Detail'!AE105+'Sandhill Detail'!AE105</f>
        <v>6064.125</v>
      </c>
      <c r="AF105" s="105">
        <f>'Hillpointe Detail'!AF105+'Sandhill Detail'!AF105</f>
        <v>10015.8539</v>
      </c>
      <c r="AG105" s="105">
        <f>'Hillpointe Detail'!AG105+'Sandhill Detail'!AG105</f>
        <v>324.45</v>
      </c>
      <c r="AH105" s="105">
        <f>'Hillpointe Detail'!AH105+'Sandhill Detail'!AH105</f>
        <v>0</v>
      </c>
      <c r="AI105" s="105">
        <f>'Hillpointe Detail'!AI105+'Sandhill Detail'!AI105</f>
        <v>3651.35</v>
      </c>
      <c r="AJ105" s="105">
        <f>'Hillpointe Detail'!AJ105+'Sandhill Detail'!AJ105</f>
        <v>0</v>
      </c>
      <c r="AK105" s="105">
        <f>'Hillpointe Detail'!AK105+'Sandhill Detail'!AK105</f>
        <v>0</v>
      </c>
      <c r="AL105" s="105">
        <f>'Hillpointe Detail'!AL105+'Sandhill Detail'!AL105</f>
        <v>2735.68</v>
      </c>
      <c r="AM105" s="105">
        <f>'Hillpointe Detail'!AM105+'Sandhill Detail'!AM105</f>
        <v>1730.606</v>
      </c>
      <c r="AN105" s="105">
        <f>'Hillpointe Detail'!AN105+'Sandhill Detail'!AN105</f>
        <v>1731.3888000000002</v>
      </c>
      <c r="AO105" s="105">
        <f>'Hillpointe Detail'!AO105+'Sandhill Detail'!AO105</f>
        <v>0</v>
      </c>
      <c r="AP105" s="105">
        <f>'Hillpointe Detail'!AP105+'Sandhill Detail'!AP105</f>
        <v>3535.4492500000001</v>
      </c>
      <c r="AQ105" s="105">
        <f>'Hillpointe Detail'!AQ105+'Sandhill Detail'!AQ105</f>
        <v>6246.0487499999999</v>
      </c>
      <c r="AR105" s="105">
        <f>'Hillpointe Detail'!AR105+'Sandhill Detail'!AR105</f>
        <v>10316.329517</v>
      </c>
      <c r="AS105" s="105">
        <f>'Hillpointe Detail'!AS105+'Sandhill Detail'!AS105</f>
        <v>334.18350000000004</v>
      </c>
      <c r="AT105" s="105">
        <f>'Hillpointe Detail'!AT105+'Sandhill Detail'!AT105</f>
        <v>0</v>
      </c>
      <c r="AU105" s="105">
        <f>'Hillpointe Detail'!AU105+'Sandhill Detail'!AU105</f>
        <v>3760.8905</v>
      </c>
      <c r="AV105" s="105">
        <f>'Hillpointe Detail'!AV105+'Sandhill Detail'!AV105</f>
        <v>0</v>
      </c>
      <c r="AW105" s="105">
        <f>'Hillpointe Detail'!AW105+'Sandhill Detail'!AW105</f>
        <v>0</v>
      </c>
      <c r="AX105" s="105">
        <f>'Hillpointe Detail'!AX105+'Sandhill Detail'!AX105</f>
        <v>2817.7503999999999</v>
      </c>
      <c r="AY105" s="105">
        <f>'Hillpointe Detail'!AY105+'Sandhill Detail'!AY105</f>
        <v>1782.5241799999999</v>
      </c>
      <c r="AZ105" s="105">
        <f>'Hillpointe Detail'!AZ105+'Sandhill Detail'!AZ105</f>
        <v>1783.3304640000001</v>
      </c>
      <c r="BA105" s="105">
        <f>'Hillpointe Detail'!BA105+'Sandhill Detail'!BA105</f>
        <v>0</v>
      </c>
      <c r="BB105" s="105">
        <f>'Hillpointe Detail'!BB105+'Sandhill Detail'!BB105</f>
        <v>3641.5127275000004</v>
      </c>
      <c r="BC105" s="105">
        <f>'Hillpointe Detail'!BC105+'Sandhill Detail'!BC105</f>
        <v>6433.4302125000004</v>
      </c>
      <c r="BD105" s="105">
        <f>'Hillpointe Detail'!BD105+'Sandhill Detail'!BD105</f>
        <v>10625.81940251</v>
      </c>
      <c r="BE105" s="105">
        <f>'Hillpointe Detail'!BE105+'Sandhill Detail'!BE105</f>
        <v>344.20900500000005</v>
      </c>
      <c r="BF105" s="105">
        <f>'Hillpointe Detail'!BF105+'Sandhill Detail'!BF105</f>
        <v>0</v>
      </c>
      <c r="BG105" s="105">
        <f>'Hillpointe Detail'!BG105+'Sandhill Detail'!BG105</f>
        <v>3873.7172150000001</v>
      </c>
      <c r="BH105" s="105">
        <f>'Hillpointe Detail'!BH105+'Sandhill Detail'!BH105</f>
        <v>0</v>
      </c>
      <c r="BI105" s="105">
        <f>'Hillpointe Detail'!BI105+'Sandhill Detail'!BI105</f>
        <v>0</v>
      </c>
      <c r="BJ105" s="105">
        <f>'Hillpointe Detail'!BJ105+'Sandhill Detail'!BJ105</f>
        <v>2902.2829119999997</v>
      </c>
      <c r="BK105" s="105">
        <f>'Hillpointe Detail'!BK105+'Sandhill Detail'!BK105</f>
        <v>1835.9999054</v>
      </c>
      <c r="BL105" s="105">
        <f>'Hillpointe Detail'!BL105+'Sandhill Detail'!BL105</f>
        <v>1836.8303779200003</v>
      </c>
      <c r="BM105" s="105">
        <f>'Hillpointe Detail'!BM105+'Sandhill Detail'!BM105</f>
        <v>0</v>
      </c>
      <c r="BN105" s="105">
        <f>'Hillpointe Detail'!BN105+'Sandhill Detail'!BN105</f>
        <v>3750.7581093250005</v>
      </c>
      <c r="BO105" s="105">
        <f>'Hillpointe Detail'!BO105+'Sandhill Detail'!BO105</f>
        <v>6626.4331188750011</v>
      </c>
      <c r="BP105" s="105">
        <f>'Hillpointe Detail'!BP105+'Sandhill Detail'!BP105</f>
        <v>10944.593984585301</v>
      </c>
      <c r="BQ105" s="105">
        <f>'Hillpointe Detail'!BQ105+'Sandhill Detail'!BQ105</f>
        <v>354.53527515000007</v>
      </c>
      <c r="BR105" s="105">
        <f>'Hillpointe Detail'!BR105+'Sandhill Detail'!BR105</f>
        <v>0</v>
      </c>
      <c r="BS105" s="105">
        <f>'Hillpointe Detail'!BS105+'Sandhill Detail'!BS105</f>
        <v>3989.9287314500002</v>
      </c>
      <c r="BT105" s="105">
        <f>'Hillpointe Detail'!BT105+'Sandhill Detail'!BT105</f>
        <v>0</v>
      </c>
      <c r="BU105" s="105">
        <f>'Hillpointe Detail'!BU105+'Sandhill Detail'!BU105</f>
        <v>0</v>
      </c>
      <c r="BV105" s="105">
        <f>'Hillpointe Detail'!BV105+'Sandhill Detail'!BV105</f>
        <v>2989.35139936</v>
      </c>
      <c r="BW105" s="105">
        <f>'Hillpointe Detail'!BW105+'Sandhill Detail'!BW105</f>
        <v>1891.0799025619999</v>
      </c>
      <c r="BX105" s="105">
        <f>'Hillpointe Detail'!BX105+'Sandhill Detail'!BX105</f>
        <v>1891.9352892576003</v>
      </c>
      <c r="BY105" s="8"/>
      <c r="BZ105" s="105">
        <f t="shared" si="57"/>
        <v>1680.1999999999998</v>
      </c>
      <c r="CA105" s="105">
        <f t="shared" si="58"/>
        <v>27140.329999999998</v>
      </c>
      <c r="CC105" s="105">
        <f t="shared" si="59"/>
        <v>15600</v>
      </c>
      <c r="CD105" s="105">
        <f t="shared" si="60"/>
        <v>16507.2</v>
      </c>
      <c r="CE105" s="105">
        <f t="shared" si="60"/>
        <v>23794</v>
      </c>
      <c r="CF105" s="105">
        <f t="shared" si="60"/>
        <v>28821.289999999997</v>
      </c>
      <c r="CG105" s="105">
        <f t="shared" si="60"/>
        <v>29685.9287</v>
      </c>
      <c r="CH105" s="105">
        <f t="shared" si="60"/>
        <v>30576.506560999998</v>
      </c>
      <c r="CI105" s="105">
        <f t="shared" si="60"/>
        <v>31493.801757830002</v>
      </c>
      <c r="CJ105" s="105">
        <f t="shared" si="60"/>
        <v>32438.615810564901</v>
      </c>
      <c r="CL105" s="105"/>
      <c r="CM105" s="13"/>
    </row>
    <row r="106" spans="1:91" x14ac:dyDescent="0.3">
      <c r="A106" s="84" t="s">
        <v>65</v>
      </c>
      <c r="B106" s="10" t="s">
        <v>258</v>
      </c>
      <c r="C106" s="103">
        <v>0</v>
      </c>
      <c r="D106" s="103">
        <v>10500</v>
      </c>
      <c r="E106" s="105">
        <f>'Hillpointe Detail'!E106+'Sandhill Detail'!E106</f>
        <v>3000</v>
      </c>
      <c r="F106" s="105">
        <f>'Hillpointe Detail'!F106+'Sandhill Detail'!F106</f>
        <v>0</v>
      </c>
      <c r="G106" s="105">
        <f>'Hillpointe Detail'!G106+'Sandhill Detail'!G106</f>
        <v>0</v>
      </c>
      <c r="H106" s="105">
        <f>'Hillpointe Detail'!H106+'Sandhill Detail'!H106</f>
        <v>1500</v>
      </c>
      <c r="I106" s="105">
        <f>'Hillpointe Detail'!I106+'Sandhill Detail'!I106</f>
        <v>1500</v>
      </c>
      <c r="J106" s="105">
        <f>'Hillpointe Detail'!J106+'Sandhill Detail'!J106</f>
        <v>1500</v>
      </c>
      <c r="K106" s="105">
        <f>'Hillpointe Detail'!K106+'Sandhill Detail'!K106</f>
        <v>1500</v>
      </c>
      <c r="L106" s="105">
        <f>'Hillpointe Detail'!L106+'Sandhill Detail'!L106</f>
        <v>1500</v>
      </c>
      <c r="M106" s="105">
        <f>'Hillpointe Detail'!M106+'Sandhill Detail'!M106</f>
        <v>1500</v>
      </c>
      <c r="N106" s="105">
        <f>'Hillpointe Detail'!N106+'Sandhill Detail'!N106</f>
        <v>1500</v>
      </c>
      <c r="O106" s="105">
        <f>'Hillpointe Detail'!O106+'Sandhill Detail'!O106</f>
        <v>16545</v>
      </c>
      <c r="P106" s="105">
        <f>'Hillpointe Detail'!P106+'Sandhill Detail'!P106</f>
        <v>3000</v>
      </c>
      <c r="Q106" s="105">
        <f>'Hillpointe Detail'!Q106+'Sandhill Detail'!Q106</f>
        <v>4500</v>
      </c>
      <c r="R106" s="105">
        <f>'Hillpointe Detail'!R106+'Sandhill Detail'!R106</f>
        <v>3000</v>
      </c>
      <c r="S106" s="105">
        <f>'Hillpointe Detail'!S106+'Sandhill Detail'!S106</f>
        <v>50000</v>
      </c>
      <c r="T106" s="105">
        <f>'Hillpointe Detail'!T106+'Sandhill Detail'!T106</f>
        <v>6000</v>
      </c>
      <c r="U106" s="105">
        <f>'Hillpointe Detail'!U106+'Sandhill Detail'!U106</f>
        <v>3000</v>
      </c>
      <c r="V106" s="105">
        <f>'Hillpointe Detail'!V106+'Sandhill Detail'!V106</f>
        <v>0</v>
      </c>
      <c r="W106" s="105">
        <f>'Hillpointe Detail'!W106+'Sandhill Detail'!W106</f>
        <v>3000</v>
      </c>
      <c r="X106" s="105">
        <f>'Hillpointe Detail'!X106+'Sandhill Detail'!X106</f>
        <v>6250</v>
      </c>
      <c r="Y106" s="105">
        <f>'Hillpointe Detail'!Y106+'Sandhill Detail'!Y106</f>
        <v>6500</v>
      </c>
      <c r="Z106" s="105">
        <f>'Hillpointe Detail'!Z106+'Sandhill Detail'!Z106</f>
        <v>0</v>
      </c>
      <c r="AA106" s="105">
        <f>'Hillpointe Detail'!AA106+'Sandhill Detail'!AA106</f>
        <v>9000</v>
      </c>
      <c r="AB106" s="105">
        <f>'Hillpointe Detail'!AB106+'Sandhill Detail'!AB106</f>
        <v>3090.0000000000005</v>
      </c>
      <c r="AC106" s="105">
        <f>'Hillpointe Detail'!AC106+'Sandhill Detail'!AC106</f>
        <v>4635</v>
      </c>
      <c r="AD106" s="105">
        <f>'Hillpointe Detail'!AD106+'Sandhill Detail'!AD106</f>
        <v>3090.0000000000005</v>
      </c>
      <c r="AE106" s="105">
        <f>'Hillpointe Detail'!AE106+'Sandhill Detail'!AE106</f>
        <v>25000</v>
      </c>
      <c r="AF106" s="105">
        <f>'Hillpointe Detail'!AF106+'Sandhill Detail'!AF106</f>
        <v>6180.0000000000009</v>
      </c>
      <c r="AG106" s="105">
        <f>'Hillpointe Detail'!AG106+'Sandhill Detail'!AG106</f>
        <v>3090.0000000000005</v>
      </c>
      <c r="AH106" s="105">
        <f>'Hillpointe Detail'!AH106+'Sandhill Detail'!AH106</f>
        <v>0</v>
      </c>
      <c r="AI106" s="105">
        <f>'Hillpointe Detail'!AI106+'Sandhill Detail'!AI106</f>
        <v>3090.0000000000005</v>
      </c>
      <c r="AJ106" s="105">
        <f>'Hillpointe Detail'!AJ106+'Sandhill Detail'!AJ106</f>
        <v>6437.5</v>
      </c>
      <c r="AK106" s="105">
        <f>'Hillpointe Detail'!AK106+'Sandhill Detail'!AK106</f>
        <v>6695</v>
      </c>
      <c r="AL106" s="105">
        <f>'Hillpointe Detail'!AL106+'Sandhill Detail'!AL106</f>
        <v>0</v>
      </c>
      <c r="AM106" s="105">
        <f>'Hillpointe Detail'!AM106+'Sandhill Detail'!AM106</f>
        <v>9270</v>
      </c>
      <c r="AN106" s="105">
        <f>'Hillpointe Detail'!AN106+'Sandhill Detail'!AN106</f>
        <v>3182.7000000000003</v>
      </c>
      <c r="AO106" s="105">
        <f>'Hillpointe Detail'!AO106+'Sandhill Detail'!AO106</f>
        <v>4774.0500000000011</v>
      </c>
      <c r="AP106" s="105">
        <f>'Hillpointe Detail'!AP106+'Sandhill Detail'!AP106</f>
        <v>3182.7000000000003</v>
      </c>
      <c r="AQ106" s="105">
        <f>'Hillpointe Detail'!AQ106+'Sandhill Detail'!AQ106</f>
        <v>25000</v>
      </c>
      <c r="AR106" s="105">
        <f>'Hillpointe Detail'!AR106+'Sandhill Detail'!AR106</f>
        <v>6365.4000000000005</v>
      </c>
      <c r="AS106" s="105">
        <f>'Hillpointe Detail'!AS106+'Sandhill Detail'!AS106</f>
        <v>3182.7000000000003</v>
      </c>
      <c r="AT106" s="105">
        <f>'Hillpointe Detail'!AT106+'Sandhill Detail'!AT106</f>
        <v>0</v>
      </c>
      <c r="AU106" s="105">
        <f>'Hillpointe Detail'!AU106+'Sandhill Detail'!AU106</f>
        <v>3182.7000000000003</v>
      </c>
      <c r="AV106" s="105">
        <f>'Hillpointe Detail'!AV106+'Sandhill Detail'!AV106</f>
        <v>6630.625</v>
      </c>
      <c r="AW106" s="105">
        <f>'Hillpointe Detail'!AW106+'Sandhill Detail'!AW106</f>
        <v>6895.85</v>
      </c>
      <c r="AX106" s="105">
        <f>'Hillpointe Detail'!AX106+'Sandhill Detail'!AX106</f>
        <v>0</v>
      </c>
      <c r="AY106" s="105">
        <f>'Hillpointe Detail'!AY106+'Sandhill Detail'!AY106</f>
        <v>9548.1000000000022</v>
      </c>
      <c r="AZ106" s="105">
        <f>'Hillpointe Detail'!AZ106+'Sandhill Detail'!AZ106</f>
        <v>3278.1810000000005</v>
      </c>
      <c r="BA106" s="105">
        <f>'Hillpointe Detail'!BA106+'Sandhill Detail'!BA106</f>
        <v>4917.2715000000007</v>
      </c>
      <c r="BB106" s="105">
        <f>'Hillpointe Detail'!BB106+'Sandhill Detail'!BB106</f>
        <v>3278.1810000000005</v>
      </c>
      <c r="BC106" s="105">
        <f>'Hillpointe Detail'!BC106+'Sandhill Detail'!BC106</f>
        <v>25000</v>
      </c>
      <c r="BD106" s="105">
        <f>'Hillpointe Detail'!BD106+'Sandhill Detail'!BD106</f>
        <v>6556.362000000001</v>
      </c>
      <c r="BE106" s="105">
        <f>'Hillpointe Detail'!BE106+'Sandhill Detail'!BE106</f>
        <v>3278.1810000000005</v>
      </c>
      <c r="BF106" s="105">
        <f>'Hillpointe Detail'!BF106+'Sandhill Detail'!BF106</f>
        <v>0</v>
      </c>
      <c r="BG106" s="105">
        <f>'Hillpointe Detail'!BG106+'Sandhill Detail'!BG106</f>
        <v>3278.1810000000005</v>
      </c>
      <c r="BH106" s="105">
        <f>'Hillpointe Detail'!BH106+'Sandhill Detail'!BH106</f>
        <v>6829.5437500000007</v>
      </c>
      <c r="BI106" s="105">
        <f>'Hillpointe Detail'!BI106+'Sandhill Detail'!BI106</f>
        <v>7102.7255000000005</v>
      </c>
      <c r="BJ106" s="105">
        <f>'Hillpointe Detail'!BJ106+'Sandhill Detail'!BJ106</f>
        <v>0</v>
      </c>
      <c r="BK106" s="105">
        <f>'Hillpointe Detail'!BK106+'Sandhill Detail'!BK106</f>
        <v>9834.5430000000015</v>
      </c>
      <c r="BL106" s="105">
        <f>'Hillpointe Detail'!BL106+'Sandhill Detail'!BL106</f>
        <v>3376.5264300000003</v>
      </c>
      <c r="BM106" s="105">
        <f>'Hillpointe Detail'!BM106+'Sandhill Detail'!BM106</f>
        <v>5064.7896450000007</v>
      </c>
      <c r="BN106" s="105">
        <f>'Hillpointe Detail'!BN106+'Sandhill Detail'!BN106</f>
        <v>3376.5264300000003</v>
      </c>
      <c r="BO106" s="105">
        <f>'Hillpointe Detail'!BO106+'Sandhill Detail'!BO106</f>
        <v>25000</v>
      </c>
      <c r="BP106" s="105">
        <f>'Hillpointe Detail'!BP106+'Sandhill Detail'!BP106</f>
        <v>6753.0528600000007</v>
      </c>
      <c r="BQ106" s="105">
        <f>'Hillpointe Detail'!BQ106+'Sandhill Detail'!BQ106</f>
        <v>3376.5264300000003</v>
      </c>
      <c r="BR106" s="105">
        <f>'Hillpointe Detail'!BR106+'Sandhill Detail'!BR106</f>
        <v>0</v>
      </c>
      <c r="BS106" s="105">
        <f>'Hillpointe Detail'!BS106+'Sandhill Detail'!BS106</f>
        <v>3376.5264300000003</v>
      </c>
      <c r="BT106" s="105">
        <f>'Hillpointe Detail'!BT106+'Sandhill Detail'!BT106</f>
        <v>7034.4300625000005</v>
      </c>
      <c r="BU106" s="105">
        <f>'Hillpointe Detail'!BU106+'Sandhill Detail'!BU106</f>
        <v>7315.8072650000004</v>
      </c>
      <c r="BV106" s="105">
        <f>'Hillpointe Detail'!BV106+'Sandhill Detail'!BV106</f>
        <v>0</v>
      </c>
      <c r="BW106" s="105">
        <f>'Hillpointe Detail'!BW106+'Sandhill Detail'!BW106</f>
        <v>10129.579290000001</v>
      </c>
      <c r="BX106" s="105">
        <f>'Hillpointe Detail'!BX106+'Sandhill Detail'!BX106</f>
        <v>3477.8222229000003</v>
      </c>
      <c r="BY106" s="8"/>
      <c r="BZ106" s="105">
        <f t="shared" si="57"/>
        <v>9000</v>
      </c>
      <c r="CA106" s="105">
        <f t="shared" si="58"/>
        <v>91250</v>
      </c>
      <c r="CC106" s="105">
        <f t="shared" si="59"/>
        <v>0</v>
      </c>
      <c r="CD106" s="105">
        <f t="shared" si="60"/>
        <v>10500</v>
      </c>
      <c r="CE106" s="105">
        <f t="shared" si="60"/>
        <v>33045</v>
      </c>
      <c r="CF106" s="105">
        <f t="shared" si="60"/>
        <v>94340</v>
      </c>
      <c r="CG106" s="105">
        <f t="shared" si="60"/>
        <v>70670.2</v>
      </c>
      <c r="CH106" s="105">
        <f t="shared" si="60"/>
        <v>72040.305999999997</v>
      </c>
      <c r="CI106" s="105">
        <f t="shared" si="60"/>
        <v>73451.515180000002</v>
      </c>
      <c r="CJ106" s="105">
        <f t="shared" si="60"/>
        <v>74905.060635400005</v>
      </c>
      <c r="CL106" s="105"/>
      <c r="CM106" s="13"/>
    </row>
    <row r="107" spans="1:91" x14ac:dyDescent="0.3">
      <c r="A107" s="84" t="s">
        <v>66</v>
      </c>
      <c r="B107" s="10" t="s">
        <v>258</v>
      </c>
      <c r="C107" s="103">
        <v>12597.14</v>
      </c>
      <c r="D107" s="103">
        <v>9274.5499999999993</v>
      </c>
      <c r="E107" s="105">
        <f>'Hillpointe Detail'!E107+'Sandhill Detail'!E107</f>
        <v>676</v>
      </c>
      <c r="F107" s="105">
        <f>'Hillpointe Detail'!F107+'Sandhill Detail'!F107</f>
        <v>707.75</v>
      </c>
      <c r="G107" s="105">
        <f>'Hillpointe Detail'!G107+'Sandhill Detail'!G107</f>
        <v>926.6</v>
      </c>
      <c r="H107" s="105">
        <f>'Hillpointe Detail'!H107+'Sandhill Detail'!H107</f>
        <v>1236.1499999999999</v>
      </c>
      <c r="I107" s="105">
        <f>'Hillpointe Detail'!I107+'Sandhill Detail'!I107</f>
        <v>491.40000000000003</v>
      </c>
      <c r="J107" s="105">
        <f>'Hillpointe Detail'!J107+'Sandhill Detail'!J107</f>
        <v>1182.1500000000001</v>
      </c>
      <c r="K107" s="105">
        <f>'Hillpointe Detail'!K107+'Sandhill Detail'!K107</f>
        <v>739.8</v>
      </c>
      <c r="L107" s="105">
        <f>'Hillpointe Detail'!L107+'Sandhill Detail'!L107</f>
        <v>1040.25</v>
      </c>
      <c r="M107" s="105">
        <f>'Hillpointe Detail'!M107+'Sandhill Detail'!M107</f>
        <v>1179.55</v>
      </c>
      <c r="N107" s="105">
        <f>'Hillpointe Detail'!N107+'Sandhill Detail'!N107</f>
        <v>0</v>
      </c>
      <c r="O107" s="105">
        <f>'Hillpointe Detail'!O107+'Sandhill Detail'!O107</f>
        <v>0</v>
      </c>
      <c r="P107" s="105">
        <f>'Hillpointe Detail'!P107+'Sandhill Detail'!P107</f>
        <v>567.29999999999995</v>
      </c>
      <c r="Q107" s="105">
        <f>'Hillpointe Detail'!Q107+'Sandhill Detail'!Q107</f>
        <v>-567.29999999999995</v>
      </c>
      <c r="R107" s="105">
        <f>'Hillpointe Detail'!R107+'Sandhill Detail'!R107</f>
        <v>0</v>
      </c>
      <c r="S107" s="105">
        <f>'Hillpointe Detail'!S107+'Sandhill Detail'!S107</f>
        <v>0</v>
      </c>
      <c r="T107" s="105">
        <f>'Hillpointe Detail'!T107+'Sandhill Detail'!T107</f>
        <v>0</v>
      </c>
      <c r="U107" s="105">
        <f>'Hillpointe Detail'!U107+'Sandhill Detail'!U107</f>
        <v>0</v>
      </c>
      <c r="V107" s="105">
        <f>'Hillpointe Detail'!V107+'Sandhill Detail'!V107</f>
        <v>0</v>
      </c>
      <c r="W107" s="105">
        <f>'Hillpointe Detail'!W107+'Sandhill Detail'!W107</f>
        <v>0</v>
      </c>
      <c r="X107" s="105">
        <f>'Hillpointe Detail'!X107+'Sandhill Detail'!X107</f>
        <v>0</v>
      </c>
      <c r="Y107" s="105">
        <f>'Hillpointe Detail'!Y107+'Sandhill Detail'!Y107</f>
        <v>0</v>
      </c>
      <c r="Z107" s="105">
        <f>'Hillpointe Detail'!Z107+'Sandhill Detail'!Z107</f>
        <v>0</v>
      </c>
      <c r="AA107" s="105">
        <f>'Hillpointe Detail'!AA107+'Sandhill Detail'!AA107</f>
        <v>0</v>
      </c>
      <c r="AB107" s="105">
        <f>'Hillpointe Detail'!AB107+'Sandhill Detail'!AB107</f>
        <v>584.31899999999996</v>
      </c>
      <c r="AC107" s="105">
        <f>'Hillpointe Detail'!AC107+'Sandhill Detail'!AC107</f>
        <v>-584.31899999999996</v>
      </c>
      <c r="AD107" s="105">
        <f>'Hillpointe Detail'!AD107+'Sandhill Detail'!AD107</f>
        <v>0</v>
      </c>
      <c r="AE107" s="105">
        <f>'Hillpointe Detail'!AE107+'Sandhill Detail'!AE107</f>
        <v>0</v>
      </c>
      <c r="AF107" s="105">
        <f>'Hillpointe Detail'!AF107+'Sandhill Detail'!AF107</f>
        <v>0</v>
      </c>
      <c r="AG107" s="105">
        <f>'Hillpointe Detail'!AG107+'Sandhill Detail'!AG107</f>
        <v>0</v>
      </c>
      <c r="AH107" s="105">
        <f>'Hillpointe Detail'!AH107+'Sandhill Detail'!AH107</f>
        <v>0</v>
      </c>
      <c r="AI107" s="105">
        <f>'Hillpointe Detail'!AI107+'Sandhill Detail'!AI107</f>
        <v>0</v>
      </c>
      <c r="AJ107" s="105">
        <f>'Hillpointe Detail'!AJ107+'Sandhill Detail'!AJ107</f>
        <v>0</v>
      </c>
      <c r="AK107" s="105">
        <f>'Hillpointe Detail'!AK107+'Sandhill Detail'!AK107</f>
        <v>0</v>
      </c>
      <c r="AL107" s="105">
        <f>'Hillpointe Detail'!AL107+'Sandhill Detail'!AL107</f>
        <v>0</v>
      </c>
      <c r="AM107" s="105">
        <f>'Hillpointe Detail'!AM107+'Sandhill Detail'!AM107</f>
        <v>0</v>
      </c>
      <c r="AN107" s="105">
        <f>'Hillpointe Detail'!AN107+'Sandhill Detail'!AN107</f>
        <v>601.84857000000011</v>
      </c>
      <c r="AO107" s="105">
        <f>'Hillpointe Detail'!AO107+'Sandhill Detail'!AO107</f>
        <v>-601.84857000000011</v>
      </c>
      <c r="AP107" s="105">
        <f>'Hillpointe Detail'!AP107+'Sandhill Detail'!AP107</f>
        <v>0</v>
      </c>
      <c r="AQ107" s="105">
        <f>'Hillpointe Detail'!AQ107+'Sandhill Detail'!AQ107</f>
        <v>0</v>
      </c>
      <c r="AR107" s="105">
        <f>'Hillpointe Detail'!AR107+'Sandhill Detail'!AR107</f>
        <v>0</v>
      </c>
      <c r="AS107" s="105">
        <f>'Hillpointe Detail'!AS107+'Sandhill Detail'!AS107</f>
        <v>0</v>
      </c>
      <c r="AT107" s="105">
        <f>'Hillpointe Detail'!AT107+'Sandhill Detail'!AT107</f>
        <v>0</v>
      </c>
      <c r="AU107" s="105">
        <f>'Hillpointe Detail'!AU107+'Sandhill Detail'!AU107</f>
        <v>0</v>
      </c>
      <c r="AV107" s="105">
        <f>'Hillpointe Detail'!AV107+'Sandhill Detail'!AV107</f>
        <v>0</v>
      </c>
      <c r="AW107" s="105">
        <f>'Hillpointe Detail'!AW107+'Sandhill Detail'!AW107</f>
        <v>0</v>
      </c>
      <c r="AX107" s="105">
        <f>'Hillpointe Detail'!AX107+'Sandhill Detail'!AX107</f>
        <v>0</v>
      </c>
      <c r="AY107" s="105">
        <f>'Hillpointe Detail'!AY107+'Sandhill Detail'!AY107</f>
        <v>0</v>
      </c>
      <c r="AZ107" s="105">
        <f>'Hillpointe Detail'!AZ107+'Sandhill Detail'!AZ107</f>
        <v>619.90402710000012</v>
      </c>
      <c r="BA107" s="105">
        <f>'Hillpointe Detail'!BA107+'Sandhill Detail'!BA107</f>
        <v>-619.90402710000012</v>
      </c>
      <c r="BB107" s="105">
        <f>'Hillpointe Detail'!BB107+'Sandhill Detail'!BB107</f>
        <v>0</v>
      </c>
      <c r="BC107" s="105">
        <f>'Hillpointe Detail'!BC107+'Sandhill Detail'!BC107</f>
        <v>0</v>
      </c>
      <c r="BD107" s="105">
        <f>'Hillpointe Detail'!BD107+'Sandhill Detail'!BD107</f>
        <v>0</v>
      </c>
      <c r="BE107" s="105">
        <f>'Hillpointe Detail'!BE107+'Sandhill Detail'!BE107</f>
        <v>0</v>
      </c>
      <c r="BF107" s="105">
        <f>'Hillpointe Detail'!BF107+'Sandhill Detail'!BF107</f>
        <v>0</v>
      </c>
      <c r="BG107" s="105">
        <f>'Hillpointe Detail'!BG107+'Sandhill Detail'!BG107</f>
        <v>0</v>
      </c>
      <c r="BH107" s="105">
        <f>'Hillpointe Detail'!BH107+'Sandhill Detail'!BH107</f>
        <v>0</v>
      </c>
      <c r="BI107" s="105">
        <f>'Hillpointe Detail'!BI107+'Sandhill Detail'!BI107</f>
        <v>0</v>
      </c>
      <c r="BJ107" s="105">
        <f>'Hillpointe Detail'!BJ107+'Sandhill Detail'!BJ107</f>
        <v>0</v>
      </c>
      <c r="BK107" s="105">
        <f>'Hillpointe Detail'!BK107+'Sandhill Detail'!BK107</f>
        <v>0</v>
      </c>
      <c r="BL107" s="105">
        <f>'Hillpointe Detail'!BL107+'Sandhill Detail'!BL107</f>
        <v>638.50114791300007</v>
      </c>
      <c r="BM107" s="105">
        <f>'Hillpointe Detail'!BM107+'Sandhill Detail'!BM107</f>
        <v>-638.50114791300007</v>
      </c>
      <c r="BN107" s="105">
        <f>'Hillpointe Detail'!BN107+'Sandhill Detail'!BN107</f>
        <v>0</v>
      </c>
      <c r="BO107" s="105">
        <f>'Hillpointe Detail'!BO107+'Sandhill Detail'!BO107</f>
        <v>0</v>
      </c>
      <c r="BP107" s="105">
        <f>'Hillpointe Detail'!BP107+'Sandhill Detail'!BP107</f>
        <v>0</v>
      </c>
      <c r="BQ107" s="105">
        <f>'Hillpointe Detail'!BQ107+'Sandhill Detail'!BQ107</f>
        <v>0</v>
      </c>
      <c r="BR107" s="105">
        <f>'Hillpointe Detail'!BR107+'Sandhill Detail'!BR107</f>
        <v>0</v>
      </c>
      <c r="BS107" s="105">
        <f>'Hillpointe Detail'!BS107+'Sandhill Detail'!BS107</f>
        <v>0</v>
      </c>
      <c r="BT107" s="105">
        <f>'Hillpointe Detail'!BT107+'Sandhill Detail'!BT107</f>
        <v>0</v>
      </c>
      <c r="BU107" s="105">
        <f>'Hillpointe Detail'!BU107+'Sandhill Detail'!BU107</f>
        <v>0</v>
      </c>
      <c r="BV107" s="105">
        <f>'Hillpointe Detail'!BV107+'Sandhill Detail'!BV107</f>
        <v>0</v>
      </c>
      <c r="BW107" s="105">
        <f>'Hillpointe Detail'!BW107+'Sandhill Detail'!BW107</f>
        <v>0</v>
      </c>
      <c r="BX107" s="105">
        <f>'Hillpointe Detail'!BX107+'Sandhill Detail'!BX107</f>
        <v>657.65618235039005</v>
      </c>
      <c r="BY107" s="8"/>
      <c r="BZ107" s="105">
        <f t="shared" si="57"/>
        <v>0</v>
      </c>
      <c r="CA107" s="105">
        <f t="shared" si="58"/>
        <v>-567.29999999999995</v>
      </c>
      <c r="CC107" s="105">
        <f t="shared" si="59"/>
        <v>12597.14</v>
      </c>
      <c r="CD107" s="105">
        <f t="shared" si="60"/>
        <v>9274.5499999999993</v>
      </c>
      <c r="CE107" s="105">
        <f t="shared" si="60"/>
        <v>8746.9500000000007</v>
      </c>
      <c r="CF107" s="105">
        <f t="shared" si="60"/>
        <v>17.019000000000005</v>
      </c>
      <c r="CG107" s="105">
        <f t="shared" si="60"/>
        <v>17.529570000000149</v>
      </c>
      <c r="CH107" s="105">
        <f t="shared" si="60"/>
        <v>18.055457100000012</v>
      </c>
      <c r="CI107" s="105">
        <f t="shared" si="60"/>
        <v>18.597120812999947</v>
      </c>
      <c r="CJ107" s="105">
        <f t="shared" si="60"/>
        <v>19.155034437389986</v>
      </c>
      <c r="CL107" s="105"/>
      <c r="CM107" s="13"/>
    </row>
    <row r="108" spans="1:91" x14ac:dyDescent="0.3">
      <c r="A108" s="84" t="s">
        <v>328</v>
      </c>
      <c r="B108" s="10" t="s">
        <v>258</v>
      </c>
      <c r="C108" s="103">
        <v>0</v>
      </c>
      <c r="D108" s="103">
        <v>0</v>
      </c>
      <c r="E108" s="105">
        <f>'Hillpointe Detail'!E108+'Sandhill Detail'!E108</f>
        <v>0</v>
      </c>
      <c r="F108" s="105">
        <f>'Hillpointe Detail'!F108+'Sandhill Detail'!F108</f>
        <v>0</v>
      </c>
      <c r="G108" s="105">
        <f>'Hillpointe Detail'!G108+'Sandhill Detail'!G108</f>
        <v>0</v>
      </c>
      <c r="H108" s="105">
        <f>'Hillpointe Detail'!H108+'Sandhill Detail'!H108</f>
        <v>0</v>
      </c>
      <c r="I108" s="105">
        <f>'Hillpointe Detail'!I108+'Sandhill Detail'!I108</f>
        <v>0</v>
      </c>
      <c r="J108" s="105">
        <f>'Hillpointe Detail'!J108+'Sandhill Detail'!J108</f>
        <v>0</v>
      </c>
      <c r="K108" s="105">
        <f>'Hillpointe Detail'!K108+'Sandhill Detail'!K108</f>
        <v>0</v>
      </c>
      <c r="L108" s="105">
        <f>'Hillpointe Detail'!L108+'Sandhill Detail'!L108</f>
        <v>0</v>
      </c>
      <c r="M108" s="105">
        <f>'Hillpointe Detail'!M108+'Sandhill Detail'!M108</f>
        <v>0</v>
      </c>
      <c r="N108" s="105">
        <f>'Hillpointe Detail'!N108+'Sandhill Detail'!N108</f>
        <v>3900</v>
      </c>
      <c r="O108" s="105">
        <f>'Hillpointe Detail'!O108+'Sandhill Detail'!O108</f>
        <v>0</v>
      </c>
      <c r="P108" s="105">
        <f>'Hillpointe Detail'!P108+'Sandhill Detail'!P108</f>
        <v>0</v>
      </c>
      <c r="Q108" s="105">
        <f>'Hillpointe Detail'!Q108+'Sandhill Detail'!Q108</f>
        <v>0</v>
      </c>
      <c r="R108" s="105">
        <f>'Hillpointe Detail'!R108+'Sandhill Detail'!R108</f>
        <v>0</v>
      </c>
      <c r="S108" s="105">
        <f>'Hillpointe Detail'!S108+'Sandhill Detail'!S108</f>
        <v>0</v>
      </c>
      <c r="T108" s="105">
        <f>'Hillpointe Detail'!T108+'Sandhill Detail'!T108</f>
        <v>0</v>
      </c>
      <c r="U108" s="105">
        <f>'Hillpointe Detail'!U108+'Sandhill Detail'!U108</f>
        <v>0</v>
      </c>
      <c r="V108" s="105">
        <f>'Hillpointe Detail'!V108+'Sandhill Detail'!V108</f>
        <v>0</v>
      </c>
      <c r="W108" s="105">
        <f>'Hillpointe Detail'!W108+'Sandhill Detail'!W108</f>
        <v>0</v>
      </c>
      <c r="X108" s="105">
        <f>'Hillpointe Detail'!X108+'Sandhill Detail'!X108</f>
        <v>0</v>
      </c>
      <c r="Y108" s="105">
        <f>'Hillpointe Detail'!Y108+'Sandhill Detail'!Y108</f>
        <v>0</v>
      </c>
      <c r="Z108" s="105">
        <f>'Hillpointe Detail'!Z108+'Sandhill Detail'!Z108</f>
        <v>0</v>
      </c>
      <c r="AA108" s="105">
        <f>'Hillpointe Detail'!AA108+'Sandhill Detail'!AA108</f>
        <v>0</v>
      </c>
      <c r="AB108" s="105">
        <f>'Hillpointe Detail'!AB108+'Sandhill Detail'!AB108</f>
        <v>0</v>
      </c>
      <c r="AC108" s="105">
        <f>'Hillpointe Detail'!AC108+'Sandhill Detail'!AC108</f>
        <v>0</v>
      </c>
      <c r="AD108" s="105">
        <f>'Hillpointe Detail'!AD108+'Sandhill Detail'!AD108</f>
        <v>0</v>
      </c>
      <c r="AE108" s="105">
        <f>'Hillpointe Detail'!AE108+'Sandhill Detail'!AE108</f>
        <v>0</v>
      </c>
      <c r="AF108" s="105">
        <f>'Hillpointe Detail'!AF108+'Sandhill Detail'!AF108</f>
        <v>0</v>
      </c>
      <c r="AG108" s="105">
        <f>'Hillpointe Detail'!AG108+'Sandhill Detail'!AG108</f>
        <v>0</v>
      </c>
      <c r="AH108" s="105">
        <f>'Hillpointe Detail'!AH108+'Sandhill Detail'!AH108</f>
        <v>0</v>
      </c>
      <c r="AI108" s="105">
        <f>'Hillpointe Detail'!AI108+'Sandhill Detail'!AI108</f>
        <v>0</v>
      </c>
      <c r="AJ108" s="105">
        <f>'Hillpointe Detail'!AJ108+'Sandhill Detail'!AJ108</f>
        <v>0</v>
      </c>
      <c r="AK108" s="105">
        <f>'Hillpointe Detail'!AK108+'Sandhill Detail'!AK108</f>
        <v>0</v>
      </c>
      <c r="AL108" s="105">
        <f>'Hillpointe Detail'!AL108+'Sandhill Detail'!AL108</f>
        <v>0</v>
      </c>
      <c r="AM108" s="105">
        <f>'Hillpointe Detail'!AM108+'Sandhill Detail'!AM108</f>
        <v>0</v>
      </c>
      <c r="AN108" s="105">
        <f>'Hillpointe Detail'!AN108+'Sandhill Detail'!AN108</f>
        <v>0</v>
      </c>
      <c r="AO108" s="105">
        <f>'Hillpointe Detail'!AO108+'Sandhill Detail'!AO108</f>
        <v>0</v>
      </c>
      <c r="AP108" s="105">
        <f>'Hillpointe Detail'!AP108+'Sandhill Detail'!AP108</f>
        <v>0</v>
      </c>
      <c r="AQ108" s="105">
        <f>'Hillpointe Detail'!AQ108+'Sandhill Detail'!AQ108</f>
        <v>0</v>
      </c>
      <c r="AR108" s="105">
        <f>'Hillpointe Detail'!AR108+'Sandhill Detail'!AR108</f>
        <v>0</v>
      </c>
      <c r="AS108" s="105">
        <f>'Hillpointe Detail'!AS108+'Sandhill Detail'!AS108</f>
        <v>0</v>
      </c>
      <c r="AT108" s="105">
        <f>'Hillpointe Detail'!AT108+'Sandhill Detail'!AT108</f>
        <v>0</v>
      </c>
      <c r="AU108" s="105">
        <f>'Hillpointe Detail'!AU108+'Sandhill Detail'!AU108</f>
        <v>0</v>
      </c>
      <c r="AV108" s="105">
        <f>'Hillpointe Detail'!AV108+'Sandhill Detail'!AV108</f>
        <v>0</v>
      </c>
      <c r="AW108" s="105">
        <f>'Hillpointe Detail'!AW108+'Sandhill Detail'!AW108</f>
        <v>0</v>
      </c>
      <c r="AX108" s="105">
        <f>'Hillpointe Detail'!AX108+'Sandhill Detail'!AX108</f>
        <v>0</v>
      </c>
      <c r="AY108" s="105">
        <f>'Hillpointe Detail'!AY108+'Sandhill Detail'!AY108</f>
        <v>0</v>
      </c>
      <c r="AZ108" s="105">
        <f>'Hillpointe Detail'!AZ108+'Sandhill Detail'!AZ108</f>
        <v>0</v>
      </c>
      <c r="BA108" s="105">
        <f>'Hillpointe Detail'!BA108+'Sandhill Detail'!BA108</f>
        <v>0</v>
      </c>
      <c r="BB108" s="105">
        <f>'Hillpointe Detail'!BB108+'Sandhill Detail'!BB108</f>
        <v>0</v>
      </c>
      <c r="BC108" s="105">
        <f>'Hillpointe Detail'!BC108+'Sandhill Detail'!BC108</f>
        <v>0</v>
      </c>
      <c r="BD108" s="105">
        <f>'Hillpointe Detail'!BD108+'Sandhill Detail'!BD108</f>
        <v>0</v>
      </c>
      <c r="BE108" s="105">
        <f>'Hillpointe Detail'!BE108+'Sandhill Detail'!BE108</f>
        <v>0</v>
      </c>
      <c r="BF108" s="105">
        <f>'Hillpointe Detail'!BF108+'Sandhill Detail'!BF108</f>
        <v>0</v>
      </c>
      <c r="BG108" s="105">
        <f>'Hillpointe Detail'!BG108+'Sandhill Detail'!BG108</f>
        <v>0</v>
      </c>
      <c r="BH108" s="105">
        <f>'Hillpointe Detail'!BH108+'Sandhill Detail'!BH108</f>
        <v>0</v>
      </c>
      <c r="BI108" s="105">
        <f>'Hillpointe Detail'!BI108+'Sandhill Detail'!BI108</f>
        <v>0</v>
      </c>
      <c r="BJ108" s="105">
        <f>'Hillpointe Detail'!BJ108+'Sandhill Detail'!BJ108</f>
        <v>0</v>
      </c>
      <c r="BK108" s="105">
        <f>'Hillpointe Detail'!BK108+'Sandhill Detail'!BK108</f>
        <v>0</v>
      </c>
      <c r="BL108" s="105">
        <f>'Hillpointe Detail'!BL108+'Sandhill Detail'!BL108</f>
        <v>0</v>
      </c>
      <c r="BM108" s="105">
        <f>'Hillpointe Detail'!BM108+'Sandhill Detail'!BM108</f>
        <v>0</v>
      </c>
      <c r="BN108" s="105">
        <f>'Hillpointe Detail'!BN108+'Sandhill Detail'!BN108</f>
        <v>0</v>
      </c>
      <c r="BO108" s="105">
        <f>'Hillpointe Detail'!BO108+'Sandhill Detail'!BO108</f>
        <v>0</v>
      </c>
      <c r="BP108" s="105">
        <f>'Hillpointe Detail'!BP108+'Sandhill Detail'!BP108</f>
        <v>0</v>
      </c>
      <c r="BQ108" s="105">
        <f>'Hillpointe Detail'!BQ108+'Sandhill Detail'!BQ108</f>
        <v>0</v>
      </c>
      <c r="BR108" s="105">
        <f>'Hillpointe Detail'!BR108+'Sandhill Detail'!BR108</f>
        <v>0</v>
      </c>
      <c r="BS108" s="105">
        <f>'Hillpointe Detail'!BS108+'Sandhill Detail'!BS108</f>
        <v>0</v>
      </c>
      <c r="BT108" s="105">
        <f>'Hillpointe Detail'!BT108+'Sandhill Detail'!BT108</f>
        <v>0</v>
      </c>
      <c r="BU108" s="105">
        <f>'Hillpointe Detail'!BU108+'Sandhill Detail'!BU108</f>
        <v>0</v>
      </c>
      <c r="BV108" s="105">
        <f>'Hillpointe Detail'!BV108+'Sandhill Detail'!BV108</f>
        <v>0</v>
      </c>
      <c r="BW108" s="105">
        <f>'Hillpointe Detail'!BW108+'Sandhill Detail'!BW108</f>
        <v>0</v>
      </c>
      <c r="BX108" s="105">
        <f>'Hillpointe Detail'!BX108+'Sandhill Detail'!BX108</f>
        <v>0</v>
      </c>
      <c r="BY108" s="8"/>
      <c r="BZ108" s="105">
        <f t="shared" si="57"/>
        <v>0</v>
      </c>
      <c r="CA108" s="105">
        <f t="shared" si="58"/>
        <v>0</v>
      </c>
      <c r="CC108" s="105">
        <f t="shared" si="59"/>
        <v>0</v>
      </c>
      <c r="CD108" s="105">
        <f t="shared" ref="CD108:CJ117" si="61">SUMIF($C$3:$BY$3,CD$3,$C108:$BY108)</f>
        <v>0</v>
      </c>
      <c r="CE108" s="105">
        <f t="shared" si="61"/>
        <v>3900</v>
      </c>
      <c r="CF108" s="105">
        <f t="shared" si="61"/>
        <v>0</v>
      </c>
      <c r="CG108" s="105">
        <f t="shared" si="61"/>
        <v>0</v>
      </c>
      <c r="CH108" s="105">
        <f t="shared" si="61"/>
        <v>0</v>
      </c>
      <c r="CI108" s="105">
        <f t="shared" si="61"/>
        <v>0</v>
      </c>
      <c r="CJ108" s="105">
        <f t="shared" si="61"/>
        <v>0</v>
      </c>
      <c r="CL108" s="105"/>
      <c r="CM108" s="13"/>
    </row>
    <row r="109" spans="1:91" x14ac:dyDescent="0.3">
      <c r="A109" s="84" t="s">
        <v>67</v>
      </c>
      <c r="B109" s="10" t="s">
        <v>140</v>
      </c>
      <c r="C109" s="103">
        <v>22853.83</v>
      </c>
      <c r="D109" s="103">
        <v>13849.460000000001</v>
      </c>
      <c r="E109" s="105">
        <f>'Hillpointe Detail'!E109+'Sandhill Detail'!E109</f>
        <v>393.67</v>
      </c>
      <c r="F109" s="105">
        <f>'Hillpointe Detail'!F109+'Sandhill Detail'!F109</f>
        <v>220.39</v>
      </c>
      <c r="G109" s="105">
        <f>'Hillpointe Detail'!G109+'Sandhill Detail'!G109</f>
        <v>1834.0800000000002</v>
      </c>
      <c r="H109" s="105">
        <f>'Hillpointe Detail'!H109+'Sandhill Detail'!H109</f>
        <v>94.88</v>
      </c>
      <c r="I109" s="105">
        <f>'Hillpointe Detail'!I109+'Sandhill Detail'!I109</f>
        <v>276.2</v>
      </c>
      <c r="J109" s="105">
        <f>'Hillpointe Detail'!J109+'Sandhill Detail'!J109</f>
        <v>-66.039999999999992</v>
      </c>
      <c r="K109" s="105">
        <f>'Hillpointe Detail'!K109+'Sandhill Detail'!K109</f>
        <v>108.02000000000001</v>
      </c>
      <c r="L109" s="105">
        <f>'Hillpointe Detail'!L109+'Sandhill Detail'!L109</f>
        <v>35.810000000000059</v>
      </c>
      <c r="M109" s="105">
        <f>'Hillpointe Detail'!M109+'Sandhill Detail'!M109</f>
        <v>386.94</v>
      </c>
      <c r="N109" s="105">
        <f>'Hillpointe Detail'!N109+'Sandhill Detail'!N109</f>
        <v>137.88999999999999</v>
      </c>
      <c r="O109" s="105">
        <f>'Hillpointe Detail'!O109+'Sandhill Detail'!O109</f>
        <v>3587.17</v>
      </c>
      <c r="P109" s="105">
        <f>'Hillpointe Detail'!P109+'Sandhill Detail'!P109</f>
        <v>0</v>
      </c>
      <c r="Q109" s="105">
        <f>'Hillpointe Detail'!Q109+'Sandhill Detail'!Q109</f>
        <v>0</v>
      </c>
      <c r="R109" s="105">
        <f>'Hillpointe Detail'!R109+'Sandhill Detail'!R109</f>
        <v>399.9</v>
      </c>
      <c r="S109" s="105">
        <f>'Hillpointe Detail'!S109+'Sandhill Detail'!S109</f>
        <v>892.46999999999991</v>
      </c>
      <c r="T109" s="105">
        <f>'Hillpointe Detail'!T109+'Sandhill Detail'!T109</f>
        <v>559.86</v>
      </c>
      <c r="U109" s="105">
        <f>'Hillpointe Detail'!U109+'Sandhill Detail'!U109</f>
        <v>401.88</v>
      </c>
      <c r="V109" s="105">
        <f>'Hillpointe Detail'!V109+'Sandhill Detail'!V109</f>
        <v>15.23</v>
      </c>
      <c r="W109" s="105">
        <f>'Hillpointe Detail'!W109+'Sandhill Detail'!W109</f>
        <v>5090.68</v>
      </c>
      <c r="X109" s="105">
        <f>'Hillpointe Detail'!X109+'Sandhill Detail'!X109</f>
        <v>167.49</v>
      </c>
      <c r="Y109" s="105">
        <f>'Hillpointe Detail'!Y109+'Sandhill Detail'!Y109</f>
        <v>20.05</v>
      </c>
      <c r="Z109" s="105">
        <f>'Hillpointe Detail'!Z109+'Sandhill Detail'!Z109</f>
        <v>0</v>
      </c>
      <c r="AA109" s="105">
        <f>'Hillpointe Detail'!AA109+'Sandhill Detail'!AA109</f>
        <v>21.950000000000003</v>
      </c>
      <c r="AB109" s="105">
        <f>'Hillpointe Detail'!AB109+'Sandhill Detail'!AB109</f>
        <v>0</v>
      </c>
      <c r="AC109" s="105">
        <f>'Hillpointe Detail'!AC109+'Sandhill Detail'!AC109</f>
        <v>0</v>
      </c>
      <c r="AD109" s="105">
        <f>'Hillpointe Detail'!AD109+'Sandhill Detail'!AD109</f>
        <v>411.89699999999999</v>
      </c>
      <c r="AE109" s="105">
        <f>'Hillpointe Detail'!AE109+'Sandhill Detail'!AE109</f>
        <v>919.2441</v>
      </c>
      <c r="AF109" s="105">
        <f>'Hillpointe Detail'!AF109+'Sandhill Detail'!AF109</f>
        <v>576.6558</v>
      </c>
      <c r="AG109" s="105">
        <f>'Hillpointe Detail'!AG109+'Sandhill Detail'!AG109</f>
        <v>413.93639999999999</v>
      </c>
      <c r="AH109" s="105">
        <f>'Hillpointe Detail'!AH109+'Sandhill Detail'!AH109</f>
        <v>15.686900000000001</v>
      </c>
      <c r="AI109" s="105">
        <f>'Hillpointe Detail'!AI109+'Sandhill Detail'!AI109</f>
        <v>5243.4004000000004</v>
      </c>
      <c r="AJ109" s="105">
        <f>'Hillpointe Detail'!AJ109+'Sandhill Detail'!AJ109</f>
        <v>172.5147</v>
      </c>
      <c r="AK109" s="105">
        <f>'Hillpointe Detail'!AK109+'Sandhill Detail'!AK109</f>
        <v>20.651500000000002</v>
      </c>
      <c r="AL109" s="105">
        <f>'Hillpointe Detail'!AL109+'Sandhill Detail'!AL109</f>
        <v>0</v>
      </c>
      <c r="AM109" s="105">
        <f>'Hillpointe Detail'!AM109+'Sandhill Detail'!AM109</f>
        <v>22.608499999999999</v>
      </c>
      <c r="AN109" s="105">
        <f>'Hillpointe Detail'!AN109+'Sandhill Detail'!AN109</f>
        <v>0</v>
      </c>
      <c r="AO109" s="105">
        <f>'Hillpointe Detail'!AO109+'Sandhill Detail'!AO109</f>
        <v>0</v>
      </c>
      <c r="AP109" s="105">
        <f>'Hillpointe Detail'!AP109+'Sandhill Detail'!AP109</f>
        <v>424.25391000000002</v>
      </c>
      <c r="AQ109" s="105">
        <f>'Hillpointe Detail'!AQ109+'Sandhill Detail'!AQ109</f>
        <v>946.8214230000001</v>
      </c>
      <c r="AR109" s="105">
        <f>'Hillpointe Detail'!AR109+'Sandhill Detail'!AR109</f>
        <v>593.95547399999998</v>
      </c>
      <c r="AS109" s="105">
        <f>'Hillpointe Detail'!AS109+'Sandhill Detail'!AS109</f>
        <v>426.35449199999999</v>
      </c>
      <c r="AT109" s="105">
        <f>'Hillpointe Detail'!AT109+'Sandhill Detail'!AT109</f>
        <v>16.157507000000003</v>
      </c>
      <c r="AU109" s="105">
        <f>'Hillpointe Detail'!AU109+'Sandhill Detail'!AU109</f>
        <v>5400.7024120000005</v>
      </c>
      <c r="AV109" s="105">
        <f>'Hillpointe Detail'!AV109+'Sandhill Detail'!AV109</f>
        <v>177.69014100000001</v>
      </c>
      <c r="AW109" s="105">
        <f>'Hillpointe Detail'!AW109+'Sandhill Detail'!AW109</f>
        <v>21.271045000000001</v>
      </c>
      <c r="AX109" s="105">
        <f>'Hillpointe Detail'!AX109+'Sandhill Detail'!AX109</f>
        <v>0</v>
      </c>
      <c r="AY109" s="105">
        <f>'Hillpointe Detail'!AY109+'Sandhill Detail'!AY109</f>
        <v>23.286755000000003</v>
      </c>
      <c r="AZ109" s="105">
        <f>'Hillpointe Detail'!AZ109+'Sandhill Detail'!AZ109</f>
        <v>0</v>
      </c>
      <c r="BA109" s="105">
        <f>'Hillpointe Detail'!BA109+'Sandhill Detail'!BA109</f>
        <v>0</v>
      </c>
      <c r="BB109" s="105">
        <f>'Hillpointe Detail'!BB109+'Sandhill Detail'!BB109</f>
        <v>436.98152730000004</v>
      </c>
      <c r="BC109" s="105">
        <f>'Hillpointe Detail'!BC109+'Sandhill Detail'!BC109</f>
        <v>975.22606569000004</v>
      </c>
      <c r="BD109" s="105">
        <f>'Hillpointe Detail'!BD109+'Sandhill Detail'!BD109</f>
        <v>611.77413821999994</v>
      </c>
      <c r="BE109" s="105">
        <f>'Hillpointe Detail'!BE109+'Sandhill Detail'!BE109</f>
        <v>439.14512675999998</v>
      </c>
      <c r="BF109" s="105">
        <f>'Hillpointe Detail'!BF109+'Sandhill Detail'!BF109</f>
        <v>16.642232210000003</v>
      </c>
      <c r="BG109" s="105">
        <f>'Hillpointe Detail'!BG109+'Sandhill Detail'!BG109</f>
        <v>5562.7234843600008</v>
      </c>
      <c r="BH109" s="105">
        <f>'Hillpointe Detail'!BH109+'Sandhill Detail'!BH109</f>
        <v>183.02084523000002</v>
      </c>
      <c r="BI109" s="105">
        <f>'Hillpointe Detail'!BI109+'Sandhill Detail'!BI109</f>
        <v>21.909176350000003</v>
      </c>
      <c r="BJ109" s="105">
        <f>'Hillpointe Detail'!BJ109+'Sandhill Detail'!BJ109</f>
        <v>0</v>
      </c>
      <c r="BK109" s="105">
        <f>'Hillpointe Detail'!BK109+'Sandhill Detail'!BK109</f>
        <v>23.985357650000001</v>
      </c>
      <c r="BL109" s="105">
        <f>'Hillpointe Detail'!BL109+'Sandhill Detail'!BL109</f>
        <v>0</v>
      </c>
      <c r="BM109" s="105">
        <f>'Hillpointe Detail'!BM109+'Sandhill Detail'!BM109</f>
        <v>0</v>
      </c>
      <c r="BN109" s="105">
        <f>'Hillpointe Detail'!BN109+'Sandhill Detail'!BN109</f>
        <v>450.09097311900007</v>
      </c>
      <c r="BO109" s="105">
        <f>'Hillpointe Detail'!BO109+'Sandhill Detail'!BO109</f>
        <v>1004.4828476607001</v>
      </c>
      <c r="BP109" s="105">
        <f>'Hillpointe Detail'!BP109+'Sandhill Detail'!BP109</f>
        <v>630.12736236659998</v>
      </c>
      <c r="BQ109" s="105">
        <f>'Hillpointe Detail'!BQ109+'Sandhill Detail'!BQ109</f>
        <v>452.31948056279998</v>
      </c>
      <c r="BR109" s="105">
        <f>'Hillpointe Detail'!BR109+'Sandhill Detail'!BR109</f>
        <v>17.141499176300005</v>
      </c>
      <c r="BS109" s="105">
        <f>'Hillpointe Detail'!BS109+'Sandhill Detail'!BS109</f>
        <v>5729.6051888908014</v>
      </c>
      <c r="BT109" s="105">
        <f>'Hillpointe Detail'!BT109+'Sandhill Detail'!BT109</f>
        <v>188.51147058690003</v>
      </c>
      <c r="BU109" s="105">
        <f>'Hillpointe Detail'!BU109+'Sandhill Detail'!BU109</f>
        <v>22.566451640500006</v>
      </c>
      <c r="BV109" s="105">
        <f>'Hillpointe Detail'!BV109+'Sandhill Detail'!BV109</f>
        <v>0</v>
      </c>
      <c r="BW109" s="105">
        <f>'Hillpointe Detail'!BW109+'Sandhill Detail'!BW109</f>
        <v>24.704918379500004</v>
      </c>
      <c r="BX109" s="105">
        <f>'Hillpointe Detail'!BX109+'Sandhill Detail'!BX109</f>
        <v>0</v>
      </c>
      <c r="BY109" s="8"/>
      <c r="BZ109" s="105">
        <f t="shared" si="57"/>
        <v>21.950000000000003</v>
      </c>
      <c r="CA109" s="105">
        <f t="shared" si="58"/>
        <v>7569.51</v>
      </c>
      <c r="CC109" s="105">
        <f t="shared" si="59"/>
        <v>22853.83</v>
      </c>
      <c r="CD109" s="105">
        <f t="shared" si="61"/>
        <v>13849.460000000001</v>
      </c>
      <c r="CE109" s="105">
        <f t="shared" si="61"/>
        <v>7009.01</v>
      </c>
      <c r="CF109" s="105">
        <f t="shared" si="61"/>
        <v>7569.51</v>
      </c>
      <c r="CG109" s="105">
        <f t="shared" si="61"/>
        <v>7796.5953000000009</v>
      </c>
      <c r="CH109" s="105">
        <f t="shared" si="61"/>
        <v>8030.4931590000006</v>
      </c>
      <c r="CI109" s="105">
        <f t="shared" si="61"/>
        <v>8271.4079537700018</v>
      </c>
      <c r="CJ109" s="105">
        <f t="shared" si="61"/>
        <v>8519.5501923831016</v>
      </c>
      <c r="CL109" s="105"/>
      <c r="CM109" s="13"/>
    </row>
    <row r="110" spans="1:91" x14ac:dyDescent="0.3">
      <c r="A110" s="84" t="s">
        <v>68</v>
      </c>
      <c r="B110" s="10" t="s">
        <v>146</v>
      </c>
      <c r="C110" s="103">
        <v>0</v>
      </c>
      <c r="D110" s="103">
        <v>0</v>
      </c>
      <c r="E110" s="105">
        <f>'Hillpointe Detail'!E110+'Sandhill Detail'!E110</f>
        <v>0</v>
      </c>
      <c r="F110" s="105">
        <f>'Hillpointe Detail'!F110+'Sandhill Detail'!F110</f>
        <v>0</v>
      </c>
      <c r="G110" s="105">
        <f>'Hillpointe Detail'!G110+'Sandhill Detail'!G110</f>
        <v>49.96</v>
      </c>
      <c r="H110" s="105">
        <f>'Hillpointe Detail'!H110+'Sandhill Detail'!H110</f>
        <v>49.18</v>
      </c>
      <c r="I110" s="105">
        <f>'Hillpointe Detail'!I110+'Sandhill Detail'!I110</f>
        <v>16.260000000000002</v>
      </c>
      <c r="J110" s="105">
        <f>'Hillpointe Detail'!J110+'Sandhill Detail'!J110</f>
        <v>0</v>
      </c>
      <c r="K110" s="105">
        <f>'Hillpointe Detail'!K110+'Sandhill Detail'!K110</f>
        <v>0</v>
      </c>
      <c r="L110" s="105">
        <f>'Hillpointe Detail'!L110+'Sandhill Detail'!L110</f>
        <v>23.819999999999986</v>
      </c>
      <c r="M110" s="105">
        <f>'Hillpointe Detail'!M110+'Sandhill Detail'!M110</f>
        <v>57.98</v>
      </c>
      <c r="N110" s="105">
        <f>'Hillpointe Detail'!N110+'Sandhill Detail'!N110</f>
        <v>0</v>
      </c>
      <c r="O110" s="105">
        <f>'Hillpointe Detail'!O110+'Sandhill Detail'!O110</f>
        <v>0</v>
      </c>
      <c r="P110" s="105">
        <f>'Hillpointe Detail'!P110+'Sandhill Detail'!P110</f>
        <v>0</v>
      </c>
      <c r="Q110" s="105">
        <f>'Hillpointe Detail'!Q110+'Sandhill Detail'!Q110</f>
        <v>48.35</v>
      </c>
      <c r="R110" s="105">
        <f>'Hillpointe Detail'!R110+'Sandhill Detail'!R110</f>
        <v>0</v>
      </c>
      <c r="S110" s="105">
        <f>'Hillpointe Detail'!S110+'Sandhill Detail'!S110</f>
        <v>0</v>
      </c>
      <c r="T110" s="105">
        <f>'Hillpointe Detail'!T110+'Sandhill Detail'!T110</f>
        <v>0</v>
      </c>
      <c r="U110" s="105">
        <f>'Hillpointe Detail'!U110+'Sandhill Detail'!U110</f>
        <v>51.98</v>
      </c>
      <c r="V110" s="105">
        <f>'Hillpointe Detail'!V110+'Sandhill Detail'!V110</f>
        <v>0</v>
      </c>
      <c r="W110" s="105">
        <f>'Hillpointe Detail'!W110+'Sandhill Detail'!W110</f>
        <v>0</v>
      </c>
      <c r="X110" s="105">
        <f>'Hillpointe Detail'!X110+'Sandhill Detail'!X110</f>
        <v>0</v>
      </c>
      <c r="Y110" s="105">
        <f>'Hillpointe Detail'!Y110+'Sandhill Detail'!Y110</f>
        <v>0</v>
      </c>
      <c r="Z110" s="105">
        <f>'Hillpointe Detail'!Z110+'Sandhill Detail'!Z110</f>
        <v>0</v>
      </c>
      <c r="AA110" s="105">
        <f>'Hillpointe Detail'!AA110+'Sandhill Detail'!AA110</f>
        <v>0</v>
      </c>
      <c r="AB110" s="105">
        <f>'Hillpointe Detail'!AB110+'Sandhill Detail'!AB110</f>
        <v>0</v>
      </c>
      <c r="AC110" s="105">
        <f>'Hillpointe Detail'!AC110+'Sandhill Detail'!AC110</f>
        <v>49.800500000000007</v>
      </c>
      <c r="AD110" s="105">
        <f>'Hillpointe Detail'!AD110+'Sandhill Detail'!AD110</f>
        <v>0</v>
      </c>
      <c r="AE110" s="105">
        <f>'Hillpointe Detail'!AE110+'Sandhill Detail'!AE110</f>
        <v>0</v>
      </c>
      <c r="AF110" s="105">
        <f>'Hillpointe Detail'!AF110+'Sandhill Detail'!AF110</f>
        <v>0</v>
      </c>
      <c r="AG110" s="105">
        <f>'Hillpointe Detail'!AG110+'Sandhill Detail'!AG110</f>
        <v>53.539400000000001</v>
      </c>
      <c r="AH110" s="105">
        <f>'Hillpointe Detail'!AH110+'Sandhill Detail'!AH110</f>
        <v>0</v>
      </c>
      <c r="AI110" s="105">
        <f>'Hillpointe Detail'!AI110+'Sandhill Detail'!AI110</f>
        <v>0</v>
      </c>
      <c r="AJ110" s="105">
        <f>'Hillpointe Detail'!AJ110+'Sandhill Detail'!AJ110</f>
        <v>0</v>
      </c>
      <c r="AK110" s="105">
        <f>'Hillpointe Detail'!AK110+'Sandhill Detail'!AK110</f>
        <v>0</v>
      </c>
      <c r="AL110" s="105">
        <f>'Hillpointe Detail'!AL110+'Sandhill Detail'!AL110</f>
        <v>0</v>
      </c>
      <c r="AM110" s="105">
        <f>'Hillpointe Detail'!AM110+'Sandhill Detail'!AM110</f>
        <v>0</v>
      </c>
      <c r="AN110" s="105">
        <f>'Hillpointe Detail'!AN110+'Sandhill Detail'!AN110</f>
        <v>0</v>
      </c>
      <c r="AO110" s="105">
        <f>'Hillpointe Detail'!AO110+'Sandhill Detail'!AO110</f>
        <v>51.294515000000004</v>
      </c>
      <c r="AP110" s="105">
        <f>'Hillpointe Detail'!AP110+'Sandhill Detail'!AP110</f>
        <v>0</v>
      </c>
      <c r="AQ110" s="105">
        <f>'Hillpointe Detail'!AQ110+'Sandhill Detail'!AQ110</f>
        <v>0</v>
      </c>
      <c r="AR110" s="105">
        <f>'Hillpointe Detail'!AR110+'Sandhill Detail'!AR110</f>
        <v>0</v>
      </c>
      <c r="AS110" s="105">
        <f>'Hillpointe Detail'!AS110+'Sandhill Detail'!AS110</f>
        <v>55.145582000000005</v>
      </c>
      <c r="AT110" s="105">
        <f>'Hillpointe Detail'!AT110+'Sandhill Detail'!AT110</f>
        <v>0</v>
      </c>
      <c r="AU110" s="105">
        <f>'Hillpointe Detail'!AU110+'Sandhill Detail'!AU110</f>
        <v>0</v>
      </c>
      <c r="AV110" s="105">
        <f>'Hillpointe Detail'!AV110+'Sandhill Detail'!AV110</f>
        <v>0</v>
      </c>
      <c r="AW110" s="105">
        <f>'Hillpointe Detail'!AW110+'Sandhill Detail'!AW110</f>
        <v>0</v>
      </c>
      <c r="AX110" s="105">
        <f>'Hillpointe Detail'!AX110+'Sandhill Detail'!AX110</f>
        <v>0</v>
      </c>
      <c r="AY110" s="105">
        <f>'Hillpointe Detail'!AY110+'Sandhill Detail'!AY110</f>
        <v>0</v>
      </c>
      <c r="AZ110" s="105">
        <f>'Hillpointe Detail'!AZ110+'Sandhill Detail'!AZ110</f>
        <v>0</v>
      </c>
      <c r="BA110" s="105">
        <f>'Hillpointe Detail'!BA110+'Sandhill Detail'!BA110</f>
        <v>52.833350450000005</v>
      </c>
      <c r="BB110" s="105">
        <f>'Hillpointe Detail'!BB110+'Sandhill Detail'!BB110</f>
        <v>0</v>
      </c>
      <c r="BC110" s="105">
        <f>'Hillpointe Detail'!BC110+'Sandhill Detail'!BC110</f>
        <v>0</v>
      </c>
      <c r="BD110" s="105">
        <f>'Hillpointe Detail'!BD110+'Sandhill Detail'!BD110</f>
        <v>0</v>
      </c>
      <c r="BE110" s="105">
        <f>'Hillpointe Detail'!BE110+'Sandhill Detail'!BE110</f>
        <v>56.799949460000008</v>
      </c>
      <c r="BF110" s="105">
        <f>'Hillpointe Detail'!BF110+'Sandhill Detail'!BF110</f>
        <v>0</v>
      </c>
      <c r="BG110" s="105">
        <f>'Hillpointe Detail'!BG110+'Sandhill Detail'!BG110</f>
        <v>0</v>
      </c>
      <c r="BH110" s="105">
        <f>'Hillpointe Detail'!BH110+'Sandhill Detail'!BH110</f>
        <v>0</v>
      </c>
      <c r="BI110" s="105">
        <f>'Hillpointe Detail'!BI110+'Sandhill Detail'!BI110</f>
        <v>0</v>
      </c>
      <c r="BJ110" s="105">
        <f>'Hillpointe Detail'!BJ110+'Sandhill Detail'!BJ110</f>
        <v>0</v>
      </c>
      <c r="BK110" s="105">
        <f>'Hillpointe Detail'!BK110+'Sandhill Detail'!BK110</f>
        <v>0</v>
      </c>
      <c r="BL110" s="105">
        <f>'Hillpointe Detail'!BL110+'Sandhill Detail'!BL110</f>
        <v>0</v>
      </c>
      <c r="BM110" s="105">
        <f>'Hillpointe Detail'!BM110+'Sandhill Detail'!BM110</f>
        <v>54.418350963500004</v>
      </c>
      <c r="BN110" s="105">
        <f>'Hillpointe Detail'!BN110+'Sandhill Detail'!BN110</f>
        <v>0</v>
      </c>
      <c r="BO110" s="105">
        <f>'Hillpointe Detail'!BO110+'Sandhill Detail'!BO110</f>
        <v>0</v>
      </c>
      <c r="BP110" s="105">
        <f>'Hillpointe Detail'!BP110+'Sandhill Detail'!BP110</f>
        <v>0</v>
      </c>
      <c r="BQ110" s="105">
        <f>'Hillpointe Detail'!BQ110+'Sandhill Detail'!BQ110</f>
        <v>58.503947943800007</v>
      </c>
      <c r="BR110" s="105">
        <f>'Hillpointe Detail'!BR110+'Sandhill Detail'!BR110</f>
        <v>0</v>
      </c>
      <c r="BS110" s="105">
        <f>'Hillpointe Detail'!BS110+'Sandhill Detail'!BS110</f>
        <v>0</v>
      </c>
      <c r="BT110" s="105">
        <f>'Hillpointe Detail'!BT110+'Sandhill Detail'!BT110</f>
        <v>0</v>
      </c>
      <c r="BU110" s="105">
        <f>'Hillpointe Detail'!BU110+'Sandhill Detail'!BU110</f>
        <v>0</v>
      </c>
      <c r="BV110" s="105">
        <f>'Hillpointe Detail'!BV110+'Sandhill Detail'!BV110</f>
        <v>0</v>
      </c>
      <c r="BW110" s="105">
        <f>'Hillpointe Detail'!BW110+'Sandhill Detail'!BW110</f>
        <v>0</v>
      </c>
      <c r="BX110" s="105">
        <f>'Hillpointe Detail'!BX110+'Sandhill Detail'!BX110</f>
        <v>0</v>
      </c>
      <c r="BY110" s="8"/>
      <c r="BZ110" s="105">
        <f t="shared" si="57"/>
        <v>0</v>
      </c>
      <c r="CA110" s="105">
        <f t="shared" si="58"/>
        <v>100.33</v>
      </c>
      <c r="CC110" s="105">
        <f t="shared" si="59"/>
        <v>0</v>
      </c>
      <c r="CD110" s="105">
        <f t="shared" si="61"/>
        <v>0</v>
      </c>
      <c r="CE110" s="105">
        <f t="shared" si="61"/>
        <v>197.2</v>
      </c>
      <c r="CF110" s="105">
        <f t="shared" si="61"/>
        <v>100.33</v>
      </c>
      <c r="CG110" s="105">
        <f t="shared" si="61"/>
        <v>103.3399</v>
      </c>
      <c r="CH110" s="105">
        <f t="shared" si="61"/>
        <v>106.44009700000001</v>
      </c>
      <c r="CI110" s="105">
        <f t="shared" si="61"/>
        <v>109.63329991000001</v>
      </c>
      <c r="CJ110" s="105">
        <f t="shared" si="61"/>
        <v>112.92229890730002</v>
      </c>
      <c r="CL110" s="105"/>
      <c r="CM110" s="13"/>
    </row>
    <row r="111" spans="1:91" x14ac:dyDescent="0.3">
      <c r="A111" s="84" t="s">
        <v>329</v>
      </c>
      <c r="B111" s="10" t="s">
        <v>146</v>
      </c>
      <c r="C111" s="103">
        <v>0</v>
      </c>
      <c r="D111" s="103">
        <v>0</v>
      </c>
      <c r="E111" s="105">
        <f>'Hillpointe Detail'!E111+'Sandhill Detail'!E111</f>
        <v>0</v>
      </c>
      <c r="F111" s="105">
        <f>'Hillpointe Detail'!F111+'Sandhill Detail'!F111</f>
        <v>0</v>
      </c>
      <c r="G111" s="105">
        <f>'Hillpointe Detail'!G111+'Sandhill Detail'!G111</f>
        <v>0</v>
      </c>
      <c r="H111" s="105">
        <f>'Hillpointe Detail'!H111+'Sandhill Detail'!H111</f>
        <v>0</v>
      </c>
      <c r="I111" s="105">
        <f>'Hillpointe Detail'!I111+'Sandhill Detail'!I111</f>
        <v>0</v>
      </c>
      <c r="J111" s="105">
        <f>'Hillpointe Detail'!J111+'Sandhill Detail'!J111</f>
        <v>0</v>
      </c>
      <c r="K111" s="105">
        <f>'Hillpointe Detail'!K111+'Sandhill Detail'!K111</f>
        <v>0</v>
      </c>
      <c r="L111" s="105">
        <f>'Hillpointe Detail'!L111+'Sandhill Detail'!L111</f>
        <v>0</v>
      </c>
      <c r="M111" s="105">
        <f>'Hillpointe Detail'!M111+'Sandhill Detail'!M111</f>
        <v>0</v>
      </c>
      <c r="N111" s="105">
        <f>'Hillpointe Detail'!N111+'Sandhill Detail'!N111</f>
        <v>0</v>
      </c>
      <c r="O111" s="105">
        <f>'Hillpointe Detail'!O111+'Sandhill Detail'!O111</f>
        <v>755</v>
      </c>
      <c r="P111" s="105">
        <f>'Hillpointe Detail'!P111+'Sandhill Detail'!P111</f>
        <v>327</v>
      </c>
      <c r="Q111" s="105">
        <f>'Hillpointe Detail'!Q111+'Sandhill Detail'!Q111</f>
        <v>588</v>
      </c>
      <c r="R111" s="105">
        <f>'Hillpointe Detail'!R111+'Sandhill Detail'!R111</f>
        <v>0</v>
      </c>
      <c r="S111" s="105">
        <f>'Hillpointe Detail'!S111+'Sandhill Detail'!S111</f>
        <v>0</v>
      </c>
      <c r="T111" s="105">
        <f>'Hillpointe Detail'!T111+'Sandhill Detail'!T111</f>
        <v>119</v>
      </c>
      <c r="U111" s="105">
        <f>'Hillpointe Detail'!U111+'Sandhill Detail'!U111</f>
        <v>0</v>
      </c>
      <c r="V111" s="105">
        <f>'Hillpointe Detail'!V111+'Sandhill Detail'!V111</f>
        <v>0</v>
      </c>
      <c r="W111" s="105">
        <f>'Hillpointe Detail'!W111+'Sandhill Detail'!W111</f>
        <v>640.83000000000004</v>
      </c>
      <c r="X111" s="105">
        <f>'Hillpointe Detail'!X111+'Sandhill Detail'!X111</f>
        <v>154.17000000000002</v>
      </c>
      <c r="Y111" s="105">
        <f>'Hillpointe Detail'!Y111+'Sandhill Detail'!Y111</f>
        <v>604.16999999999996</v>
      </c>
      <c r="Z111" s="105">
        <f>'Hillpointe Detail'!Z111+'Sandhill Detail'!Z111</f>
        <v>974.17000000000007</v>
      </c>
      <c r="AA111" s="105">
        <f>'Hillpointe Detail'!AA111+'Sandhill Detail'!AA111</f>
        <v>1829.17</v>
      </c>
      <c r="AB111" s="105">
        <f>'Hillpointe Detail'!AB111+'Sandhill Detail'!AB111</f>
        <v>336.81</v>
      </c>
      <c r="AC111" s="105">
        <f>'Hillpointe Detail'!AC111+'Sandhill Detail'!AC111</f>
        <v>605.64</v>
      </c>
      <c r="AD111" s="105">
        <f>'Hillpointe Detail'!AD111+'Sandhill Detail'!AD111</f>
        <v>0</v>
      </c>
      <c r="AE111" s="105">
        <f>'Hillpointe Detail'!AE111+'Sandhill Detail'!AE111</f>
        <v>0</v>
      </c>
      <c r="AF111" s="105">
        <f>'Hillpointe Detail'!AF111+'Sandhill Detail'!AF111</f>
        <v>122.57</v>
      </c>
      <c r="AG111" s="105">
        <f>'Hillpointe Detail'!AG111+'Sandhill Detail'!AG111</f>
        <v>0</v>
      </c>
      <c r="AH111" s="105">
        <f>'Hillpointe Detail'!AH111+'Sandhill Detail'!AH111</f>
        <v>0</v>
      </c>
      <c r="AI111" s="105">
        <f>'Hillpointe Detail'!AI111+'Sandhill Detail'!AI111</f>
        <v>660.05490000000009</v>
      </c>
      <c r="AJ111" s="105">
        <f>'Hillpointe Detail'!AJ111+'Sandhill Detail'!AJ111</f>
        <v>158.79509999999999</v>
      </c>
      <c r="AK111" s="105">
        <f>'Hillpointe Detail'!AK111+'Sandhill Detail'!AK111</f>
        <v>622.29510000000005</v>
      </c>
      <c r="AL111" s="105">
        <f>'Hillpointe Detail'!AL111+'Sandhill Detail'!AL111</f>
        <v>1003.3951000000001</v>
      </c>
      <c r="AM111" s="105">
        <f>'Hillpointe Detail'!AM111+'Sandhill Detail'!AM111</f>
        <v>1884.0451</v>
      </c>
      <c r="AN111" s="105">
        <f>'Hillpointe Detail'!AN111+'Sandhill Detail'!AN111</f>
        <v>346.91429999999997</v>
      </c>
      <c r="AO111" s="105">
        <f>'Hillpointe Detail'!AO111+'Sandhill Detail'!AO111</f>
        <v>623.80920000000003</v>
      </c>
      <c r="AP111" s="105">
        <f>'Hillpointe Detail'!AP111+'Sandhill Detail'!AP111</f>
        <v>0</v>
      </c>
      <c r="AQ111" s="105">
        <f>'Hillpointe Detail'!AQ111+'Sandhill Detail'!AQ111</f>
        <v>0</v>
      </c>
      <c r="AR111" s="105">
        <f>'Hillpointe Detail'!AR111+'Sandhill Detail'!AR111</f>
        <v>126.24709999999999</v>
      </c>
      <c r="AS111" s="105">
        <f>'Hillpointe Detail'!AS111+'Sandhill Detail'!AS111</f>
        <v>0</v>
      </c>
      <c r="AT111" s="105">
        <f>'Hillpointe Detail'!AT111+'Sandhill Detail'!AT111</f>
        <v>0</v>
      </c>
      <c r="AU111" s="105">
        <f>'Hillpointe Detail'!AU111+'Sandhill Detail'!AU111</f>
        <v>679.85654700000009</v>
      </c>
      <c r="AV111" s="105">
        <f>'Hillpointe Detail'!AV111+'Sandhill Detail'!AV111</f>
        <v>163.558953</v>
      </c>
      <c r="AW111" s="105">
        <f>'Hillpointe Detail'!AW111+'Sandhill Detail'!AW111</f>
        <v>640.96395300000006</v>
      </c>
      <c r="AX111" s="105">
        <f>'Hillpointe Detail'!AX111+'Sandhill Detail'!AX111</f>
        <v>1033.4969530000001</v>
      </c>
      <c r="AY111" s="105">
        <f>'Hillpointe Detail'!AY111+'Sandhill Detail'!AY111</f>
        <v>1940.5664530000001</v>
      </c>
      <c r="AZ111" s="105">
        <f>'Hillpointe Detail'!AZ111+'Sandhill Detail'!AZ111</f>
        <v>357.32172899999995</v>
      </c>
      <c r="BA111" s="105">
        <f>'Hillpointe Detail'!BA111+'Sandhill Detail'!BA111</f>
        <v>642.52347600000007</v>
      </c>
      <c r="BB111" s="105">
        <f>'Hillpointe Detail'!BB111+'Sandhill Detail'!BB111</f>
        <v>0</v>
      </c>
      <c r="BC111" s="105">
        <f>'Hillpointe Detail'!BC111+'Sandhill Detail'!BC111</f>
        <v>0</v>
      </c>
      <c r="BD111" s="105">
        <f>'Hillpointe Detail'!BD111+'Sandhill Detail'!BD111</f>
        <v>130.034513</v>
      </c>
      <c r="BE111" s="105">
        <f>'Hillpointe Detail'!BE111+'Sandhill Detail'!BE111</f>
        <v>0</v>
      </c>
      <c r="BF111" s="105">
        <f>'Hillpointe Detail'!BF111+'Sandhill Detail'!BF111</f>
        <v>0</v>
      </c>
      <c r="BG111" s="105">
        <f>'Hillpointe Detail'!BG111+'Sandhill Detail'!BG111</f>
        <v>700.25224341000012</v>
      </c>
      <c r="BH111" s="105">
        <f>'Hillpointe Detail'!BH111+'Sandhill Detail'!BH111</f>
        <v>168.46572159000002</v>
      </c>
      <c r="BI111" s="105">
        <f>'Hillpointe Detail'!BI111+'Sandhill Detail'!BI111</f>
        <v>660.1928715900001</v>
      </c>
      <c r="BJ111" s="105">
        <f>'Hillpointe Detail'!BJ111+'Sandhill Detail'!BJ111</f>
        <v>1064.5018615900001</v>
      </c>
      <c r="BK111" s="105">
        <f>'Hillpointe Detail'!BK111+'Sandhill Detail'!BK111</f>
        <v>1998.78344659</v>
      </c>
      <c r="BL111" s="105">
        <f>'Hillpointe Detail'!BL111+'Sandhill Detail'!BL111</f>
        <v>368.04138086999995</v>
      </c>
      <c r="BM111" s="105">
        <f>'Hillpointe Detail'!BM111+'Sandhill Detail'!BM111</f>
        <v>661.7991802800002</v>
      </c>
      <c r="BN111" s="105">
        <f>'Hillpointe Detail'!BN111+'Sandhill Detail'!BN111</f>
        <v>0</v>
      </c>
      <c r="BO111" s="105">
        <f>'Hillpointe Detail'!BO111+'Sandhill Detail'!BO111</f>
        <v>0</v>
      </c>
      <c r="BP111" s="105">
        <f>'Hillpointe Detail'!BP111+'Sandhill Detail'!BP111</f>
        <v>133.93554839000001</v>
      </c>
      <c r="BQ111" s="105">
        <f>'Hillpointe Detail'!BQ111+'Sandhill Detail'!BQ111</f>
        <v>0</v>
      </c>
      <c r="BR111" s="105">
        <f>'Hillpointe Detail'!BR111+'Sandhill Detail'!BR111</f>
        <v>0</v>
      </c>
      <c r="BS111" s="105">
        <f>'Hillpointe Detail'!BS111+'Sandhill Detail'!BS111</f>
        <v>721.25981071230012</v>
      </c>
      <c r="BT111" s="105">
        <f>'Hillpointe Detail'!BT111+'Sandhill Detail'!BT111</f>
        <v>173.51969323770001</v>
      </c>
      <c r="BU111" s="105">
        <f>'Hillpointe Detail'!BU111+'Sandhill Detail'!BU111</f>
        <v>679.99865773770011</v>
      </c>
      <c r="BV111" s="105">
        <f>'Hillpointe Detail'!BV111+'Sandhill Detail'!BV111</f>
        <v>1096.4369174377</v>
      </c>
      <c r="BW111" s="105">
        <f>'Hillpointe Detail'!BW111+'Sandhill Detail'!BW111</f>
        <v>2058.7469499877002</v>
      </c>
      <c r="BX111" s="105">
        <f>'Hillpointe Detail'!BX111+'Sandhill Detail'!BX111</f>
        <v>379.08262229609994</v>
      </c>
      <c r="BY111" s="8"/>
      <c r="BZ111" s="105">
        <f t="shared" si="57"/>
        <v>1829.17</v>
      </c>
      <c r="CA111" s="105">
        <f t="shared" si="58"/>
        <v>4909.51</v>
      </c>
      <c r="CC111" s="105">
        <f t="shared" si="59"/>
        <v>0</v>
      </c>
      <c r="CD111" s="105">
        <f t="shared" si="61"/>
        <v>0</v>
      </c>
      <c r="CE111" s="105">
        <f t="shared" si="61"/>
        <v>1082</v>
      </c>
      <c r="CF111" s="105">
        <f t="shared" si="61"/>
        <v>5246.3200000000006</v>
      </c>
      <c r="CG111" s="105">
        <f t="shared" si="61"/>
        <v>5403.709600000001</v>
      </c>
      <c r="CH111" s="105">
        <f t="shared" si="61"/>
        <v>5565.8208880000011</v>
      </c>
      <c r="CI111" s="105">
        <f t="shared" si="61"/>
        <v>5732.79551464</v>
      </c>
      <c r="CJ111" s="105">
        <f t="shared" si="61"/>
        <v>5904.7793800791997</v>
      </c>
      <c r="CL111" s="105"/>
      <c r="CM111" s="13"/>
    </row>
    <row r="112" spans="1:91" x14ac:dyDescent="0.3">
      <c r="A112" s="84" t="s">
        <v>69</v>
      </c>
      <c r="B112" s="10" t="s">
        <v>146</v>
      </c>
      <c r="C112" s="140">
        <v>351</v>
      </c>
      <c r="D112" s="140">
        <v>157.54</v>
      </c>
      <c r="E112" s="141">
        <f>'Hillpointe Detail'!E112+'Sandhill Detail'!E112</f>
        <v>25</v>
      </c>
      <c r="F112" s="141">
        <f>'Hillpointe Detail'!F112+'Sandhill Detail'!F112</f>
        <v>25</v>
      </c>
      <c r="G112" s="141">
        <f>'Hillpointe Detail'!G112+'Sandhill Detail'!G112</f>
        <v>25</v>
      </c>
      <c r="H112" s="141">
        <f>'Hillpointe Detail'!H112+'Sandhill Detail'!H112</f>
        <v>25</v>
      </c>
      <c r="I112" s="141">
        <f>'Hillpointe Detail'!I112+'Sandhill Detail'!I112</f>
        <v>50</v>
      </c>
      <c r="J112" s="141">
        <f>'Hillpointe Detail'!J112+'Sandhill Detail'!J112</f>
        <v>0</v>
      </c>
      <c r="K112" s="141">
        <f>'Hillpointe Detail'!K112+'Sandhill Detail'!K112</f>
        <v>25</v>
      </c>
      <c r="L112" s="141">
        <f>'Hillpointe Detail'!L112+'Sandhill Detail'!L112</f>
        <v>25</v>
      </c>
      <c r="M112" s="141">
        <f>'Hillpointe Detail'!M112+'Sandhill Detail'!M112</f>
        <v>25</v>
      </c>
      <c r="N112" s="141">
        <f>'Hillpointe Detail'!N112+'Sandhill Detail'!N112</f>
        <v>25</v>
      </c>
      <c r="O112" s="141">
        <f>'Hillpointe Detail'!O112+'Sandhill Detail'!O112</f>
        <v>25</v>
      </c>
      <c r="P112" s="141">
        <f>'Hillpointe Detail'!P112+'Sandhill Detail'!P112</f>
        <v>25</v>
      </c>
      <c r="Q112" s="141">
        <f>'Hillpointe Detail'!Q112+'Sandhill Detail'!Q112</f>
        <v>35</v>
      </c>
      <c r="R112" s="141">
        <f>'Hillpointe Detail'!R112+'Sandhill Detail'!R112</f>
        <v>25</v>
      </c>
      <c r="S112" s="141">
        <f>'Hillpointe Detail'!S112+'Sandhill Detail'!S112</f>
        <v>25</v>
      </c>
      <c r="T112" s="141">
        <f>'Hillpointe Detail'!T112+'Sandhill Detail'!T112</f>
        <v>25.55</v>
      </c>
      <c r="U112" s="141">
        <f>'Hillpointe Detail'!U112+'Sandhill Detail'!U112</f>
        <v>25</v>
      </c>
      <c r="V112" s="141">
        <f>'Hillpointe Detail'!V112+'Sandhill Detail'!V112</f>
        <v>25</v>
      </c>
      <c r="W112" s="141">
        <f>'Hillpointe Detail'!W112+'Sandhill Detail'!W112</f>
        <v>25</v>
      </c>
      <c r="X112" s="141">
        <f>'Hillpointe Detail'!X112+'Sandhill Detail'!X112</f>
        <v>25</v>
      </c>
      <c r="Y112" s="141">
        <f>'Hillpointe Detail'!Y112+'Sandhill Detail'!Y112</f>
        <v>37</v>
      </c>
      <c r="Z112" s="141">
        <f>'Hillpointe Detail'!Z112+'Sandhill Detail'!Z112</f>
        <v>25</v>
      </c>
      <c r="AA112" s="141">
        <f>'Hillpointe Detail'!AA112+'Sandhill Detail'!AA112</f>
        <v>25</v>
      </c>
      <c r="AB112" s="141">
        <f>'Hillpointe Detail'!AB112+'Sandhill Detail'!AB112</f>
        <v>25.75</v>
      </c>
      <c r="AC112" s="141">
        <f>'Hillpointe Detail'!AC112+'Sandhill Detail'!AC112</f>
        <v>36.049999999999997</v>
      </c>
      <c r="AD112" s="141">
        <f>'Hillpointe Detail'!AD112+'Sandhill Detail'!AD112</f>
        <v>25.75</v>
      </c>
      <c r="AE112" s="141">
        <f>'Hillpointe Detail'!AE112+'Sandhill Detail'!AE112</f>
        <v>25.75</v>
      </c>
      <c r="AF112" s="141">
        <f>'Hillpointe Detail'!AF112+'Sandhill Detail'!AF112</f>
        <v>26.316499999999998</v>
      </c>
      <c r="AG112" s="141">
        <f>'Hillpointe Detail'!AG112+'Sandhill Detail'!AG112</f>
        <v>25.75</v>
      </c>
      <c r="AH112" s="141">
        <f>'Hillpointe Detail'!AH112+'Sandhill Detail'!AH112</f>
        <v>25.75</v>
      </c>
      <c r="AI112" s="141">
        <f>'Hillpointe Detail'!AI112+'Sandhill Detail'!AI112</f>
        <v>25.75</v>
      </c>
      <c r="AJ112" s="141">
        <f>'Hillpointe Detail'!AJ112+'Sandhill Detail'!AJ112</f>
        <v>25.75</v>
      </c>
      <c r="AK112" s="141">
        <f>'Hillpointe Detail'!AK112+'Sandhill Detail'!AK112</f>
        <v>38.11</v>
      </c>
      <c r="AL112" s="141">
        <f>'Hillpointe Detail'!AL112+'Sandhill Detail'!AL112</f>
        <v>25.75</v>
      </c>
      <c r="AM112" s="141">
        <f>'Hillpointe Detail'!AM112+'Sandhill Detail'!AM112</f>
        <v>25.75</v>
      </c>
      <c r="AN112" s="141">
        <f>'Hillpointe Detail'!AN112+'Sandhill Detail'!AN112</f>
        <v>26.522500000000001</v>
      </c>
      <c r="AO112" s="141">
        <f>'Hillpointe Detail'!AO112+'Sandhill Detail'!AO112</f>
        <v>37.131500000000003</v>
      </c>
      <c r="AP112" s="141">
        <f>'Hillpointe Detail'!AP112+'Sandhill Detail'!AP112</f>
        <v>26.522500000000001</v>
      </c>
      <c r="AQ112" s="141">
        <f>'Hillpointe Detail'!AQ112+'Sandhill Detail'!AQ112</f>
        <v>26.522500000000001</v>
      </c>
      <c r="AR112" s="141">
        <f>'Hillpointe Detail'!AR112+'Sandhill Detail'!AR112</f>
        <v>27.105995</v>
      </c>
      <c r="AS112" s="141">
        <f>'Hillpointe Detail'!AS112+'Sandhill Detail'!AS112</f>
        <v>26.522500000000001</v>
      </c>
      <c r="AT112" s="141">
        <f>'Hillpointe Detail'!AT112+'Sandhill Detail'!AT112</f>
        <v>26.522500000000001</v>
      </c>
      <c r="AU112" s="141">
        <f>'Hillpointe Detail'!AU112+'Sandhill Detail'!AU112</f>
        <v>26.522500000000001</v>
      </c>
      <c r="AV112" s="141">
        <f>'Hillpointe Detail'!AV112+'Sandhill Detail'!AV112</f>
        <v>26.522500000000001</v>
      </c>
      <c r="AW112" s="141">
        <f>'Hillpointe Detail'!AW112+'Sandhill Detail'!AW112</f>
        <v>39.253300000000003</v>
      </c>
      <c r="AX112" s="141">
        <f>'Hillpointe Detail'!AX112+'Sandhill Detail'!AX112</f>
        <v>26.522500000000001</v>
      </c>
      <c r="AY112" s="141">
        <f>'Hillpointe Detail'!AY112+'Sandhill Detail'!AY112</f>
        <v>26.522500000000001</v>
      </c>
      <c r="AZ112" s="141">
        <f>'Hillpointe Detail'!AZ112+'Sandhill Detail'!AZ112</f>
        <v>27.318175000000004</v>
      </c>
      <c r="BA112" s="141">
        <f>'Hillpointe Detail'!BA112+'Sandhill Detail'!BA112</f>
        <v>38.245445000000004</v>
      </c>
      <c r="BB112" s="141">
        <f>'Hillpointe Detail'!BB112+'Sandhill Detail'!BB112</f>
        <v>27.318175000000004</v>
      </c>
      <c r="BC112" s="141">
        <f>'Hillpointe Detail'!BC112+'Sandhill Detail'!BC112</f>
        <v>27.318175000000004</v>
      </c>
      <c r="BD112" s="141">
        <f>'Hillpointe Detail'!BD112+'Sandhill Detail'!BD112</f>
        <v>27.919174849999997</v>
      </c>
      <c r="BE112" s="141">
        <f>'Hillpointe Detail'!BE112+'Sandhill Detail'!BE112</f>
        <v>27.318175000000004</v>
      </c>
      <c r="BF112" s="141">
        <f>'Hillpointe Detail'!BF112+'Sandhill Detail'!BF112</f>
        <v>27.318175000000004</v>
      </c>
      <c r="BG112" s="141">
        <f>'Hillpointe Detail'!BG112+'Sandhill Detail'!BG112</f>
        <v>27.318175000000004</v>
      </c>
      <c r="BH112" s="141">
        <f>'Hillpointe Detail'!BH112+'Sandhill Detail'!BH112</f>
        <v>27.318175000000004</v>
      </c>
      <c r="BI112" s="141">
        <f>'Hillpointe Detail'!BI112+'Sandhill Detail'!BI112</f>
        <v>40.430899000000004</v>
      </c>
      <c r="BJ112" s="141">
        <f>'Hillpointe Detail'!BJ112+'Sandhill Detail'!BJ112</f>
        <v>27.318175000000004</v>
      </c>
      <c r="BK112" s="141">
        <f>'Hillpointe Detail'!BK112+'Sandhill Detail'!BK112</f>
        <v>27.318175000000004</v>
      </c>
      <c r="BL112" s="141">
        <f>'Hillpointe Detail'!BL112+'Sandhill Detail'!BL112</f>
        <v>28.137720250000005</v>
      </c>
      <c r="BM112" s="141">
        <f>'Hillpointe Detail'!BM112+'Sandhill Detail'!BM112</f>
        <v>39.392808350000003</v>
      </c>
      <c r="BN112" s="141">
        <f>'Hillpointe Detail'!BN112+'Sandhill Detail'!BN112</f>
        <v>28.137720250000005</v>
      </c>
      <c r="BO112" s="141">
        <f>'Hillpointe Detail'!BO112+'Sandhill Detail'!BO112</f>
        <v>28.137720250000005</v>
      </c>
      <c r="BP112" s="141">
        <f>'Hillpointe Detail'!BP112+'Sandhill Detail'!BP112</f>
        <v>28.756750095499999</v>
      </c>
      <c r="BQ112" s="141">
        <f>'Hillpointe Detail'!BQ112+'Sandhill Detail'!BQ112</f>
        <v>28.137720250000005</v>
      </c>
      <c r="BR112" s="141">
        <f>'Hillpointe Detail'!BR112+'Sandhill Detail'!BR112</f>
        <v>28.137720250000005</v>
      </c>
      <c r="BS112" s="141">
        <f>'Hillpointe Detail'!BS112+'Sandhill Detail'!BS112</f>
        <v>28.137720250000005</v>
      </c>
      <c r="BT112" s="141">
        <f>'Hillpointe Detail'!BT112+'Sandhill Detail'!BT112</f>
        <v>28.137720250000005</v>
      </c>
      <c r="BU112" s="141">
        <f>'Hillpointe Detail'!BU112+'Sandhill Detail'!BU112</f>
        <v>41.643825970000002</v>
      </c>
      <c r="BV112" s="141">
        <f>'Hillpointe Detail'!BV112+'Sandhill Detail'!BV112</f>
        <v>28.137720250000005</v>
      </c>
      <c r="BW112" s="141">
        <f>'Hillpointe Detail'!BW112+'Sandhill Detail'!BW112</f>
        <v>28.137720250000005</v>
      </c>
      <c r="BX112" s="141">
        <f>'Hillpointe Detail'!BX112+'Sandhill Detail'!BX112</f>
        <v>28.981851857500004</v>
      </c>
      <c r="BY112" s="8"/>
      <c r="BZ112" s="141">
        <f t="shared" si="57"/>
        <v>25</v>
      </c>
      <c r="CA112" s="141">
        <f t="shared" si="58"/>
        <v>297.55</v>
      </c>
      <c r="CC112" s="141">
        <f t="shared" si="59"/>
        <v>351</v>
      </c>
      <c r="CD112" s="141">
        <f t="shared" si="61"/>
        <v>157.54</v>
      </c>
      <c r="CE112" s="141">
        <f t="shared" si="61"/>
        <v>300</v>
      </c>
      <c r="CF112" s="141">
        <f t="shared" si="61"/>
        <v>323.3</v>
      </c>
      <c r="CG112" s="141">
        <f t="shared" si="61"/>
        <v>332.99899999999997</v>
      </c>
      <c r="CH112" s="141">
        <f t="shared" si="61"/>
        <v>342.98896999999999</v>
      </c>
      <c r="CI112" s="141">
        <f t="shared" si="61"/>
        <v>353.27863910000002</v>
      </c>
      <c r="CJ112" s="141">
        <f t="shared" si="61"/>
        <v>363.87699827300014</v>
      </c>
      <c r="CL112" s="105"/>
      <c r="CM112" s="13"/>
    </row>
    <row r="113" spans="1:91" x14ac:dyDescent="0.3">
      <c r="A113" s="84" t="s">
        <v>70</v>
      </c>
      <c r="B113" s="10"/>
      <c r="C113" s="18">
        <f>SUM(C100:C112)</f>
        <v>123980.3</v>
      </c>
      <c r="D113" s="18">
        <f>SUM(D100:D112)</f>
        <v>85774.47</v>
      </c>
      <c r="E113" s="105">
        <f>'Hillpointe Detail'!E113+'Sandhill Detail'!E113</f>
        <v>4352.83</v>
      </c>
      <c r="F113" s="105">
        <f>'Hillpointe Detail'!F113+'Sandhill Detail'!F113</f>
        <v>2112.81</v>
      </c>
      <c r="G113" s="105">
        <f>'Hillpointe Detail'!G113+'Sandhill Detail'!G113</f>
        <v>7794.1500000000005</v>
      </c>
      <c r="H113" s="105">
        <f>'Hillpointe Detail'!H113+'Sandhill Detail'!H113</f>
        <v>21640.95</v>
      </c>
      <c r="I113" s="105">
        <f>'Hillpointe Detail'!I113+'Sandhill Detail'!I113</f>
        <v>17919.310000000001</v>
      </c>
      <c r="J113" s="105">
        <f>'Hillpointe Detail'!J113+'Sandhill Detail'!J113</f>
        <v>2616.1099999999997</v>
      </c>
      <c r="K113" s="105">
        <f>'Hillpointe Detail'!K113+'Sandhill Detail'!K113</f>
        <v>10034.32</v>
      </c>
      <c r="L113" s="105">
        <f>'Hillpointe Detail'!L113+'Sandhill Detail'!L113</f>
        <v>9352.07</v>
      </c>
      <c r="M113" s="105">
        <f>'Hillpointe Detail'!M113+'Sandhill Detail'!M113</f>
        <v>3149.4700000000003</v>
      </c>
      <c r="N113" s="105">
        <f>'Hillpointe Detail'!N113+'Sandhill Detail'!N113</f>
        <v>6550.6399999999994</v>
      </c>
      <c r="O113" s="105">
        <f>'Hillpointe Detail'!O113+'Sandhill Detail'!O113</f>
        <v>21131.670000000002</v>
      </c>
      <c r="P113" s="105">
        <f>'Hillpointe Detail'!P113+'Sandhill Detail'!P113</f>
        <v>5551.3</v>
      </c>
      <c r="Q113" s="105">
        <f>'Hillpointe Detail'!Q113+'Sandhill Detail'!Q113</f>
        <v>4604.05</v>
      </c>
      <c r="R113" s="105">
        <f>'Hillpointe Detail'!R113+'Sandhill Detail'!R113</f>
        <v>7086.65</v>
      </c>
      <c r="S113" s="105">
        <f>'Hillpointe Detail'!S113+'Sandhill Detail'!S113</f>
        <v>56804.97</v>
      </c>
      <c r="T113" s="105">
        <f>'Hillpointe Detail'!T113+'Sandhill Detail'!T113</f>
        <v>16428.54</v>
      </c>
      <c r="U113" s="105">
        <f>'Hillpointe Detail'!U113+'Sandhill Detail'!U113</f>
        <v>39295.490000000005</v>
      </c>
      <c r="V113" s="105">
        <f>'Hillpointe Detail'!V113+'Sandhill Detail'!V113</f>
        <v>40.230000000000004</v>
      </c>
      <c r="W113" s="105">
        <f>'Hillpointe Detail'!W113+'Sandhill Detail'!W113</f>
        <v>13289.260000000002</v>
      </c>
      <c r="X113" s="105">
        <f>'Hillpointe Detail'!X113+'Sandhill Detail'!X113</f>
        <v>6596.66</v>
      </c>
      <c r="Y113" s="105">
        <f>'Hillpointe Detail'!Y113+'Sandhill Detail'!Y113</f>
        <v>7161.22</v>
      </c>
      <c r="Z113" s="105">
        <f>'Hillpointe Detail'!Z113+'Sandhill Detail'!Z113</f>
        <v>4807.5599999999995</v>
      </c>
      <c r="AA113" s="105">
        <f>'Hillpointe Detail'!AA113+'Sandhill Detail'!AA113</f>
        <v>12556.32</v>
      </c>
      <c r="AB113" s="105">
        <f>'Hillpointe Detail'!AB113+'Sandhill Detail'!AB113</f>
        <v>5717.8389999999999</v>
      </c>
      <c r="AC113" s="105">
        <f>'Hillpointe Detail'!AC113+'Sandhill Detail'!AC113</f>
        <v>4742.1715000000004</v>
      </c>
      <c r="AD113" s="105">
        <f>'Hillpointe Detail'!AD113+'Sandhill Detail'!AD113</f>
        <v>7299.2494999999999</v>
      </c>
      <c r="AE113" s="105">
        <f>'Hillpointe Detail'!AE113+'Sandhill Detail'!AE113</f>
        <v>32009.1191</v>
      </c>
      <c r="AF113" s="105">
        <f>'Hillpointe Detail'!AF113+'Sandhill Detail'!AF113</f>
        <v>16921.396200000003</v>
      </c>
      <c r="AG113" s="105">
        <f>'Hillpointe Detail'!AG113+'Sandhill Detail'!AG113</f>
        <v>40474.354699999996</v>
      </c>
      <c r="AH113" s="105">
        <f>'Hillpointe Detail'!AH113+'Sandhill Detail'!AH113</f>
        <v>41.436900000000001</v>
      </c>
      <c r="AI113" s="105">
        <f>'Hillpointe Detail'!AI113+'Sandhill Detail'!AI113</f>
        <v>13687.937800000002</v>
      </c>
      <c r="AJ113" s="105">
        <f>'Hillpointe Detail'!AJ113+'Sandhill Detail'!AJ113</f>
        <v>6794.5598</v>
      </c>
      <c r="AK113" s="105">
        <f>'Hillpointe Detail'!AK113+'Sandhill Detail'!AK113</f>
        <v>7376.0565999999999</v>
      </c>
      <c r="AL113" s="105">
        <f>'Hillpointe Detail'!AL113+'Sandhill Detail'!AL113</f>
        <v>4951.7867999999999</v>
      </c>
      <c r="AM113" s="105">
        <f>'Hillpointe Detail'!AM113+'Sandhill Detail'!AM113</f>
        <v>12933.009599999998</v>
      </c>
      <c r="AN113" s="105">
        <f>'Hillpointe Detail'!AN113+'Sandhill Detail'!AN113</f>
        <v>5889.374170000001</v>
      </c>
      <c r="AO113" s="105">
        <f>'Hillpointe Detail'!AO113+'Sandhill Detail'!AO113</f>
        <v>4884.4366450000007</v>
      </c>
      <c r="AP113" s="105">
        <f>'Hillpointe Detail'!AP113+'Sandhill Detail'!AP113</f>
        <v>7518.2269850000002</v>
      </c>
      <c r="AQ113" s="105">
        <f>'Hillpointe Detail'!AQ113+'Sandhill Detail'!AQ113</f>
        <v>32219.392672999998</v>
      </c>
      <c r="AR113" s="105">
        <f>'Hillpointe Detail'!AR113+'Sandhill Detail'!AR113</f>
        <v>17429.038086</v>
      </c>
      <c r="AS113" s="105">
        <f>'Hillpointe Detail'!AS113+'Sandhill Detail'!AS113</f>
        <v>41688.585340999998</v>
      </c>
      <c r="AT113" s="105">
        <f>'Hillpointe Detail'!AT113+'Sandhill Detail'!AT113</f>
        <v>42.680007000000003</v>
      </c>
      <c r="AU113" s="105">
        <f>'Hillpointe Detail'!AU113+'Sandhill Detail'!AU113</f>
        <v>14098.575934</v>
      </c>
      <c r="AV113" s="105">
        <f>'Hillpointe Detail'!AV113+'Sandhill Detail'!AV113</f>
        <v>6998.3965939999998</v>
      </c>
      <c r="AW113" s="105">
        <f>'Hillpointe Detail'!AW113+'Sandhill Detail'!AW113</f>
        <v>7597.3382979999997</v>
      </c>
      <c r="AX113" s="105">
        <f>'Hillpointe Detail'!AX113+'Sandhill Detail'!AX113</f>
        <v>5100.3404040000005</v>
      </c>
      <c r="AY113" s="105">
        <f>'Hillpointe Detail'!AY113+'Sandhill Detail'!AY113</f>
        <v>13320.999888000002</v>
      </c>
      <c r="AZ113" s="105">
        <f>'Hillpointe Detail'!AZ113+'Sandhill Detail'!AZ113</f>
        <v>6066.0553951000002</v>
      </c>
      <c r="BA113" s="105">
        <f>'Hillpointe Detail'!BA113+'Sandhill Detail'!BA113</f>
        <v>5030.9697443500008</v>
      </c>
      <c r="BB113" s="105">
        <f>'Hillpointe Detail'!BB113+'Sandhill Detail'!BB113</f>
        <v>7743.7737945500012</v>
      </c>
      <c r="BC113" s="105">
        <f>'Hillpointe Detail'!BC113+'Sandhill Detail'!BC113</f>
        <v>32435.97445319</v>
      </c>
      <c r="BD113" s="105">
        <f>'Hillpointe Detail'!BD113+'Sandhill Detail'!BD113</f>
        <v>17951.909228580003</v>
      </c>
      <c r="BE113" s="105">
        <f>'Hillpointe Detail'!BE113+'Sandhill Detail'!BE113</f>
        <v>42939.242901230005</v>
      </c>
      <c r="BF113" s="105">
        <f>'Hillpointe Detail'!BF113+'Sandhill Detail'!BF113</f>
        <v>43.960407210000007</v>
      </c>
      <c r="BG113" s="105">
        <f>'Hillpointe Detail'!BG113+'Sandhill Detail'!BG113</f>
        <v>14521.533212020004</v>
      </c>
      <c r="BH113" s="105">
        <f>'Hillpointe Detail'!BH113+'Sandhill Detail'!BH113</f>
        <v>7208.3484918200002</v>
      </c>
      <c r="BI113" s="105">
        <f>'Hillpointe Detail'!BI113+'Sandhill Detail'!BI113</f>
        <v>7825.2584469400008</v>
      </c>
      <c r="BJ113" s="105">
        <f>'Hillpointe Detail'!BJ113+'Sandhill Detail'!BJ113</f>
        <v>5253.3506161199994</v>
      </c>
      <c r="BK113" s="105">
        <f>'Hillpointe Detail'!BK113+'Sandhill Detail'!BK113</f>
        <v>13720.629884640002</v>
      </c>
      <c r="BL113" s="105">
        <f>'Hillpointe Detail'!BL113+'Sandhill Detail'!BL113</f>
        <v>6248.0370569530005</v>
      </c>
      <c r="BM113" s="105">
        <f>'Hillpointe Detail'!BM113+'Sandhill Detail'!BM113</f>
        <v>5181.8988366805006</v>
      </c>
      <c r="BN113" s="105">
        <f>'Hillpointe Detail'!BN113+'Sandhill Detail'!BN113</f>
        <v>7976.0870083865011</v>
      </c>
      <c r="BO113" s="105">
        <f>'Hillpointe Detail'!BO113+'Sandhill Detail'!BO113</f>
        <v>32659.053686785701</v>
      </c>
      <c r="BP113" s="105">
        <f>'Hillpointe Detail'!BP113+'Sandhill Detail'!BP113</f>
        <v>18490.466505437402</v>
      </c>
      <c r="BQ113" s="105">
        <f>'Hillpointe Detail'!BQ113+'Sandhill Detail'!BQ113</f>
        <v>44227.420188266893</v>
      </c>
      <c r="BR113" s="105">
        <f>'Hillpointe Detail'!BR113+'Sandhill Detail'!BR113</f>
        <v>45.27921942630001</v>
      </c>
      <c r="BS113" s="105">
        <f>'Hillpointe Detail'!BS113+'Sandhill Detail'!BS113</f>
        <v>14957.179208380599</v>
      </c>
      <c r="BT113" s="105">
        <f>'Hillpointe Detail'!BT113+'Sandhill Detail'!BT113</f>
        <v>7424.5989465746006</v>
      </c>
      <c r="BU113" s="105">
        <f>'Hillpointe Detail'!BU113+'Sandhill Detail'!BU113</f>
        <v>8060.0162003482001</v>
      </c>
      <c r="BV113" s="105">
        <f>'Hillpointe Detail'!BV113+'Sandhill Detail'!BV113</f>
        <v>5410.9511346036006</v>
      </c>
      <c r="BW113" s="105">
        <f>'Hillpointe Detail'!BW113+'Sandhill Detail'!BW113</f>
        <v>14132.2487811792</v>
      </c>
      <c r="BX113" s="105">
        <f>'Hillpointe Detail'!BX113+'Sandhill Detail'!BX113</f>
        <v>6435.4781686615906</v>
      </c>
      <c r="BY113" s="8"/>
      <c r="BZ113" s="105">
        <f t="shared" si="57"/>
        <v>12556.32</v>
      </c>
      <c r="CA113" s="105">
        <f t="shared" si="58"/>
        <v>168670.95</v>
      </c>
      <c r="CC113" s="105">
        <f t="shared" si="59"/>
        <v>123980.3</v>
      </c>
      <c r="CD113" s="105">
        <f t="shared" si="61"/>
        <v>85774.47</v>
      </c>
      <c r="CE113" s="105">
        <f t="shared" si="61"/>
        <v>112205.63000000002</v>
      </c>
      <c r="CF113" s="105">
        <f t="shared" si="61"/>
        <v>174388.78900000002</v>
      </c>
      <c r="CG113" s="105">
        <f t="shared" si="61"/>
        <v>153120.45266999997</v>
      </c>
      <c r="CH113" s="105">
        <f t="shared" si="61"/>
        <v>156964.0662501</v>
      </c>
      <c r="CI113" s="105">
        <f t="shared" si="61"/>
        <v>160922.98823760304</v>
      </c>
      <c r="CJ113" s="105">
        <f t="shared" si="61"/>
        <v>165000.67788473106</v>
      </c>
      <c r="CL113" s="105"/>
      <c r="CM113" s="13"/>
    </row>
    <row r="114" spans="1:91" x14ac:dyDescent="0.3">
      <c r="A114" s="84" t="s">
        <v>71</v>
      </c>
      <c r="B114" s="10"/>
      <c r="C114" s="103">
        <v>0</v>
      </c>
      <c r="D114" s="103">
        <v>0</v>
      </c>
      <c r="E114" s="105">
        <f>'Hillpointe Detail'!E114+'Sandhill Detail'!E114</f>
        <v>0</v>
      </c>
      <c r="F114" s="105">
        <f>'Hillpointe Detail'!F114+'Sandhill Detail'!F114</f>
        <v>0</v>
      </c>
      <c r="G114" s="105">
        <f>'Hillpointe Detail'!G114+'Sandhill Detail'!G114</f>
        <v>0</v>
      </c>
      <c r="H114" s="105">
        <f>'Hillpointe Detail'!H114+'Sandhill Detail'!H114</f>
        <v>0</v>
      </c>
      <c r="I114" s="105">
        <f>'Hillpointe Detail'!I114+'Sandhill Detail'!I114</f>
        <v>0</v>
      </c>
      <c r="J114" s="105">
        <f>'Hillpointe Detail'!J114+'Sandhill Detail'!J114</f>
        <v>0</v>
      </c>
      <c r="K114" s="105">
        <f>'Hillpointe Detail'!K114+'Sandhill Detail'!K114</f>
        <v>0</v>
      </c>
      <c r="L114" s="105">
        <f>'Hillpointe Detail'!L114+'Sandhill Detail'!L114</f>
        <v>0</v>
      </c>
      <c r="M114" s="105">
        <f>'Hillpointe Detail'!M114+'Sandhill Detail'!M114</f>
        <v>0</v>
      </c>
      <c r="N114" s="105">
        <f>'Hillpointe Detail'!N114+'Sandhill Detail'!N114</f>
        <v>0</v>
      </c>
      <c r="O114" s="105">
        <f>'Hillpointe Detail'!O114+'Sandhill Detail'!O114</f>
        <v>0</v>
      </c>
      <c r="P114" s="105">
        <f>'Hillpointe Detail'!P114+'Sandhill Detail'!P114</f>
        <v>0</v>
      </c>
      <c r="Q114" s="105">
        <f>'Hillpointe Detail'!Q114+'Sandhill Detail'!Q114</f>
        <v>0</v>
      </c>
      <c r="R114" s="105">
        <f>'Hillpointe Detail'!R114+'Sandhill Detail'!R114</f>
        <v>0</v>
      </c>
      <c r="S114" s="105">
        <f>'Hillpointe Detail'!S114+'Sandhill Detail'!S114</f>
        <v>0</v>
      </c>
      <c r="T114" s="105">
        <f>'Hillpointe Detail'!T114+'Sandhill Detail'!T114</f>
        <v>0</v>
      </c>
      <c r="U114" s="105">
        <f>'Hillpointe Detail'!U114+'Sandhill Detail'!U114</f>
        <v>0</v>
      </c>
      <c r="V114" s="105">
        <f>'Hillpointe Detail'!V114+'Sandhill Detail'!V114</f>
        <v>0</v>
      </c>
      <c r="W114" s="105">
        <f>'Hillpointe Detail'!W114+'Sandhill Detail'!W114</f>
        <v>0</v>
      </c>
      <c r="X114" s="105">
        <f>'Hillpointe Detail'!X114+'Sandhill Detail'!X114</f>
        <v>0</v>
      </c>
      <c r="Y114" s="105">
        <f>'Hillpointe Detail'!Y114+'Sandhill Detail'!Y114</f>
        <v>0</v>
      </c>
      <c r="Z114" s="105">
        <f>'Hillpointe Detail'!Z114+'Sandhill Detail'!Z114</f>
        <v>0</v>
      </c>
      <c r="AA114" s="105">
        <f>'Hillpointe Detail'!AA114+'Sandhill Detail'!AA114</f>
        <v>0</v>
      </c>
      <c r="AB114" s="105">
        <f>'Hillpointe Detail'!AB114+'Sandhill Detail'!AB114</f>
        <v>0</v>
      </c>
      <c r="AC114" s="105">
        <f>'Hillpointe Detail'!AC114+'Sandhill Detail'!AC114</f>
        <v>0</v>
      </c>
      <c r="AD114" s="105">
        <f>'Hillpointe Detail'!AD114+'Sandhill Detail'!AD114</f>
        <v>0</v>
      </c>
      <c r="AE114" s="105">
        <f>'Hillpointe Detail'!AE114+'Sandhill Detail'!AE114</f>
        <v>0</v>
      </c>
      <c r="AF114" s="105">
        <f>'Hillpointe Detail'!AF114+'Sandhill Detail'!AF114</f>
        <v>0</v>
      </c>
      <c r="AG114" s="105">
        <f>'Hillpointe Detail'!AG114+'Sandhill Detail'!AG114</f>
        <v>0</v>
      </c>
      <c r="AH114" s="105">
        <f>'Hillpointe Detail'!AH114+'Sandhill Detail'!AH114</f>
        <v>0</v>
      </c>
      <c r="AI114" s="105">
        <f>'Hillpointe Detail'!AI114+'Sandhill Detail'!AI114</f>
        <v>0</v>
      </c>
      <c r="AJ114" s="105">
        <f>'Hillpointe Detail'!AJ114+'Sandhill Detail'!AJ114</f>
        <v>0</v>
      </c>
      <c r="AK114" s="105">
        <f>'Hillpointe Detail'!AK114+'Sandhill Detail'!AK114</f>
        <v>0</v>
      </c>
      <c r="AL114" s="105">
        <f>'Hillpointe Detail'!AL114+'Sandhill Detail'!AL114</f>
        <v>0</v>
      </c>
      <c r="AM114" s="105">
        <f>'Hillpointe Detail'!AM114+'Sandhill Detail'!AM114</f>
        <v>0</v>
      </c>
      <c r="AN114" s="105">
        <f>'Hillpointe Detail'!AN114+'Sandhill Detail'!AN114</f>
        <v>0</v>
      </c>
      <c r="AO114" s="105">
        <f>'Hillpointe Detail'!AO114+'Sandhill Detail'!AO114</f>
        <v>0</v>
      </c>
      <c r="AP114" s="105">
        <f>'Hillpointe Detail'!AP114+'Sandhill Detail'!AP114</f>
        <v>0</v>
      </c>
      <c r="AQ114" s="105">
        <f>'Hillpointe Detail'!AQ114+'Sandhill Detail'!AQ114</f>
        <v>0</v>
      </c>
      <c r="AR114" s="105">
        <f>'Hillpointe Detail'!AR114+'Sandhill Detail'!AR114</f>
        <v>0</v>
      </c>
      <c r="AS114" s="105">
        <f>'Hillpointe Detail'!AS114+'Sandhill Detail'!AS114</f>
        <v>0</v>
      </c>
      <c r="AT114" s="105">
        <f>'Hillpointe Detail'!AT114+'Sandhill Detail'!AT114</f>
        <v>0</v>
      </c>
      <c r="AU114" s="105">
        <f>'Hillpointe Detail'!AU114+'Sandhill Detail'!AU114</f>
        <v>0</v>
      </c>
      <c r="AV114" s="105">
        <f>'Hillpointe Detail'!AV114+'Sandhill Detail'!AV114</f>
        <v>0</v>
      </c>
      <c r="AW114" s="105">
        <f>'Hillpointe Detail'!AW114+'Sandhill Detail'!AW114</f>
        <v>0</v>
      </c>
      <c r="AX114" s="105">
        <f>'Hillpointe Detail'!AX114+'Sandhill Detail'!AX114</f>
        <v>0</v>
      </c>
      <c r="AY114" s="105">
        <f>'Hillpointe Detail'!AY114+'Sandhill Detail'!AY114</f>
        <v>0</v>
      </c>
      <c r="AZ114" s="105">
        <f>'Hillpointe Detail'!AZ114+'Sandhill Detail'!AZ114</f>
        <v>0</v>
      </c>
      <c r="BA114" s="105">
        <f>'Hillpointe Detail'!BA114+'Sandhill Detail'!BA114</f>
        <v>0</v>
      </c>
      <c r="BB114" s="105">
        <f>'Hillpointe Detail'!BB114+'Sandhill Detail'!BB114</f>
        <v>0</v>
      </c>
      <c r="BC114" s="105">
        <f>'Hillpointe Detail'!BC114+'Sandhill Detail'!BC114</f>
        <v>0</v>
      </c>
      <c r="BD114" s="105">
        <f>'Hillpointe Detail'!BD114+'Sandhill Detail'!BD114</f>
        <v>0</v>
      </c>
      <c r="BE114" s="105">
        <f>'Hillpointe Detail'!BE114+'Sandhill Detail'!BE114</f>
        <v>0</v>
      </c>
      <c r="BF114" s="105">
        <f>'Hillpointe Detail'!BF114+'Sandhill Detail'!BF114</f>
        <v>0</v>
      </c>
      <c r="BG114" s="105">
        <f>'Hillpointe Detail'!BG114+'Sandhill Detail'!BG114</f>
        <v>0</v>
      </c>
      <c r="BH114" s="105">
        <f>'Hillpointe Detail'!BH114+'Sandhill Detail'!BH114</f>
        <v>0</v>
      </c>
      <c r="BI114" s="105">
        <f>'Hillpointe Detail'!BI114+'Sandhill Detail'!BI114</f>
        <v>0</v>
      </c>
      <c r="BJ114" s="105">
        <f>'Hillpointe Detail'!BJ114+'Sandhill Detail'!BJ114</f>
        <v>0</v>
      </c>
      <c r="BK114" s="105">
        <f>'Hillpointe Detail'!BK114+'Sandhill Detail'!BK114</f>
        <v>0</v>
      </c>
      <c r="BL114" s="105">
        <f>'Hillpointe Detail'!BL114+'Sandhill Detail'!BL114</f>
        <v>0</v>
      </c>
      <c r="BM114" s="105">
        <f>'Hillpointe Detail'!BM114+'Sandhill Detail'!BM114</f>
        <v>0</v>
      </c>
      <c r="BN114" s="105">
        <f>'Hillpointe Detail'!BN114+'Sandhill Detail'!BN114</f>
        <v>0</v>
      </c>
      <c r="BO114" s="105">
        <f>'Hillpointe Detail'!BO114+'Sandhill Detail'!BO114</f>
        <v>0</v>
      </c>
      <c r="BP114" s="105">
        <f>'Hillpointe Detail'!BP114+'Sandhill Detail'!BP114</f>
        <v>0</v>
      </c>
      <c r="BQ114" s="105">
        <f>'Hillpointe Detail'!BQ114+'Sandhill Detail'!BQ114</f>
        <v>0</v>
      </c>
      <c r="BR114" s="105">
        <f>'Hillpointe Detail'!BR114+'Sandhill Detail'!BR114</f>
        <v>0</v>
      </c>
      <c r="BS114" s="105">
        <f>'Hillpointe Detail'!BS114+'Sandhill Detail'!BS114</f>
        <v>0</v>
      </c>
      <c r="BT114" s="105">
        <f>'Hillpointe Detail'!BT114+'Sandhill Detail'!BT114</f>
        <v>0</v>
      </c>
      <c r="BU114" s="105">
        <f>'Hillpointe Detail'!BU114+'Sandhill Detail'!BU114</f>
        <v>0</v>
      </c>
      <c r="BV114" s="105">
        <f>'Hillpointe Detail'!BV114+'Sandhill Detail'!BV114</f>
        <v>0</v>
      </c>
      <c r="BW114" s="105">
        <f>'Hillpointe Detail'!BW114+'Sandhill Detail'!BW114</f>
        <v>0</v>
      </c>
      <c r="BX114" s="105">
        <f>'Hillpointe Detail'!BX114+'Sandhill Detail'!BX114</f>
        <v>0</v>
      </c>
      <c r="BY114" s="8"/>
      <c r="BZ114" s="105">
        <f t="shared" si="57"/>
        <v>0</v>
      </c>
      <c r="CA114" s="105">
        <f t="shared" si="58"/>
        <v>0</v>
      </c>
      <c r="CC114" s="105">
        <f t="shared" si="59"/>
        <v>0</v>
      </c>
      <c r="CD114" s="105">
        <f t="shared" si="61"/>
        <v>0</v>
      </c>
      <c r="CE114" s="105">
        <f t="shared" si="61"/>
        <v>0</v>
      </c>
      <c r="CF114" s="105">
        <f t="shared" si="61"/>
        <v>0</v>
      </c>
      <c r="CG114" s="105">
        <f t="shared" si="61"/>
        <v>0</v>
      </c>
      <c r="CH114" s="105">
        <f t="shared" si="61"/>
        <v>0</v>
      </c>
      <c r="CI114" s="105">
        <f t="shared" si="61"/>
        <v>0</v>
      </c>
      <c r="CJ114" s="105">
        <f t="shared" si="61"/>
        <v>0</v>
      </c>
      <c r="CL114" s="105"/>
      <c r="CM114" s="13"/>
    </row>
    <row r="115" spans="1:91" x14ac:dyDescent="0.3">
      <c r="A115" s="84" t="s">
        <v>72</v>
      </c>
      <c r="B115" s="10" t="s">
        <v>135</v>
      </c>
      <c r="C115" s="103">
        <v>164433.92000000001</v>
      </c>
      <c r="D115" s="103">
        <v>145530.74</v>
      </c>
      <c r="E115" s="105">
        <f>'Hillpointe Detail'!E115+'Sandhill Detail'!E115</f>
        <v>-16324.16</v>
      </c>
      <c r="F115" s="105">
        <f>'Hillpointe Detail'!F115+'Sandhill Detail'!F115</f>
        <v>14299.16</v>
      </c>
      <c r="G115" s="105">
        <f>'Hillpointe Detail'!G115+'Sandhill Detail'!G115</f>
        <v>15395.84</v>
      </c>
      <c r="H115" s="105">
        <f>'Hillpointe Detail'!H115+'Sandhill Detail'!H115</f>
        <v>16458.34</v>
      </c>
      <c r="I115" s="105">
        <f>'Hillpointe Detail'!I115+'Sandhill Detail'!I115</f>
        <v>16458.34</v>
      </c>
      <c r="J115" s="105">
        <f>'Hillpointe Detail'!J115+'Sandhill Detail'!J115</f>
        <v>16458.34</v>
      </c>
      <c r="K115" s="105">
        <f>'Hillpointe Detail'!K115+'Sandhill Detail'!K115</f>
        <v>16458.34</v>
      </c>
      <c r="L115" s="105">
        <f>'Hillpointe Detail'!L115+'Sandhill Detail'!L115</f>
        <v>16458.339999999993</v>
      </c>
      <c r="M115" s="105">
        <f>'Hillpointe Detail'!M115+'Sandhill Detail'!M115</f>
        <v>16458.34</v>
      </c>
      <c r="N115" s="105">
        <f>'Hillpointe Detail'!N115+'Sandhill Detail'!N115</f>
        <v>16458.34</v>
      </c>
      <c r="O115" s="105">
        <f>'Hillpointe Detail'!O115+'Sandhill Detail'!O115</f>
        <v>16458.34</v>
      </c>
      <c r="P115" s="105">
        <f>'Hillpointe Detail'!P115+'Sandhill Detail'!P115</f>
        <v>41250.020000000004</v>
      </c>
      <c r="Q115" s="105">
        <f>'Hillpointe Detail'!Q115+'Sandhill Detail'!Q115</f>
        <v>0</v>
      </c>
      <c r="R115" s="105">
        <f>'Hillpointe Detail'!R115+'Sandhill Detail'!R115</f>
        <v>18751.099999999999</v>
      </c>
      <c r="S115" s="105">
        <f>'Hillpointe Detail'!S115+'Sandhill Detail'!S115</f>
        <v>18781.099999999999</v>
      </c>
      <c r="T115" s="105">
        <f>'Hillpointe Detail'!T115+'Sandhill Detail'!T115</f>
        <v>18751.099999999999</v>
      </c>
      <c r="U115" s="105">
        <f>'Hillpointe Detail'!U115+'Sandhill Detail'!U115</f>
        <v>18751.099999999999</v>
      </c>
      <c r="V115" s="105">
        <f>'Hillpointe Detail'!V115+'Sandhill Detail'!V115</f>
        <v>18951.099999999999</v>
      </c>
      <c r="W115" s="105">
        <f>'Hillpointe Detail'!W115+'Sandhill Detail'!W115</f>
        <v>18751.099999999999</v>
      </c>
      <c r="X115" s="105">
        <f>'Hillpointe Detail'!X115+'Sandhill Detail'!X115</f>
        <v>18751.099999999999</v>
      </c>
      <c r="Y115" s="105">
        <f>'Hillpointe Detail'!Y115+'Sandhill Detail'!Y115</f>
        <v>18751.099999999999</v>
      </c>
      <c r="Z115" s="105">
        <f>'Hillpointe Detail'!Z115+'Sandhill Detail'!Z115</f>
        <v>18751.099999999999</v>
      </c>
      <c r="AA115" s="105">
        <f>'Hillpointe Detail'!AA115+'Sandhill Detail'!AA115</f>
        <v>19426.099999999999</v>
      </c>
      <c r="AB115" s="105">
        <f>'Hillpointe Detail'!AB115+'Sandhill Detail'!AB115</f>
        <v>37635.533333333333</v>
      </c>
      <c r="AC115" s="105">
        <f>'Hillpointe Detail'!AC115+'Sandhill Detail'!AC115</f>
        <v>0</v>
      </c>
      <c r="AD115" s="105">
        <f>'Hillpointe Detail'!AD115+'Sandhill Detail'!AD115</f>
        <v>18817.766666666666</v>
      </c>
      <c r="AE115" s="105">
        <f>'Hillpointe Detail'!AE115+'Sandhill Detail'!AE115</f>
        <v>18817.766666666666</v>
      </c>
      <c r="AF115" s="105">
        <f>'Hillpointe Detail'!AF115+'Sandhill Detail'!AF115</f>
        <v>18817.766666666666</v>
      </c>
      <c r="AG115" s="105">
        <f>'Hillpointe Detail'!AG115+'Sandhill Detail'!AG115</f>
        <v>18817.766666666666</v>
      </c>
      <c r="AH115" s="105">
        <f>'Hillpointe Detail'!AH115+'Sandhill Detail'!AH115</f>
        <v>18817.766666666666</v>
      </c>
      <c r="AI115" s="105">
        <f>'Hillpointe Detail'!AI115+'Sandhill Detail'!AI115</f>
        <v>18817.766666666666</v>
      </c>
      <c r="AJ115" s="105">
        <f>'Hillpointe Detail'!AJ115+'Sandhill Detail'!AJ115</f>
        <v>18817.766666666666</v>
      </c>
      <c r="AK115" s="105">
        <f>'Hillpointe Detail'!AK115+'Sandhill Detail'!AK115</f>
        <v>18817.766666666666</v>
      </c>
      <c r="AL115" s="105">
        <f>'Hillpointe Detail'!AL115+'Sandhill Detail'!AL115</f>
        <v>18817.766666666666</v>
      </c>
      <c r="AM115" s="105">
        <f>'Hillpointe Detail'!AM115+'Sandhill Detail'!AM115</f>
        <v>18817.766666666666</v>
      </c>
      <c r="AN115" s="105">
        <f>'Hillpointe Detail'!AN115+'Sandhill Detail'!AN115</f>
        <v>37635.533333333333</v>
      </c>
      <c r="AO115" s="105">
        <f>'Hillpointe Detail'!AO115+'Sandhill Detail'!AO115</f>
        <v>0</v>
      </c>
      <c r="AP115" s="105">
        <f>'Hillpointe Detail'!AP115+'Sandhill Detail'!AP115</f>
        <v>19382.29966666667</v>
      </c>
      <c r="AQ115" s="105">
        <f>'Hillpointe Detail'!AQ115+'Sandhill Detail'!AQ115</f>
        <v>19382.29966666667</v>
      </c>
      <c r="AR115" s="105">
        <f>'Hillpointe Detail'!AR115+'Sandhill Detail'!AR115</f>
        <v>19382.29966666667</v>
      </c>
      <c r="AS115" s="105">
        <f>'Hillpointe Detail'!AS115+'Sandhill Detail'!AS115</f>
        <v>19382.29966666667</v>
      </c>
      <c r="AT115" s="105">
        <f>'Hillpointe Detail'!AT115+'Sandhill Detail'!AT115</f>
        <v>19382.29966666667</v>
      </c>
      <c r="AU115" s="105">
        <f>'Hillpointe Detail'!AU115+'Sandhill Detail'!AU115</f>
        <v>19382.29966666667</v>
      </c>
      <c r="AV115" s="105">
        <f>'Hillpointe Detail'!AV115+'Sandhill Detail'!AV115</f>
        <v>19382.29966666667</v>
      </c>
      <c r="AW115" s="105">
        <f>'Hillpointe Detail'!AW115+'Sandhill Detail'!AW115</f>
        <v>19382.29966666667</v>
      </c>
      <c r="AX115" s="105">
        <f>'Hillpointe Detail'!AX115+'Sandhill Detail'!AX115</f>
        <v>19382.29966666667</v>
      </c>
      <c r="AY115" s="105">
        <f>'Hillpointe Detail'!AY115+'Sandhill Detail'!AY115</f>
        <v>19382.29966666667</v>
      </c>
      <c r="AZ115" s="105">
        <f>'Hillpointe Detail'!AZ115+'Sandhill Detail'!AZ115</f>
        <v>38764.599333333339</v>
      </c>
      <c r="BA115" s="105">
        <f>'Hillpointe Detail'!BA115+'Sandhill Detail'!BA115</f>
        <v>0</v>
      </c>
      <c r="BB115" s="105">
        <f>'Hillpointe Detail'!BB115+'Sandhill Detail'!BB115</f>
        <v>19963.768656666671</v>
      </c>
      <c r="BC115" s="105">
        <f>'Hillpointe Detail'!BC115+'Sandhill Detail'!BC115</f>
        <v>19963.768656666671</v>
      </c>
      <c r="BD115" s="105">
        <f>'Hillpointe Detail'!BD115+'Sandhill Detail'!BD115</f>
        <v>19963.768656666671</v>
      </c>
      <c r="BE115" s="105">
        <f>'Hillpointe Detail'!BE115+'Sandhill Detail'!BE115</f>
        <v>19963.768656666671</v>
      </c>
      <c r="BF115" s="105">
        <f>'Hillpointe Detail'!BF115+'Sandhill Detail'!BF115</f>
        <v>19963.768656666671</v>
      </c>
      <c r="BG115" s="105">
        <f>'Hillpointe Detail'!BG115+'Sandhill Detail'!BG115</f>
        <v>19963.768656666671</v>
      </c>
      <c r="BH115" s="105">
        <f>'Hillpointe Detail'!BH115+'Sandhill Detail'!BH115</f>
        <v>19963.768656666671</v>
      </c>
      <c r="BI115" s="105">
        <f>'Hillpointe Detail'!BI115+'Sandhill Detail'!BI115</f>
        <v>19963.768656666671</v>
      </c>
      <c r="BJ115" s="105">
        <f>'Hillpointe Detail'!BJ115+'Sandhill Detail'!BJ115</f>
        <v>19963.768656666671</v>
      </c>
      <c r="BK115" s="105">
        <f>'Hillpointe Detail'!BK115+'Sandhill Detail'!BK115</f>
        <v>19963.768656666671</v>
      </c>
      <c r="BL115" s="105">
        <f>'Hillpointe Detail'!BL115+'Sandhill Detail'!BL115</f>
        <v>39927.537313333341</v>
      </c>
      <c r="BM115" s="105">
        <f>'Hillpointe Detail'!BM115+'Sandhill Detail'!BM115</f>
        <v>0</v>
      </c>
      <c r="BN115" s="105">
        <f>'Hillpointe Detail'!BN115+'Sandhill Detail'!BN115</f>
        <v>20562.681716366671</v>
      </c>
      <c r="BO115" s="105">
        <f>'Hillpointe Detail'!BO115+'Sandhill Detail'!BO115</f>
        <v>20562.681716366671</v>
      </c>
      <c r="BP115" s="105">
        <f>'Hillpointe Detail'!BP115+'Sandhill Detail'!BP115</f>
        <v>20562.681716366671</v>
      </c>
      <c r="BQ115" s="105">
        <f>'Hillpointe Detail'!BQ115+'Sandhill Detail'!BQ115</f>
        <v>20562.681716366671</v>
      </c>
      <c r="BR115" s="105">
        <f>'Hillpointe Detail'!BR115+'Sandhill Detail'!BR115</f>
        <v>20562.681716366671</v>
      </c>
      <c r="BS115" s="105">
        <f>'Hillpointe Detail'!BS115+'Sandhill Detail'!BS115</f>
        <v>20562.681716366671</v>
      </c>
      <c r="BT115" s="105">
        <f>'Hillpointe Detail'!BT115+'Sandhill Detail'!BT115</f>
        <v>20562.681716366671</v>
      </c>
      <c r="BU115" s="105">
        <f>'Hillpointe Detail'!BU115+'Sandhill Detail'!BU115</f>
        <v>20562.681716366671</v>
      </c>
      <c r="BV115" s="105">
        <f>'Hillpointe Detail'!BV115+'Sandhill Detail'!BV115</f>
        <v>20562.681716366671</v>
      </c>
      <c r="BW115" s="105">
        <f>'Hillpointe Detail'!BW115+'Sandhill Detail'!BW115</f>
        <v>20562.681716366671</v>
      </c>
      <c r="BX115" s="105">
        <f>'Hillpointe Detail'!BX115+'Sandhill Detail'!BX115</f>
        <v>41125.363432733342</v>
      </c>
      <c r="BY115" s="8"/>
      <c r="BZ115" s="105">
        <f t="shared" si="57"/>
        <v>19426.099999999999</v>
      </c>
      <c r="CA115" s="105">
        <f t="shared" si="58"/>
        <v>188416.00000000003</v>
      </c>
      <c r="CC115" s="105">
        <f t="shared" si="59"/>
        <v>164433.92000000001</v>
      </c>
      <c r="CD115" s="105">
        <f t="shared" si="61"/>
        <v>145530.74</v>
      </c>
      <c r="CE115" s="105">
        <f t="shared" si="61"/>
        <v>186287.58000000002</v>
      </c>
      <c r="CF115" s="105">
        <f t="shared" si="61"/>
        <v>226051.53333333335</v>
      </c>
      <c r="CG115" s="105">
        <f t="shared" si="61"/>
        <v>225813.19999999998</v>
      </c>
      <c r="CH115" s="105">
        <f t="shared" si="61"/>
        <v>232587.59600000002</v>
      </c>
      <c r="CI115" s="105">
        <f t="shared" si="61"/>
        <v>239565.22388000006</v>
      </c>
      <c r="CJ115" s="105">
        <f t="shared" si="61"/>
        <v>246752.18059640005</v>
      </c>
      <c r="CL115" s="105"/>
      <c r="CM115" s="13"/>
    </row>
    <row r="116" spans="1:91" x14ac:dyDescent="0.3">
      <c r="A116" s="84" t="s">
        <v>73</v>
      </c>
      <c r="B116" s="10" t="s">
        <v>136</v>
      </c>
      <c r="C116" s="103">
        <v>16911.43</v>
      </c>
      <c r="D116" s="103">
        <v>0</v>
      </c>
      <c r="E116" s="105">
        <f>'Hillpointe Detail'!E116+'Sandhill Detail'!E116</f>
        <v>0</v>
      </c>
      <c r="F116" s="105">
        <f>'Hillpointe Detail'!F116+'Sandhill Detail'!F116</f>
        <v>0</v>
      </c>
      <c r="G116" s="105">
        <f>'Hillpointe Detail'!G116+'Sandhill Detail'!G116</f>
        <v>0</v>
      </c>
      <c r="H116" s="105">
        <f>'Hillpointe Detail'!H116+'Sandhill Detail'!H116</f>
        <v>0</v>
      </c>
      <c r="I116" s="105">
        <f>'Hillpointe Detail'!I116+'Sandhill Detail'!I116</f>
        <v>0</v>
      </c>
      <c r="J116" s="105">
        <f>'Hillpointe Detail'!J116+'Sandhill Detail'!J116</f>
        <v>0</v>
      </c>
      <c r="K116" s="105">
        <f>'Hillpointe Detail'!K116+'Sandhill Detail'!K116</f>
        <v>0</v>
      </c>
      <c r="L116" s="105">
        <f>'Hillpointe Detail'!L116+'Sandhill Detail'!L116</f>
        <v>0</v>
      </c>
      <c r="M116" s="105">
        <f>'Hillpointe Detail'!M116+'Sandhill Detail'!M116</f>
        <v>0</v>
      </c>
      <c r="N116" s="105">
        <f>'Hillpointe Detail'!N116+'Sandhill Detail'!N116</f>
        <v>0</v>
      </c>
      <c r="O116" s="105">
        <f>'Hillpointe Detail'!O116+'Sandhill Detail'!O116</f>
        <v>0</v>
      </c>
      <c r="P116" s="105">
        <f>'Hillpointe Detail'!P116+'Sandhill Detail'!P116</f>
        <v>0</v>
      </c>
      <c r="Q116" s="105">
        <f>'Hillpointe Detail'!Q116+'Sandhill Detail'!Q116</f>
        <v>0</v>
      </c>
      <c r="R116" s="105">
        <f>'Hillpointe Detail'!R116+'Sandhill Detail'!R116</f>
        <v>0</v>
      </c>
      <c r="S116" s="105">
        <f>'Hillpointe Detail'!S116+'Sandhill Detail'!S116</f>
        <v>0</v>
      </c>
      <c r="T116" s="105">
        <f>'Hillpointe Detail'!T116+'Sandhill Detail'!T116</f>
        <v>0</v>
      </c>
      <c r="U116" s="105">
        <f>'Hillpointe Detail'!U116+'Sandhill Detail'!U116</f>
        <v>0</v>
      </c>
      <c r="V116" s="105">
        <f>'Hillpointe Detail'!V116+'Sandhill Detail'!V116</f>
        <v>0</v>
      </c>
      <c r="W116" s="105">
        <f>'Hillpointe Detail'!W116+'Sandhill Detail'!W116</f>
        <v>0</v>
      </c>
      <c r="X116" s="105">
        <f>'Hillpointe Detail'!X116+'Sandhill Detail'!X116</f>
        <v>0</v>
      </c>
      <c r="Y116" s="105">
        <f>'Hillpointe Detail'!Y116+'Sandhill Detail'!Y116</f>
        <v>0</v>
      </c>
      <c r="Z116" s="105">
        <f>'Hillpointe Detail'!Z116+'Sandhill Detail'!Z116</f>
        <v>0</v>
      </c>
      <c r="AA116" s="105">
        <f>'Hillpointe Detail'!AA116+'Sandhill Detail'!AA116</f>
        <v>0</v>
      </c>
      <c r="AB116" s="105">
        <f>'Hillpointe Detail'!AB116+'Sandhill Detail'!AB116</f>
        <v>0</v>
      </c>
      <c r="AC116" s="105">
        <f>'Hillpointe Detail'!AC116+'Sandhill Detail'!AC116</f>
        <v>0</v>
      </c>
      <c r="AD116" s="105">
        <f>'Hillpointe Detail'!AD116+'Sandhill Detail'!AD116</f>
        <v>0</v>
      </c>
      <c r="AE116" s="105">
        <f>'Hillpointe Detail'!AE116+'Sandhill Detail'!AE116</f>
        <v>0</v>
      </c>
      <c r="AF116" s="105">
        <f>'Hillpointe Detail'!AF116+'Sandhill Detail'!AF116</f>
        <v>0</v>
      </c>
      <c r="AG116" s="105">
        <f>'Hillpointe Detail'!AG116+'Sandhill Detail'!AG116</f>
        <v>0</v>
      </c>
      <c r="AH116" s="105">
        <f>'Hillpointe Detail'!AH116+'Sandhill Detail'!AH116</f>
        <v>0</v>
      </c>
      <c r="AI116" s="105">
        <f>'Hillpointe Detail'!AI116+'Sandhill Detail'!AI116</f>
        <v>0</v>
      </c>
      <c r="AJ116" s="105">
        <f>'Hillpointe Detail'!AJ116+'Sandhill Detail'!AJ116</f>
        <v>0</v>
      </c>
      <c r="AK116" s="105">
        <f>'Hillpointe Detail'!AK116+'Sandhill Detail'!AK116</f>
        <v>0</v>
      </c>
      <c r="AL116" s="105">
        <f>'Hillpointe Detail'!AL116+'Sandhill Detail'!AL116</f>
        <v>0</v>
      </c>
      <c r="AM116" s="105">
        <f>'Hillpointe Detail'!AM116+'Sandhill Detail'!AM116</f>
        <v>0</v>
      </c>
      <c r="AN116" s="105">
        <f>'Hillpointe Detail'!AN116+'Sandhill Detail'!AN116</f>
        <v>0</v>
      </c>
      <c r="AO116" s="105">
        <f>'Hillpointe Detail'!AO116+'Sandhill Detail'!AO116</f>
        <v>0</v>
      </c>
      <c r="AP116" s="105">
        <f>'Hillpointe Detail'!AP116+'Sandhill Detail'!AP116</f>
        <v>0</v>
      </c>
      <c r="AQ116" s="105">
        <f>'Hillpointe Detail'!AQ116+'Sandhill Detail'!AQ116</f>
        <v>0</v>
      </c>
      <c r="AR116" s="105">
        <f>'Hillpointe Detail'!AR116+'Sandhill Detail'!AR116</f>
        <v>0</v>
      </c>
      <c r="AS116" s="105">
        <f>'Hillpointe Detail'!AS116+'Sandhill Detail'!AS116</f>
        <v>0</v>
      </c>
      <c r="AT116" s="105">
        <f>'Hillpointe Detail'!AT116+'Sandhill Detail'!AT116</f>
        <v>0</v>
      </c>
      <c r="AU116" s="105">
        <f>'Hillpointe Detail'!AU116+'Sandhill Detail'!AU116</f>
        <v>0</v>
      </c>
      <c r="AV116" s="105">
        <f>'Hillpointe Detail'!AV116+'Sandhill Detail'!AV116</f>
        <v>0</v>
      </c>
      <c r="AW116" s="105">
        <f>'Hillpointe Detail'!AW116+'Sandhill Detail'!AW116</f>
        <v>0</v>
      </c>
      <c r="AX116" s="105">
        <f>'Hillpointe Detail'!AX116+'Sandhill Detail'!AX116</f>
        <v>0</v>
      </c>
      <c r="AY116" s="105">
        <f>'Hillpointe Detail'!AY116+'Sandhill Detail'!AY116</f>
        <v>0</v>
      </c>
      <c r="AZ116" s="105">
        <f>'Hillpointe Detail'!AZ116+'Sandhill Detail'!AZ116</f>
        <v>0</v>
      </c>
      <c r="BA116" s="105">
        <f>'Hillpointe Detail'!BA116+'Sandhill Detail'!BA116</f>
        <v>0</v>
      </c>
      <c r="BB116" s="105">
        <f>'Hillpointe Detail'!BB116+'Sandhill Detail'!BB116</f>
        <v>0</v>
      </c>
      <c r="BC116" s="105">
        <f>'Hillpointe Detail'!BC116+'Sandhill Detail'!BC116</f>
        <v>0</v>
      </c>
      <c r="BD116" s="105">
        <f>'Hillpointe Detail'!BD116+'Sandhill Detail'!BD116</f>
        <v>0</v>
      </c>
      <c r="BE116" s="105">
        <f>'Hillpointe Detail'!BE116+'Sandhill Detail'!BE116</f>
        <v>0</v>
      </c>
      <c r="BF116" s="105">
        <f>'Hillpointe Detail'!BF116+'Sandhill Detail'!BF116</f>
        <v>0</v>
      </c>
      <c r="BG116" s="105">
        <f>'Hillpointe Detail'!BG116+'Sandhill Detail'!BG116</f>
        <v>0</v>
      </c>
      <c r="BH116" s="105">
        <f>'Hillpointe Detail'!BH116+'Sandhill Detail'!BH116</f>
        <v>0</v>
      </c>
      <c r="BI116" s="105">
        <f>'Hillpointe Detail'!BI116+'Sandhill Detail'!BI116</f>
        <v>0</v>
      </c>
      <c r="BJ116" s="105">
        <f>'Hillpointe Detail'!BJ116+'Sandhill Detail'!BJ116</f>
        <v>0</v>
      </c>
      <c r="BK116" s="105">
        <f>'Hillpointe Detail'!BK116+'Sandhill Detail'!BK116</f>
        <v>0</v>
      </c>
      <c r="BL116" s="105">
        <f>'Hillpointe Detail'!BL116+'Sandhill Detail'!BL116</f>
        <v>0</v>
      </c>
      <c r="BM116" s="105">
        <f>'Hillpointe Detail'!BM116+'Sandhill Detail'!BM116</f>
        <v>0</v>
      </c>
      <c r="BN116" s="105">
        <f>'Hillpointe Detail'!BN116+'Sandhill Detail'!BN116</f>
        <v>0</v>
      </c>
      <c r="BO116" s="105">
        <f>'Hillpointe Detail'!BO116+'Sandhill Detail'!BO116</f>
        <v>0</v>
      </c>
      <c r="BP116" s="105">
        <f>'Hillpointe Detail'!BP116+'Sandhill Detail'!BP116</f>
        <v>0</v>
      </c>
      <c r="BQ116" s="105">
        <f>'Hillpointe Detail'!BQ116+'Sandhill Detail'!BQ116</f>
        <v>0</v>
      </c>
      <c r="BR116" s="105">
        <f>'Hillpointe Detail'!BR116+'Sandhill Detail'!BR116</f>
        <v>0</v>
      </c>
      <c r="BS116" s="105">
        <f>'Hillpointe Detail'!BS116+'Sandhill Detail'!BS116</f>
        <v>0</v>
      </c>
      <c r="BT116" s="105">
        <f>'Hillpointe Detail'!BT116+'Sandhill Detail'!BT116</f>
        <v>0</v>
      </c>
      <c r="BU116" s="105">
        <f>'Hillpointe Detail'!BU116+'Sandhill Detail'!BU116</f>
        <v>0</v>
      </c>
      <c r="BV116" s="105">
        <f>'Hillpointe Detail'!BV116+'Sandhill Detail'!BV116</f>
        <v>0</v>
      </c>
      <c r="BW116" s="105">
        <f>'Hillpointe Detail'!BW116+'Sandhill Detail'!BW116</f>
        <v>0</v>
      </c>
      <c r="BX116" s="105">
        <f>'Hillpointe Detail'!BX116+'Sandhill Detail'!BX116</f>
        <v>0</v>
      </c>
      <c r="BY116" s="8"/>
      <c r="BZ116" s="105">
        <f t="shared" si="57"/>
        <v>0</v>
      </c>
      <c r="CA116" s="105">
        <f t="shared" si="58"/>
        <v>0</v>
      </c>
      <c r="CC116" s="105">
        <f t="shared" si="59"/>
        <v>16911.43</v>
      </c>
      <c r="CD116" s="105">
        <f t="shared" si="61"/>
        <v>0</v>
      </c>
      <c r="CE116" s="105">
        <f t="shared" si="61"/>
        <v>0</v>
      </c>
      <c r="CF116" s="105">
        <f t="shared" si="61"/>
        <v>0</v>
      </c>
      <c r="CG116" s="105">
        <f t="shared" si="61"/>
        <v>0</v>
      </c>
      <c r="CH116" s="105">
        <f t="shared" si="61"/>
        <v>0</v>
      </c>
      <c r="CI116" s="105">
        <f t="shared" si="61"/>
        <v>0</v>
      </c>
      <c r="CJ116" s="105">
        <f t="shared" si="61"/>
        <v>0</v>
      </c>
      <c r="CL116" s="105"/>
      <c r="CM116" s="13"/>
    </row>
    <row r="117" spans="1:91" x14ac:dyDescent="0.3">
      <c r="A117" s="84" t="s">
        <v>74</v>
      </c>
      <c r="B117" s="10" t="s">
        <v>136</v>
      </c>
      <c r="C117" s="103">
        <v>0</v>
      </c>
      <c r="D117" s="103">
        <v>5748.73</v>
      </c>
      <c r="E117" s="105">
        <f>'Hillpointe Detail'!E117+'Sandhill Detail'!E117</f>
        <v>-481.38</v>
      </c>
      <c r="F117" s="105">
        <f>'Hillpointe Detail'!F117+'Sandhill Detail'!F117</f>
        <v>320.32</v>
      </c>
      <c r="G117" s="105">
        <f>'Hillpointe Detail'!G117+'Sandhill Detail'!G117</f>
        <v>269.47000000000003</v>
      </c>
      <c r="H117" s="105">
        <f>'Hillpointe Detail'!H117+'Sandhill Detail'!H117</f>
        <v>350.76</v>
      </c>
      <c r="I117" s="105">
        <f>'Hillpointe Detail'!I117+'Sandhill Detail'!I117</f>
        <v>350.76</v>
      </c>
      <c r="J117" s="105">
        <f>'Hillpointe Detail'!J117+'Sandhill Detail'!J117</f>
        <v>350.76</v>
      </c>
      <c r="K117" s="105">
        <f>'Hillpointe Detail'!K117+'Sandhill Detail'!K117</f>
        <v>433.38</v>
      </c>
      <c r="L117" s="105">
        <f>'Hillpointe Detail'!L117+'Sandhill Detail'!L117</f>
        <v>377.6400000000001</v>
      </c>
      <c r="M117" s="105">
        <f>'Hillpointe Detail'!M117+'Sandhill Detail'!M117</f>
        <v>363.52</v>
      </c>
      <c r="N117" s="105">
        <f>'Hillpointe Detail'!N117+'Sandhill Detail'!N117</f>
        <v>354.51</v>
      </c>
      <c r="O117" s="105">
        <f>'Hillpointe Detail'!O117+'Sandhill Detail'!O117</f>
        <v>350.75</v>
      </c>
      <c r="P117" s="105">
        <f>'Hillpointe Detail'!P117+'Sandhill Detail'!P117</f>
        <v>822.34999999999991</v>
      </c>
      <c r="Q117" s="105">
        <f>'Hillpointe Detail'!Q117+'Sandhill Detail'!Q117</f>
        <v>0</v>
      </c>
      <c r="R117" s="105">
        <f>'Hillpointe Detail'!R117+'Sandhill Detail'!R117</f>
        <v>539.41</v>
      </c>
      <c r="S117" s="105">
        <f>'Hillpointe Detail'!S117+'Sandhill Detail'!S117</f>
        <v>539.20000000000005</v>
      </c>
      <c r="T117" s="105">
        <f>'Hillpointe Detail'!T117+'Sandhill Detail'!T117</f>
        <v>538.75</v>
      </c>
      <c r="U117" s="105">
        <f>'Hillpointe Detail'!U117+'Sandhill Detail'!U117</f>
        <v>527.74</v>
      </c>
      <c r="V117" s="105">
        <f>'Hillpointe Detail'!V117+'Sandhill Detail'!V117</f>
        <v>528.4</v>
      </c>
      <c r="W117" s="105">
        <f>'Hillpointe Detail'!W117+'Sandhill Detail'!W117</f>
        <v>621.62</v>
      </c>
      <c r="X117" s="105">
        <f>'Hillpointe Detail'!X117+'Sandhill Detail'!X117</f>
        <v>566.41</v>
      </c>
      <c r="Y117" s="105">
        <f>'Hillpointe Detail'!Y117+'Sandhill Detail'!Y117</f>
        <v>552</v>
      </c>
      <c r="Z117" s="105">
        <f>'Hillpointe Detail'!Z117+'Sandhill Detail'!Z117</f>
        <v>529.98</v>
      </c>
      <c r="AA117" s="105">
        <f>'Hillpointe Detail'!AA117+'Sandhill Detail'!AA117</f>
        <v>535.18999999999994</v>
      </c>
      <c r="AB117" s="105">
        <f>'Hillpointe Detail'!AB117+'Sandhill Detail'!AB117</f>
        <v>1099.8306269480072</v>
      </c>
      <c r="AC117" s="105">
        <f>'Hillpointe Detail'!AC117+'Sandhill Detail'!AC117</f>
        <v>0</v>
      </c>
      <c r="AD117" s="105">
        <f>'Hillpointe Detail'!AD117+'Sandhill Detail'!AD117</f>
        <v>556.41828038116091</v>
      </c>
      <c r="AE117" s="105">
        <f>'Hillpointe Detail'!AE117+'Sandhill Detail'!AE117</f>
        <v>546.85179685302512</v>
      </c>
      <c r="AF117" s="105">
        <f>'Hillpointe Detail'!AF117+'Sandhill Detail'!AF117</f>
        <v>543.79203567643879</v>
      </c>
      <c r="AG117" s="105">
        <f>'Hillpointe Detail'!AG117+'Sandhill Detail'!AG117</f>
        <v>542.35018129386276</v>
      </c>
      <c r="AH117" s="105">
        <f>'Hillpointe Detail'!AH117+'Sandhill Detail'!AH117</f>
        <v>543.83600079621931</v>
      </c>
      <c r="AI117" s="105">
        <f>'Hillpointe Detail'!AI117+'Sandhill Detail'!AI117</f>
        <v>547.58270313553055</v>
      </c>
      <c r="AJ117" s="105">
        <f>'Hillpointe Detail'!AJ117+'Sandhill Detail'!AJ117</f>
        <v>546.80516635603942</v>
      </c>
      <c r="AK117" s="105">
        <f>'Hillpointe Detail'!AK117+'Sandhill Detail'!AK117</f>
        <v>546.80516635603954</v>
      </c>
      <c r="AL117" s="105">
        <f>'Hillpointe Detail'!AL117+'Sandhill Detail'!AL117</f>
        <v>545.4318643524507</v>
      </c>
      <c r="AM117" s="105">
        <f>'Hillpointe Detail'!AM117+'Sandhill Detail'!AM117</f>
        <v>545.22901685236866</v>
      </c>
      <c r="AN117" s="105">
        <f>'Hillpointe Detail'!AN117+'Sandhill Detail'!AN117</f>
        <v>1090.8685997550033</v>
      </c>
      <c r="AO117" s="105">
        <f>'Hillpointe Detail'!AO117+'Sandhill Detail'!AO117</f>
        <v>0</v>
      </c>
      <c r="AP117" s="105">
        <f>'Hillpointe Detail'!AP117+'Sandhill Detail'!AP117</f>
        <v>562.48631318737932</v>
      </c>
      <c r="AQ117" s="105">
        <f>'Hillpointe Detail'!AQ117+'Sandhill Detail'!AQ117</f>
        <v>562.26954632504396</v>
      </c>
      <c r="AR117" s="105">
        <f>'Hillpointe Detail'!AR117+'Sandhill Detail'!AR117</f>
        <v>562.1364337157413</v>
      </c>
      <c r="AS117" s="105">
        <f>'Hillpointe Detail'!AS117+'Sandhill Detail'!AS117</f>
        <v>561.98510964931268</v>
      </c>
      <c r="AT117" s="105">
        <f>'Hillpointe Detail'!AT117+'Sandhill Detail'!AT117</f>
        <v>562.01183568390377</v>
      </c>
      <c r="AU117" s="105">
        <f>'Hillpointe Detail'!AU117+'Sandhill Detail'!AU117</f>
        <v>562.07140887634625</v>
      </c>
      <c r="AV117" s="105">
        <f>'Hillpointe Detail'!AV117+'Sandhill Detail'!AV117</f>
        <v>562.16010790628786</v>
      </c>
      <c r="AW117" s="105">
        <f>'Hillpointe Detail'!AW117+'Sandhill Detail'!AW117</f>
        <v>562.16010790628786</v>
      </c>
      <c r="AX117" s="105">
        <f>'Hillpointe Detail'!AX117+'Sandhill Detail'!AX117</f>
        <v>562.11350715184631</v>
      </c>
      <c r="AY117" s="105">
        <f>'Hillpointe Detail'!AY117+'Sandhill Detail'!AY117</f>
        <v>562.0912158413895</v>
      </c>
      <c r="AZ117" s="105">
        <f>'Hillpointe Detail'!AZ117+'Sandhill Detail'!AZ117</f>
        <v>1124.1695122901069</v>
      </c>
      <c r="BA117" s="105">
        <f>'Hillpointe Detail'!BA117+'Sandhill Detail'!BA117</f>
        <v>0</v>
      </c>
      <c r="BB117" s="105">
        <f>'Hillpointe Detail'!BB117+'Sandhill Detail'!BB117</f>
        <v>578.97269082449031</v>
      </c>
      <c r="BC117" s="105">
        <f>'Hillpointe Detail'!BC117+'Sandhill Detail'!BC117</f>
        <v>578.97825834680248</v>
      </c>
      <c r="BD117" s="105">
        <f>'Hillpointe Detail'!BD117+'Sandhill Detail'!BD117</f>
        <v>578.97165030194776</v>
      </c>
      <c r="BE117" s="105">
        <f>'Hillpointe Detail'!BE117+'Sandhill Detail'!BE117</f>
        <v>578.96413819453892</v>
      </c>
      <c r="BF117" s="105">
        <f>'Hillpointe Detail'!BF117+'Sandhill Detail'!BF117</f>
        <v>578.96234406927726</v>
      </c>
      <c r="BG117" s="105">
        <f>'Hillpointe Detail'!BG117+'Sandhill Detail'!BG117</f>
        <v>578.96351774097593</v>
      </c>
      <c r="BH117" s="105">
        <f>'Hillpointe Detail'!BH117+'Sandhill Detail'!BH117</f>
        <v>578.96876657967209</v>
      </c>
      <c r="BI117" s="105">
        <f>'Hillpointe Detail'!BI117+'Sandhill Detail'!BI117</f>
        <v>578.96876657967209</v>
      </c>
      <c r="BJ117" s="105">
        <f>'Hillpointe Detail'!BJ117+'Sandhill Detail'!BJ117</f>
        <v>578.96820597326951</v>
      </c>
      <c r="BK117" s="105">
        <f>'Hillpointe Detail'!BK117+'Sandhill Detail'!BK117</f>
        <v>578.96676991990762</v>
      </c>
      <c r="BL117" s="105">
        <f>'Hillpointe Detail'!BL117+'Sandhill Detail'!BL117</f>
        <v>1157.9321454449469</v>
      </c>
      <c r="BM117" s="105">
        <f>'Hillpointe Detail'!BM117+'Sandhill Detail'!BM117</f>
        <v>0</v>
      </c>
      <c r="BN117" s="105">
        <f>'Hillpointe Detail'!BN117+'Sandhill Detail'!BN117</f>
        <v>596.33588820079967</v>
      </c>
      <c r="BO117" s="105">
        <f>'Hillpointe Detail'!BO117+'Sandhill Detail'!BO117</f>
        <v>596.33638107812465</v>
      </c>
      <c r="BP117" s="105">
        <f>'Hillpointe Detail'!BP117+'Sandhill Detail'!BP117</f>
        <v>596.3361759083034</v>
      </c>
      <c r="BQ117" s="105">
        <f>'Hillpointe Detail'!BQ117+'Sandhill Detail'!BQ117</f>
        <v>596.33594266870409</v>
      </c>
      <c r="BR117" s="105">
        <f>'Hillpointe Detail'!BR117+'Sandhill Detail'!BR117</f>
        <v>596.33575875244514</v>
      </c>
      <c r="BS117" s="105">
        <f>'Hillpointe Detail'!BS117+'Sandhill Detail'!BS117</f>
        <v>596.33575675733198</v>
      </c>
      <c r="BT117" s="105">
        <f>'Hillpointe Detail'!BT117+'Sandhill Detail'!BT117</f>
        <v>596.33598389428482</v>
      </c>
      <c r="BU117" s="105">
        <f>'Hillpointe Detail'!BU117+'Sandhill Detail'!BU117</f>
        <v>596.33598389428494</v>
      </c>
      <c r="BV117" s="105">
        <f>'Hillpointe Detail'!BV117+'Sandhill Detail'!BV117</f>
        <v>596.33599756478282</v>
      </c>
      <c r="BW117" s="105">
        <f>'Hillpointe Detail'!BW117+'Sandhill Detail'!BW117</f>
        <v>596.33594277716247</v>
      </c>
      <c r="BX117" s="105">
        <f>'Hillpointe Detail'!BX117+'Sandhill Detail'!BX117</f>
        <v>1192.6718189454275</v>
      </c>
      <c r="BY117" s="8"/>
      <c r="BZ117" s="105">
        <f t="shared" si="57"/>
        <v>535.18999999999994</v>
      </c>
      <c r="CA117" s="105">
        <f t="shared" si="58"/>
        <v>5478.7</v>
      </c>
      <c r="CC117" s="105">
        <f t="shared" si="59"/>
        <v>0</v>
      </c>
      <c r="CD117" s="105">
        <f t="shared" si="61"/>
        <v>5748.73</v>
      </c>
      <c r="CE117" s="105">
        <f t="shared" si="61"/>
        <v>3862.8400000000006</v>
      </c>
      <c r="CF117" s="105">
        <f t="shared" si="61"/>
        <v>6578.530626948007</v>
      </c>
      <c r="CG117" s="105">
        <f t="shared" si="61"/>
        <v>6555.9708118081398</v>
      </c>
      <c r="CH117" s="105">
        <f t="shared" si="61"/>
        <v>6745.6550985336453</v>
      </c>
      <c r="CI117" s="105">
        <f t="shared" si="61"/>
        <v>6947.6172539755007</v>
      </c>
      <c r="CJ117" s="105">
        <f t="shared" si="61"/>
        <v>7156.0316304416519</v>
      </c>
      <c r="CL117" s="105"/>
      <c r="CM117" s="13"/>
    </row>
    <row r="118" spans="1:91" x14ac:dyDescent="0.3">
      <c r="A118" s="84" t="s">
        <v>75</v>
      </c>
      <c r="B118" s="10" t="s">
        <v>136</v>
      </c>
      <c r="C118" s="103">
        <v>0</v>
      </c>
      <c r="D118" s="103">
        <v>22545.34</v>
      </c>
      <c r="E118" s="105">
        <f>'Hillpointe Detail'!E118+'Sandhill Detail'!E118</f>
        <v>-2483.8200000000002</v>
      </c>
      <c r="F118" s="105">
        <f>'Hillpointe Detail'!F118+'Sandhill Detail'!F118</f>
        <v>2483.8200000000002</v>
      </c>
      <c r="G118" s="105">
        <f>'Hillpointe Detail'!G118+'Sandhill Detail'!G118</f>
        <v>3352.5</v>
      </c>
      <c r="H118" s="105">
        <f>'Hillpointe Detail'!H118+'Sandhill Detail'!H118</f>
        <v>3352.5</v>
      </c>
      <c r="I118" s="105">
        <f>'Hillpointe Detail'!I118+'Sandhill Detail'!I118</f>
        <v>3352.5</v>
      </c>
      <c r="J118" s="105">
        <f>'Hillpointe Detail'!J118+'Sandhill Detail'!J118</f>
        <v>3352.5</v>
      </c>
      <c r="K118" s="105">
        <f>'Hillpointe Detail'!K118+'Sandhill Detail'!K118</f>
        <v>3352.5</v>
      </c>
      <c r="L118" s="105">
        <f>'Hillpointe Detail'!L118+'Sandhill Detail'!L118</f>
        <v>3352.5000000000009</v>
      </c>
      <c r="M118" s="105">
        <f>'Hillpointe Detail'!M118+'Sandhill Detail'!M118</f>
        <v>3352.5</v>
      </c>
      <c r="N118" s="105">
        <f>'Hillpointe Detail'!N118+'Sandhill Detail'!N118</f>
        <v>3352.5</v>
      </c>
      <c r="O118" s="105">
        <f>'Hillpointe Detail'!O118+'Sandhill Detail'!O118</f>
        <v>3352.5</v>
      </c>
      <c r="P118" s="105">
        <f>'Hillpointe Detail'!P118+'Sandhill Detail'!P118</f>
        <v>9142.5</v>
      </c>
      <c r="Q118" s="105">
        <f>'Hillpointe Detail'!Q118+'Sandhill Detail'!Q118</f>
        <v>0</v>
      </c>
      <c r="R118" s="105">
        <f>'Hillpointe Detail'!R118+'Sandhill Detail'!R118</f>
        <v>3352.5</v>
      </c>
      <c r="S118" s="105">
        <f>'Hillpointe Detail'!S118+'Sandhill Detail'!S118</f>
        <v>3352.5</v>
      </c>
      <c r="T118" s="105">
        <f>'Hillpointe Detail'!T118+'Sandhill Detail'!T118</f>
        <v>2448.98</v>
      </c>
      <c r="U118" s="105">
        <f>'Hillpointe Detail'!U118+'Sandhill Detail'!U118</f>
        <v>3352.5</v>
      </c>
      <c r="V118" s="105">
        <f>'Hillpointe Detail'!V118+'Sandhill Detail'!V118</f>
        <v>3352.5</v>
      </c>
      <c r="W118" s="105">
        <f>'Hillpointe Detail'!W118+'Sandhill Detail'!W118</f>
        <v>3352.5</v>
      </c>
      <c r="X118" s="105">
        <f>'Hillpointe Detail'!X118+'Sandhill Detail'!X118</f>
        <v>3352.5</v>
      </c>
      <c r="Y118" s="105">
        <f>'Hillpointe Detail'!Y118+'Sandhill Detail'!Y118</f>
        <v>3352.5</v>
      </c>
      <c r="Z118" s="105">
        <f>'Hillpointe Detail'!Z118+'Sandhill Detail'!Z118</f>
        <v>3352.5</v>
      </c>
      <c r="AA118" s="105">
        <f>'Hillpointe Detail'!AA118+'Sandhill Detail'!AA118</f>
        <v>3380.83</v>
      </c>
      <c r="AB118" s="105">
        <f>'Hillpointe Detail'!AB118+'Sandhill Detail'!AB118</f>
        <v>6692.3486249757507</v>
      </c>
      <c r="AC118" s="105">
        <f>'Hillpointe Detail'!AC118+'Sandhill Detail'!AC118</f>
        <v>0</v>
      </c>
      <c r="AD118" s="105">
        <f>'Hillpointe Detail'!AD118+'Sandhill Detail'!AD118</f>
        <v>3346.0607909763921</v>
      </c>
      <c r="AE118" s="105">
        <f>'Hillpointe Detail'!AE118+'Sandhill Detail'!AE118</f>
        <v>3343.4555142180834</v>
      </c>
      <c r="AF118" s="105">
        <f>'Hillpointe Detail'!AF118+'Sandhill Detail'!AF118</f>
        <v>3340.4820199627256</v>
      </c>
      <c r="AG118" s="105">
        <f>'Hillpointe Detail'!AG118+'Sandhill Detail'!AG118</f>
        <v>3337.0884779159505</v>
      </c>
      <c r="AH118" s="105">
        <f>'Hillpointe Detail'!AH118+'Sandhill Detail'!AH118</f>
        <v>3333.2157919377287</v>
      </c>
      <c r="AI118" s="105">
        <f>'Hillpointe Detail'!AI118+'Sandhill Detail'!AI118</f>
        <v>3341.8073171409474</v>
      </c>
      <c r="AJ118" s="105">
        <f>'Hillpointe Detail'!AJ118+'Sandhill Detail'!AJ118</f>
        <v>3340.3516520253042</v>
      </c>
      <c r="AK118" s="105">
        <f>'Hillpointe Detail'!AK118+'Sandhill Detail'!AK118</f>
        <v>3340.3516520253042</v>
      </c>
      <c r="AL118" s="105">
        <f>'Hillpointe Detail'!AL118+'Sandhill Detail'!AL118</f>
        <v>3339.5360607465777</v>
      </c>
      <c r="AM118" s="105">
        <f>'Hillpointe Detail'!AM118+'Sandhill Detail'!AM118</f>
        <v>3338.9761388220777</v>
      </c>
      <c r="AN118" s="105">
        <f>'Hillpointe Detail'!AN118+'Sandhill Detail'!AN118</f>
        <v>6677.5220258896843</v>
      </c>
      <c r="AO118" s="105">
        <f>'Hillpointe Detail'!AO118+'Sandhill Detail'!AO118</f>
        <v>0</v>
      </c>
      <c r="AP118" s="105">
        <f>'Hillpointe Detail'!AP118+'Sandhill Detail'!AP118</f>
        <v>3439.9858845784843</v>
      </c>
      <c r="AQ118" s="105">
        <f>'Hillpointe Detail'!AQ118+'Sandhill Detail'!AQ118</f>
        <v>3439.6906282375617</v>
      </c>
      <c r="AR118" s="105">
        <f>'Hillpointe Detail'!AR118+'Sandhill Detail'!AR118</f>
        <v>3439.5671759219103</v>
      </c>
      <c r="AS118" s="105">
        <f>'Hillpointe Detail'!AS118+'Sandhill Detail'!AS118</f>
        <v>3439.4268337972048</v>
      </c>
      <c r="AT118" s="105">
        <f>'Hillpointe Detail'!AT118+'Sandhill Detail'!AT118</f>
        <v>3439.3853578461135</v>
      </c>
      <c r="AU118" s="105">
        <f>'Hillpointe Detail'!AU118+'Sandhill Detail'!AU118</f>
        <v>3439.4189151691035</v>
      </c>
      <c r="AV118" s="105">
        <f>'Hillpointe Detail'!AV118+'Sandhill Detail'!AV118</f>
        <v>3439.5791325917298</v>
      </c>
      <c r="AW118" s="105">
        <f>'Hillpointe Detail'!AW118+'Sandhill Detail'!AW118</f>
        <v>3439.5791325917298</v>
      </c>
      <c r="AX118" s="105">
        <f>'Hillpointe Detail'!AX118+'Sandhill Detail'!AX118</f>
        <v>3439.5210251650506</v>
      </c>
      <c r="AY118" s="105">
        <f>'Hillpointe Detail'!AY118+'Sandhill Detail'!AY118</f>
        <v>3439.4967961546918</v>
      </c>
      <c r="AZ118" s="105">
        <f>'Hillpointe Detail'!AZ118+'Sandhill Detail'!AZ118</f>
        <v>6878.9734838044642</v>
      </c>
      <c r="BA118" s="105">
        <f>'Hillpointe Detail'!BA118+'Sandhill Detail'!BA118</f>
        <v>0</v>
      </c>
      <c r="BB118" s="105">
        <f>'Hillpointe Detail'!BB118+'Sandhill Detail'!BB118</f>
        <v>3542.695077148725</v>
      </c>
      <c r="BC118" s="105">
        <f>'Hillpointe Detail'!BC118+'Sandhill Detail'!BC118</f>
        <v>3542.7083907368542</v>
      </c>
      <c r="BD118" s="105">
        <f>'Hillpointe Detail'!BD118+'Sandhill Detail'!BD118</f>
        <v>3542.7001590325153</v>
      </c>
      <c r="BE118" s="105">
        <f>'Hillpointe Detail'!BE118+'Sandhill Detail'!BE118</f>
        <v>3542.6908011288533</v>
      </c>
      <c r="BF118" s="105">
        <f>'Hillpointe Detail'!BF118+'Sandhill Detail'!BF118</f>
        <v>3542.6885743323437</v>
      </c>
      <c r="BG118" s="105">
        <f>'Hillpointe Detail'!BG118+'Sandhill Detail'!BG118</f>
        <v>3542.6895357719254</v>
      </c>
      <c r="BH118" s="105">
        <f>'Hillpointe Detail'!BH118+'Sandhill Detail'!BH118</f>
        <v>3542.6954230252031</v>
      </c>
      <c r="BI118" s="105">
        <f>'Hillpointe Detail'!BI118+'Sandhill Detail'!BI118</f>
        <v>3542.6954230252031</v>
      </c>
      <c r="BJ118" s="105">
        <f>'Hillpointe Detail'!BJ118+'Sandhill Detail'!BJ118</f>
        <v>3542.6954724361285</v>
      </c>
      <c r="BK118" s="105">
        <f>'Hillpointe Detail'!BK118+'Sandhill Detail'!BK118</f>
        <v>3542.6936269645962</v>
      </c>
      <c r="BL118" s="105">
        <f>'Hillpointe Detail'!BL118+'Sandhill Detail'!BL118</f>
        <v>7085.3853876240719</v>
      </c>
      <c r="BM118" s="105">
        <f>'Hillpointe Detail'!BM118+'Sandhill Detail'!BM118</f>
        <v>0</v>
      </c>
      <c r="BN118" s="105">
        <f>'Hillpointe Detail'!BN118+'Sandhill Detail'!BN118</f>
        <v>3648.9743592732207</v>
      </c>
      <c r="BO118" s="105">
        <f>'Hillpointe Detail'!BO118+'Sandhill Detail'!BO118</f>
        <v>3648.9749478120734</v>
      </c>
      <c r="BP118" s="105">
        <f>'Hillpointe Detail'!BP118+'Sandhill Detail'!BP118</f>
        <v>3648.9747583072744</v>
      </c>
      <c r="BQ118" s="105">
        <f>'Hillpointe Detail'!BQ118+'Sandhill Detail'!BQ118</f>
        <v>3648.9745428758656</v>
      </c>
      <c r="BR118" s="105">
        <f>'Hillpointe Detail'!BR118+'Sandhill Detail'!BR118</f>
        <v>3648.9742909470247</v>
      </c>
      <c r="BS118" s="105">
        <f>'Hillpointe Detail'!BS118+'Sandhill Detail'!BS118</f>
        <v>3648.9742706915695</v>
      </c>
      <c r="BT118" s="105">
        <f>'Hillpointe Detail'!BT118+'Sandhill Detail'!BT118</f>
        <v>3648.9745283178377</v>
      </c>
      <c r="BU118" s="105">
        <f>'Hillpointe Detail'!BU118+'Sandhill Detail'!BU118</f>
        <v>3648.9745283178377</v>
      </c>
      <c r="BV118" s="105">
        <f>'Hillpointe Detail'!BV118+'Sandhill Detail'!BV118</f>
        <v>3648.9745524670689</v>
      </c>
      <c r="BW118" s="105">
        <f>'Hillpointe Detail'!BW118+'Sandhill Detail'!BW118</f>
        <v>3648.9744959892114</v>
      </c>
      <c r="BX118" s="105">
        <f>'Hillpointe Detail'!BX118+'Sandhill Detail'!BX118</f>
        <v>7297.9489170304041</v>
      </c>
      <c r="BY118" s="8"/>
      <c r="BZ118" s="105">
        <f t="shared" si="57"/>
        <v>3380.83</v>
      </c>
      <c r="CA118" s="105">
        <f t="shared" si="58"/>
        <v>32649.809999999998</v>
      </c>
      <c r="CC118" s="105">
        <f t="shared" si="59"/>
        <v>0</v>
      </c>
      <c r="CD118" s="105">
        <f t="shared" ref="CD118:CJ127" si="62">SUMIF($C$3:$BY$3,CD$3,$C118:$BY118)</f>
        <v>22545.34</v>
      </c>
      <c r="CE118" s="105">
        <f t="shared" si="62"/>
        <v>39315</v>
      </c>
      <c r="CF118" s="105">
        <f t="shared" si="62"/>
        <v>39342.158624975746</v>
      </c>
      <c r="CG118" s="105">
        <f t="shared" si="62"/>
        <v>40078.847441660779</v>
      </c>
      <c r="CH118" s="105">
        <f t="shared" si="62"/>
        <v>41274.62436585805</v>
      </c>
      <c r="CI118" s="105">
        <f t="shared" si="62"/>
        <v>42512.337871226424</v>
      </c>
      <c r="CJ118" s="105">
        <f t="shared" si="62"/>
        <v>43787.69419202939</v>
      </c>
      <c r="CL118" s="105"/>
      <c r="CM118" s="13"/>
    </row>
    <row r="119" spans="1:91" x14ac:dyDescent="0.3">
      <c r="A119" s="84" t="s">
        <v>76</v>
      </c>
      <c r="B119" s="10" t="s">
        <v>136</v>
      </c>
      <c r="C119" s="103">
        <v>0</v>
      </c>
      <c r="D119" s="103">
        <v>987.67</v>
      </c>
      <c r="E119" s="105">
        <f>'Hillpointe Detail'!E119+'Sandhill Detail'!E119</f>
        <v>-76.5</v>
      </c>
      <c r="F119" s="105">
        <f>'Hillpointe Detail'!F119+'Sandhill Detail'!F119</f>
        <v>38.25</v>
      </c>
      <c r="G119" s="105">
        <f>'Hillpointe Detail'!G119+'Sandhill Detail'!G119</f>
        <v>19.13</v>
      </c>
      <c r="H119" s="105">
        <f>'Hillpointe Detail'!H119+'Sandhill Detail'!H119</f>
        <v>38.26</v>
      </c>
      <c r="I119" s="105">
        <f>'Hillpointe Detail'!I119+'Sandhill Detail'!I119</f>
        <v>38.26</v>
      </c>
      <c r="J119" s="105">
        <f>'Hillpointe Detail'!J119+'Sandhill Detail'!J119</f>
        <v>38.26</v>
      </c>
      <c r="K119" s="105">
        <f>'Hillpointe Detail'!K119+'Sandhill Detail'!K119</f>
        <v>296.26</v>
      </c>
      <c r="L119" s="105">
        <f>'Hillpointe Detail'!L119+'Sandhill Detail'!L119</f>
        <v>296.26</v>
      </c>
      <c r="M119" s="105">
        <f>'Hillpointe Detail'!M119+'Sandhill Detail'!M119</f>
        <v>246.88</v>
      </c>
      <c r="N119" s="105">
        <f>'Hillpointe Detail'!N119+'Sandhill Detail'!N119</f>
        <v>246.88</v>
      </c>
      <c r="O119" s="105">
        <f>'Hillpointe Detail'!O119+'Sandhill Detail'!O119</f>
        <v>122.88</v>
      </c>
      <c r="P119" s="105">
        <f>'Hillpointe Detail'!P119+'Sandhill Detail'!P119</f>
        <v>114.76</v>
      </c>
      <c r="Q119" s="105">
        <f>'Hillpointe Detail'!Q119+'Sandhill Detail'!Q119</f>
        <v>0</v>
      </c>
      <c r="R119" s="105">
        <f>'Hillpointe Detail'!R119+'Sandhill Detail'!R119</f>
        <v>66.27</v>
      </c>
      <c r="S119" s="105">
        <f>'Hillpointe Detail'!S119+'Sandhill Detail'!S119</f>
        <v>66.260000000000005</v>
      </c>
      <c r="T119" s="105">
        <f>'Hillpointe Detail'!T119+'Sandhill Detail'!T119</f>
        <v>66.27</v>
      </c>
      <c r="U119" s="105">
        <f>'Hillpointe Detail'!U119+'Sandhill Detail'!U119</f>
        <v>66.260000000000005</v>
      </c>
      <c r="V119" s="105">
        <f>'Hillpointe Detail'!V119+'Sandhill Detail'!V119</f>
        <v>66.260000000000005</v>
      </c>
      <c r="W119" s="105">
        <f>'Hillpointe Detail'!W119+'Sandhill Detail'!W119</f>
        <v>281.26</v>
      </c>
      <c r="X119" s="105">
        <f>'Hillpointe Detail'!X119+'Sandhill Detail'!X119</f>
        <v>281.26</v>
      </c>
      <c r="Y119" s="105">
        <f>'Hillpointe Detail'!Y119+'Sandhill Detail'!Y119</f>
        <v>281.26</v>
      </c>
      <c r="Z119" s="105">
        <f>'Hillpointe Detail'!Z119+'Sandhill Detail'!Z119</f>
        <v>281.26</v>
      </c>
      <c r="AA119" s="105">
        <f>'Hillpointe Detail'!AA119+'Sandhill Detail'!AA119</f>
        <v>215.41000000000003</v>
      </c>
      <c r="AB119" s="105">
        <f>'Hillpointe Detail'!AB119+'Sandhill Detail'!AB119</f>
        <v>419.54801146119621</v>
      </c>
      <c r="AC119" s="105">
        <f>'Hillpointe Detail'!AC119+'Sandhill Detail'!AC119</f>
        <v>0</v>
      </c>
      <c r="AD119" s="105">
        <f>'Hillpointe Detail'!AD119+'Sandhill Detail'!AD119</f>
        <v>250.77781983412063</v>
      </c>
      <c r="AE119" s="105">
        <f>'Hillpointe Detail'!AE119+'Sandhill Detail'!AE119</f>
        <v>246.31015153418309</v>
      </c>
      <c r="AF119" s="105">
        <f>'Hillpointe Detail'!AF119+'Sandhill Detail'!AF119</f>
        <v>241.21104412367777</v>
      </c>
      <c r="AG119" s="105">
        <f>'Hillpointe Detail'!AG119+'Sandhill Detail'!AG119</f>
        <v>235.39161623428598</v>
      </c>
      <c r="AH119" s="105">
        <f>'Hillpointe Detail'!AH119+'Sandhill Detail'!AH119</f>
        <v>228.75052663590265</v>
      </c>
      <c r="AI119" s="105">
        <f>'Hillpointe Detail'!AI119+'Sandhill Detail'!AI119</f>
        <v>231.71273854619523</v>
      </c>
      <c r="AJ119" s="105">
        <f>'Hillpointe Detail'!AJ119+'Sandhill Detail'!AJ119</f>
        <v>239.02564948472752</v>
      </c>
      <c r="AK119" s="105">
        <f>'Hillpointe Detail'!AK119+'Sandhill Detail'!AK119</f>
        <v>239.02564948472758</v>
      </c>
      <c r="AL119" s="105">
        <f>'Hillpointe Detail'!AL119+'Sandhill Detail'!AL119</f>
        <v>237.34676800624285</v>
      </c>
      <c r="AM119" s="105">
        <f>'Hillpointe Detail'!AM119+'Sandhill Detail'!AM119</f>
        <v>236.06628464510857</v>
      </c>
      <c r="AN119" s="105">
        <f>'Hillpointe Detail'!AN119+'Sandhill Detail'!AN119</f>
        <v>470.66263801062593</v>
      </c>
      <c r="AO119" s="105">
        <f>'Hillpointe Detail'!AO119+'Sandhill Detail'!AO119</f>
        <v>0</v>
      </c>
      <c r="AP119" s="105">
        <f>'Hillpointe Detail'!AP119+'Sandhill Detail'!AP119</f>
        <v>243.35070286042239</v>
      </c>
      <c r="AQ119" s="105">
        <f>'Hillpointe Detail'!AQ119+'Sandhill Detail'!AQ119</f>
        <v>244.01735750591897</v>
      </c>
      <c r="AR119" s="105">
        <f>'Hillpointe Detail'!AR119+'Sandhill Detail'!AR119</f>
        <v>243.70870857343309</v>
      </c>
      <c r="AS119" s="105">
        <f>'Hillpointe Detail'!AS119+'Sandhill Detail'!AS119</f>
        <v>243.35783263607959</v>
      </c>
      <c r="AT119" s="105">
        <f>'Hillpointe Detail'!AT119+'Sandhill Detail'!AT119</f>
        <v>243.20202667956971</v>
      </c>
      <c r="AU119" s="105">
        <f>'Hillpointe Detail'!AU119+'Sandhill Detail'!AU119</f>
        <v>243.20954465091347</v>
      </c>
      <c r="AV119" s="105">
        <f>'Hillpointe Detail'!AV119+'Sandhill Detail'!AV119</f>
        <v>243.4743621510562</v>
      </c>
      <c r="AW119" s="105">
        <f>'Hillpointe Detail'!AW119+'Sandhill Detail'!AW119</f>
        <v>243.4743621510562</v>
      </c>
      <c r="AX119" s="105">
        <f>'Hillpointe Detail'!AX119+'Sandhill Detail'!AX119</f>
        <v>243.49202776400392</v>
      </c>
      <c r="AY119" s="105">
        <f>'Hillpointe Detail'!AY119+'Sandhill Detail'!AY119</f>
        <v>243.41698065801603</v>
      </c>
      <c r="AZ119" s="105">
        <f>'Hillpointe Detail'!AZ119+'Sandhill Detail'!AZ119</f>
        <v>486.75061048305577</v>
      </c>
      <c r="BA119" s="105">
        <f>'Hillpointe Detail'!BA119+'Sandhill Detail'!BA119</f>
        <v>0</v>
      </c>
      <c r="BB119" s="105">
        <f>'Hillpointe Detail'!BB119+'Sandhill Detail'!BB119</f>
        <v>250.70463207054925</v>
      </c>
      <c r="BC119" s="105">
        <f>'Hillpointe Detail'!BC119+'Sandhill Detail'!BC119</f>
        <v>250.7329110293129</v>
      </c>
      <c r="BD119" s="105">
        <f>'Hillpointe Detail'!BD119+'Sandhill Detail'!BD119</f>
        <v>250.72644049301329</v>
      </c>
      <c r="BE119" s="105">
        <f>'Hillpointe Detail'!BE119+'Sandhill Detail'!BE119</f>
        <v>250.71908470703664</v>
      </c>
      <c r="BF119" s="105">
        <f>'Hillpointe Detail'!BF119+'Sandhill Detail'!BF119</f>
        <v>250.70817123935583</v>
      </c>
      <c r="BG119" s="105">
        <f>'Hillpointe Detail'!BG119+'Sandhill Detail'!BG119</f>
        <v>250.70658818503406</v>
      </c>
      <c r="BH119" s="105">
        <f>'Hillpointe Detail'!BH119+'Sandhill Detail'!BH119</f>
        <v>250.71630462071704</v>
      </c>
      <c r="BI119" s="105">
        <f>'Hillpointe Detail'!BI119+'Sandhill Detail'!BI119</f>
        <v>250.71630462071704</v>
      </c>
      <c r="BJ119" s="105">
        <f>'Hillpointe Detail'!BJ119+'Sandhill Detail'!BJ119</f>
        <v>250.71797212788385</v>
      </c>
      <c r="BK119" s="105">
        <f>'Hillpointe Detail'!BK119+'Sandhill Detail'!BK119</f>
        <v>250.71583799910826</v>
      </c>
      <c r="BL119" s="105">
        <f>'Hillpointe Detail'!BL119+'Sandhill Detail'!BL119</f>
        <v>501.42864671424365</v>
      </c>
      <c r="BM119" s="105">
        <f>'Hillpointe Detail'!BM119+'Sandhill Detail'!BM119</f>
        <v>0</v>
      </c>
      <c r="BN119" s="105">
        <f>'Hillpointe Detail'!BN119+'Sandhill Detail'!BN119</f>
        <v>258.23595769939072</v>
      </c>
      <c r="BO119" s="105">
        <f>'Hillpointe Detail'!BO119+'Sandhill Detail'!BO119</f>
        <v>258.23712012738582</v>
      </c>
      <c r="BP119" s="105">
        <f>'Hillpointe Detail'!BP119+'Sandhill Detail'!BP119</f>
        <v>258.23702471209509</v>
      </c>
      <c r="BQ119" s="105">
        <f>'Hillpointe Detail'!BQ119+'Sandhill Detail'!BQ119</f>
        <v>258.23691624280826</v>
      </c>
      <c r="BR119" s="105">
        <f>'Hillpointe Detail'!BR119+'Sandhill Detail'!BR119</f>
        <v>258.23655176964644</v>
      </c>
      <c r="BS119" s="105">
        <f>'Hillpointe Detail'!BS119+'Sandhill Detail'!BS119</f>
        <v>258.23644528441082</v>
      </c>
      <c r="BT119" s="105">
        <f>'Hillpointe Detail'!BT119+'Sandhill Detail'!BT119</f>
        <v>258.23666930595618</v>
      </c>
      <c r="BU119" s="105">
        <f>'Hillpointe Detail'!BU119+'Sandhill Detail'!BU119</f>
        <v>258.23666930595618</v>
      </c>
      <c r="BV119" s="105">
        <f>'Hillpointe Detail'!BV119+'Sandhill Detail'!BV119</f>
        <v>258.23677096403696</v>
      </c>
      <c r="BW119" s="105">
        <f>'Hillpointe Detail'!BW119+'Sandhill Detail'!BW119</f>
        <v>258.23672108355856</v>
      </c>
      <c r="BX119" s="105">
        <f>'Hillpointe Detail'!BX119+'Sandhill Detail'!BX119</f>
        <v>516.47335541610664</v>
      </c>
      <c r="BY119" s="8"/>
      <c r="BZ119" s="105">
        <f t="shared" si="57"/>
        <v>215.41000000000003</v>
      </c>
      <c r="CA119" s="105">
        <f t="shared" si="58"/>
        <v>1671.77</v>
      </c>
      <c r="CC119" s="105">
        <f t="shared" si="59"/>
        <v>0</v>
      </c>
      <c r="CD119" s="105">
        <f t="shared" si="62"/>
        <v>987.67</v>
      </c>
      <c r="CE119" s="105">
        <f t="shared" si="62"/>
        <v>1419.5800000000002</v>
      </c>
      <c r="CF119" s="105">
        <f t="shared" si="62"/>
        <v>2091.318011461196</v>
      </c>
      <c r="CG119" s="105">
        <f t="shared" si="62"/>
        <v>2856.2808865397974</v>
      </c>
      <c r="CH119" s="105">
        <f t="shared" si="62"/>
        <v>2921.4545161135252</v>
      </c>
      <c r="CI119" s="105">
        <f t="shared" si="62"/>
        <v>3008.5928938069719</v>
      </c>
      <c r="CJ119" s="105">
        <f t="shared" si="62"/>
        <v>3098.8402019113519</v>
      </c>
      <c r="CL119" s="105"/>
      <c r="CM119" s="13"/>
    </row>
    <row r="120" spans="1:91" x14ac:dyDescent="0.3">
      <c r="A120" s="84" t="s">
        <v>77</v>
      </c>
      <c r="B120" s="10" t="s">
        <v>136</v>
      </c>
      <c r="C120" s="103">
        <v>0</v>
      </c>
      <c r="D120" s="103">
        <v>2480.7600000000002</v>
      </c>
      <c r="E120" s="105">
        <f>'Hillpointe Detail'!E120+'Sandhill Detail'!E120</f>
        <v>91.88</v>
      </c>
      <c r="F120" s="105">
        <f>'Hillpointe Detail'!F120+'Sandhill Detail'!F120</f>
        <v>91.88</v>
      </c>
      <c r="G120" s="105">
        <f>'Hillpointe Detail'!G120+'Sandhill Detail'!G120</f>
        <v>91.88</v>
      </c>
      <c r="H120" s="105">
        <f>'Hillpointe Detail'!H120+'Sandhill Detail'!H120</f>
        <v>91.88</v>
      </c>
      <c r="I120" s="105">
        <f>'Hillpointe Detail'!I120+'Sandhill Detail'!I120</f>
        <v>91.88</v>
      </c>
      <c r="J120" s="105">
        <f>'Hillpointe Detail'!J120+'Sandhill Detail'!J120</f>
        <v>91.88</v>
      </c>
      <c r="K120" s="105">
        <f>'Hillpointe Detail'!K120+'Sandhill Detail'!K120</f>
        <v>91.88</v>
      </c>
      <c r="L120" s="105">
        <f>'Hillpointe Detail'!L120+'Sandhill Detail'!L120</f>
        <v>91.879999999999939</v>
      </c>
      <c r="M120" s="105">
        <f>'Hillpointe Detail'!M120+'Sandhill Detail'!M120</f>
        <v>91.88</v>
      </c>
      <c r="N120" s="105">
        <f>'Hillpointe Detail'!N120+'Sandhill Detail'!N120</f>
        <v>91.88</v>
      </c>
      <c r="O120" s="105">
        <f>'Hillpointe Detail'!O120+'Sandhill Detail'!O120</f>
        <v>91.88</v>
      </c>
      <c r="P120" s="105">
        <f>'Hillpointe Detail'!P120+'Sandhill Detail'!P120</f>
        <v>183.75</v>
      </c>
      <c r="Q120" s="105">
        <f>'Hillpointe Detail'!Q120+'Sandhill Detail'!Q120</f>
        <v>91.88</v>
      </c>
      <c r="R120" s="105">
        <f>'Hillpointe Detail'!R120+'Sandhill Detail'!R120</f>
        <v>91.88</v>
      </c>
      <c r="S120" s="105">
        <f>'Hillpointe Detail'!S120+'Sandhill Detail'!S120</f>
        <v>91.88</v>
      </c>
      <c r="T120" s="105">
        <f>'Hillpointe Detail'!T120+'Sandhill Detail'!T120</f>
        <v>160.35</v>
      </c>
      <c r="U120" s="105">
        <f>'Hillpointe Detail'!U120+'Sandhill Detail'!U120</f>
        <v>91.88</v>
      </c>
      <c r="V120" s="105">
        <f>'Hillpointe Detail'!V120+'Sandhill Detail'!V120</f>
        <v>91.88</v>
      </c>
      <c r="W120" s="105">
        <f>'Hillpointe Detail'!W120+'Sandhill Detail'!W120</f>
        <v>91.88</v>
      </c>
      <c r="X120" s="105">
        <f>'Hillpointe Detail'!X120+'Sandhill Detail'!X120</f>
        <v>91.88</v>
      </c>
      <c r="Y120" s="105">
        <f>'Hillpointe Detail'!Y120+'Sandhill Detail'!Y120</f>
        <v>91.88</v>
      </c>
      <c r="Z120" s="105">
        <f>'Hillpointe Detail'!Z120+'Sandhill Detail'!Z120</f>
        <v>91.88</v>
      </c>
      <c r="AA120" s="105">
        <f>'Hillpointe Detail'!AA120+'Sandhill Detail'!AA120</f>
        <v>91.88</v>
      </c>
      <c r="AB120" s="105">
        <f>'Hillpointe Detail'!AB120+'Sandhill Detail'!AB120</f>
        <v>183.19212139514656</v>
      </c>
      <c r="AC120" s="105">
        <f>'Hillpointe Detail'!AC120+'Sandhill Detail'!AC120</f>
        <v>0</v>
      </c>
      <c r="AD120" s="105">
        <f>'Hillpointe Detail'!AD120+'Sandhill Detail'!AD120</f>
        <v>91.561382567859113</v>
      </c>
      <c r="AE120" s="105">
        <f>'Hillpointe Detail'!AE120+'Sandhill Detail'!AE120</f>
        <v>91.469809772744782</v>
      </c>
      <c r="AF120" s="105">
        <f>'Hillpointe Detail'!AF120+'Sandhill Detail'!AF120</f>
        <v>91.365294511803228</v>
      </c>
      <c r="AG120" s="105">
        <f>'Hillpointe Detail'!AG120+'Sandhill Detail'!AG120</f>
        <v>91.246015003562803</v>
      </c>
      <c r="AH120" s="105">
        <f>'Hillpointe Detail'!AH120+'Sandhill Detail'!AH120</f>
        <v>91.109894079559282</v>
      </c>
      <c r="AI120" s="105">
        <f>'Hillpointe Detail'!AI120+'Sandhill Detail'!AI120</f>
        <v>91.420645332953683</v>
      </c>
      <c r="AJ120" s="105">
        <f>'Hillpointe Detail'!AJ120+'Sandhill Detail'!AJ120</f>
        <v>91.362173544747165</v>
      </c>
      <c r="AK120" s="105">
        <f>'Hillpointe Detail'!AK120+'Sandhill Detail'!AK120</f>
        <v>91.362173544747165</v>
      </c>
      <c r="AL120" s="105">
        <f>'Hillpointe Detail'!AL120+'Sandhill Detail'!AL120</f>
        <v>91.333715112874017</v>
      </c>
      <c r="AM120" s="105">
        <f>'Hillpointe Detail'!AM120+'Sandhill Detail'!AM120</f>
        <v>91.314273018606755</v>
      </c>
      <c r="AN120" s="105">
        <f>'Hillpointe Detail'!AN120+'Sandhill Detail'!AN120</f>
        <v>182.61396846772882</v>
      </c>
      <c r="AO120" s="105">
        <f>'Hillpointe Detail'!AO120+'Sandhill Detail'!AO120</f>
        <v>0</v>
      </c>
      <c r="AP120" s="105">
        <f>'Hillpointe Detail'!AP120+'Sandhill Detail'!AP120</f>
        <v>94.084165356043911</v>
      </c>
      <c r="AQ120" s="105">
        <f>'Hillpointe Detail'!AQ120+'Sandhill Detail'!AQ120</f>
        <v>94.072913672274581</v>
      </c>
      <c r="AR120" s="105">
        <f>'Hillpointe Detail'!AR120+'Sandhill Detail'!AR120</f>
        <v>94.068646663943838</v>
      </c>
      <c r="AS120" s="105">
        <f>'Hillpointe Detail'!AS120+'Sandhill Detail'!AS120</f>
        <v>94.063795875911993</v>
      </c>
      <c r="AT120" s="105">
        <f>'Hillpointe Detail'!AT120+'Sandhill Detail'!AT120</f>
        <v>94.062401116031637</v>
      </c>
      <c r="AU120" s="105">
        <f>'Hillpointe Detail'!AU120+'Sandhill Detail'!AU120</f>
        <v>94.063617886222772</v>
      </c>
      <c r="AV120" s="105">
        <f>'Hillpointe Detail'!AV120+'Sandhill Detail'!AV120</f>
        <v>94.069256761738131</v>
      </c>
      <c r="AW120" s="105">
        <f>'Hillpointe Detail'!AW120+'Sandhill Detail'!AW120</f>
        <v>94.069256761738131</v>
      </c>
      <c r="AX120" s="105">
        <f>'Hillpointe Detail'!AX120+'Sandhill Detail'!AX120</f>
        <v>94.067126962551583</v>
      </c>
      <c r="AY120" s="105">
        <f>'Hillpointe Detail'!AY120+'Sandhill Detail'!AY120</f>
        <v>94.066300289734002</v>
      </c>
      <c r="AZ120" s="105">
        <f>'Hillpointe Detail'!AZ120+'Sandhill Detail'!AZ120</f>
        <v>188.13193018683666</v>
      </c>
      <c r="BA120" s="105">
        <f>'Hillpointe Detail'!BA120+'Sandhill Detail'!BA120</f>
        <v>0</v>
      </c>
      <c r="BB120" s="105">
        <f>'Hillpointe Detail'!BB120+'Sandhill Detail'!BB120</f>
        <v>96.888787644897988</v>
      </c>
      <c r="BC120" s="105">
        <f>'Hillpointe Detail'!BC120+'Sandhill Detail'!BC120</f>
        <v>96.889251545621818</v>
      </c>
      <c r="BD120" s="105">
        <f>'Hillpointe Detail'!BD120+'Sandhill Detail'!BD120</f>
        <v>96.888956514606434</v>
      </c>
      <c r="BE120" s="105">
        <f>'Hillpointe Detail'!BE120+'Sandhill Detail'!BE120</f>
        <v>96.888621119686292</v>
      </c>
      <c r="BF120" s="105">
        <f>'Hillpointe Detail'!BF120+'Sandhill Detail'!BF120</f>
        <v>96.888548134891124</v>
      </c>
      <c r="BG120" s="105">
        <f>'Hillpointe Detail'!BG120+'Sandhill Detail'!BG120</f>
        <v>96.888584335795315</v>
      </c>
      <c r="BH120" s="105">
        <f>'Hillpointe Detail'!BH120+'Sandhill Detail'!BH120</f>
        <v>96.888791549249845</v>
      </c>
      <c r="BI120" s="105">
        <f>'Hillpointe Detail'!BI120+'Sandhill Detail'!BI120</f>
        <v>96.888791549249831</v>
      </c>
      <c r="BJ120" s="105">
        <f>'Hillpointe Detail'!BJ120+'Sandhill Detail'!BJ120</f>
        <v>96.888792107014382</v>
      </c>
      <c r="BK120" s="105">
        <f>'Hillpointe Detail'!BK120+'Sandhill Detail'!BK120</f>
        <v>96.888726472927615</v>
      </c>
      <c r="BL120" s="105">
        <f>'Hillpointe Detail'!BL120+'Sandhill Detail'!BL120</f>
        <v>193.77738721966125</v>
      </c>
      <c r="BM120" s="105">
        <f>'Hillpointe Detail'!BM120+'Sandhill Detail'!BM120</f>
        <v>0</v>
      </c>
      <c r="BN120" s="105">
        <f>'Hillpointe Detail'!BN120+'Sandhill Detail'!BN120</f>
        <v>99.795386490130738</v>
      </c>
      <c r="BO120" s="105">
        <f>'Hillpointe Detail'!BO120+'Sandhill Detail'!BO120</f>
        <v>99.79540706257194</v>
      </c>
      <c r="BP120" s="105">
        <f>'Hillpointe Detail'!BP120+'Sandhill Detail'!BP120</f>
        <v>99.795400230680229</v>
      </c>
      <c r="BQ120" s="105">
        <f>'Hillpointe Detail'!BQ120+'Sandhill Detail'!BQ120</f>
        <v>99.795392464100956</v>
      </c>
      <c r="BR120" s="105">
        <f>'Hillpointe Detail'!BR120+'Sandhill Detail'!BR120</f>
        <v>99.795383558746494</v>
      </c>
      <c r="BS120" s="105">
        <f>'Hillpointe Detail'!BS120+'Sandhill Detail'!BS120</f>
        <v>99.795382900233349</v>
      </c>
      <c r="BT120" s="105">
        <f>'Hillpointe Detail'!BT120+'Sandhill Detail'!BT120</f>
        <v>99.795392117743958</v>
      </c>
      <c r="BU120" s="105">
        <f>'Hillpointe Detail'!BU120+'Sandhill Detail'!BU120</f>
        <v>99.795392117743944</v>
      </c>
      <c r="BV120" s="105">
        <f>'Hillpointe Detail'!BV120+'Sandhill Detail'!BV120</f>
        <v>99.795392921688716</v>
      </c>
      <c r="BW120" s="105">
        <f>'Hillpointe Detail'!BW120+'Sandhill Detail'!BW120</f>
        <v>99.795390901562513</v>
      </c>
      <c r="BX120" s="105">
        <f>'Hillpointe Detail'!BX120+'Sandhill Detail'!BX120</f>
        <v>199.59077913766285</v>
      </c>
      <c r="BY120" s="8"/>
      <c r="BZ120" s="105">
        <f t="shared" si="57"/>
        <v>91.88</v>
      </c>
      <c r="CA120" s="105">
        <f t="shared" si="58"/>
        <v>1079.1500000000001</v>
      </c>
      <c r="CC120" s="105">
        <f t="shared" si="59"/>
        <v>0</v>
      </c>
      <c r="CD120" s="105">
        <f t="shared" si="62"/>
        <v>2480.7600000000002</v>
      </c>
      <c r="CE120" s="105">
        <f t="shared" si="62"/>
        <v>1194.4299999999998</v>
      </c>
      <c r="CF120" s="105">
        <f t="shared" si="62"/>
        <v>1262.3421213951467</v>
      </c>
      <c r="CG120" s="105">
        <f t="shared" si="62"/>
        <v>1096.1593449571869</v>
      </c>
      <c r="CH120" s="105">
        <f t="shared" si="62"/>
        <v>1128.8194115330273</v>
      </c>
      <c r="CI120" s="105">
        <f t="shared" si="62"/>
        <v>1162.6652381936019</v>
      </c>
      <c r="CJ120" s="105">
        <f t="shared" si="62"/>
        <v>1197.5446999028659</v>
      </c>
      <c r="CL120" s="105"/>
      <c r="CM120" s="13"/>
    </row>
    <row r="121" spans="1:91" x14ac:dyDescent="0.3">
      <c r="A121" s="84" t="s">
        <v>78</v>
      </c>
      <c r="B121" s="10" t="s">
        <v>258</v>
      </c>
      <c r="C121" s="103">
        <v>3867.88</v>
      </c>
      <c r="D121" s="103">
        <v>2425.2199999999998</v>
      </c>
      <c r="E121" s="105">
        <f>'Hillpointe Detail'!E121+'Sandhill Detail'!E121</f>
        <v>2616.48</v>
      </c>
      <c r="F121" s="105">
        <f>'Hillpointe Detail'!F121+'Sandhill Detail'!F121</f>
        <v>236</v>
      </c>
      <c r="G121" s="105">
        <f>'Hillpointe Detail'!G121+'Sandhill Detail'!G121</f>
        <v>0</v>
      </c>
      <c r="H121" s="105">
        <f>'Hillpointe Detail'!H121+'Sandhill Detail'!H121</f>
        <v>0</v>
      </c>
      <c r="I121" s="105">
        <f>'Hillpointe Detail'!I121+'Sandhill Detail'!I121</f>
        <v>0</v>
      </c>
      <c r="J121" s="105">
        <f>'Hillpointe Detail'!J121+'Sandhill Detail'!J121</f>
        <v>0</v>
      </c>
      <c r="K121" s="105">
        <f>'Hillpointe Detail'!K121+'Sandhill Detail'!K121</f>
        <v>0</v>
      </c>
      <c r="L121" s="105">
        <f>'Hillpointe Detail'!L121+'Sandhill Detail'!L121</f>
        <v>177</v>
      </c>
      <c r="M121" s="105">
        <f>'Hillpointe Detail'!M121+'Sandhill Detail'!M121</f>
        <v>0</v>
      </c>
      <c r="N121" s="105">
        <f>'Hillpointe Detail'!N121+'Sandhill Detail'!N121</f>
        <v>0</v>
      </c>
      <c r="O121" s="105">
        <f>'Hillpointe Detail'!O121+'Sandhill Detail'!O121</f>
        <v>0</v>
      </c>
      <c r="P121" s="105">
        <f>'Hillpointe Detail'!P121+'Sandhill Detail'!P121</f>
        <v>177</v>
      </c>
      <c r="Q121" s="105">
        <f>'Hillpointe Detail'!Q121+'Sandhill Detail'!Q121</f>
        <v>236</v>
      </c>
      <c r="R121" s="105">
        <f>'Hillpointe Detail'!R121+'Sandhill Detail'!R121</f>
        <v>0</v>
      </c>
      <c r="S121" s="105">
        <f>'Hillpointe Detail'!S121+'Sandhill Detail'!S121</f>
        <v>0</v>
      </c>
      <c r="T121" s="105">
        <f>'Hillpointe Detail'!T121+'Sandhill Detail'!T121</f>
        <v>0</v>
      </c>
      <c r="U121" s="105">
        <f>'Hillpointe Detail'!U121+'Sandhill Detail'!U121</f>
        <v>177</v>
      </c>
      <c r="V121" s="105">
        <f>'Hillpointe Detail'!V121+'Sandhill Detail'!V121</f>
        <v>0</v>
      </c>
      <c r="W121" s="105">
        <f>'Hillpointe Detail'!W121+'Sandhill Detail'!W121</f>
        <v>0</v>
      </c>
      <c r="X121" s="105">
        <f>'Hillpointe Detail'!X121+'Sandhill Detail'!X121</f>
        <v>0</v>
      </c>
      <c r="Y121" s="105">
        <f>'Hillpointe Detail'!Y121+'Sandhill Detail'!Y121</f>
        <v>2000</v>
      </c>
      <c r="Z121" s="105">
        <f>'Hillpointe Detail'!Z121+'Sandhill Detail'!Z121</f>
        <v>0</v>
      </c>
      <c r="AA121" s="105">
        <f>'Hillpointe Detail'!AA121+'Sandhill Detail'!AA121</f>
        <v>0</v>
      </c>
      <c r="AB121" s="105">
        <f>'Hillpointe Detail'!AB121+'Sandhill Detail'!AB121</f>
        <v>182.31</v>
      </c>
      <c r="AC121" s="105">
        <f>'Hillpointe Detail'!AC121+'Sandhill Detail'!AC121</f>
        <v>243.08</v>
      </c>
      <c r="AD121" s="105">
        <f>'Hillpointe Detail'!AD121+'Sandhill Detail'!AD121</f>
        <v>0</v>
      </c>
      <c r="AE121" s="105">
        <f>'Hillpointe Detail'!AE121+'Sandhill Detail'!AE121</f>
        <v>0</v>
      </c>
      <c r="AF121" s="105">
        <f>'Hillpointe Detail'!AF121+'Sandhill Detail'!AF121</f>
        <v>0</v>
      </c>
      <c r="AG121" s="105">
        <f>'Hillpointe Detail'!AG121+'Sandhill Detail'!AG121</f>
        <v>182.31</v>
      </c>
      <c r="AH121" s="105">
        <f>'Hillpointe Detail'!AH121+'Sandhill Detail'!AH121</f>
        <v>0</v>
      </c>
      <c r="AI121" s="105">
        <f>'Hillpointe Detail'!AI121+'Sandhill Detail'!AI121</f>
        <v>0</v>
      </c>
      <c r="AJ121" s="105">
        <f>'Hillpointe Detail'!AJ121+'Sandhill Detail'!AJ121</f>
        <v>0</v>
      </c>
      <c r="AK121" s="105">
        <f>'Hillpointe Detail'!AK121+'Sandhill Detail'!AK121</f>
        <v>2060</v>
      </c>
      <c r="AL121" s="105">
        <f>'Hillpointe Detail'!AL121+'Sandhill Detail'!AL121</f>
        <v>0</v>
      </c>
      <c r="AM121" s="105">
        <f>'Hillpointe Detail'!AM121+'Sandhill Detail'!AM121</f>
        <v>0</v>
      </c>
      <c r="AN121" s="105">
        <f>'Hillpointe Detail'!AN121+'Sandhill Detail'!AN121</f>
        <v>187.77930000000001</v>
      </c>
      <c r="AO121" s="105">
        <f>'Hillpointe Detail'!AO121+'Sandhill Detail'!AO121</f>
        <v>250.37240000000003</v>
      </c>
      <c r="AP121" s="105">
        <f>'Hillpointe Detail'!AP121+'Sandhill Detail'!AP121</f>
        <v>0</v>
      </c>
      <c r="AQ121" s="105">
        <f>'Hillpointe Detail'!AQ121+'Sandhill Detail'!AQ121</f>
        <v>0</v>
      </c>
      <c r="AR121" s="105">
        <f>'Hillpointe Detail'!AR121+'Sandhill Detail'!AR121</f>
        <v>0</v>
      </c>
      <c r="AS121" s="105">
        <f>'Hillpointe Detail'!AS121+'Sandhill Detail'!AS121</f>
        <v>187.77930000000001</v>
      </c>
      <c r="AT121" s="105">
        <f>'Hillpointe Detail'!AT121+'Sandhill Detail'!AT121</f>
        <v>0</v>
      </c>
      <c r="AU121" s="105">
        <f>'Hillpointe Detail'!AU121+'Sandhill Detail'!AU121</f>
        <v>0</v>
      </c>
      <c r="AV121" s="105">
        <f>'Hillpointe Detail'!AV121+'Sandhill Detail'!AV121</f>
        <v>0</v>
      </c>
      <c r="AW121" s="105">
        <f>'Hillpointe Detail'!AW121+'Sandhill Detail'!AW121</f>
        <v>2121.8000000000002</v>
      </c>
      <c r="AX121" s="105">
        <f>'Hillpointe Detail'!AX121+'Sandhill Detail'!AX121</f>
        <v>0</v>
      </c>
      <c r="AY121" s="105">
        <f>'Hillpointe Detail'!AY121+'Sandhill Detail'!AY121</f>
        <v>0</v>
      </c>
      <c r="AZ121" s="105">
        <f>'Hillpointe Detail'!AZ121+'Sandhill Detail'!AZ121</f>
        <v>193.41267900000003</v>
      </c>
      <c r="BA121" s="105">
        <f>'Hillpointe Detail'!BA121+'Sandhill Detail'!BA121</f>
        <v>257.88357200000002</v>
      </c>
      <c r="BB121" s="105">
        <f>'Hillpointe Detail'!BB121+'Sandhill Detail'!BB121</f>
        <v>0</v>
      </c>
      <c r="BC121" s="105">
        <f>'Hillpointe Detail'!BC121+'Sandhill Detail'!BC121</f>
        <v>0</v>
      </c>
      <c r="BD121" s="105">
        <f>'Hillpointe Detail'!BD121+'Sandhill Detail'!BD121</f>
        <v>0</v>
      </c>
      <c r="BE121" s="105">
        <f>'Hillpointe Detail'!BE121+'Sandhill Detail'!BE121</f>
        <v>193.41267900000003</v>
      </c>
      <c r="BF121" s="105">
        <f>'Hillpointe Detail'!BF121+'Sandhill Detail'!BF121</f>
        <v>0</v>
      </c>
      <c r="BG121" s="105">
        <f>'Hillpointe Detail'!BG121+'Sandhill Detail'!BG121</f>
        <v>0</v>
      </c>
      <c r="BH121" s="105">
        <f>'Hillpointe Detail'!BH121+'Sandhill Detail'!BH121</f>
        <v>0</v>
      </c>
      <c r="BI121" s="105">
        <f>'Hillpointe Detail'!BI121+'Sandhill Detail'!BI121</f>
        <v>2185.4540000000002</v>
      </c>
      <c r="BJ121" s="105">
        <f>'Hillpointe Detail'!BJ121+'Sandhill Detail'!BJ121</f>
        <v>0</v>
      </c>
      <c r="BK121" s="105">
        <f>'Hillpointe Detail'!BK121+'Sandhill Detail'!BK121</f>
        <v>0</v>
      </c>
      <c r="BL121" s="105">
        <f>'Hillpointe Detail'!BL121+'Sandhill Detail'!BL121</f>
        <v>199.21505937000003</v>
      </c>
      <c r="BM121" s="105">
        <f>'Hillpointe Detail'!BM121+'Sandhill Detail'!BM121</f>
        <v>265.62007916000005</v>
      </c>
      <c r="BN121" s="105">
        <f>'Hillpointe Detail'!BN121+'Sandhill Detail'!BN121</f>
        <v>0</v>
      </c>
      <c r="BO121" s="105">
        <f>'Hillpointe Detail'!BO121+'Sandhill Detail'!BO121</f>
        <v>0</v>
      </c>
      <c r="BP121" s="105">
        <f>'Hillpointe Detail'!BP121+'Sandhill Detail'!BP121</f>
        <v>0</v>
      </c>
      <c r="BQ121" s="105">
        <f>'Hillpointe Detail'!BQ121+'Sandhill Detail'!BQ121</f>
        <v>199.21505937000003</v>
      </c>
      <c r="BR121" s="105">
        <f>'Hillpointe Detail'!BR121+'Sandhill Detail'!BR121</f>
        <v>0</v>
      </c>
      <c r="BS121" s="105">
        <f>'Hillpointe Detail'!BS121+'Sandhill Detail'!BS121</f>
        <v>0</v>
      </c>
      <c r="BT121" s="105">
        <f>'Hillpointe Detail'!BT121+'Sandhill Detail'!BT121</f>
        <v>0</v>
      </c>
      <c r="BU121" s="105">
        <f>'Hillpointe Detail'!BU121+'Sandhill Detail'!BU121</f>
        <v>2251.0176200000001</v>
      </c>
      <c r="BV121" s="105">
        <f>'Hillpointe Detail'!BV121+'Sandhill Detail'!BV121</f>
        <v>0</v>
      </c>
      <c r="BW121" s="105">
        <f>'Hillpointe Detail'!BW121+'Sandhill Detail'!BW121</f>
        <v>0</v>
      </c>
      <c r="BX121" s="105">
        <f>'Hillpointe Detail'!BX121+'Sandhill Detail'!BX121</f>
        <v>205.19151115110003</v>
      </c>
      <c r="BY121" s="8"/>
      <c r="BZ121" s="105">
        <f t="shared" si="57"/>
        <v>0</v>
      </c>
      <c r="CA121" s="105">
        <f t="shared" si="58"/>
        <v>2413</v>
      </c>
      <c r="CC121" s="105">
        <f t="shared" si="59"/>
        <v>3867.88</v>
      </c>
      <c r="CD121" s="105">
        <f t="shared" si="62"/>
        <v>2425.2199999999998</v>
      </c>
      <c r="CE121" s="105">
        <f t="shared" si="62"/>
        <v>3206.48</v>
      </c>
      <c r="CF121" s="105">
        <f t="shared" si="62"/>
        <v>2595.31</v>
      </c>
      <c r="CG121" s="105">
        <f t="shared" si="62"/>
        <v>2673.1693</v>
      </c>
      <c r="CH121" s="105">
        <f t="shared" si="62"/>
        <v>2753.3643790000001</v>
      </c>
      <c r="CI121" s="105">
        <f t="shared" si="62"/>
        <v>2835.9653103700002</v>
      </c>
      <c r="CJ121" s="105">
        <f t="shared" si="62"/>
        <v>2921.0442696811006</v>
      </c>
      <c r="CL121" s="105"/>
      <c r="CM121" s="13"/>
    </row>
    <row r="122" spans="1:91" x14ac:dyDescent="0.3">
      <c r="A122" s="84" t="s">
        <v>79</v>
      </c>
      <c r="B122" s="10" t="s">
        <v>136</v>
      </c>
      <c r="C122" s="140">
        <v>448</v>
      </c>
      <c r="D122" s="140">
        <v>2547</v>
      </c>
      <c r="E122" s="141">
        <f>'Hillpointe Detail'!E122+'Sandhill Detail'!E122</f>
        <v>0</v>
      </c>
      <c r="F122" s="141">
        <f>'Hillpointe Detail'!F122+'Sandhill Detail'!F122</f>
        <v>158.35000000000002</v>
      </c>
      <c r="G122" s="141">
        <f>'Hillpointe Detail'!G122+'Sandhill Detail'!G122</f>
        <v>921.08</v>
      </c>
      <c r="H122" s="141">
        <f>'Hillpointe Detail'!H122+'Sandhill Detail'!H122</f>
        <v>3750</v>
      </c>
      <c r="I122" s="141">
        <f>'Hillpointe Detail'!I122+'Sandhill Detail'!I122</f>
        <v>0</v>
      </c>
      <c r="J122" s="141">
        <f>'Hillpointe Detail'!J122+'Sandhill Detail'!J122</f>
        <v>0</v>
      </c>
      <c r="K122" s="141">
        <f>'Hillpointe Detail'!K122+'Sandhill Detail'!K122</f>
        <v>0</v>
      </c>
      <c r="L122" s="141">
        <f>'Hillpointe Detail'!L122+'Sandhill Detail'!L122</f>
        <v>5000.0000000000009</v>
      </c>
      <c r="M122" s="141">
        <f>'Hillpointe Detail'!M122+'Sandhill Detail'!M122</f>
        <v>0</v>
      </c>
      <c r="N122" s="141">
        <f>'Hillpointe Detail'!N122+'Sandhill Detail'!N122</f>
        <v>0</v>
      </c>
      <c r="O122" s="141">
        <f>'Hillpointe Detail'!O122+'Sandhill Detail'!O122</f>
        <v>193.74</v>
      </c>
      <c r="P122" s="141">
        <f>'Hillpointe Detail'!P122+'Sandhill Detail'!P122</f>
        <v>434.89</v>
      </c>
      <c r="Q122" s="141">
        <f>'Hillpointe Detail'!Q122+'Sandhill Detail'!Q122</f>
        <v>414.83</v>
      </c>
      <c r="R122" s="141">
        <f>'Hillpointe Detail'!R122+'Sandhill Detail'!R122</f>
        <v>2563.1</v>
      </c>
      <c r="S122" s="141">
        <f>'Hillpointe Detail'!S122+'Sandhill Detail'!S122</f>
        <v>600</v>
      </c>
      <c r="T122" s="141">
        <f>'Hillpointe Detail'!T122+'Sandhill Detail'!T122</f>
        <v>0</v>
      </c>
      <c r="U122" s="141">
        <f>'Hillpointe Detail'!U122+'Sandhill Detail'!U122</f>
        <v>1244.4299999999998</v>
      </c>
      <c r="V122" s="141">
        <f>'Hillpointe Detail'!V122+'Sandhill Detail'!V122</f>
        <v>401.13</v>
      </c>
      <c r="W122" s="141">
        <f>'Hillpointe Detail'!W122+'Sandhill Detail'!W122</f>
        <v>0</v>
      </c>
      <c r="X122" s="141">
        <f>'Hillpointe Detail'!X122+'Sandhill Detail'!X122</f>
        <v>157.41</v>
      </c>
      <c r="Y122" s="141">
        <f>'Hillpointe Detail'!Y122+'Sandhill Detail'!Y122</f>
        <v>0</v>
      </c>
      <c r="Z122" s="141">
        <f>'Hillpointe Detail'!Z122+'Sandhill Detail'!Z122</f>
        <v>0</v>
      </c>
      <c r="AA122" s="141">
        <f>'Hillpointe Detail'!AA122+'Sandhill Detail'!AA122</f>
        <v>487.1</v>
      </c>
      <c r="AB122" s="141">
        <f>'Hillpointe Detail'!AB122+'Sandhill Detail'!AB122</f>
        <v>447.93669999999997</v>
      </c>
      <c r="AC122" s="141">
        <f>'Hillpointe Detail'!AC122+'Sandhill Detail'!AC122</f>
        <v>427.2749</v>
      </c>
      <c r="AD122" s="141">
        <f>'Hillpointe Detail'!AD122+'Sandhill Detail'!AD122</f>
        <v>2639.9930000000004</v>
      </c>
      <c r="AE122" s="141">
        <f>'Hillpointe Detail'!AE122+'Sandhill Detail'!AE122</f>
        <v>618</v>
      </c>
      <c r="AF122" s="141">
        <f>'Hillpointe Detail'!AF122+'Sandhill Detail'!AF122</f>
        <v>0</v>
      </c>
      <c r="AG122" s="141">
        <f>'Hillpointe Detail'!AG122+'Sandhill Detail'!AG122</f>
        <v>1281.7628999999999</v>
      </c>
      <c r="AH122" s="141">
        <f>'Hillpointe Detail'!AH122+'Sandhill Detail'!AH122</f>
        <v>413.16390000000001</v>
      </c>
      <c r="AI122" s="141">
        <f>'Hillpointe Detail'!AI122+'Sandhill Detail'!AI122</f>
        <v>0</v>
      </c>
      <c r="AJ122" s="141">
        <f>'Hillpointe Detail'!AJ122+'Sandhill Detail'!AJ122</f>
        <v>162.13230000000001</v>
      </c>
      <c r="AK122" s="141">
        <f>'Hillpointe Detail'!AK122+'Sandhill Detail'!AK122</f>
        <v>0</v>
      </c>
      <c r="AL122" s="141">
        <f>'Hillpointe Detail'!AL122+'Sandhill Detail'!AL122</f>
        <v>0</v>
      </c>
      <c r="AM122" s="141">
        <f>'Hillpointe Detail'!AM122+'Sandhill Detail'!AM122</f>
        <v>501.71300000000002</v>
      </c>
      <c r="AN122" s="141">
        <f>'Hillpointe Detail'!AN122+'Sandhill Detail'!AN122</f>
        <v>461.37480099999999</v>
      </c>
      <c r="AO122" s="141">
        <f>'Hillpointe Detail'!AO122+'Sandhill Detail'!AO122</f>
        <v>440.09314700000004</v>
      </c>
      <c r="AP122" s="141">
        <f>'Hillpointe Detail'!AP122+'Sandhill Detail'!AP122</f>
        <v>2719.1927900000001</v>
      </c>
      <c r="AQ122" s="141">
        <f>'Hillpointe Detail'!AQ122+'Sandhill Detail'!AQ122</f>
        <v>636.54000000000008</v>
      </c>
      <c r="AR122" s="141">
        <f>'Hillpointe Detail'!AR122+'Sandhill Detail'!AR122</f>
        <v>0</v>
      </c>
      <c r="AS122" s="141">
        <f>'Hillpointe Detail'!AS122+'Sandhill Detail'!AS122</f>
        <v>1320.2157870000001</v>
      </c>
      <c r="AT122" s="141">
        <f>'Hillpointe Detail'!AT122+'Sandhill Detail'!AT122</f>
        <v>425.55881700000003</v>
      </c>
      <c r="AU122" s="141">
        <f>'Hillpointe Detail'!AU122+'Sandhill Detail'!AU122</f>
        <v>0</v>
      </c>
      <c r="AV122" s="141">
        <f>'Hillpointe Detail'!AV122+'Sandhill Detail'!AV122</f>
        <v>166.99626900000001</v>
      </c>
      <c r="AW122" s="141">
        <f>'Hillpointe Detail'!AW122+'Sandhill Detail'!AW122</f>
        <v>0</v>
      </c>
      <c r="AX122" s="141">
        <f>'Hillpointe Detail'!AX122+'Sandhill Detail'!AX122</f>
        <v>0</v>
      </c>
      <c r="AY122" s="141">
        <f>'Hillpointe Detail'!AY122+'Sandhill Detail'!AY122</f>
        <v>516.76439000000005</v>
      </c>
      <c r="AZ122" s="141">
        <f>'Hillpointe Detail'!AZ122+'Sandhill Detail'!AZ122</f>
        <v>475.21604502999998</v>
      </c>
      <c r="BA122" s="141">
        <f>'Hillpointe Detail'!BA122+'Sandhill Detail'!BA122</f>
        <v>453.29594141000001</v>
      </c>
      <c r="BB122" s="141">
        <f>'Hillpointe Detail'!BB122+'Sandhill Detail'!BB122</f>
        <v>2800.7685737000002</v>
      </c>
      <c r="BC122" s="141">
        <f>'Hillpointe Detail'!BC122+'Sandhill Detail'!BC122</f>
        <v>655.63620000000003</v>
      </c>
      <c r="BD122" s="141">
        <f>'Hillpointe Detail'!BD122+'Sandhill Detail'!BD122</f>
        <v>0</v>
      </c>
      <c r="BE122" s="141">
        <f>'Hillpointe Detail'!BE122+'Sandhill Detail'!BE122</f>
        <v>1359.8222606100003</v>
      </c>
      <c r="BF122" s="141">
        <f>'Hillpointe Detail'!BF122+'Sandhill Detail'!BF122</f>
        <v>438.32558151000001</v>
      </c>
      <c r="BG122" s="141">
        <f>'Hillpointe Detail'!BG122+'Sandhill Detail'!BG122</f>
        <v>0</v>
      </c>
      <c r="BH122" s="141">
        <f>'Hillpointe Detail'!BH122+'Sandhill Detail'!BH122</f>
        <v>172.00615707000003</v>
      </c>
      <c r="BI122" s="141">
        <f>'Hillpointe Detail'!BI122+'Sandhill Detail'!BI122</f>
        <v>0</v>
      </c>
      <c r="BJ122" s="141">
        <f>'Hillpointe Detail'!BJ122+'Sandhill Detail'!BJ122</f>
        <v>0</v>
      </c>
      <c r="BK122" s="141">
        <f>'Hillpointe Detail'!BK122+'Sandhill Detail'!BK122</f>
        <v>532.26732170000014</v>
      </c>
      <c r="BL122" s="141">
        <f>'Hillpointe Detail'!BL122+'Sandhill Detail'!BL122</f>
        <v>489.47252638089998</v>
      </c>
      <c r="BM122" s="141">
        <f>'Hillpointe Detail'!BM122+'Sandhill Detail'!BM122</f>
        <v>466.89481965230004</v>
      </c>
      <c r="BN122" s="141">
        <f>'Hillpointe Detail'!BN122+'Sandhill Detail'!BN122</f>
        <v>2884.7916309110005</v>
      </c>
      <c r="BO122" s="141">
        <f>'Hillpointe Detail'!BO122+'Sandhill Detail'!BO122</f>
        <v>675.30528600000002</v>
      </c>
      <c r="BP122" s="141">
        <f>'Hillpointe Detail'!BP122+'Sandhill Detail'!BP122</f>
        <v>0</v>
      </c>
      <c r="BQ122" s="141">
        <f>'Hillpointe Detail'!BQ122+'Sandhill Detail'!BQ122</f>
        <v>1400.6169284283003</v>
      </c>
      <c r="BR122" s="141">
        <f>'Hillpointe Detail'!BR122+'Sandhill Detail'!BR122</f>
        <v>451.47534895529998</v>
      </c>
      <c r="BS122" s="141">
        <f>'Hillpointe Detail'!BS122+'Sandhill Detail'!BS122</f>
        <v>0</v>
      </c>
      <c r="BT122" s="141">
        <f>'Hillpointe Detail'!BT122+'Sandhill Detail'!BT122</f>
        <v>177.16634178210003</v>
      </c>
      <c r="BU122" s="141">
        <f>'Hillpointe Detail'!BU122+'Sandhill Detail'!BU122</f>
        <v>0</v>
      </c>
      <c r="BV122" s="141">
        <f>'Hillpointe Detail'!BV122+'Sandhill Detail'!BV122</f>
        <v>0</v>
      </c>
      <c r="BW122" s="141">
        <f>'Hillpointe Detail'!BW122+'Sandhill Detail'!BW122</f>
        <v>548.2353413510001</v>
      </c>
      <c r="BX122" s="141">
        <f>'Hillpointe Detail'!BX122+'Sandhill Detail'!BX122</f>
        <v>504.15670217232702</v>
      </c>
      <c r="BY122" s="8"/>
      <c r="BZ122" s="141">
        <f t="shared" ref="BZ122:BZ153" si="63">SUMIF($B$252:$BY$252,1,$B122:$BY122)</f>
        <v>487.1</v>
      </c>
      <c r="CA122" s="141">
        <f t="shared" ref="CA122:CA153" si="64">SUMIF($B$253:$BY$253,1,$B122:$BY122)</f>
        <v>5868</v>
      </c>
      <c r="CC122" s="141">
        <f t="shared" si="59"/>
        <v>448</v>
      </c>
      <c r="CD122" s="141">
        <f t="shared" si="62"/>
        <v>2547</v>
      </c>
      <c r="CE122" s="141">
        <f t="shared" si="62"/>
        <v>10458.06</v>
      </c>
      <c r="CF122" s="141">
        <f t="shared" si="62"/>
        <v>6315.9367000000002</v>
      </c>
      <c r="CG122" s="141">
        <f t="shared" si="62"/>
        <v>6505.4148009999999</v>
      </c>
      <c r="CH122" s="141">
        <f t="shared" si="62"/>
        <v>6700.577245030001</v>
      </c>
      <c r="CI122" s="141">
        <f t="shared" si="62"/>
        <v>6901.5945623809002</v>
      </c>
      <c r="CJ122" s="141">
        <f t="shared" si="62"/>
        <v>7108.6423992523287</v>
      </c>
      <c r="CL122" s="105"/>
      <c r="CM122" s="13"/>
    </row>
    <row r="123" spans="1:91" x14ac:dyDescent="0.3">
      <c r="A123" s="84" t="s">
        <v>80</v>
      </c>
      <c r="B123" s="10"/>
      <c r="C123" s="18">
        <f>SUM(C114:C122)</f>
        <v>185661.23</v>
      </c>
      <c r="D123" s="18">
        <f>SUM(D114:D122)</f>
        <v>182265.46000000002</v>
      </c>
      <c r="E123" s="105">
        <f>'Hillpointe Detail'!E123+'Sandhill Detail'!E123</f>
        <v>-16657.5</v>
      </c>
      <c r="F123" s="105">
        <f>'Hillpointe Detail'!F123+'Sandhill Detail'!F123</f>
        <v>17627.78</v>
      </c>
      <c r="G123" s="105">
        <f>'Hillpointe Detail'!G123+'Sandhill Detail'!G123</f>
        <v>20049.900000000001</v>
      </c>
      <c r="H123" s="105">
        <f>'Hillpointe Detail'!H123+'Sandhill Detail'!H123</f>
        <v>24041.739999999998</v>
      </c>
      <c r="I123" s="105">
        <f>'Hillpointe Detail'!I123+'Sandhill Detail'!I123</f>
        <v>20291.739999999998</v>
      </c>
      <c r="J123" s="105">
        <f>'Hillpointe Detail'!J123+'Sandhill Detail'!J123</f>
        <v>20291.739999999998</v>
      </c>
      <c r="K123" s="105">
        <f>'Hillpointe Detail'!K123+'Sandhill Detail'!K123</f>
        <v>20632.36</v>
      </c>
      <c r="L123" s="105">
        <f>'Hillpointe Detail'!L123+'Sandhill Detail'!L123</f>
        <v>25753.619999999995</v>
      </c>
      <c r="M123" s="105">
        <f>'Hillpointe Detail'!M123+'Sandhill Detail'!M123</f>
        <v>20513.12</v>
      </c>
      <c r="N123" s="105">
        <f>'Hillpointe Detail'!N123+'Sandhill Detail'!N123</f>
        <v>20504.11</v>
      </c>
      <c r="O123" s="105">
        <f>'Hillpointe Detail'!O123+'Sandhill Detail'!O123</f>
        <v>20570.09</v>
      </c>
      <c r="P123" s="105">
        <f>'Hillpointe Detail'!P123+'Sandhill Detail'!P123</f>
        <v>52125.270000000004</v>
      </c>
      <c r="Q123" s="105">
        <f>'Hillpointe Detail'!Q123+'Sandhill Detail'!Q123</f>
        <v>742.71</v>
      </c>
      <c r="R123" s="105">
        <f>'Hillpointe Detail'!R123+'Sandhill Detail'!R123</f>
        <v>25364.26</v>
      </c>
      <c r="S123" s="105">
        <f>'Hillpointe Detail'!S123+'Sandhill Detail'!S123</f>
        <v>23430.94</v>
      </c>
      <c r="T123" s="105">
        <f>'Hillpointe Detail'!T123+'Sandhill Detail'!T123</f>
        <v>21965.449999999997</v>
      </c>
      <c r="U123" s="105">
        <f>'Hillpointe Detail'!U123+'Sandhill Detail'!U123</f>
        <v>24210.91</v>
      </c>
      <c r="V123" s="105">
        <f>'Hillpointe Detail'!V123+'Sandhill Detail'!V123</f>
        <v>23391.269999999997</v>
      </c>
      <c r="W123" s="105">
        <f>'Hillpointe Detail'!W123+'Sandhill Detail'!W123</f>
        <v>23098.36</v>
      </c>
      <c r="X123" s="105">
        <f>'Hillpointe Detail'!X123+'Sandhill Detail'!X123</f>
        <v>23200.559999999998</v>
      </c>
      <c r="Y123" s="105">
        <f>'Hillpointe Detail'!Y123+'Sandhill Detail'!Y123</f>
        <v>25028.739999999998</v>
      </c>
      <c r="Z123" s="105">
        <f>'Hillpointe Detail'!Z123+'Sandhill Detail'!Z123</f>
        <v>23006.719999999998</v>
      </c>
      <c r="AA123" s="105">
        <f>'Hillpointe Detail'!AA123+'Sandhill Detail'!AA123</f>
        <v>24136.51</v>
      </c>
      <c r="AB123" s="105">
        <f>'Hillpointe Detail'!AB123+'Sandhill Detail'!AB123</f>
        <v>46660.699418113436</v>
      </c>
      <c r="AC123" s="105">
        <f>'Hillpointe Detail'!AC123+'Sandhill Detail'!AC123</f>
        <v>670.35490000000004</v>
      </c>
      <c r="AD123" s="105">
        <f>'Hillpointe Detail'!AD123+'Sandhill Detail'!AD123</f>
        <v>25702.577940426199</v>
      </c>
      <c r="AE123" s="105">
        <f>'Hillpointe Detail'!AE123+'Sandhill Detail'!AE123</f>
        <v>23663.853939044704</v>
      </c>
      <c r="AF123" s="105">
        <f>'Hillpointe Detail'!AF123+'Sandhill Detail'!AF123</f>
        <v>23034.617060941313</v>
      </c>
      <c r="AG123" s="105">
        <f>'Hillpointe Detail'!AG123+'Sandhill Detail'!AG123</f>
        <v>24487.915857114331</v>
      </c>
      <c r="AH123" s="105">
        <f>'Hillpointe Detail'!AH123+'Sandhill Detail'!AH123</f>
        <v>23427.842780116076</v>
      </c>
      <c r="AI123" s="105">
        <f>'Hillpointe Detail'!AI123+'Sandhill Detail'!AI123</f>
        <v>23030.290070822295</v>
      </c>
      <c r="AJ123" s="105">
        <f>'Hillpointe Detail'!AJ123+'Sandhill Detail'!AJ123</f>
        <v>23197.443608077487</v>
      </c>
      <c r="AK123" s="105">
        <f>'Hillpointe Detail'!AK123+'Sandhill Detail'!AK123</f>
        <v>25095.311308077486</v>
      </c>
      <c r="AL123" s="105">
        <f>'Hillpointe Detail'!AL123+'Sandhill Detail'!AL123</f>
        <v>23031.415074884811</v>
      </c>
      <c r="AM123" s="105">
        <f>'Hillpointe Detail'!AM123+'Sandhill Detail'!AM123</f>
        <v>23531.065380004824</v>
      </c>
      <c r="AN123" s="105">
        <f>'Hillpointe Detail'!AN123+'Sandhill Detail'!AN123</f>
        <v>46706.354666456384</v>
      </c>
      <c r="AO123" s="105">
        <f>'Hillpointe Detail'!AO123+'Sandhill Detail'!AO123</f>
        <v>690.46554700000002</v>
      </c>
      <c r="AP123" s="105">
        <f>'Hillpointe Detail'!AP123+'Sandhill Detail'!AP123</f>
        <v>26441.399522648997</v>
      </c>
      <c r="AQ123" s="105">
        <f>'Hillpointe Detail'!AQ123+'Sandhill Detail'!AQ123</f>
        <v>24358.890112407465</v>
      </c>
      <c r="AR123" s="105">
        <f>'Hillpointe Detail'!AR123+'Sandhill Detail'!AR123</f>
        <v>23721.780631541696</v>
      </c>
      <c r="AS123" s="105">
        <f>'Hillpointe Detail'!AS123+'Sandhill Detail'!AS123</f>
        <v>25229.128325625174</v>
      </c>
      <c r="AT123" s="105">
        <f>'Hillpointe Detail'!AT123+'Sandhill Detail'!AT123</f>
        <v>24146.520104992287</v>
      </c>
      <c r="AU123" s="105">
        <f>'Hillpointe Detail'!AU123+'Sandhill Detail'!AU123</f>
        <v>23721.063153249252</v>
      </c>
      <c r="AV123" s="105">
        <f>'Hillpointe Detail'!AV123+'Sandhill Detail'!AV123</f>
        <v>23888.578795077483</v>
      </c>
      <c r="AW123" s="105">
        <f>'Hillpointe Detail'!AW123+'Sandhill Detail'!AW123</f>
        <v>25843.382526077479</v>
      </c>
      <c r="AX123" s="105">
        <f>'Hillpointe Detail'!AX123+'Sandhill Detail'!AX123</f>
        <v>23721.493353710117</v>
      </c>
      <c r="AY123" s="105">
        <f>'Hillpointe Detail'!AY123+'Sandhill Detail'!AY123</f>
        <v>24238.135349610497</v>
      </c>
      <c r="AZ123" s="105">
        <f>'Hillpointe Detail'!AZ123+'Sandhill Detail'!AZ123</f>
        <v>48111.253594127797</v>
      </c>
      <c r="BA123" s="105">
        <f>'Hillpointe Detail'!BA123+'Sandhill Detail'!BA123</f>
        <v>711.17951341000003</v>
      </c>
      <c r="BB123" s="105">
        <f>'Hillpointe Detail'!BB123+'Sandhill Detail'!BB123</f>
        <v>27233.798418055329</v>
      </c>
      <c r="BC123" s="105">
        <f>'Hillpointe Detail'!BC123+'Sandhill Detail'!BC123</f>
        <v>25088.713668325261</v>
      </c>
      <c r="BD123" s="105">
        <f>'Hillpointe Detail'!BD123+'Sandhill Detail'!BD123</f>
        <v>24433.055863008754</v>
      </c>
      <c r="BE123" s="105">
        <f>'Hillpointe Detail'!BE123+'Sandhill Detail'!BE123</f>
        <v>25986.266241426783</v>
      </c>
      <c r="BF123" s="105">
        <f>'Hillpointe Detail'!BF123+'Sandhill Detail'!BF123</f>
        <v>24871.341875952538</v>
      </c>
      <c r="BG123" s="105">
        <f>'Hillpointe Detail'!BG123+'Sandhill Detail'!BG123</f>
        <v>24433.016882700402</v>
      </c>
      <c r="BH123" s="105">
        <f>'Hillpointe Detail'!BH123+'Sandhill Detail'!BH123</f>
        <v>24605.044099511513</v>
      </c>
      <c r="BI123" s="105">
        <f>'Hillpointe Detail'!BI123+'Sandhill Detail'!BI123</f>
        <v>26618.491942441517</v>
      </c>
      <c r="BJ123" s="105">
        <f>'Hillpointe Detail'!BJ123+'Sandhill Detail'!BJ123</f>
        <v>24433.039099310965</v>
      </c>
      <c r="BK123" s="105">
        <f>'Hillpointe Detail'!BK123+'Sandhill Detail'!BK123</f>
        <v>24965.300939723209</v>
      </c>
      <c r="BL123" s="105">
        <f>'Hillpointe Detail'!BL123+'Sandhill Detail'!BL123</f>
        <v>49554.748466087163</v>
      </c>
      <c r="BM123" s="105">
        <f>'Hillpointe Detail'!BM123+'Sandhill Detail'!BM123</f>
        <v>732.51489881230009</v>
      </c>
      <c r="BN123" s="105">
        <f>'Hillpointe Detail'!BN123+'Sandhill Detail'!BN123</f>
        <v>28050.814938941214</v>
      </c>
      <c r="BO123" s="105">
        <f>'Hillpointe Detail'!BO123+'Sandhill Detail'!BO123</f>
        <v>25841.330858446821</v>
      </c>
      <c r="BP123" s="105">
        <f>'Hillpointe Detail'!BP123+'Sandhill Detail'!BP123</f>
        <v>25166.025075525027</v>
      </c>
      <c r="BQ123" s="105">
        <f>'Hillpointe Detail'!BQ123+'Sandhill Detail'!BQ123</f>
        <v>26765.856498416451</v>
      </c>
      <c r="BR123" s="105">
        <f>'Hillpointe Detail'!BR123+'Sandhill Detail'!BR123</f>
        <v>25617.499050349834</v>
      </c>
      <c r="BS123" s="105">
        <f>'Hillpointe Detail'!BS123+'Sandhill Detail'!BS123</f>
        <v>25166.023572000213</v>
      </c>
      <c r="BT123" s="105">
        <f>'Hillpointe Detail'!BT123+'Sandhill Detail'!BT123</f>
        <v>25343.190631784593</v>
      </c>
      <c r="BU123" s="105">
        <f>'Hillpointe Detail'!BU123+'Sandhill Detail'!BU123</f>
        <v>27417.041910002488</v>
      </c>
      <c r="BV123" s="105">
        <f>'Hillpointe Detail'!BV123+'Sandhill Detail'!BV123</f>
        <v>25166.024430284248</v>
      </c>
      <c r="BW123" s="105">
        <f>'Hillpointe Detail'!BW123+'Sandhill Detail'!BW123</f>
        <v>25714.259608469169</v>
      </c>
      <c r="BX123" s="105">
        <f>'Hillpointe Detail'!BX123+'Sandhill Detail'!BX123</f>
        <v>51041.396516586363</v>
      </c>
      <c r="BY123" s="8"/>
      <c r="BZ123" s="105">
        <f t="shared" si="63"/>
        <v>24136.51</v>
      </c>
      <c r="CA123" s="105">
        <f t="shared" si="64"/>
        <v>237576.42999999996</v>
      </c>
      <c r="CC123" s="105">
        <f t="shared" si="59"/>
        <v>185661.23</v>
      </c>
      <c r="CD123" s="105">
        <f t="shared" si="62"/>
        <v>182265.46000000002</v>
      </c>
      <c r="CE123" s="105">
        <f t="shared" si="62"/>
        <v>245743.96999999997</v>
      </c>
      <c r="CF123" s="105">
        <f t="shared" si="62"/>
        <v>284237.12941811339</v>
      </c>
      <c r="CG123" s="105">
        <f t="shared" si="62"/>
        <v>285579.04258596589</v>
      </c>
      <c r="CH123" s="105">
        <f t="shared" si="62"/>
        <v>294112.09101606824</v>
      </c>
      <c r="CI123" s="105">
        <f t="shared" si="62"/>
        <v>302933.99700995343</v>
      </c>
      <c r="CJ123" s="105">
        <f t="shared" si="62"/>
        <v>312021.97798961872</v>
      </c>
      <c r="CL123" s="105"/>
      <c r="CM123" s="13"/>
    </row>
    <row r="124" spans="1:91" x14ac:dyDescent="0.3">
      <c r="A124" s="84" t="s">
        <v>81</v>
      </c>
      <c r="B124" s="10" t="s">
        <v>138</v>
      </c>
      <c r="C124" s="103">
        <v>450</v>
      </c>
      <c r="D124" s="103">
        <v>4217.6899999999996</v>
      </c>
      <c r="E124" s="105">
        <f>'Hillpointe Detail'!E124+'Sandhill Detail'!E124</f>
        <v>0</v>
      </c>
      <c r="F124" s="105">
        <f>'Hillpointe Detail'!F124+'Sandhill Detail'!F124</f>
        <v>0</v>
      </c>
      <c r="G124" s="105">
        <f>'Hillpointe Detail'!G124+'Sandhill Detail'!G124</f>
        <v>0</v>
      </c>
      <c r="H124" s="105">
        <f>'Hillpointe Detail'!H124+'Sandhill Detail'!H124</f>
        <v>0</v>
      </c>
      <c r="I124" s="105">
        <f>'Hillpointe Detail'!I124+'Sandhill Detail'!I124</f>
        <v>0</v>
      </c>
      <c r="J124" s="105">
        <f>'Hillpointe Detail'!J124+'Sandhill Detail'!J124</f>
        <v>0</v>
      </c>
      <c r="K124" s="105">
        <f>'Hillpointe Detail'!K124+'Sandhill Detail'!K124</f>
        <v>0</v>
      </c>
      <c r="L124" s="105">
        <f>'Hillpointe Detail'!L124+'Sandhill Detail'!L124</f>
        <v>0</v>
      </c>
      <c r="M124" s="105">
        <f>'Hillpointe Detail'!M124+'Sandhill Detail'!M124</f>
        <v>0</v>
      </c>
      <c r="N124" s="105">
        <f>'Hillpointe Detail'!N124+'Sandhill Detail'!N124</f>
        <v>0</v>
      </c>
      <c r="O124" s="105">
        <f>'Hillpointe Detail'!O124+'Sandhill Detail'!O124</f>
        <v>0</v>
      </c>
      <c r="P124" s="105">
        <f>'Hillpointe Detail'!P124+'Sandhill Detail'!P124</f>
        <v>0</v>
      </c>
      <c r="Q124" s="105">
        <f>'Hillpointe Detail'!Q124+'Sandhill Detail'!Q124</f>
        <v>0</v>
      </c>
      <c r="R124" s="105">
        <f>'Hillpointe Detail'!R124+'Sandhill Detail'!R124</f>
        <v>0</v>
      </c>
      <c r="S124" s="105">
        <f>'Hillpointe Detail'!S124+'Sandhill Detail'!S124</f>
        <v>0</v>
      </c>
      <c r="T124" s="105">
        <f>'Hillpointe Detail'!T124+'Sandhill Detail'!T124</f>
        <v>0</v>
      </c>
      <c r="U124" s="105">
        <f>'Hillpointe Detail'!U124+'Sandhill Detail'!U124</f>
        <v>0</v>
      </c>
      <c r="V124" s="105">
        <f>'Hillpointe Detail'!V124+'Sandhill Detail'!V124</f>
        <v>0</v>
      </c>
      <c r="W124" s="105">
        <f>'Hillpointe Detail'!W124+'Sandhill Detail'!W124</f>
        <v>0</v>
      </c>
      <c r="X124" s="105">
        <f>'Hillpointe Detail'!X124+'Sandhill Detail'!X124</f>
        <v>0</v>
      </c>
      <c r="Y124" s="105">
        <f>'Hillpointe Detail'!Y124+'Sandhill Detail'!Y124</f>
        <v>0</v>
      </c>
      <c r="Z124" s="105">
        <f>'Hillpointe Detail'!Z124+'Sandhill Detail'!Z124</f>
        <v>0</v>
      </c>
      <c r="AA124" s="105">
        <f>'Hillpointe Detail'!AA124+'Sandhill Detail'!AA124</f>
        <v>0</v>
      </c>
      <c r="AB124" s="105">
        <f>'Hillpointe Detail'!AB124+'Sandhill Detail'!AB124</f>
        <v>0</v>
      </c>
      <c r="AC124" s="105">
        <f>'Hillpointe Detail'!AC124+'Sandhill Detail'!AC124</f>
        <v>0</v>
      </c>
      <c r="AD124" s="105">
        <f>'Hillpointe Detail'!AD124+'Sandhill Detail'!AD124</f>
        <v>0</v>
      </c>
      <c r="AE124" s="105">
        <f>'Hillpointe Detail'!AE124+'Sandhill Detail'!AE124</f>
        <v>0</v>
      </c>
      <c r="AF124" s="105">
        <f>'Hillpointe Detail'!AF124+'Sandhill Detail'!AF124</f>
        <v>0</v>
      </c>
      <c r="AG124" s="105">
        <f>'Hillpointe Detail'!AG124+'Sandhill Detail'!AG124</f>
        <v>0</v>
      </c>
      <c r="AH124" s="105">
        <f>'Hillpointe Detail'!AH124+'Sandhill Detail'!AH124</f>
        <v>0</v>
      </c>
      <c r="AI124" s="105">
        <f>'Hillpointe Detail'!AI124+'Sandhill Detail'!AI124</f>
        <v>0</v>
      </c>
      <c r="AJ124" s="105">
        <f>'Hillpointe Detail'!AJ124+'Sandhill Detail'!AJ124</f>
        <v>0</v>
      </c>
      <c r="AK124" s="105">
        <f>'Hillpointe Detail'!AK124+'Sandhill Detail'!AK124</f>
        <v>0</v>
      </c>
      <c r="AL124" s="105">
        <f>'Hillpointe Detail'!AL124+'Sandhill Detail'!AL124</f>
        <v>0</v>
      </c>
      <c r="AM124" s="105">
        <f>'Hillpointe Detail'!AM124+'Sandhill Detail'!AM124</f>
        <v>0</v>
      </c>
      <c r="AN124" s="105">
        <f>'Hillpointe Detail'!AN124+'Sandhill Detail'!AN124</f>
        <v>0</v>
      </c>
      <c r="AO124" s="105">
        <f>'Hillpointe Detail'!AO124+'Sandhill Detail'!AO124</f>
        <v>0</v>
      </c>
      <c r="AP124" s="105">
        <f>'Hillpointe Detail'!AP124+'Sandhill Detail'!AP124</f>
        <v>0</v>
      </c>
      <c r="AQ124" s="105">
        <f>'Hillpointe Detail'!AQ124+'Sandhill Detail'!AQ124</f>
        <v>0</v>
      </c>
      <c r="AR124" s="105">
        <f>'Hillpointe Detail'!AR124+'Sandhill Detail'!AR124</f>
        <v>0</v>
      </c>
      <c r="AS124" s="105">
        <f>'Hillpointe Detail'!AS124+'Sandhill Detail'!AS124</f>
        <v>0</v>
      </c>
      <c r="AT124" s="105">
        <f>'Hillpointe Detail'!AT124+'Sandhill Detail'!AT124</f>
        <v>0</v>
      </c>
      <c r="AU124" s="105">
        <f>'Hillpointe Detail'!AU124+'Sandhill Detail'!AU124</f>
        <v>0</v>
      </c>
      <c r="AV124" s="105">
        <f>'Hillpointe Detail'!AV124+'Sandhill Detail'!AV124</f>
        <v>0</v>
      </c>
      <c r="AW124" s="105">
        <f>'Hillpointe Detail'!AW124+'Sandhill Detail'!AW124</f>
        <v>0</v>
      </c>
      <c r="AX124" s="105">
        <f>'Hillpointe Detail'!AX124+'Sandhill Detail'!AX124</f>
        <v>0</v>
      </c>
      <c r="AY124" s="105">
        <f>'Hillpointe Detail'!AY124+'Sandhill Detail'!AY124</f>
        <v>0</v>
      </c>
      <c r="AZ124" s="105">
        <f>'Hillpointe Detail'!AZ124+'Sandhill Detail'!AZ124</f>
        <v>0</v>
      </c>
      <c r="BA124" s="105">
        <f>'Hillpointe Detail'!BA124+'Sandhill Detail'!BA124</f>
        <v>0</v>
      </c>
      <c r="BB124" s="105">
        <f>'Hillpointe Detail'!BB124+'Sandhill Detail'!BB124</f>
        <v>0</v>
      </c>
      <c r="BC124" s="105">
        <f>'Hillpointe Detail'!BC124+'Sandhill Detail'!BC124</f>
        <v>0</v>
      </c>
      <c r="BD124" s="105">
        <f>'Hillpointe Detail'!BD124+'Sandhill Detail'!BD124</f>
        <v>0</v>
      </c>
      <c r="BE124" s="105">
        <f>'Hillpointe Detail'!BE124+'Sandhill Detail'!BE124</f>
        <v>0</v>
      </c>
      <c r="BF124" s="105">
        <f>'Hillpointe Detail'!BF124+'Sandhill Detail'!BF124</f>
        <v>0</v>
      </c>
      <c r="BG124" s="105">
        <f>'Hillpointe Detail'!BG124+'Sandhill Detail'!BG124</f>
        <v>0</v>
      </c>
      <c r="BH124" s="105">
        <f>'Hillpointe Detail'!BH124+'Sandhill Detail'!BH124</f>
        <v>0</v>
      </c>
      <c r="BI124" s="105">
        <f>'Hillpointe Detail'!BI124+'Sandhill Detail'!BI124</f>
        <v>0</v>
      </c>
      <c r="BJ124" s="105">
        <f>'Hillpointe Detail'!BJ124+'Sandhill Detail'!BJ124</f>
        <v>0</v>
      </c>
      <c r="BK124" s="105">
        <f>'Hillpointe Detail'!BK124+'Sandhill Detail'!BK124</f>
        <v>0</v>
      </c>
      <c r="BL124" s="105">
        <f>'Hillpointe Detail'!BL124+'Sandhill Detail'!BL124</f>
        <v>0</v>
      </c>
      <c r="BM124" s="105">
        <f>'Hillpointe Detail'!BM124+'Sandhill Detail'!BM124</f>
        <v>0</v>
      </c>
      <c r="BN124" s="105">
        <f>'Hillpointe Detail'!BN124+'Sandhill Detail'!BN124</f>
        <v>0</v>
      </c>
      <c r="BO124" s="105">
        <f>'Hillpointe Detail'!BO124+'Sandhill Detail'!BO124</f>
        <v>0</v>
      </c>
      <c r="BP124" s="105">
        <f>'Hillpointe Detail'!BP124+'Sandhill Detail'!BP124</f>
        <v>0</v>
      </c>
      <c r="BQ124" s="105">
        <f>'Hillpointe Detail'!BQ124+'Sandhill Detail'!BQ124</f>
        <v>0</v>
      </c>
      <c r="BR124" s="105">
        <f>'Hillpointe Detail'!BR124+'Sandhill Detail'!BR124</f>
        <v>0</v>
      </c>
      <c r="BS124" s="105">
        <f>'Hillpointe Detail'!BS124+'Sandhill Detail'!BS124</f>
        <v>0</v>
      </c>
      <c r="BT124" s="105">
        <f>'Hillpointe Detail'!BT124+'Sandhill Detail'!BT124</f>
        <v>0</v>
      </c>
      <c r="BU124" s="105">
        <f>'Hillpointe Detail'!BU124+'Sandhill Detail'!BU124</f>
        <v>0</v>
      </c>
      <c r="BV124" s="105">
        <f>'Hillpointe Detail'!BV124+'Sandhill Detail'!BV124</f>
        <v>0</v>
      </c>
      <c r="BW124" s="105">
        <f>'Hillpointe Detail'!BW124+'Sandhill Detail'!BW124</f>
        <v>0</v>
      </c>
      <c r="BX124" s="105">
        <f>'Hillpointe Detail'!BX124+'Sandhill Detail'!BX124</f>
        <v>0</v>
      </c>
      <c r="BY124" s="8"/>
      <c r="BZ124" s="105">
        <f t="shared" si="63"/>
        <v>0</v>
      </c>
      <c r="CA124" s="105">
        <f t="shared" si="64"/>
        <v>0</v>
      </c>
      <c r="CC124" s="105">
        <f t="shared" si="59"/>
        <v>450</v>
      </c>
      <c r="CD124" s="105">
        <f t="shared" si="62"/>
        <v>4217.6899999999996</v>
      </c>
      <c r="CE124" s="105">
        <f t="shared" si="62"/>
        <v>0</v>
      </c>
      <c r="CF124" s="105">
        <f t="shared" si="62"/>
        <v>0</v>
      </c>
      <c r="CG124" s="105">
        <f t="shared" si="62"/>
        <v>0</v>
      </c>
      <c r="CH124" s="105">
        <f t="shared" si="62"/>
        <v>0</v>
      </c>
      <c r="CI124" s="105">
        <f t="shared" si="62"/>
        <v>0</v>
      </c>
      <c r="CJ124" s="105">
        <f t="shared" si="62"/>
        <v>0</v>
      </c>
      <c r="CL124" s="105"/>
      <c r="CM124" s="13"/>
    </row>
    <row r="125" spans="1:91" x14ac:dyDescent="0.3">
      <c r="A125" s="84" t="s">
        <v>82</v>
      </c>
      <c r="B125" s="10" t="s">
        <v>141</v>
      </c>
      <c r="C125" s="103">
        <v>1665</v>
      </c>
      <c r="D125" s="103">
        <v>5942.7</v>
      </c>
      <c r="E125" s="105">
        <f>'Hillpointe Detail'!E125+'Sandhill Detail'!E125</f>
        <v>835</v>
      </c>
      <c r="F125" s="105">
        <f>'Hillpointe Detail'!F125+'Sandhill Detail'!F125</f>
        <v>650</v>
      </c>
      <c r="G125" s="105">
        <f>'Hillpointe Detail'!G125+'Sandhill Detail'!G125</f>
        <v>1485</v>
      </c>
      <c r="H125" s="105">
        <f>'Hillpointe Detail'!H125+'Sandhill Detail'!H125</f>
        <v>2990</v>
      </c>
      <c r="I125" s="105">
        <f>'Hillpointe Detail'!I125+'Sandhill Detail'!I125</f>
        <v>1485</v>
      </c>
      <c r="J125" s="105">
        <f>'Hillpointe Detail'!J125+'Sandhill Detail'!J125</f>
        <v>1300</v>
      </c>
      <c r="K125" s="105">
        <f>'Hillpointe Detail'!K125+'Sandhill Detail'!K125</f>
        <v>370</v>
      </c>
      <c r="L125" s="105">
        <f>'Hillpointe Detail'!L125+'Sandhill Detail'!L125</f>
        <v>185</v>
      </c>
      <c r="M125" s="105">
        <f>'Hillpointe Detail'!M125+'Sandhill Detail'!M125</f>
        <v>185</v>
      </c>
      <c r="N125" s="105">
        <f>'Hillpointe Detail'!N125+'Sandhill Detail'!N125</f>
        <v>2135</v>
      </c>
      <c r="O125" s="105">
        <f>'Hillpointe Detail'!O125+'Sandhill Detail'!O125</f>
        <v>0</v>
      </c>
      <c r="P125" s="105">
        <f>'Hillpointe Detail'!P125+'Sandhill Detail'!P125</f>
        <v>1020</v>
      </c>
      <c r="Q125" s="105">
        <f>'Hillpointe Detail'!Q125+'Sandhill Detail'!Q125</f>
        <v>650</v>
      </c>
      <c r="R125" s="105">
        <f>'Hillpointe Detail'!R125+'Sandhill Detail'!R125</f>
        <v>1020</v>
      </c>
      <c r="S125" s="105">
        <f>'Hillpointe Detail'!S125+'Sandhill Detail'!S125</f>
        <v>835</v>
      </c>
      <c r="T125" s="105">
        <f>'Hillpointe Detail'!T125+'Sandhill Detail'!T125</f>
        <v>1095.1300000000001</v>
      </c>
      <c r="U125" s="105">
        <f>'Hillpointe Detail'!U125+'Sandhill Detail'!U125</f>
        <v>2735</v>
      </c>
      <c r="V125" s="105">
        <f>'Hillpointe Detail'!V125+'Sandhill Detail'!V125</f>
        <v>185</v>
      </c>
      <c r="W125" s="105">
        <f>'Hillpointe Detail'!W125+'Sandhill Detail'!W125</f>
        <v>1020</v>
      </c>
      <c r="X125" s="105">
        <f>'Hillpointe Detail'!X125+'Sandhill Detail'!X125</f>
        <v>5120</v>
      </c>
      <c r="Y125" s="105">
        <f>'Hillpointe Detail'!Y125+'Sandhill Detail'!Y125</f>
        <v>370</v>
      </c>
      <c r="Z125" s="105">
        <f>'Hillpointe Detail'!Z125+'Sandhill Detail'!Z125</f>
        <v>835</v>
      </c>
      <c r="AA125" s="105">
        <f>'Hillpointe Detail'!AA125+'Sandhill Detail'!AA125</f>
        <v>2852.5</v>
      </c>
      <c r="AB125" s="105">
        <f>'Hillpointe Detail'!AB125+'Sandhill Detail'!AB125</f>
        <v>1050.6000000000001</v>
      </c>
      <c r="AC125" s="105">
        <f>'Hillpointe Detail'!AC125+'Sandhill Detail'!AC125</f>
        <v>669.5</v>
      </c>
      <c r="AD125" s="105">
        <f>'Hillpointe Detail'!AD125+'Sandhill Detail'!AD125</f>
        <v>1050.6000000000001</v>
      </c>
      <c r="AE125" s="105">
        <f>'Hillpointe Detail'!AE125+'Sandhill Detail'!AE125</f>
        <v>860.05000000000007</v>
      </c>
      <c r="AF125" s="105">
        <f>'Hillpointe Detail'!AF125+'Sandhill Detail'!AF125</f>
        <v>1127.9839000000002</v>
      </c>
      <c r="AG125" s="105">
        <f>'Hillpointe Detail'!AG125+'Sandhill Detail'!AG125</f>
        <v>2817.05</v>
      </c>
      <c r="AH125" s="105">
        <f>'Hillpointe Detail'!AH125+'Sandhill Detail'!AH125</f>
        <v>190.55</v>
      </c>
      <c r="AI125" s="105">
        <f>'Hillpointe Detail'!AI125+'Sandhill Detail'!AI125</f>
        <v>1050.6000000000001</v>
      </c>
      <c r="AJ125" s="105">
        <f>'Hillpointe Detail'!AJ125+'Sandhill Detail'!AJ125</f>
        <v>5273.6000000000013</v>
      </c>
      <c r="AK125" s="105">
        <f>'Hillpointe Detail'!AK125+'Sandhill Detail'!AK125</f>
        <v>381.1</v>
      </c>
      <c r="AL125" s="105">
        <f>'Hillpointe Detail'!AL125+'Sandhill Detail'!AL125</f>
        <v>860.05000000000007</v>
      </c>
      <c r="AM125" s="105">
        <f>'Hillpointe Detail'!AM125+'Sandhill Detail'!AM125</f>
        <v>2938.0750000000003</v>
      </c>
      <c r="AN125" s="105">
        <f>'Hillpointe Detail'!AN125+'Sandhill Detail'!AN125</f>
        <v>1082.1180000000002</v>
      </c>
      <c r="AO125" s="105">
        <f>'Hillpointe Detail'!AO125+'Sandhill Detail'!AO125</f>
        <v>689.58500000000004</v>
      </c>
      <c r="AP125" s="105">
        <f>'Hillpointe Detail'!AP125+'Sandhill Detail'!AP125</f>
        <v>1082.1180000000002</v>
      </c>
      <c r="AQ125" s="105">
        <f>'Hillpointe Detail'!AQ125+'Sandhill Detail'!AQ125</f>
        <v>885.8515000000001</v>
      </c>
      <c r="AR125" s="105">
        <f>'Hillpointe Detail'!AR125+'Sandhill Detail'!AR125</f>
        <v>1161.8234170000003</v>
      </c>
      <c r="AS125" s="105">
        <f>'Hillpointe Detail'!AS125+'Sandhill Detail'!AS125</f>
        <v>2901.5614999999998</v>
      </c>
      <c r="AT125" s="105">
        <f>'Hillpointe Detail'!AT125+'Sandhill Detail'!AT125</f>
        <v>196.26650000000001</v>
      </c>
      <c r="AU125" s="105">
        <f>'Hillpointe Detail'!AU125+'Sandhill Detail'!AU125</f>
        <v>1082.1180000000002</v>
      </c>
      <c r="AV125" s="105">
        <f>'Hillpointe Detail'!AV125+'Sandhill Detail'!AV125</f>
        <v>5431.8080000000018</v>
      </c>
      <c r="AW125" s="105">
        <f>'Hillpointe Detail'!AW125+'Sandhill Detail'!AW125</f>
        <v>392.53300000000002</v>
      </c>
      <c r="AX125" s="105">
        <f>'Hillpointe Detail'!AX125+'Sandhill Detail'!AX125</f>
        <v>885.8515000000001</v>
      </c>
      <c r="AY125" s="105">
        <f>'Hillpointe Detail'!AY125+'Sandhill Detail'!AY125</f>
        <v>3026.2172500000001</v>
      </c>
      <c r="AZ125" s="105">
        <f>'Hillpointe Detail'!AZ125+'Sandhill Detail'!AZ125</f>
        <v>1114.5815400000001</v>
      </c>
      <c r="BA125" s="105">
        <f>'Hillpointe Detail'!BA125+'Sandhill Detail'!BA125</f>
        <v>710.27255000000002</v>
      </c>
      <c r="BB125" s="105">
        <f>'Hillpointe Detail'!BB125+'Sandhill Detail'!BB125</f>
        <v>1114.5815400000001</v>
      </c>
      <c r="BC125" s="105">
        <f>'Hillpointe Detail'!BC125+'Sandhill Detail'!BC125</f>
        <v>912.42704500000013</v>
      </c>
      <c r="BD125" s="105">
        <f>'Hillpointe Detail'!BD125+'Sandhill Detail'!BD125</f>
        <v>1196.6781195100004</v>
      </c>
      <c r="BE125" s="105">
        <f>'Hillpointe Detail'!BE125+'Sandhill Detail'!BE125</f>
        <v>2988.6083450000001</v>
      </c>
      <c r="BF125" s="105">
        <f>'Hillpointe Detail'!BF125+'Sandhill Detail'!BF125</f>
        <v>202.15449500000003</v>
      </c>
      <c r="BG125" s="105">
        <f>'Hillpointe Detail'!BG125+'Sandhill Detail'!BG125</f>
        <v>1114.5815400000001</v>
      </c>
      <c r="BH125" s="105">
        <f>'Hillpointe Detail'!BH125+'Sandhill Detail'!BH125</f>
        <v>5594.7622400000009</v>
      </c>
      <c r="BI125" s="105">
        <f>'Hillpointe Detail'!BI125+'Sandhill Detail'!BI125</f>
        <v>404.30899000000005</v>
      </c>
      <c r="BJ125" s="105">
        <f>'Hillpointe Detail'!BJ125+'Sandhill Detail'!BJ125</f>
        <v>912.42704500000013</v>
      </c>
      <c r="BK125" s="105">
        <f>'Hillpointe Detail'!BK125+'Sandhill Detail'!BK125</f>
        <v>3117.0037675000003</v>
      </c>
      <c r="BL125" s="105">
        <f>'Hillpointe Detail'!BL125+'Sandhill Detail'!BL125</f>
        <v>1148.0189862000002</v>
      </c>
      <c r="BM125" s="105">
        <f>'Hillpointe Detail'!BM125+'Sandhill Detail'!BM125</f>
        <v>731.58072650000008</v>
      </c>
      <c r="BN125" s="105">
        <f>'Hillpointe Detail'!BN125+'Sandhill Detail'!BN125</f>
        <v>1148.0189862000002</v>
      </c>
      <c r="BO125" s="105">
        <f>'Hillpointe Detail'!BO125+'Sandhill Detail'!BO125</f>
        <v>939.79985635000014</v>
      </c>
      <c r="BP125" s="105">
        <f>'Hillpointe Detail'!BP125+'Sandhill Detail'!BP125</f>
        <v>1232.5784630953005</v>
      </c>
      <c r="BQ125" s="105">
        <f>'Hillpointe Detail'!BQ125+'Sandhill Detail'!BQ125</f>
        <v>3078.26659535</v>
      </c>
      <c r="BR125" s="105">
        <f>'Hillpointe Detail'!BR125+'Sandhill Detail'!BR125</f>
        <v>208.21912985000003</v>
      </c>
      <c r="BS125" s="105">
        <f>'Hillpointe Detail'!BS125+'Sandhill Detail'!BS125</f>
        <v>1148.0189862000002</v>
      </c>
      <c r="BT125" s="105">
        <f>'Hillpointe Detail'!BT125+'Sandhill Detail'!BT125</f>
        <v>5762.6051072000018</v>
      </c>
      <c r="BU125" s="105">
        <f>'Hillpointe Detail'!BU125+'Sandhill Detail'!BU125</f>
        <v>416.43825970000006</v>
      </c>
      <c r="BV125" s="105">
        <f>'Hillpointe Detail'!BV125+'Sandhill Detail'!BV125</f>
        <v>939.79985635000014</v>
      </c>
      <c r="BW125" s="105">
        <f>'Hillpointe Detail'!BW125+'Sandhill Detail'!BW125</f>
        <v>3210.5138805250003</v>
      </c>
      <c r="BX125" s="105">
        <f>'Hillpointe Detail'!BX125+'Sandhill Detail'!BX125</f>
        <v>1182.4595557860002</v>
      </c>
      <c r="BY125" s="8"/>
      <c r="BZ125" s="105">
        <f t="shared" si="63"/>
        <v>2852.5</v>
      </c>
      <c r="CA125" s="105">
        <f t="shared" si="64"/>
        <v>16717.63</v>
      </c>
      <c r="CC125" s="105">
        <f t="shared" si="59"/>
        <v>1665</v>
      </c>
      <c r="CD125" s="105">
        <f t="shared" si="62"/>
        <v>5942.7</v>
      </c>
      <c r="CE125" s="105">
        <f t="shared" si="62"/>
        <v>12640</v>
      </c>
      <c r="CF125" s="105">
        <f t="shared" si="62"/>
        <v>17768.23</v>
      </c>
      <c r="CG125" s="105">
        <f t="shared" si="62"/>
        <v>18301.276900000001</v>
      </c>
      <c r="CH125" s="105">
        <f t="shared" si="62"/>
        <v>18850.315207000003</v>
      </c>
      <c r="CI125" s="105">
        <f t="shared" si="62"/>
        <v>19415.824663210002</v>
      </c>
      <c r="CJ125" s="105">
        <f t="shared" si="62"/>
        <v>19998.299403106303</v>
      </c>
      <c r="CL125" s="105"/>
      <c r="CM125" s="13"/>
    </row>
    <row r="126" spans="1:91" x14ac:dyDescent="0.3">
      <c r="A126" s="84" t="s">
        <v>83</v>
      </c>
      <c r="B126" s="10" t="s">
        <v>138</v>
      </c>
      <c r="C126" s="103">
        <v>21779.29</v>
      </c>
      <c r="D126" s="103">
        <v>10721.83</v>
      </c>
      <c r="E126" s="105">
        <f>'Hillpointe Detail'!E126+'Sandhill Detail'!E126</f>
        <v>-1366.46</v>
      </c>
      <c r="F126" s="105">
        <f>'Hillpointe Detail'!F126+'Sandhill Detail'!F126</f>
        <v>1366.46</v>
      </c>
      <c r="G126" s="105">
        <f>'Hillpointe Detail'!G126+'Sandhill Detail'!G126</f>
        <v>2746.75</v>
      </c>
      <c r="H126" s="105">
        <f>'Hillpointe Detail'!H126+'Sandhill Detail'!H126</f>
        <v>1024.94</v>
      </c>
      <c r="I126" s="105">
        <f>'Hillpointe Detail'!I126+'Sandhill Detail'!I126</f>
        <v>817.27</v>
      </c>
      <c r="J126" s="105">
        <f>'Hillpointe Detail'!J126+'Sandhill Detail'!J126</f>
        <v>819.81</v>
      </c>
      <c r="K126" s="105">
        <f>'Hillpointe Detail'!K126+'Sandhill Detail'!K126</f>
        <v>0</v>
      </c>
      <c r="L126" s="105">
        <f>'Hillpointe Detail'!L126+'Sandhill Detail'!L126</f>
        <v>0</v>
      </c>
      <c r="M126" s="105">
        <f>'Hillpointe Detail'!M126+'Sandhill Detail'!M126</f>
        <v>2159.7599999999993</v>
      </c>
      <c r="N126" s="105">
        <f>'Hillpointe Detail'!N126+'Sandhill Detail'!N126</f>
        <v>2262.5700000000002</v>
      </c>
      <c r="O126" s="105">
        <f>'Hillpointe Detail'!O126+'Sandhill Detail'!O126</f>
        <v>0</v>
      </c>
      <c r="P126" s="105">
        <f>'Hillpointe Detail'!P126+'Sandhill Detail'!P126</f>
        <v>2926.96</v>
      </c>
      <c r="Q126" s="105">
        <f>'Hillpointe Detail'!Q126+'Sandhill Detail'!Q126</f>
        <v>0</v>
      </c>
      <c r="R126" s="105">
        <f>'Hillpointe Detail'!R126+'Sandhill Detail'!R126</f>
        <v>1555.91</v>
      </c>
      <c r="S126" s="105">
        <f>'Hillpointe Detail'!S126+'Sandhill Detail'!S126</f>
        <v>973.32</v>
      </c>
      <c r="T126" s="105">
        <f>'Hillpointe Detail'!T126+'Sandhill Detail'!T126</f>
        <v>854.01</v>
      </c>
      <c r="U126" s="105">
        <f>'Hillpointe Detail'!U126+'Sandhill Detail'!U126</f>
        <v>740.04</v>
      </c>
      <c r="V126" s="105">
        <f>'Hillpointe Detail'!V126+'Sandhill Detail'!V126</f>
        <v>0</v>
      </c>
      <c r="W126" s="105">
        <f>'Hillpointe Detail'!W126+'Sandhill Detail'!W126</f>
        <v>1367.76</v>
      </c>
      <c r="X126" s="105">
        <f>'Hillpointe Detail'!X126+'Sandhill Detail'!X126</f>
        <v>720.09</v>
      </c>
      <c r="Y126" s="105">
        <f>'Hillpointe Detail'!Y126+'Sandhill Detail'!Y126</f>
        <v>894.35</v>
      </c>
      <c r="Z126" s="105">
        <f>'Hillpointe Detail'!Z126+'Sandhill Detail'!Z126</f>
        <v>827.05</v>
      </c>
      <c r="AA126" s="105">
        <f>'Hillpointe Detail'!AA126+'Sandhill Detail'!AA126</f>
        <v>978.8</v>
      </c>
      <c r="AB126" s="105">
        <f>'Hillpointe Detail'!AB126+'Sandhill Detail'!AB126</f>
        <v>3014.7688000000003</v>
      </c>
      <c r="AC126" s="105">
        <f>'Hillpointe Detail'!AC126+'Sandhill Detail'!AC126</f>
        <v>0</v>
      </c>
      <c r="AD126" s="105">
        <f>'Hillpointe Detail'!AD126+'Sandhill Detail'!AD126</f>
        <v>1602.5873000000001</v>
      </c>
      <c r="AE126" s="105">
        <f>'Hillpointe Detail'!AE126+'Sandhill Detail'!AE126</f>
        <v>1002.5196000000001</v>
      </c>
      <c r="AF126" s="105">
        <f>'Hillpointe Detail'!AF126+'Sandhill Detail'!AF126</f>
        <v>879.63030000000003</v>
      </c>
      <c r="AG126" s="105">
        <f>'Hillpointe Detail'!AG126+'Sandhill Detail'!AG126</f>
        <v>762.24119999999994</v>
      </c>
      <c r="AH126" s="105">
        <f>'Hillpointe Detail'!AH126+'Sandhill Detail'!AH126</f>
        <v>0</v>
      </c>
      <c r="AI126" s="105">
        <f>'Hillpointe Detail'!AI126+'Sandhill Detail'!AI126</f>
        <v>1408.7927999999999</v>
      </c>
      <c r="AJ126" s="105">
        <f>'Hillpointe Detail'!AJ126+'Sandhill Detail'!AJ126</f>
        <v>741.69270000000006</v>
      </c>
      <c r="AK126" s="105">
        <f>'Hillpointe Detail'!AK126+'Sandhill Detail'!AK126</f>
        <v>921.18050000000005</v>
      </c>
      <c r="AL126" s="105">
        <f>'Hillpointe Detail'!AL126+'Sandhill Detail'!AL126</f>
        <v>851.86149999999998</v>
      </c>
      <c r="AM126" s="105">
        <f>'Hillpointe Detail'!AM126+'Sandhill Detail'!AM126</f>
        <v>1008.164</v>
      </c>
      <c r="AN126" s="105">
        <f>'Hillpointe Detail'!AN126+'Sandhill Detail'!AN126</f>
        <v>3105.2118640000003</v>
      </c>
      <c r="AO126" s="105">
        <f>'Hillpointe Detail'!AO126+'Sandhill Detail'!AO126</f>
        <v>0</v>
      </c>
      <c r="AP126" s="105">
        <f>'Hillpointe Detail'!AP126+'Sandhill Detail'!AP126</f>
        <v>1950.9758434782611</v>
      </c>
      <c r="AQ126" s="105">
        <f>'Hillpointe Detail'!AQ126+'Sandhill Detail'!AQ126</f>
        <v>1220.4586434782611</v>
      </c>
      <c r="AR126" s="105">
        <f>'Hillpointe Detail'!AR126+'Sandhill Detail'!AR126</f>
        <v>1070.8542782608697</v>
      </c>
      <c r="AS126" s="105">
        <f>'Hillpointe Detail'!AS126+'Sandhill Detail'!AS126</f>
        <v>927.9458086956522</v>
      </c>
      <c r="AT126" s="105">
        <f>'Hillpointe Detail'!AT126+'Sandhill Detail'!AT126</f>
        <v>0</v>
      </c>
      <c r="AU126" s="105">
        <f>'Hillpointe Detail'!AU126+'Sandhill Detail'!AU126</f>
        <v>1715.0521043478261</v>
      </c>
      <c r="AV126" s="105">
        <f>'Hillpointe Detail'!AV126+'Sandhill Detail'!AV126</f>
        <v>902.93024347826099</v>
      </c>
      <c r="AW126" s="105">
        <f>'Hillpointe Detail'!AW126+'Sandhill Detail'!AW126</f>
        <v>1121.4371304347828</v>
      </c>
      <c r="AX126" s="105">
        <f>'Hillpointe Detail'!AX126+'Sandhill Detail'!AX126</f>
        <v>1037.0487826086958</v>
      </c>
      <c r="AY126" s="105">
        <f>'Hillpointe Detail'!AY126+'Sandhill Detail'!AY126</f>
        <v>1227.3300869565219</v>
      </c>
      <c r="AZ126" s="105">
        <f>'Hillpointe Detail'!AZ126+'Sandhill Detail'!AZ126</f>
        <v>3780.257921391305</v>
      </c>
      <c r="BA126" s="105">
        <f>'Hillpointe Detail'!BA126+'Sandhill Detail'!BA126</f>
        <v>0</v>
      </c>
      <c r="BB126" s="105">
        <f>'Hillpointe Detail'!BB126+'Sandhill Detail'!BB126</f>
        <v>2009.5051187826091</v>
      </c>
      <c r="BC126" s="105">
        <f>'Hillpointe Detail'!BC126+'Sandhill Detail'!BC126</f>
        <v>1257.0724027826091</v>
      </c>
      <c r="BD126" s="105">
        <f>'Hillpointe Detail'!BD126+'Sandhill Detail'!BD126</f>
        <v>1102.9799066086957</v>
      </c>
      <c r="BE126" s="105">
        <f>'Hillpointe Detail'!BE126+'Sandhill Detail'!BE126</f>
        <v>955.78418295652182</v>
      </c>
      <c r="BF126" s="105">
        <f>'Hillpointe Detail'!BF126+'Sandhill Detail'!BF126</f>
        <v>0</v>
      </c>
      <c r="BG126" s="105">
        <f>'Hillpointe Detail'!BG126+'Sandhill Detail'!BG126</f>
        <v>1766.5036674782609</v>
      </c>
      <c r="BH126" s="105">
        <f>'Hillpointe Detail'!BH126+'Sandhill Detail'!BH126</f>
        <v>930.01815078260881</v>
      </c>
      <c r="BI126" s="105">
        <f>'Hillpointe Detail'!BI126+'Sandhill Detail'!BI126</f>
        <v>1155.0802443478262</v>
      </c>
      <c r="BJ126" s="105">
        <f>'Hillpointe Detail'!BJ126+'Sandhill Detail'!BJ126</f>
        <v>1068.1602460869567</v>
      </c>
      <c r="BK126" s="105">
        <f>'Hillpointe Detail'!BK126+'Sandhill Detail'!BK126</f>
        <v>1264.1499895652175</v>
      </c>
      <c r="BL126" s="105">
        <f>'Hillpointe Detail'!BL126+'Sandhill Detail'!BL126</f>
        <v>3893.6656590330444</v>
      </c>
      <c r="BM126" s="105">
        <f>'Hillpointe Detail'!BM126+'Sandhill Detail'!BM126</f>
        <v>0</v>
      </c>
      <c r="BN126" s="105">
        <f>'Hillpointe Detail'!BN126+'Sandhill Detail'!BN126</f>
        <v>2069.7902723460875</v>
      </c>
      <c r="BO126" s="105">
        <f>'Hillpointe Detail'!BO126+'Sandhill Detail'!BO126</f>
        <v>1294.7845748660873</v>
      </c>
      <c r="BP126" s="105">
        <f>'Hillpointe Detail'!BP126+'Sandhill Detail'!BP126</f>
        <v>1136.0693038069567</v>
      </c>
      <c r="BQ126" s="105">
        <f>'Hillpointe Detail'!BQ126+'Sandhill Detail'!BQ126</f>
        <v>984.45770844521746</v>
      </c>
      <c r="BR126" s="105">
        <f>'Hillpointe Detail'!BR126+'Sandhill Detail'!BR126</f>
        <v>0</v>
      </c>
      <c r="BS126" s="105">
        <f>'Hillpointe Detail'!BS126+'Sandhill Detail'!BS126</f>
        <v>1819.4987775026088</v>
      </c>
      <c r="BT126" s="105">
        <f>'Hillpointe Detail'!BT126+'Sandhill Detail'!BT126</f>
        <v>957.9186953060871</v>
      </c>
      <c r="BU126" s="105">
        <f>'Hillpointe Detail'!BU126+'Sandhill Detail'!BU126</f>
        <v>1189.7326516782612</v>
      </c>
      <c r="BV126" s="105">
        <f>'Hillpointe Detail'!BV126+'Sandhill Detail'!BV126</f>
        <v>1100.2050534695654</v>
      </c>
      <c r="BW126" s="105">
        <f>'Hillpointe Detail'!BW126+'Sandhill Detail'!BW126</f>
        <v>1302.0744892521741</v>
      </c>
      <c r="BX126" s="105">
        <f>'Hillpointe Detail'!BX126+'Sandhill Detail'!BX126</f>
        <v>4010.4756288040358</v>
      </c>
      <c r="BY126" s="8"/>
      <c r="BZ126" s="105">
        <f t="shared" si="63"/>
        <v>978.8</v>
      </c>
      <c r="CA126" s="105">
        <f t="shared" si="64"/>
        <v>8911.33</v>
      </c>
      <c r="CC126" s="105">
        <f t="shared" si="59"/>
        <v>21779.29</v>
      </c>
      <c r="CD126" s="105">
        <f t="shared" si="62"/>
        <v>10721.83</v>
      </c>
      <c r="CE126" s="105">
        <f t="shared" si="62"/>
        <v>12758.060000000001</v>
      </c>
      <c r="CF126" s="105">
        <f t="shared" si="62"/>
        <v>11926.0988</v>
      </c>
      <c r="CG126" s="105">
        <f t="shared" si="62"/>
        <v>12283.881764000002</v>
      </c>
      <c r="CH126" s="105">
        <f t="shared" si="62"/>
        <v>14954.290843130439</v>
      </c>
      <c r="CI126" s="105">
        <f t="shared" si="62"/>
        <v>15402.91956842435</v>
      </c>
      <c r="CJ126" s="105">
        <f t="shared" si="62"/>
        <v>15865.00715547708</v>
      </c>
      <c r="CL126" s="105"/>
      <c r="CM126" s="13"/>
    </row>
    <row r="127" spans="1:91" x14ac:dyDescent="0.3">
      <c r="A127" s="84" t="s">
        <v>84</v>
      </c>
      <c r="B127" s="10" t="s">
        <v>138</v>
      </c>
      <c r="C127" s="103">
        <v>1544.24</v>
      </c>
      <c r="D127" s="103">
        <v>6493.3</v>
      </c>
      <c r="E127" s="105">
        <f>'Hillpointe Detail'!E127+'Sandhill Detail'!E127</f>
        <v>2175.16</v>
      </c>
      <c r="F127" s="105">
        <f>'Hillpointe Detail'!F127+'Sandhill Detail'!F127</f>
        <v>0</v>
      </c>
      <c r="G127" s="105">
        <f>'Hillpointe Detail'!G127+'Sandhill Detail'!G127</f>
        <v>0</v>
      </c>
      <c r="H127" s="105">
        <f>'Hillpointe Detail'!H127+'Sandhill Detail'!H127</f>
        <v>0</v>
      </c>
      <c r="I127" s="105">
        <f>'Hillpointe Detail'!I127+'Sandhill Detail'!I127</f>
        <v>0</v>
      </c>
      <c r="J127" s="105">
        <f>'Hillpointe Detail'!J127+'Sandhill Detail'!J127</f>
        <v>2210</v>
      </c>
      <c r="K127" s="105">
        <f>'Hillpointe Detail'!K127+'Sandhill Detail'!K127</f>
        <v>0</v>
      </c>
      <c r="L127" s="105">
        <f>'Hillpointe Detail'!L127+'Sandhill Detail'!L127</f>
        <v>0</v>
      </c>
      <c r="M127" s="105">
        <f>'Hillpointe Detail'!M127+'Sandhill Detail'!M127</f>
        <v>0</v>
      </c>
      <c r="N127" s="105">
        <f>'Hillpointe Detail'!N127+'Sandhill Detail'!N127</f>
        <v>0</v>
      </c>
      <c r="O127" s="105">
        <f>'Hillpointe Detail'!O127+'Sandhill Detail'!O127</f>
        <v>0</v>
      </c>
      <c r="P127" s="105">
        <f>'Hillpointe Detail'!P127+'Sandhill Detail'!P127</f>
        <v>0</v>
      </c>
      <c r="Q127" s="105">
        <f>'Hillpointe Detail'!Q127+'Sandhill Detail'!Q127</f>
        <v>0</v>
      </c>
      <c r="R127" s="105">
        <f>'Hillpointe Detail'!R127+'Sandhill Detail'!R127</f>
        <v>0</v>
      </c>
      <c r="S127" s="105">
        <f>'Hillpointe Detail'!S127+'Sandhill Detail'!S127</f>
        <v>0</v>
      </c>
      <c r="T127" s="105">
        <f>'Hillpointe Detail'!T127+'Sandhill Detail'!T127</f>
        <v>0</v>
      </c>
      <c r="U127" s="105">
        <f>'Hillpointe Detail'!U127+'Sandhill Detail'!U127</f>
        <v>0</v>
      </c>
      <c r="V127" s="105">
        <f>'Hillpointe Detail'!V127+'Sandhill Detail'!V127</f>
        <v>0</v>
      </c>
      <c r="W127" s="105">
        <f>'Hillpointe Detail'!W127+'Sandhill Detail'!W127</f>
        <v>0</v>
      </c>
      <c r="X127" s="105">
        <f>'Hillpointe Detail'!X127+'Sandhill Detail'!X127</f>
        <v>0</v>
      </c>
      <c r="Y127" s="105">
        <f>'Hillpointe Detail'!Y127+'Sandhill Detail'!Y127</f>
        <v>6682.93</v>
      </c>
      <c r="Z127" s="105">
        <f>'Hillpointe Detail'!Z127+'Sandhill Detail'!Z127</f>
        <v>0</v>
      </c>
      <c r="AA127" s="105">
        <f>'Hillpointe Detail'!AA127+'Sandhill Detail'!AA127</f>
        <v>0</v>
      </c>
      <c r="AB127" s="105">
        <f>'Hillpointe Detail'!AB127+'Sandhill Detail'!AB127</f>
        <v>736.66666666666663</v>
      </c>
      <c r="AC127" s="105">
        <f>'Hillpointe Detail'!AC127+'Sandhill Detail'!AC127</f>
        <v>736.66666666666663</v>
      </c>
      <c r="AD127" s="105">
        <f>'Hillpointe Detail'!AD127+'Sandhill Detail'!AD127</f>
        <v>736.66666666666663</v>
      </c>
      <c r="AE127" s="105">
        <f>'Hillpointe Detail'!AE127+'Sandhill Detail'!AE127</f>
        <v>736.66666666666663</v>
      </c>
      <c r="AF127" s="105">
        <f>'Hillpointe Detail'!AF127+'Sandhill Detail'!AF127</f>
        <v>736.66666666666663</v>
      </c>
      <c r="AG127" s="105">
        <f>'Hillpointe Detail'!AG127+'Sandhill Detail'!AG127</f>
        <v>736.66666666666663</v>
      </c>
      <c r="AH127" s="105">
        <f>'Hillpointe Detail'!AH127+'Sandhill Detail'!AH127</f>
        <v>736.66666666666663</v>
      </c>
      <c r="AI127" s="105">
        <f>'Hillpointe Detail'!AI127+'Sandhill Detail'!AI127</f>
        <v>736.66666666666663</v>
      </c>
      <c r="AJ127" s="105">
        <f>'Hillpointe Detail'!AJ127+'Sandhill Detail'!AJ127</f>
        <v>736.66666666666663</v>
      </c>
      <c r="AK127" s="105">
        <f>'Hillpointe Detail'!AK127+'Sandhill Detail'!AK127</f>
        <v>736.66666666666663</v>
      </c>
      <c r="AL127" s="105">
        <f>'Hillpointe Detail'!AL127+'Sandhill Detail'!AL127</f>
        <v>0</v>
      </c>
      <c r="AM127" s="105">
        <f>'Hillpointe Detail'!AM127+'Sandhill Detail'!AM127</f>
        <v>0</v>
      </c>
      <c r="AN127" s="105">
        <f>'Hillpointe Detail'!AN127+'Sandhill Detail'!AN127</f>
        <v>758.76666666666665</v>
      </c>
      <c r="AO127" s="105">
        <f>'Hillpointe Detail'!AO127+'Sandhill Detail'!AO127</f>
        <v>758.76666666666665</v>
      </c>
      <c r="AP127" s="105">
        <f>'Hillpointe Detail'!AP127+'Sandhill Detail'!AP127</f>
        <v>758.76666666666665</v>
      </c>
      <c r="AQ127" s="105">
        <f>'Hillpointe Detail'!AQ127+'Sandhill Detail'!AQ127</f>
        <v>758.76666666666665</v>
      </c>
      <c r="AR127" s="105">
        <f>'Hillpointe Detail'!AR127+'Sandhill Detail'!AR127</f>
        <v>758.76666666666665</v>
      </c>
      <c r="AS127" s="105">
        <f>'Hillpointe Detail'!AS127+'Sandhill Detail'!AS127</f>
        <v>758.76666666666665</v>
      </c>
      <c r="AT127" s="105">
        <f>'Hillpointe Detail'!AT127+'Sandhill Detail'!AT127</f>
        <v>758.76666666666665</v>
      </c>
      <c r="AU127" s="105">
        <f>'Hillpointe Detail'!AU127+'Sandhill Detail'!AU127</f>
        <v>758.76666666666665</v>
      </c>
      <c r="AV127" s="105">
        <f>'Hillpointe Detail'!AV127+'Sandhill Detail'!AV127</f>
        <v>758.76666666666665</v>
      </c>
      <c r="AW127" s="105">
        <f>'Hillpointe Detail'!AW127+'Sandhill Detail'!AW127</f>
        <v>758.76666666666665</v>
      </c>
      <c r="AX127" s="105">
        <f>'Hillpointe Detail'!AX127+'Sandhill Detail'!AX127</f>
        <v>0</v>
      </c>
      <c r="AY127" s="105">
        <f>'Hillpointe Detail'!AY127+'Sandhill Detail'!AY127</f>
        <v>0</v>
      </c>
      <c r="AZ127" s="105">
        <f>'Hillpointe Detail'!AZ127+'Sandhill Detail'!AZ127</f>
        <v>781.52966666666669</v>
      </c>
      <c r="BA127" s="105">
        <f>'Hillpointe Detail'!BA127+'Sandhill Detail'!BA127</f>
        <v>781.52966666666669</v>
      </c>
      <c r="BB127" s="105">
        <f>'Hillpointe Detail'!BB127+'Sandhill Detail'!BB127</f>
        <v>781.52966666666669</v>
      </c>
      <c r="BC127" s="105">
        <f>'Hillpointe Detail'!BC127+'Sandhill Detail'!BC127</f>
        <v>781.52966666666669</v>
      </c>
      <c r="BD127" s="105">
        <f>'Hillpointe Detail'!BD127+'Sandhill Detail'!BD127</f>
        <v>781.52966666666669</v>
      </c>
      <c r="BE127" s="105">
        <f>'Hillpointe Detail'!BE127+'Sandhill Detail'!BE127</f>
        <v>781.52966666666669</v>
      </c>
      <c r="BF127" s="105">
        <f>'Hillpointe Detail'!BF127+'Sandhill Detail'!BF127</f>
        <v>781.52966666666669</v>
      </c>
      <c r="BG127" s="105">
        <f>'Hillpointe Detail'!BG127+'Sandhill Detail'!BG127</f>
        <v>781.52966666666669</v>
      </c>
      <c r="BH127" s="105">
        <f>'Hillpointe Detail'!BH127+'Sandhill Detail'!BH127</f>
        <v>781.52966666666669</v>
      </c>
      <c r="BI127" s="105">
        <f>'Hillpointe Detail'!BI127+'Sandhill Detail'!BI127</f>
        <v>781.52966666666669</v>
      </c>
      <c r="BJ127" s="105">
        <f>'Hillpointe Detail'!BJ127+'Sandhill Detail'!BJ127</f>
        <v>0</v>
      </c>
      <c r="BK127" s="105">
        <f>'Hillpointe Detail'!BK127+'Sandhill Detail'!BK127</f>
        <v>0</v>
      </c>
      <c r="BL127" s="105">
        <f>'Hillpointe Detail'!BL127+'Sandhill Detail'!BL127</f>
        <v>804.97555666666676</v>
      </c>
      <c r="BM127" s="105">
        <f>'Hillpointe Detail'!BM127+'Sandhill Detail'!BM127</f>
        <v>804.97555666666676</v>
      </c>
      <c r="BN127" s="105">
        <f>'Hillpointe Detail'!BN127+'Sandhill Detail'!BN127</f>
        <v>804.97555666666676</v>
      </c>
      <c r="BO127" s="105">
        <f>'Hillpointe Detail'!BO127+'Sandhill Detail'!BO127</f>
        <v>804.97555666666676</v>
      </c>
      <c r="BP127" s="105">
        <f>'Hillpointe Detail'!BP127+'Sandhill Detail'!BP127</f>
        <v>804.97555666666676</v>
      </c>
      <c r="BQ127" s="105">
        <f>'Hillpointe Detail'!BQ127+'Sandhill Detail'!BQ127</f>
        <v>804.97555666666676</v>
      </c>
      <c r="BR127" s="105">
        <f>'Hillpointe Detail'!BR127+'Sandhill Detail'!BR127</f>
        <v>804.97555666666676</v>
      </c>
      <c r="BS127" s="105">
        <f>'Hillpointe Detail'!BS127+'Sandhill Detail'!BS127</f>
        <v>804.97555666666676</v>
      </c>
      <c r="BT127" s="105">
        <f>'Hillpointe Detail'!BT127+'Sandhill Detail'!BT127</f>
        <v>804.97555666666676</v>
      </c>
      <c r="BU127" s="105">
        <f>'Hillpointe Detail'!BU127+'Sandhill Detail'!BU127</f>
        <v>804.97555666666676</v>
      </c>
      <c r="BV127" s="105">
        <f>'Hillpointe Detail'!BV127+'Sandhill Detail'!BV127</f>
        <v>0</v>
      </c>
      <c r="BW127" s="105">
        <f>'Hillpointe Detail'!BW127+'Sandhill Detail'!BW127</f>
        <v>0</v>
      </c>
      <c r="BX127" s="105">
        <f>'Hillpointe Detail'!BX127+'Sandhill Detail'!BX127</f>
        <v>829.12482336666676</v>
      </c>
      <c r="BY127" s="8"/>
      <c r="BZ127" s="105">
        <f t="shared" si="63"/>
        <v>0</v>
      </c>
      <c r="CA127" s="105">
        <f t="shared" si="64"/>
        <v>6682.93</v>
      </c>
      <c r="CC127" s="105">
        <f t="shared" si="59"/>
        <v>1544.24</v>
      </c>
      <c r="CD127" s="105">
        <f t="shared" si="62"/>
        <v>6493.3</v>
      </c>
      <c r="CE127" s="105">
        <f t="shared" si="62"/>
        <v>4385.16</v>
      </c>
      <c r="CF127" s="105">
        <f t="shared" si="62"/>
        <v>7419.5966666666673</v>
      </c>
      <c r="CG127" s="105">
        <f t="shared" si="62"/>
        <v>7388.7666666666673</v>
      </c>
      <c r="CH127" s="105">
        <f t="shared" si="62"/>
        <v>7610.4296666666651</v>
      </c>
      <c r="CI127" s="105">
        <f t="shared" si="62"/>
        <v>7838.7425566666661</v>
      </c>
      <c r="CJ127" s="105">
        <f t="shared" si="62"/>
        <v>8073.9048333666669</v>
      </c>
      <c r="CL127" s="105"/>
      <c r="CM127" s="13"/>
    </row>
    <row r="128" spans="1:91" x14ac:dyDescent="0.3">
      <c r="A128" s="84" t="s">
        <v>85</v>
      </c>
      <c r="B128" s="10" t="s">
        <v>138</v>
      </c>
      <c r="C128" s="103">
        <v>3847.35</v>
      </c>
      <c r="D128" s="103">
        <v>2550.64</v>
      </c>
      <c r="E128" s="105">
        <f>'Hillpointe Detail'!E128+'Sandhill Detail'!E128</f>
        <v>1650.22</v>
      </c>
      <c r="F128" s="105">
        <f>'Hillpointe Detail'!F128+'Sandhill Detail'!F128</f>
        <v>0</v>
      </c>
      <c r="G128" s="105">
        <f>'Hillpointe Detail'!G128+'Sandhill Detail'!G128</f>
        <v>0</v>
      </c>
      <c r="H128" s="105">
        <f>'Hillpointe Detail'!H128+'Sandhill Detail'!H128</f>
        <v>825.11</v>
      </c>
      <c r="I128" s="105">
        <f>'Hillpointe Detail'!I128+'Sandhill Detail'!I128</f>
        <v>0</v>
      </c>
      <c r="J128" s="105">
        <f>'Hillpointe Detail'!J128+'Sandhill Detail'!J128</f>
        <v>135.33000000000001</v>
      </c>
      <c r="K128" s="105">
        <f>'Hillpointe Detail'!K128+'Sandhill Detail'!K128</f>
        <v>13.78</v>
      </c>
      <c r="L128" s="105">
        <f>'Hillpointe Detail'!L128+'Sandhill Detail'!L128</f>
        <v>0</v>
      </c>
      <c r="M128" s="105">
        <f>'Hillpointe Detail'!M128+'Sandhill Detail'!M128</f>
        <v>866.48</v>
      </c>
      <c r="N128" s="105">
        <f>'Hillpointe Detail'!N128+'Sandhill Detail'!N128</f>
        <v>41.37</v>
      </c>
      <c r="O128" s="105">
        <f>'Hillpointe Detail'!O128+'Sandhill Detail'!O128</f>
        <v>41.37</v>
      </c>
      <c r="P128" s="105">
        <f>'Hillpointe Detail'!P128+'Sandhill Detail'!P128</f>
        <v>124.11</v>
      </c>
      <c r="Q128" s="105">
        <f>'Hillpointe Detail'!Q128+'Sandhill Detail'!Q128</f>
        <v>1005.77</v>
      </c>
      <c r="R128" s="105">
        <f>'Hillpointe Detail'!R128+'Sandhill Detail'!R128</f>
        <v>444.24</v>
      </c>
      <c r="S128" s="105">
        <f>'Hillpointe Detail'!S128+'Sandhill Detail'!S128</f>
        <v>94.08</v>
      </c>
      <c r="T128" s="105">
        <f>'Hillpointe Detail'!T128+'Sandhill Detail'!T128</f>
        <v>1345.73</v>
      </c>
      <c r="U128" s="105">
        <f>'Hillpointe Detail'!U128+'Sandhill Detail'!U128</f>
        <v>294.83999999999997</v>
      </c>
      <c r="V128" s="105">
        <f>'Hillpointe Detail'!V128+'Sandhill Detail'!V128</f>
        <v>0</v>
      </c>
      <c r="W128" s="105">
        <f>'Hillpointe Detail'!W128+'Sandhill Detail'!W128</f>
        <v>944.22</v>
      </c>
      <c r="X128" s="105">
        <f>'Hillpointe Detail'!X128+'Sandhill Detail'!X128</f>
        <v>392.94</v>
      </c>
      <c r="Y128" s="105">
        <f>'Hillpointe Detail'!Y128+'Sandhill Detail'!Y128</f>
        <v>350.82</v>
      </c>
      <c r="Z128" s="105">
        <f>'Hillpointe Detail'!Z128+'Sandhill Detail'!Z128</f>
        <v>446.79</v>
      </c>
      <c r="AA128" s="105">
        <f>'Hillpointe Detail'!AA128+'Sandhill Detail'!AA128</f>
        <v>488.91</v>
      </c>
      <c r="AB128" s="105">
        <f>'Hillpointe Detail'!AB128+'Sandhill Detail'!AB128</f>
        <v>127.83330000000001</v>
      </c>
      <c r="AC128" s="105">
        <f>'Hillpointe Detail'!AC128+'Sandhill Detail'!AC128</f>
        <v>1035.9431</v>
      </c>
      <c r="AD128" s="105">
        <f>'Hillpointe Detail'!AD128+'Sandhill Detail'!AD128</f>
        <v>457.56720000000001</v>
      </c>
      <c r="AE128" s="105">
        <f>'Hillpointe Detail'!AE128+'Sandhill Detail'!AE128</f>
        <v>96.9024</v>
      </c>
      <c r="AF128" s="105">
        <f>'Hillpointe Detail'!AF128+'Sandhill Detail'!AF128</f>
        <v>1386.1019000000001</v>
      </c>
      <c r="AG128" s="105">
        <f>'Hillpointe Detail'!AG128+'Sandhill Detail'!AG128</f>
        <v>303.68520000000001</v>
      </c>
      <c r="AH128" s="105">
        <f>'Hillpointe Detail'!AH128+'Sandhill Detail'!AH128</f>
        <v>0</v>
      </c>
      <c r="AI128" s="105">
        <f>'Hillpointe Detail'!AI128+'Sandhill Detail'!AI128</f>
        <v>972.54660000000001</v>
      </c>
      <c r="AJ128" s="105">
        <f>'Hillpointe Detail'!AJ128+'Sandhill Detail'!AJ128</f>
        <v>404.72820000000002</v>
      </c>
      <c r="AK128" s="105">
        <f>'Hillpointe Detail'!AK128+'Sandhill Detail'!AK128</f>
        <v>361.34460000000001</v>
      </c>
      <c r="AL128" s="105">
        <f>'Hillpointe Detail'!AL128+'Sandhill Detail'!AL128</f>
        <v>460.19370000000004</v>
      </c>
      <c r="AM128" s="105">
        <f>'Hillpointe Detail'!AM128+'Sandhill Detail'!AM128</f>
        <v>503.57730000000004</v>
      </c>
      <c r="AN128" s="105">
        <f>'Hillpointe Detail'!AN128+'Sandhill Detail'!AN128</f>
        <v>131.66829900000002</v>
      </c>
      <c r="AO128" s="105">
        <f>'Hillpointe Detail'!AO128+'Sandhill Detail'!AO128</f>
        <v>1261.1481217391304</v>
      </c>
      <c r="AP128" s="105">
        <f>'Hillpointe Detail'!AP128+'Sandhill Detail'!AP128</f>
        <v>557.03833043478267</v>
      </c>
      <c r="AQ128" s="105">
        <f>'Hillpointe Detail'!AQ128+'Sandhill Detail'!AQ128</f>
        <v>117.96813913043479</v>
      </c>
      <c r="AR128" s="105">
        <f>'Hillpointe Detail'!AR128+'Sandhill Detail'!AR128</f>
        <v>1687.4284000000002</v>
      </c>
      <c r="AS128" s="105">
        <f>'Hillpointe Detail'!AS128+'Sandhill Detail'!AS128</f>
        <v>369.70372173913046</v>
      </c>
      <c r="AT128" s="105">
        <f>'Hillpointe Detail'!AT128+'Sandhill Detail'!AT128</f>
        <v>0</v>
      </c>
      <c r="AU128" s="105">
        <f>'Hillpointe Detail'!AU128+'Sandhill Detail'!AU128</f>
        <v>1183.9697739130436</v>
      </c>
      <c r="AV128" s="105">
        <f>'Hillpointe Detail'!AV128+'Sandhill Detail'!AV128</f>
        <v>492.71259130434788</v>
      </c>
      <c r="AW128" s="105">
        <f>'Hillpointe Detail'!AW128+'Sandhill Detail'!AW128</f>
        <v>439.89777391304352</v>
      </c>
      <c r="AX128" s="105">
        <f>'Hillpointe Detail'!AX128+'Sandhill Detail'!AX128</f>
        <v>560.23580869565228</v>
      </c>
      <c r="AY128" s="105">
        <f>'Hillpointe Detail'!AY128+'Sandhill Detail'!AY128</f>
        <v>613.05062608695664</v>
      </c>
      <c r="AZ128" s="105">
        <f>'Hillpointe Detail'!AZ128+'Sandhill Detail'!AZ128</f>
        <v>160.2918422608696</v>
      </c>
      <c r="BA128" s="105">
        <f>'Hillpointe Detail'!BA128+'Sandhill Detail'!BA128</f>
        <v>1298.9825653913042</v>
      </c>
      <c r="BB128" s="105">
        <f>'Hillpointe Detail'!BB128+'Sandhill Detail'!BB128</f>
        <v>573.74948034782619</v>
      </c>
      <c r="BC128" s="105">
        <f>'Hillpointe Detail'!BC128+'Sandhill Detail'!BC128</f>
        <v>121.50718330434783</v>
      </c>
      <c r="BD128" s="105">
        <f>'Hillpointe Detail'!BD128+'Sandhill Detail'!BD128</f>
        <v>1738.0512520000002</v>
      </c>
      <c r="BE128" s="105">
        <f>'Hillpointe Detail'!BE128+'Sandhill Detail'!BE128</f>
        <v>380.79483339130439</v>
      </c>
      <c r="BF128" s="105">
        <f>'Hillpointe Detail'!BF128+'Sandhill Detail'!BF128</f>
        <v>0</v>
      </c>
      <c r="BG128" s="105">
        <f>'Hillpointe Detail'!BG128+'Sandhill Detail'!BG128</f>
        <v>1219.488867130435</v>
      </c>
      <c r="BH128" s="105">
        <f>'Hillpointe Detail'!BH128+'Sandhill Detail'!BH128</f>
        <v>507.49396904347833</v>
      </c>
      <c r="BI128" s="105">
        <f>'Hillpointe Detail'!BI128+'Sandhill Detail'!BI128</f>
        <v>453.09470713043481</v>
      </c>
      <c r="BJ128" s="105">
        <f>'Hillpointe Detail'!BJ128+'Sandhill Detail'!BJ128</f>
        <v>577.04288295652191</v>
      </c>
      <c r="BK128" s="105">
        <f>'Hillpointe Detail'!BK128+'Sandhill Detail'!BK128</f>
        <v>631.44214486956537</v>
      </c>
      <c r="BL128" s="105">
        <f>'Hillpointe Detail'!BL128+'Sandhill Detail'!BL128</f>
        <v>165.10059752869569</v>
      </c>
      <c r="BM128" s="105">
        <f>'Hillpointe Detail'!BM128+'Sandhill Detail'!BM128</f>
        <v>1337.9520423530435</v>
      </c>
      <c r="BN128" s="105">
        <f>'Hillpointe Detail'!BN128+'Sandhill Detail'!BN128</f>
        <v>590.96196475826105</v>
      </c>
      <c r="BO128" s="105">
        <f>'Hillpointe Detail'!BO128+'Sandhill Detail'!BO128</f>
        <v>125.15239880347828</v>
      </c>
      <c r="BP128" s="105">
        <f>'Hillpointe Detail'!BP128+'Sandhill Detail'!BP128</f>
        <v>1790.1927895600002</v>
      </c>
      <c r="BQ128" s="105">
        <f>'Hillpointe Detail'!BQ128+'Sandhill Detail'!BQ128</f>
        <v>392.21867839304355</v>
      </c>
      <c r="BR128" s="105">
        <f>'Hillpointe Detail'!BR128+'Sandhill Detail'!BR128</f>
        <v>0</v>
      </c>
      <c r="BS128" s="105">
        <f>'Hillpointe Detail'!BS128+'Sandhill Detail'!BS128</f>
        <v>1256.0735331443482</v>
      </c>
      <c r="BT128" s="105">
        <f>'Hillpointe Detail'!BT128+'Sandhill Detail'!BT128</f>
        <v>522.71878811478268</v>
      </c>
      <c r="BU128" s="105">
        <f>'Hillpointe Detail'!BU128+'Sandhill Detail'!BU128</f>
        <v>466.68754834434787</v>
      </c>
      <c r="BV128" s="105">
        <f>'Hillpointe Detail'!BV128+'Sandhill Detail'!BV128</f>
        <v>594.35416944521762</v>
      </c>
      <c r="BW128" s="105">
        <f>'Hillpointe Detail'!BW128+'Sandhill Detail'!BW128</f>
        <v>650.38540921565232</v>
      </c>
      <c r="BX128" s="105">
        <f>'Hillpointe Detail'!BX128+'Sandhill Detail'!BX128</f>
        <v>170.05361545455656</v>
      </c>
      <c r="BY128" s="8"/>
      <c r="BZ128" s="105">
        <f t="shared" si="63"/>
        <v>488.91</v>
      </c>
      <c r="CA128" s="105">
        <f t="shared" si="64"/>
        <v>5808.3399999999992</v>
      </c>
      <c r="CC128" s="105">
        <f t="shared" si="59"/>
        <v>3847.35</v>
      </c>
      <c r="CD128" s="105">
        <f t="shared" ref="CD128:CJ138" si="65">SUMIF($C$3:$BY$3,CD$3,$C128:$BY128)</f>
        <v>2550.64</v>
      </c>
      <c r="CE128" s="105">
        <f t="shared" si="65"/>
        <v>3697.77</v>
      </c>
      <c r="CF128" s="105">
        <f t="shared" si="65"/>
        <v>5936.1732999999995</v>
      </c>
      <c r="CG128" s="105">
        <f t="shared" si="65"/>
        <v>6114.2584989999996</v>
      </c>
      <c r="CH128" s="105">
        <f t="shared" si="65"/>
        <v>7443.4451292173926</v>
      </c>
      <c r="CI128" s="105">
        <f t="shared" si="65"/>
        <v>7666.7484830939138</v>
      </c>
      <c r="CJ128" s="105">
        <f t="shared" si="65"/>
        <v>7896.750937586733</v>
      </c>
      <c r="CL128" s="105"/>
      <c r="CM128" s="13"/>
    </row>
    <row r="129" spans="1:91" x14ac:dyDescent="0.3">
      <c r="A129" s="84" t="s">
        <v>86</v>
      </c>
      <c r="B129" s="10" t="s">
        <v>137</v>
      </c>
      <c r="C129" s="103">
        <v>463786.49</v>
      </c>
      <c r="D129" s="103">
        <v>420046.59</v>
      </c>
      <c r="E129" s="105">
        <f>'Hillpointe Detail'!E129+'Sandhill Detail'!E129</f>
        <v>41646</v>
      </c>
      <c r="F129" s="105">
        <f>'Hillpointe Detail'!F129+'Sandhill Detail'!F129</f>
        <v>33781</v>
      </c>
      <c r="G129" s="105">
        <f>'Hillpointe Detail'!G129+'Sandhill Detail'!G129</f>
        <v>85249</v>
      </c>
      <c r="H129" s="105">
        <f>'Hillpointe Detail'!H129+'Sandhill Detail'!H129</f>
        <v>34335.5</v>
      </c>
      <c r="I129" s="105">
        <f>'Hillpointe Detail'!I129+'Sandhill Detail'!I129</f>
        <v>34035.5</v>
      </c>
      <c r="J129" s="105">
        <f>'Hillpointe Detail'!J129+'Sandhill Detail'!J129</f>
        <v>8331</v>
      </c>
      <c r="K129" s="105">
        <f>'Hillpointe Detail'!K129+'Sandhill Detail'!K129</f>
        <v>52137.22</v>
      </c>
      <c r="L129" s="105">
        <f>'Hillpointe Detail'!L129+'Sandhill Detail'!L129</f>
        <v>61268.22</v>
      </c>
      <c r="M129" s="105">
        <f>'Hillpointe Detail'!M129+'Sandhill Detail'!M129</f>
        <v>60168.219999999943</v>
      </c>
      <c r="N129" s="105">
        <f>'Hillpointe Detail'!N129+'Sandhill Detail'!N129</f>
        <v>79371.66</v>
      </c>
      <c r="O129" s="105">
        <f>'Hillpointe Detail'!O129+'Sandhill Detail'!O129</f>
        <v>57078.32</v>
      </c>
      <c r="P129" s="105">
        <f>'Hillpointe Detail'!P129+'Sandhill Detail'!P129</f>
        <v>-292738.68</v>
      </c>
      <c r="Q129" s="105">
        <f>'Hillpointe Detail'!Q129+'Sandhill Detail'!Q129</f>
        <v>45210.32</v>
      </c>
      <c r="R129" s="105">
        <f>'Hillpointe Detail'!R129+'Sandhill Detail'!R129</f>
        <v>23353.32</v>
      </c>
      <c r="S129" s="105">
        <f>'Hillpointe Detail'!S129+'Sandhill Detail'!S129</f>
        <v>21143.32</v>
      </c>
      <c r="T129" s="105">
        <f>'Hillpointe Detail'!T129+'Sandhill Detail'!T129</f>
        <v>21143.32</v>
      </c>
      <c r="U129" s="105">
        <f>'Hillpointe Detail'!U129+'Sandhill Detail'!U129</f>
        <v>30509.46</v>
      </c>
      <c r="V129" s="105">
        <f>'Hillpointe Detail'!V129+'Sandhill Detail'!V129</f>
        <v>21143.32</v>
      </c>
      <c r="W129" s="105">
        <f>'Hillpointe Detail'!W129+'Sandhill Detail'!W129</f>
        <v>17391.739999999998</v>
      </c>
      <c r="X129" s="105">
        <f>'Hillpointe Detail'!X129+'Sandhill Detail'!X129</f>
        <v>19654.669999999998</v>
      </c>
      <c r="Y129" s="105">
        <f>'Hillpointe Detail'!Y129+'Sandhill Detail'!Y129</f>
        <v>-100503.47</v>
      </c>
      <c r="Z129" s="105">
        <f>'Hillpointe Detail'!Z129+'Sandhill Detail'!Z129</f>
        <v>8331</v>
      </c>
      <c r="AA129" s="105">
        <f>'Hillpointe Detail'!AA129+'Sandhill Detail'!AA129</f>
        <v>8331</v>
      </c>
      <c r="AB129" s="105">
        <f>'Hillpointe Detail'!AB129+'Sandhill Detail'!AB129</f>
        <v>8331</v>
      </c>
      <c r="AC129" s="105">
        <f>'Hillpointe Detail'!AC129+'Sandhill Detail'!AC129</f>
        <v>8580.93</v>
      </c>
      <c r="AD129" s="105">
        <f>'Hillpointe Detail'!AD129+'Sandhill Detail'!AD129</f>
        <v>8580.93</v>
      </c>
      <c r="AE129" s="105">
        <f>'Hillpointe Detail'!AE129+'Sandhill Detail'!AE129</f>
        <v>8580.93</v>
      </c>
      <c r="AF129" s="105">
        <f>'Hillpointe Detail'!AF129+'Sandhill Detail'!AF129</f>
        <v>8580.93</v>
      </c>
      <c r="AG129" s="105">
        <f>'Hillpointe Detail'!AG129+'Sandhill Detail'!AG129</f>
        <v>8580.93</v>
      </c>
      <c r="AH129" s="105">
        <f>'Hillpointe Detail'!AH129+'Sandhill Detail'!AH129</f>
        <v>8580.93</v>
      </c>
      <c r="AI129" s="105">
        <f>'Hillpointe Detail'!AI129+'Sandhill Detail'!AI129</f>
        <v>8580.93</v>
      </c>
      <c r="AJ129" s="105">
        <f>'Hillpointe Detail'!AJ129+'Sandhill Detail'!AJ129</f>
        <v>8580.93</v>
      </c>
      <c r="AK129" s="105">
        <f>'Hillpointe Detail'!AK129+'Sandhill Detail'!AK129</f>
        <v>8580.93</v>
      </c>
      <c r="AL129" s="105">
        <f>'Hillpointe Detail'!AL129+'Sandhill Detail'!AL129</f>
        <v>8580.93</v>
      </c>
      <c r="AM129" s="105">
        <f>'Hillpointe Detail'!AM129+'Sandhill Detail'!AM129</f>
        <v>8580.93</v>
      </c>
      <c r="AN129" s="105">
        <f>'Hillpointe Detail'!AN129+'Sandhill Detail'!AN129</f>
        <v>8580.93</v>
      </c>
      <c r="AO129" s="105">
        <f>'Hillpointe Detail'!AO129+'Sandhill Detail'!AO129</f>
        <v>8838.3579000000009</v>
      </c>
      <c r="AP129" s="105">
        <f>'Hillpointe Detail'!AP129+'Sandhill Detail'!AP129</f>
        <v>8838.3579000000009</v>
      </c>
      <c r="AQ129" s="105">
        <f>'Hillpointe Detail'!AQ129+'Sandhill Detail'!AQ129</f>
        <v>8838.3579000000009</v>
      </c>
      <c r="AR129" s="105">
        <f>'Hillpointe Detail'!AR129+'Sandhill Detail'!AR129</f>
        <v>8838.3579000000009</v>
      </c>
      <c r="AS129" s="105">
        <f>'Hillpointe Detail'!AS129+'Sandhill Detail'!AS129</f>
        <v>8838.3579000000009</v>
      </c>
      <c r="AT129" s="105">
        <f>'Hillpointe Detail'!AT129+'Sandhill Detail'!AT129</f>
        <v>8838.3579000000009</v>
      </c>
      <c r="AU129" s="105">
        <f>'Hillpointe Detail'!AU129+'Sandhill Detail'!AU129</f>
        <v>8838.3579000000009</v>
      </c>
      <c r="AV129" s="105">
        <f>'Hillpointe Detail'!AV129+'Sandhill Detail'!AV129</f>
        <v>8838.3579000000009</v>
      </c>
      <c r="AW129" s="105">
        <f>'Hillpointe Detail'!AW129+'Sandhill Detail'!AW129</f>
        <v>8838.3579000000009</v>
      </c>
      <c r="AX129" s="105">
        <f>'Hillpointe Detail'!AX129+'Sandhill Detail'!AX129</f>
        <v>8838.3579000000009</v>
      </c>
      <c r="AY129" s="105">
        <f>'Hillpointe Detail'!AY129+'Sandhill Detail'!AY129</f>
        <v>8838.3579000000009</v>
      </c>
      <c r="AZ129" s="105">
        <f>'Hillpointe Detail'!AZ129+'Sandhill Detail'!AZ129</f>
        <v>8838.3579000000009</v>
      </c>
      <c r="BA129" s="105">
        <f>'Hillpointe Detail'!BA129+'Sandhill Detail'!BA129</f>
        <v>9103.5086370000008</v>
      </c>
      <c r="BB129" s="105">
        <f>'Hillpointe Detail'!BB129+'Sandhill Detail'!BB129</f>
        <v>9103.5086370000008</v>
      </c>
      <c r="BC129" s="105">
        <f>'Hillpointe Detail'!BC129+'Sandhill Detail'!BC129</f>
        <v>9103.5086370000008</v>
      </c>
      <c r="BD129" s="105">
        <f>'Hillpointe Detail'!BD129+'Sandhill Detail'!BD129</f>
        <v>9103.5086370000008</v>
      </c>
      <c r="BE129" s="105">
        <f>'Hillpointe Detail'!BE129+'Sandhill Detail'!BE129</f>
        <v>9103.5086370000008</v>
      </c>
      <c r="BF129" s="105">
        <f>'Hillpointe Detail'!BF129+'Sandhill Detail'!BF129</f>
        <v>9103.5086370000008</v>
      </c>
      <c r="BG129" s="105">
        <f>'Hillpointe Detail'!BG129+'Sandhill Detail'!BG129</f>
        <v>9103.5086370000008</v>
      </c>
      <c r="BH129" s="105">
        <f>'Hillpointe Detail'!BH129+'Sandhill Detail'!BH129</f>
        <v>9103.5086370000008</v>
      </c>
      <c r="BI129" s="105">
        <f>'Hillpointe Detail'!BI129+'Sandhill Detail'!BI129</f>
        <v>9103.5086370000008</v>
      </c>
      <c r="BJ129" s="105">
        <f>'Hillpointe Detail'!BJ129+'Sandhill Detail'!BJ129</f>
        <v>9103.5086370000008</v>
      </c>
      <c r="BK129" s="105">
        <f>'Hillpointe Detail'!BK129+'Sandhill Detail'!BK129</f>
        <v>9103.5086370000008</v>
      </c>
      <c r="BL129" s="105">
        <f>'Hillpointe Detail'!BL129+'Sandhill Detail'!BL129</f>
        <v>9103.5086370000008</v>
      </c>
      <c r="BM129" s="105">
        <f>'Hillpointe Detail'!BM129+'Sandhill Detail'!BM129</f>
        <v>9376.6138961100005</v>
      </c>
      <c r="BN129" s="105">
        <f>'Hillpointe Detail'!BN129+'Sandhill Detail'!BN129</f>
        <v>9376.6138961100005</v>
      </c>
      <c r="BO129" s="105">
        <f>'Hillpointe Detail'!BO129+'Sandhill Detail'!BO129</f>
        <v>9376.6138961100005</v>
      </c>
      <c r="BP129" s="105">
        <f>'Hillpointe Detail'!BP129+'Sandhill Detail'!BP129</f>
        <v>9376.6138961100005</v>
      </c>
      <c r="BQ129" s="105">
        <f>'Hillpointe Detail'!BQ129+'Sandhill Detail'!BQ129</f>
        <v>9376.6138961100005</v>
      </c>
      <c r="BR129" s="105">
        <f>'Hillpointe Detail'!BR129+'Sandhill Detail'!BR129</f>
        <v>9376.6138961100005</v>
      </c>
      <c r="BS129" s="105">
        <f>'Hillpointe Detail'!BS129+'Sandhill Detail'!BS129</f>
        <v>9376.6138961100005</v>
      </c>
      <c r="BT129" s="105">
        <f>'Hillpointe Detail'!BT129+'Sandhill Detail'!BT129</f>
        <v>9376.6138961100005</v>
      </c>
      <c r="BU129" s="105">
        <f>'Hillpointe Detail'!BU129+'Sandhill Detail'!BU129</f>
        <v>9376.6138961100005</v>
      </c>
      <c r="BV129" s="105">
        <f>'Hillpointe Detail'!BV129+'Sandhill Detail'!BV129</f>
        <v>9376.6138961100005</v>
      </c>
      <c r="BW129" s="105">
        <f>'Hillpointe Detail'!BW129+'Sandhill Detail'!BW129</f>
        <v>9376.6138961100005</v>
      </c>
      <c r="BX129" s="105">
        <f>'Hillpointe Detail'!BX129+'Sandhill Detail'!BX129</f>
        <v>9376.6138961100005</v>
      </c>
      <c r="BY129" s="8"/>
      <c r="BZ129" s="105">
        <f t="shared" si="63"/>
        <v>8331</v>
      </c>
      <c r="CA129" s="105">
        <f t="shared" si="64"/>
        <v>115707.99999999997</v>
      </c>
      <c r="CC129" s="105">
        <f t="shared" si="59"/>
        <v>463786.49</v>
      </c>
      <c r="CD129" s="105">
        <f t="shared" si="65"/>
        <v>420046.59</v>
      </c>
      <c r="CE129" s="105">
        <f t="shared" si="65"/>
        <v>254662.9599999999</v>
      </c>
      <c r="CF129" s="105">
        <f t="shared" si="65"/>
        <v>124038.99999999997</v>
      </c>
      <c r="CG129" s="105">
        <f t="shared" si="65"/>
        <v>102971.15999999997</v>
      </c>
      <c r="CH129" s="105">
        <f t="shared" si="65"/>
        <v>106060.29480000002</v>
      </c>
      <c r="CI129" s="105">
        <f t="shared" si="65"/>
        <v>109242.10364400003</v>
      </c>
      <c r="CJ129" s="105">
        <f t="shared" si="65"/>
        <v>112519.36675332004</v>
      </c>
      <c r="CL129" s="105"/>
      <c r="CM129" s="13"/>
    </row>
    <row r="130" spans="1:91" x14ac:dyDescent="0.3">
      <c r="A130" s="84" t="s">
        <v>415</v>
      </c>
      <c r="B130" s="10" t="s">
        <v>138</v>
      </c>
      <c r="C130" s="103">
        <v>0</v>
      </c>
      <c r="D130" s="103">
        <v>0</v>
      </c>
      <c r="E130" s="105">
        <f>'Hillpointe Detail'!E130+'Sandhill Detail'!E130</f>
        <v>0</v>
      </c>
      <c r="F130" s="105">
        <f>'Hillpointe Detail'!F130+'Sandhill Detail'!F130</f>
        <v>0</v>
      </c>
      <c r="G130" s="105">
        <f>'Hillpointe Detail'!G130+'Sandhill Detail'!G130</f>
        <v>0</v>
      </c>
      <c r="H130" s="105">
        <f>'Hillpointe Detail'!H130+'Sandhill Detail'!H130</f>
        <v>0</v>
      </c>
      <c r="I130" s="105">
        <f>'Hillpointe Detail'!I130+'Sandhill Detail'!I130</f>
        <v>0</v>
      </c>
      <c r="J130" s="105">
        <f>'Hillpointe Detail'!J130+'Sandhill Detail'!J130</f>
        <v>0</v>
      </c>
      <c r="K130" s="105">
        <f>'Hillpointe Detail'!K130+'Sandhill Detail'!K130</f>
        <v>0</v>
      </c>
      <c r="L130" s="105">
        <f>'Hillpointe Detail'!L130+'Sandhill Detail'!L130</f>
        <v>0</v>
      </c>
      <c r="M130" s="105">
        <f>'Hillpointe Detail'!M130+'Sandhill Detail'!M130</f>
        <v>0</v>
      </c>
      <c r="N130" s="105">
        <f>'Hillpointe Detail'!N130+'Sandhill Detail'!N130</f>
        <v>0</v>
      </c>
      <c r="O130" s="105">
        <f>'Hillpointe Detail'!O130+'Sandhill Detail'!O130</f>
        <v>0</v>
      </c>
      <c r="P130" s="105">
        <f>'Hillpointe Detail'!P130+'Sandhill Detail'!P130</f>
        <v>0</v>
      </c>
      <c r="Q130" s="105">
        <f>'Hillpointe Detail'!Q130+'Sandhill Detail'!Q130</f>
        <v>0</v>
      </c>
      <c r="R130" s="105">
        <f>'Hillpointe Detail'!R130+'Sandhill Detail'!R130</f>
        <v>0</v>
      </c>
      <c r="S130" s="105">
        <f>'Hillpointe Detail'!S130+'Sandhill Detail'!S130</f>
        <v>0</v>
      </c>
      <c r="T130" s="105">
        <f>'Hillpointe Detail'!T130+'Sandhill Detail'!T130</f>
        <v>0</v>
      </c>
      <c r="U130" s="105">
        <f>'Hillpointe Detail'!U130+'Sandhill Detail'!U130</f>
        <v>0</v>
      </c>
      <c r="V130" s="105">
        <f>'Hillpointe Detail'!V130+'Sandhill Detail'!V130</f>
        <v>0</v>
      </c>
      <c r="W130" s="105">
        <f>'Hillpointe Detail'!W130+'Sandhill Detail'!W130</f>
        <v>0</v>
      </c>
      <c r="X130" s="105">
        <f>'Hillpointe Detail'!X130+'Sandhill Detail'!X130</f>
        <v>0</v>
      </c>
      <c r="Y130" s="105">
        <f>'Hillpointe Detail'!Y130+'Sandhill Detail'!Y130</f>
        <v>7200</v>
      </c>
      <c r="Z130" s="105">
        <f>'Hillpointe Detail'!Z130+'Sandhill Detail'!Z130</f>
        <v>800</v>
      </c>
      <c r="AA130" s="105">
        <f>'Hillpointe Detail'!AA130+'Sandhill Detail'!AA130</f>
        <v>800</v>
      </c>
      <c r="AB130" s="105">
        <f>'Hillpointe Detail'!AB130+'Sandhill Detail'!AB130</f>
        <v>800</v>
      </c>
      <c r="AC130" s="105">
        <f>'Hillpointe Detail'!AC130+'Sandhill Detail'!AC130</f>
        <v>800</v>
      </c>
      <c r="AD130" s="105">
        <f>'Hillpointe Detail'!AD130+'Sandhill Detail'!AD130</f>
        <v>800</v>
      </c>
      <c r="AE130" s="105">
        <f>'Hillpointe Detail'!AE130+'Sandhill Detail'!AE130</f>
        <v>800</v>
      </c>
      <c r="AF130" s="105">
        <f>'Hillpointe Detail'!AF130+'Sandhill Detail'!AF130</f>
        <v>800</v>
      </c>
      <c r="AG130" s="105">
        <f>'Hillpointe Detail'!AG130+'Sandhill Detail'!AG130</f>
        <v>800</v>
      </c>
      <c r="AH130" s="105">
        <f>'Hillpointe Detail'!AH130+'Sandhill Detail'!AH130</f>
        <v>800</v>
      </c>
      <c r="AI130" s="105">
        <f>'Hillpointe Detail'!AI130+'Sandhill Detail'!AI130</f>
        <v>800</v>
      </c>
      <c r="AJ130" s="105">
        <f>'Hillpointe Detail'!AJ130+'Sandhill Detail'!AJ130</f>
        <v>800</v>
      </c>
      <c r="AK130" s="105">
        <f>'Hillpointe Detail'!AK130+'Sandhill Detail'!AK130</f>
        <v>800</v>
      </c>
      <c r="AL130" s="105">
        <f>'Hillpointe Detail'!AL130+'Sandhill Detail'!AL130</f>
        <v>824</v>
      </c>
      <c r="AM130" s="105">
        <f>'Hillpointe Detail'!AM130+'Sandhill Detail'!AM130</f>
        <v>824</v>
      </c>
      <c r="AN130" s="105">
        <f>'Hillpointe Detail'!AN130+'Sandhill Detail'!AN130</f>
        <v>824</v>
      </c>
      <c r="AO130" s="105">
        <f>'Hillpointe Detail'!AO130+'Sandhill Detail'!AO130</f>
        <v>824</v>
      </c>
      <c r="AP130" s="105">
        <f>'Hillpointe Detail'!AP130+'Sandhill Detail'!AP130</f>
        <v>824</v>
      </c>
      <c r="AQ130" s="105">
        <f>'Hillpointe Detail'!AQ130+'Sandhill Detail'!AQ130</f>
        <v>824</v>
      </c>
      <c r="AR130" s="105">
        <f>'Hillpointe Detail'!AR130+'Sandhill Detail'!AR130</f>
        <v>824</v>
      </c>
      <c r="AS130" s="105">
        <f>'Hillpointe Detail'!AS130+'Sandhill Detail'!AS130</f>
        <v>824</v>
      </c>
      <c r="AT130" s="105">
        <f>'Hillpointe Detail'!AT130+'Sandhill Detail'!AT130</f>
        <v>824</v>
      </c>
      <c r="AU130" s="105">
        <f>'Hillpointe Detail'!AU130+'Sandhill Detail'!AU130</f>
        <v>824</v>
      </c>
      <c r="AV130" s="105">
        <f>'Hillpointe Detail'!AV130+'Sandhill Detail'!AV130</f>
        <v>824</v>
      </c>
      <c r="AW130" s="105">
        <f>'Hillpointe Detail'!AW130+'Sandhill Detail'!AW130</f>
        <v>824</v>
      </c>
      <c r="AX130" s="105">
        <f>'Hillpointe Detail'!AX130+'Sandhill Detail'!AX130</f>
        <v>848.72</v>
      </c>
      <c r="AY130" s="105">
        <f>'Hillpointe Detail'!AY130+'Sandhill Detail'!AY130</f>
        <v>848.72</v>
      </c>
      <c r="AZ130" s="105">
        <f>'Hillpointe Detail'!AZ130+'Sandhill Detail'!AZ130</f>
        <v>848.72</v>
      </c>
      <c r="BA130" s="105">
        <f>'Hillpointe Detail'!BA130+'Sandhill Detail'!BA130</f>
        <v>848.72</v>
      </c>
      <c r="BB130" s="105">
        <f>'Hillpointe Detail'!BB130+'Sandhill Detail'!BB130</f>
        <v>848.72</v>
      </c>
      <c r="BC130" s="105">
        <f>'Hillpointe Detail'!BC130+'Sandhill Detail'!BC130</f>
        <v>848.72</v>
      </c>
      <c r="BD130" s="105">
        <f>'Hillpointe Detail'!BD130+'Sandhill Detail'!BD130</f>
        <v>848.72</v>
      </c>
      <c r="BE130" s="105">
        <f>'Hillpointe Detail'!BE130+'Sandhill Detail'!BE130</f>
        <v>848.72</v>
      </c>
      <c r="BF130" s="105">
        <f>'Hillpointe Detail'!BF130+'Sandhill Detail'!BF130</f>
        <v>848.72</v>
      </c>
      <c r="BG130" s="105">
        <f>'Hillpointe Detail'!BG130+'Sandhill Detail'!BG130</f>
        <v>848.72</v>
      </c>
      <c r="BH130" s="105">
        <f>'Hillpointe Detail'!BH130+'Sandhill Detail'!BH130</f>
        <v>848.72</v>
      </c>
      <c r="BI130" s="105">
        <f>'Hillpointe Detail'!BI130+'Sandhill Detail'!BI130</f>
        <v>848.72</v>
      </c>
      <c r="BJ130" s="105">
        <f>'Hillpointe Detail'!BJ130+'Sandhill Detail'!BJ130</f>
        <v>874.1816</v>
      </c>
      <c r="BK130" s="105">
        <f>'Hillpointe Detail'!BK130+'Sandhill Detail'!BK130</f>
        <v>874.1816</v>
      </c>
      <c r="BL130" s="105">
        <f>'Hillpointe Detail'!BL130+'Sandhill Detail'!BL130</f>
        <v>874.1816</v>
      </c>
      <c r="BM130" s="105">
        <f>'Hillpointe Detail'!BM130+'Sandhill Detail'!BM130</f>
        <v>874.1816</v>
      </c>
      <c r="BN130" s="105">
        <f>'Hillpointe Detail'!BN130+'Sandhill Detail'!BN130</f>
        <v>874.1816</v>
      </c>
      <c r="BO130" s="105">
        <f>'Hillpointe Detail'!BO130+'Sandhill Detail'!BO130</f>
        <v>874.1816</v>
      </c>
      <c r="BP130" s="105">
        <f>'Hillpointe Detail'!BP130+'Sandhill Detail'!BP130</f>
        <v>874.1816</v>
      </c>
      <c r="BQ130" s="105">
        <f>'Hillpointe Detail'!BQ130+'Sandhill Detail'!BQ130</f>
        <v>874.1816</v>
      </c>
      <c r="BR130" s="105">
        <f>'Hillpointe Detail'!BR130+'Sandhill Detail'!BR130</f>
        <v>874.1816</v>
      </c>
      <c r="BS130" s="105">
        <f>'Hillpointe Detail'!BS130+'Sandhill Detail'!BS130</f>
        <v>874.1816</v>
      </c>
      <c r="BT130" s="105">
        <f>'Hillpointe Detail'!BT130+'Sandhill Detail'!BT130</f>
        <v>874.1816</v>
      </c>
      <c r="BU130" s="105">
        <f>'Hillpointe Detail'!BU130+'Sandhill Detail'!BU130</f>
        <v>874.1816</v>
      </c>
      <c r="BV130" s="105">
        <f>'Hillpointe Detail'!BV130+'Sandhill Detail'!BV130</f>
        <v>900.40704800000003</v>
      </c>
      <c r="BW130" s="105">
        <f>'Hillpointe Detail'!BW130+'Sandhill Detail'!BW130</f>
        <v>900.40704800000003</v>
      </c>
      <c r="BX130" s="105">
        <f>'Hillpointe Detail'!BX130+'Sandhill Detail'!BX130</f>
        <v>900.40704800000003</v>
      </c>
      <c r="BY130" s="8"/>
      <c r="BZ130" s="105">
        <f t="shared" si="63"/>
        <v>800</v>
      </c>
      <c r="CA130" s="105">
        <f t="shared" si="64"/>
        <v>8800</v>
      </c>
      <c r="CC130" s="105">
        <f t="shared" si="59"/>
        <v>0</v>
      </c>
      <c r="CD130" s="105">
        <f t="shared" si="65"/>
        <v>0</v>
      </c>
      <c r="CE130" s="105">
        <f t="shared" si="65"/>
        <v>0</v>
      </c>
      <c r="CF130" s="105">
        <f t="shared" si="65"/>
        <v>9600</v>
      </c>
      <c r="CG130" s="105">
        <f t="shared" si="65"/>
        <v>9672</v>
      </c>
      <c r="CH130" s="105">
        <f t="shared" si="65"/>
        <v>9962.159999999998</v>
      </c>
      <c r="CI130" s="105">
        <f t="shared" si="65"/>
        <v>10261.024800000001</v>
      </c>
      <c r="CJ130" s="105">
        <f t="shared" si="65"/>
        <v>10568.855544000002</v>
      </c>
      <c r="CL130" s="105"/>
      <c r="CM130" s="13"/>
    </row>
    <row r="131" spans="1:91" x14ac:dyDescent="0.3">
      <c r="A131" s="84" t="s">
        <v>87</v>
      </c>
      <c r="B131" s="10" t="s">
        <v>142</v>
      </c>
      <c r="C131" s="103">
        <v>29658.54</v>
      </c>
      <c r="D131" s="103">
        <v>28456.86</v>
      </c>
      <c r="E131" s="105">
        <f>'Hillpointe Detail'!E131+'Sandhill Detail'!E131</f>
        <v>0</v>
      </c>
      <c r="F131" s="105">
        <f>'Hillpointe Detail'!F131+'Sandhill Detail'!F131</f>
        <v>5257.75</v>
      </c>
      <c r="G131" s="105">
        <f>'Hillpointe Detail'!G131+'Sandhill Detail'!G131</f>
        <v>4688.8999999999996</v>
      </c>
      <c r="H131" s="105">
        <f>'Hillpointe Detail'!H131+'Sandhill Detail'!H131</f>
        <v>2548.75</v>
      </c>
      <c r="I131" s="105">
        <f>'Hillpointe Detail'!I131+'Sandhill Detail'!I131</f>
        <v>17557.490000000002</v>
      </c>
      <c r="J131" s="105">
        <f>'Hillpointe Detail'!J131+'Sandhill Detail'!J131</f>
        <v>0</v>
      </c>
      <c r="K131" s="105">
        <f>'Hillpointe Detail'!K131+'Sandhill Detail'!K131</f>
        <v>1746.98</v>
      </c>
      <c r="L131" s="105">
        <f>'Hillpointe Detail'!L131+'Sandhill Detail'!L131</f>
        <v>-598.00000000000182</v>
      </c>
      <c r="M131" s="105">
        <f>'Hillpointe Detail'!M131+'Sandhill Detail'!M131</f>
        <v>0</v>
      </c>
      <c r="N131" s="105">
        <f>'Hillpointe Detail'!N131+'Sandhill Detail'!N131</f>
        <v>0</v>
      </c>
      <c r="O131" s="105">
        <f>'Hillpointe Detail'!O131+'Sandhill Detail'!O131</f>
        <v>0</v>
      </c>
      <c r="P131" s="105">
        <f>'Hillpointe Detail'!P131+'Sandhill Detail'!P131</f>
        <v>0</v>
      </c>
      <c r="Q131" s="105">
        <f>'Hillpointe Detail'!Q131+'Sandhill Detail'!Q131</f>
        <v>0</v>
      </c>
      <c r="R131" s="105">
        <f>'Hillpointe Detail'!R131+'Sandhill Detail'!R131</f>
        <v>-2500</v>
      </c>
      <c r="S131" s="105">
        <f>'Hillpointe Detail'!S131+'Sandhill Detail'!S131</f>
        <v>0</v>
      </c>
      <c r="T131" s="105">
        <f>'Hillpointe Detail'!T131+'Sandhill Detail'!T131</f>
        <v>0</v>
      </c>
      <c r="U131" s="105">
        <f>'Hillpointe Detail'!U131+'Sandhill Detail'!U131</f>
        <v>6054.65</v>
      </c>
      <c r="V131" s="105">
        <f>'Hillpointe Detail'!V131+'Sandhill Detail'!V131</f>
        <v>6054.65</v>
      </c>
      <c r="W131" s="105">
        <f>'Hillpointe Detail'!W131+'Sandhill Detail'!W131</f>
        <v>6054.65</v>
      </c>
      <c r="X131" s="105">
        <f>'Hillpointe Detail'!X131+'Sandhill Detail'!X131</f>
        <v>0</v>
      </c>
      <c r="Y131" s="105">
        <f>'Hillpointe Detail'!Y131+'Sandhill Detail'!Y131</f>
        <v>0</v>
      </c>
      <c r="Z131" s="105">
        <f>'Hillpointe Detail'!Z131+'Sandhill Detail'!Z131</f>
        <v>0</v>
      </c>
      <c r="AA131" s="105">
        <f>'Hillpointe Detail'!AA131+'Sandhill Detail'!AA131</f>
        <v>0</v>
      </c>
      <c r="AB131" s="105">
        <f>'Hillpointe Detail'!AB131+'Sandhill Detail'!AB131</f>
        <v>0</v>
      </c>
      <c r="AC131" s="105">
        <f>'Hillpointe Detail'!AC131+'Sandhill Detail'!AC131</f>
        <v>0</v>
      </c>
      <c r="AD131" s="105">
        <f>'Hillpointe Detail'!AD131+'Sandhill Detail'!AD131</f>
        <v>-2575</v>
      </c>
      <c r="AE131" s="105">
        <f>'Hillpointe Detail'!AE131+'Sandhill Detail'!AE131</f>
        <v>0</v>
      </c>
      <c r="AF131" s="105">
        <f>'Hillpointe Detail'!AF131+'Sandhill Detail'!AF131</f>
        <v>0</v>
      </c>
      <c r="AG131" s="105">
        <f>'Hillpointe Detail'!AG131+'Sandhill Detail'!AG131</f>
        <v>6236.2894999999999</v>
      </c>
      <c r="AH131" s="105">
        <f>'Hillpointe Detail'!AH131+'Sandhill Detail'!AH131</f>
        <v>6236.2894999999999</v>
      </c>
      <c r="AI131" s="105">
        <f>'Hillpointe Detail'!AI131+'Sandhill Detail'!AI131</f>
        <v>6236.2894999999999</v>
      </c>
      <c r="AJ131" s="105">
        <f>'Hillpointe Detail'!AJ131+'Sandhill Detail'!AJ131</f>
        <v>0</v>
      </c>
      <c r="AK131" s="105">
        <f>'Hillpointe Detail'!AK131+'Sandhill Detail'!AK131</f>
        <v>0</v>
      </c>
      <c r="AL131" s="105">
        <f>'Hillpointe Detail'!AL131+'Sandhill Detail'!AL131</f>
        <v>0</v>
      </c>
      <c r="AM131" s="105">
        <f>'Hillpointe Detail'!AM131+'Sandhill Detail'!AM131</f>
        <v>0</v>
      </c>
      <c r="AN131" s="105">
        <f>'Hillpointe Detail'!AN131+'Sandhill Detail'!AN131</f>
        <v>0</v>
      </c>
      <c r="AO131" s="105">
        <f>'Hillpointe Detail'!AO131+'Sandhill Detail'!AO131</f>
        <v>0</v>
      </c>
      <c r="AP131" s="105">
        <f>'Hillpointe Detail'!AP131+'Sandhill Detail'!AP131</f>
        <v>-2652.25</v>
      </c>
      <c r="AQ131" s="105">
        <f>'Hillpointe Detail'!AQ131+'Sandhill Detail'!AQ131</f>
        <v>0</v>
      </c>
      <c r="AR131" s="105">
        <f>'Hillpointe Detail'!AR131+'Sandhill Detail'!AR131</f>
        <v>0</v>
      </c>
      <c r="AS131" s="105">
        <f>'Hillpointe Detail'!AS131+'Sandhill Detail'!AS131</f>
        <v>6423.3781850000005</v>
      </c>
      <c r="AT131" s="105">
        <f>'Hillpointe Detail'!AT131+'Sandhill Detail'!AT131</f>
        <v>6423.3781850000005</v>
      </c>
      <c r="AU131" s="105">
        <f>'Hillpointe Detail'!AU131+'Sandhill Detail'!AU131</f>
        <v>6423.3781850000005</v>
      </c>
      <c r="AV131" s="105">
        <f>'Hillpointe Detail'!AV131+'Sandhill Detail'!AV131</f>
        <v>0</v>
      </c>
      <c r="AW131" s="105">
        <f>'Hillpointe Detail'!AW131+'Sandhill Detail'!AW131</f>
        <v>0</v>
      </c>
      <c r="AX131" s="105">
        <f>'Hillpointe Detail'!AX131+'Sandhill Detail'!AX131</f>
        <v>0</v>
      </c>
      <c r="AY131" s="105">
        <f>'Hillpointe Detail'!AY131+'Sandhill Detail'!AY131</f>
        <v>0</v>
      </c>
      <c r="AZ131" s="105">
        <f>'Hillpointe Detail'!AZ131+'Sandhill Detail'!AZ131</f>
        <v>0</v>
      </c>
      <c r="BA131" s="105">
        <f>'Hillpointe Detail'!BA131+'Sandhill Detail'!BA131</f>
        <v>0</v>
      </c>
      <c r="BB131" s="105">
        <f>'Hillpointe Detail'!BB131+'Sandhill Detail'!BB131</f>
        <v>-2731.8175000000001</v>
      </c>
      <c r="BC131" s="105">
        <f>'Hillpointe Detail'!BC131+'Sandhill Detail'!BC131</f>
        <v>0</v>
      </c>
      <c r="BD131" s="105">
        <f>'Hillpointe Detail'!BD131+'Sandhill Detail'!BD131</f>
        <v>0</v>
      </c>
      <c r="BE131" s="105">
        <f>'Hillpointe Detail'!BE131+'Sandhill Detail'!BE131</f>
        <v>6616.0795305500014</v>
      </c>
      <c r="BF131" s="105">
        <f>'Hillpointe Detail'!BF131+'Sandhill Detail'!BF131</f>
        <v>6616.0795305500014</v>
      </c>
      <c r="BG131" s="105">
        <f>'Hillpointe Detail'!BG131+'Sandhill Detail'!BG131</f>
        <v>6616.0795305500014</v>
      </c>
      <c r="BH131" s="105">
        <f>'Hillpointe Detail'!BH131+'Sandhill Detail'!BH131</f>
        <v>0</v>
      </c>
      <c r="BI131" s="105">
        <f>'Hillpointe Detail'!BI131+'Sandhill Detail'!BI131</f>
        <v>0</v>
      </c>
      <c r="BJ131" s="105">
        <f>'Hillpointe Detail'!BJ131+'Sandhill Detail'!BJ131</f>
        <v>0</v>
      </c>
      <c r="BK131" s="105">
        <f>'Hillpointe Detail'!BK131+'Sandhill Detail'!BK131</f>
        <v>0</v>
      </c>
      <c r="BL131" s="105">
        <f>'Hillpointe Detail'!BL131+'Sandhill Detail'!BL131</f>
        <v>0</v>
      </c>
      <c r="BM131" s="105">
        <f>'Hillpointe Detail'!BM131+'Sandhill Detail'!BM131</f>
        <v>0</v>
      </c>
      <c r="BN131" s="105">
        <f>'Hillpointe Detail'!BN131+'Sandhill Detail'!BN131</f>
        <v>-2813.7720250000002</v>
      </c>
      <c r="BO131" s="105">
        <f>'Hillpointe Detail'!BO131+'Sandhill Detail'!BO131</f>
        <v>0</v>
      </c>
      <c r="BP131" s="105">
        <f>'Hillpointe Detail'!BP131+'Sandhill Detail'!BP131</f>
        <v>0</v>
      </c>
      <c r="BQ131" s="105">
        <f>'Hillpointe Detail'!BQ131+'Sandhill Detail'!BQ131</f>
        <v>6814.5619164665013</v>
      </c>
      <c r="BR131" s="105">
        <f>'Hillpointe Detail'!BR131+'Sandhill Detail'!BR131</f>
        <v>6814.5619164665013</v>
      </c>
      <c r="BS131" s="105">
        <f>'Hillpointe Detail'!BS131+'Sandhill Detail'!BS131</f>
        <v>6814.5619164665013</v>
      </c>
      <c r="BT131" s="105">
        <f>'Hillpointe Detail'!BT131+'Sandhill Detail'!BT131</f>
        <v>0</v>
      </c>
      <c r="BU131" s="105">
        <f>'Hillpointe Detail'!BU131+'Sandhill Detail'!BU131</f>
        <v>0</v>
      </c>
      <c r="BV131" s="105">
        <f>'Hillpointe Detail'!BV131+'Sandhill Detail'!BV131</f>
        <v>0</v>
      </c>
      <c r="BW131" s="105">
        <f>'Hillpointe Detail'!BW131+'Sandhill Detail'!BW131</f>
        <v>0</v>
      </c>
      <c r="BX131" s="105">
        <f>'Hillpointe Detail'!BX131+'Sandhill Detail'!BX131</f>
        <v>0</v>
      </c>
      <c r="BY131" s="8"/>
      <c r="BZ131" s="105">
        <f t="shared" si="63"/>
        <v>0</v>
      </c>
      <c r="CA131" s="105">
        <f t="shared" si="64"/>
        <v>15663.949999999999</v>
      </c>
      <c r="CC131" s="105">
        <f t="shared" si="59"/>
        <v>29658.54</v>
      </c>
      <c r="CD131" s="105">
        <f t="shared" si="65"/>
        <v>28456.86</v>
      </c>
      <c r="CE131" s="105">
        <f t="shared" si="65"/>
        <v>31201.869999999995</v>
      </c>
      <c r="CF131" s="105">
        <f t="shared" si="65"/>
        <v>15663.949999999999</v>
      </c>
      <c r="CG131" s="105">
        <f t="shared" si="65"/>
        <v>16133.8685</v>
      </c>
      <c r="CH131" s="105">
        <f t="shared" si="65"/>
        <v>16617.884555000001</v>
      </c>
      <c r="CI131" s="105">
        <f t="shared" si="65"/>
        <v>17116.421091650001</v>
      </c>
      <c r="CJ131" s="105">
        <f t="shared" si="65"/>
        <v>17629.913724399503</v>
      </c>
      <c r="CL131" s="105"/>
      <c r="CM131" s="13"/>
    </row>
    <row r="132" spans="1:91" x14ac:dyDescent="0.3">
      <c r="A132" s="84" t="s">
        <v>88</v>
      </c>
      <c r="B132" s="10" t="s">
        <v>142</v>
      </c>
      <c r="C132" s="103">
        <v>7729.54</v>
      </c>
      <c r="D132" s="103">
        <v>169833.47</v>
      </c>
      <c r="E132" s="105">
        <f>'Hillpointe Detail'!E132+'Sandhill Detail'!E132</f>
        <v>12614.32</v>
      </c>
      <c r="F132" s="105">
        <f>'Hillpointe Detail'!F132+'Sandhill Detail'!F132</f>
        <v>16261.08</v>
      </c>
      <c r="G132" s="105">
        <f>'Hillpointe Detail'!G132+'Sandhill Detail'!G132</f>
        <v>17603.099999999999</v>
      </c>
      <c r="H132" s="105">
        <f>'Hillpointe Detail'!H132+'Sandhill Detail'!H132</f>
        <v>30341.77</v>
      </c>
      <c r="I132" s="105">
        <f>'Hillpointe Detail'!I132+'Sandhill Detail'!I132</f>
        <v>17154.400000000001</v>
      </c>
      <c r="J132" s="105">
        <f>'Hillpointe Detail'!J132+'Sandhill Detail'!J132</f>
        <v>18668.830000000002</v>
      </c>
      <c r="K132" s="105">
        <f>'Hillpointe Detail'!K132+'Sandhill Detail'!K132</f>
        <v>18860.009999999998</v>
      </c>
      <c r="L132" s="105">
        <f>'Hillpointe Detail'!L132+'Sandhill Detail'!L132</f>
        <v>19282.009999999998</v>
      </c>
      <c r="M132" s="105">
        <f>'Hillpointe Detail'!M132+'Sandhill Detail'!M132</f>
        <v>17850.750000000015</v>
      </c>
      <c r="N132" s="105">
        <f>'Hillpointe Detail'!N132+'Sandhill Detail'!N132</f>
        <v>18622.73</v>
      </c>
      <c r="O132" s="105">
        <f>'Hillpointe Detail'!O132+'Sandhill Detail'!O132</f>
        <v>17842.579999999998</v>
      </c>
      <c r="P132" s="105">
        <f>'Hillpointe Detail'!P132+'Sandhill Detail'!P132</f>
        <v>19281.22</v>
      </c>
      <c r="Q132" s="105">
        <f>'Hillpointe Detail'!Q132+'Sandhill Detail'!Q132</f>
        <v>19865.579999999998</v>
      </c>
      <c r="R132" s="105">
        <f>'Hillpointe Detail'!R132+'Sandhill Detail'!R132</f>
        <v>20250.580000000002</v>
      </c>
      <c r="S132" s="105">
        <f>'Hillpointe Detail'!S132+'Sandhill Detail'!S132</f>
        <v>18422.16</v>
      </c>
      <c r="T132" s="105">
        <f>'Hillpointe Detail'!T132+'Sandhill Detail'!T132</f>
        <v>21983.21</v>
      </c>
      <c r="U132" s="105">
        <f>'Hillpointe Detail'!U132+'Sandhill Detail'!U132</f>
        <v>30077.4</v>
      </c>
      <c r="V132" s="105">
        <f>'Hillpointe Detail'!V132+'Sandhill Detail'!V132</f>
        <v>22637.57</v>
      </c>
      <c r="W132" s="105">
        <f>'Hillpointe Detail'!W132+'Sandhill Detail'!W132</f>
        <v>23856.379999999997</v>
      </c>
      <c r="X132" s="105">
        <f>'Hillpointe Detail'!X132+'Sandhill Detail'!X132</f>
        <v>23126.31</v>
      </c>
      <c r="Y132" s="105">
        <f>'Hillpointe Detail'!Y132+'Sandhill Detail'!Y132</f>
        <v>25489.54</v>
      </c>
      <c r="Z132" s="105">
        <f>'Hillpointe Detail'!Z132+'Sandhill Detail'!Z132</f>
        <v>23266.489999999998</v>
      </c>
      <c r="AA132" s="105">
        <f>'Hillpointe Detail'!AA132+'Sandhill Detail'!AA132</f>
        <v>22063.65</v>
      </c>
      <c r="AB132" s="105">
        <f>'Hillpointe Detail'!AB132+'Sandhill Detail'!AB132</f>
        <v>19859.656600000002</v>
      </c>
      <c r="AC132" s="105">
        <f>'Hillpointe Detail'!AC132+'Sandhill Detail'!AC132</f>
        <v>20461.547399999999</v>
      </c>
      <c r="AD132" s="105">
        <f>'Hillpointe Detail'!AD132+'Sandhill Detail'!AD132</f>
        <v>20858.097399999999</v>
      </c>
      <c r="AE132" s="105">
        <f>'Hillpointe Detail'!AE132+'Sandhill Detail'!AE132</f>
        <v>18974.824800000002</v>
      </c>
      <c r="AF132" s="105">
        <f>'Hillpointe Detail'!AF132+'Sandhill Detail'!AF132</f>
        <v>22642.706299999998</v>
      </c>
      <c r="AG132" s="105">
        <f>'Hillpointe Detail'!AG132+'Sandhill Detail'!AG132</f>
        <v>30979.722000000002</v>
      </c>
      <c r="AH132" s="105">
        <f>'Hillpointe Detail'!AH132+'Sandhill Detail'!AH132</f>
        <v>23316.697100000001</v>
      </c>
      <c r="AI132" s="105">
        <f>'Hillpointe Detail'!AI132+'Sandhill Detail'!AI132</f>
        <v>24572.071400000001</v>
      </c>
      <c r="AJ132" s="105">
        <f>'Hillpointe Detail'!AJ132+'Sandhill Detail'!AJ132</f>
        <v>23820.099300000002</v>
      </c>
      <c r="AK132" s="105">
        <f>'Hillpointe Detail'!AK132+'Sandhill Detail'!AK132</f>
        <v>26254.226200000001</v>
      </c>
      <c r="AL132" s="105">
        <f>'Hillpointe Detail'!AL132+'Sandhill Detail'!AL132</f>
        <v>23964.484699999997</v>
      </c>
      <c r="AM132" s="105">
        <f>'Hillpointe Detail'!AM132+'Sandhill Detail'!AM132</f>
        <v>22725.559500000003</v>
      </c>
      <c r="AN132" s="105">
        <f>'Hillpointe Detail'!AN132+'Sandhill Detail'!AN132</f>
        <v>20455.446298000003</v>
      </c>
      <c r="AO132" s="105">
        <f>'Hillpointe Detail'!AO132+'Sandhill Detail'!AO132</f>
        <v>24066.157952521738</v>
      </c>
      <c r="AP132" s="105">
        <f>'Hillpointe Detail'!AP132+'Sandhill Detail'!AP132</f>
        <v>24532.566269478262</v>
      </c>
      <c r="AQ132" s="105">
        <f>'Hillpointe Detail'!AQ132+'Sandhill Detail'!AQ132</f>
        <v>22317.526079260871</v>
      </c>
      <c r="AR132" s="105">
        <f>'Hillpointe Detail'!AR132+'Sandhill Detail'!AR132</f>
        <v>26631.560914086956</v>
      </c>
      <c r="AS132" s="105">
        <f>'Hillpointe Detail'!AS132+'Sandhill Detail'!AS132</f>
        <v>36437.269144695652</v>
      </c>
      <c r="AT132" s="105">
        <f>'Hillpointe Detail'!AT132+'Sandhill Detail'!AT132</f>
        <v>27424.287225608696</v>
      </c>
      <c r="AU132" s="105">
        <f>'Hillpointe Detail'!AU132+'Sandhill Detail'!AU132</f>
        <v>28900.816394782611</v>
      </c>
      <c r="AV132" s="105">
        <f>'Hillpointe Detail'!AV132+'Sandhill Detail'!AV132</f>
        <v>27951.18948913044</v>
      </c>
      <c r="AW132" s="105">
        <f>'Hillpointe Detail'!AW132+'Sandhill Detail'!AW132</f>
        <v>30879.307434347829</v>
      </c>
      <c r="AX132" s="105">
        <f>'Hillpointe Detail'!AX132+'Sandhill Detail'!AX132</f>
        <v>28153.602679826083</v>
      </c>
      <c r="AY132" s="105">
        <f>'Hillpointe Detail'!AY132+'Sandhill Detail'!AY132</f>
        <v>26696.421026173921</v>
      </c>
      <c r="AZ132" s="105">
        <f>'Hillpointe Detail'!AZ132+'Sandhill Detail'!AZ132</f>
        <v>24058.984123837829</v>
      </c>
      <c r="BA132" s="105">
        <f>'Hillpointe Detail'!BA132+'Sandhill Detail'!BA132</f>
        <v>24788.142691097393</v>
      </c>
      <c r="BB132" s="105">
        <f>'Hillpointe Detail'!BB132+'Sandhill Detail'!BB132</f>
        <v>25268.543257562611</v>
      </c>
      <c r="BC132" s="105">
        <f>'Hillpointe Detail'!BC132+'Sandhill Detail'!BC132</f>
        <v>22987.051861638698</v>
      </c>
      <c r="BD132" s="105">
        <f>'Hillpointe Detail'!BD132+'Sandhill Detail'!BD132</f>
        <v>27430.507741509566</v>
      </c>
      <c r="BE132" s="105">
        <f>'Hillpointe Detail'!BE132+'Sandhill Detail'!BE132</f>
        <v>37530.387219036522</v>
      </c>
      <c r="BF132" s="105">
        <f>'Hillpointe Detail'!BF132+'Sandhill Detail'!BF132</f>
        <v>28247.015842376961</v>
      </c>
      <c r="BG132" s="105">
        <f>'Hillpointe Detail'!BG132+'Sandhill Detail'!BG132</f>
        <v>29767.840886626091</v>
      </c>
      <c r="BH132" s="105">
        <f>'Hillpointe Detail'!BH132+'Sandhill Detail'!BH132</f>
        <v>28789.725173804352</v>
      </c>
      <c r="BI132" s="105">
        <f>'Hillpointe Detail'!BI132+'Sandhill Detail'!BI132</f>
        <v>31805.686657378261</v>
      </c>
      <c r="BJ132" s="105">
        <f>'Hillpointe Detail'!BJ132+'Sandhill Detail'!BJ132</f>
        <v>28998.210760220867</v>
      </c>
      <c r="BK132" s="105">
        <f>'Hillpointe Detail'!BK132+'Sandhill Detail'!BK132</f>
        <v>27497.313656959137</v>
      </c>
      <c r="BL132" s="105">
        <f>'Hillpointe Detail'!BL132+'Sandhill Detail'!BL132</f>
        <v>24780.753647552963</v>
      </c>
      <c r="BM132" s="105">
        <f>'Hillpointe Detail'!BM132+'Sandhill Detail'!BM132</f>
        <v>25531.786971830315</v>
      </c>
      <c r="BN132" s="105">
        <f>'Hillpointe Detail'!BN132+'Sandhill Detail'!BN132</f>
        <v>26026.599555289489</v>
      </c>
      <c r="BO132" s="105">
        <f>'Hillpointe Detail'!BO132+'Sandhill Detail'!BO132</f>
        <v>23676.663417487864</v>
      </c>
      <c r="BP132" s="105">
        <f>'Hillpointe Detail'!BP132+'Sandhill Detail'!BP132</f>
        <v>28253.422973754852</v>
      </c>
      <c r="BQ132" s="105">
        <f>'Hillpointe Detail'!BQ132+'Sandhill Detail'!BQ132</f>
        <v>38656.298835607624</v>
      </c>
      <c r="BR132" s="105">
        <f>'Hillpointe Detail'!BR132+'Sandhill Detail'!BR132</f>
        <v>29094.426317648267</v>
      </c>
      <c r="BS132" s="105">
        <f>'Hillpointe Detail'!BS132+'Sandhill Detail'!BS132</f>
        <v>30660.876113224876</v>
      </c>
      <c r="BT132" s="105">
        <f>'Hillpointe Detail'!BT132+'Sandhill Detail'!BT132</f>
        <v>29653.416929018484</v>
      </c>
      <c r="BU132" s="105">
        <f>'Hillpointe Detail'!BU132+'Sandhill Detail'!BU132</f>
        <v>32759.857257099611</v>
      </c>
      <c r="BV132" s="105">
        <f>'Hillpointe Detail'!BV132+'Sandhill Detail'!BV132</f>
        <v>29868.157083027494</v>
      </c>
      <c r="BW132" s="105">
        <f>'Hillpointe Detail'!BW132+'Sandhill Detail'!BW132</f>
        <v>28322.233066667912</v>
      </c>
      <c r="BX132" s="105">
        <f>'Hillpointe Detail'!BX132+'Sandhill Detail'!BX132</f>
        <v>25524.176256979554</v>
      </c>
      <c r="BY132" s="8"/>
      <c r="BZ132" s="105">
        <f t="shared" si="63"/>
        <v>22063.65</v>
      </c>
      <c r="CA132" s="105">
        <f t="shared" si="64"/>
        <v>251038.87</v>
      </c>
      <c r="CC132" s="105">
        <f t="shared" si="59"/>
        <v>7729.54</v>
      </c>
      <c r="CD132" s="105">
        <f t="shared" si="65"/>
        <v>169833.47</v>
      </c>
      <c r="CE132" s="105">
        <f t="shared" si="65"/>
        <v>224382.80000000002</v>
      </c>
      <c r="CF132" s="105">
        <f t="shared" si="65"/>
        <v>270898.52659999998</v>
      </c>
      <c r="CG132" s="105">
        <f t="shared" si="65"/>
        <v>279025.48239800002</v>
      </c>
      <c r="CH132" s="105">
        <f t="shared" si="65"/>
        <v>328049.6887337509</v>
      </c>
      <c r="CI132" s="105">
        <f t="shared" si="65"/>
        <v>337891.17939576349</v>
      </c>
      <c r="CJ132" s="105">
        <f t="shared" si="65"/>
        <v>348027.9147776363</v>
      </c>
      <c r="CL132" s="105"/>
      <c r="CM132" s="13"/>
    </row>
    <row r="133" spans="1:91" x14ac:dyDescent="0.3">
      <c r="A133" s="84" t="s">
        <v>89</v>
      </c>
      <c r="B133" s="10" t="s">
        <v>138</v>
      </c>
      <c r="C133" s="103">
        <v>32937.51</v>
      </c>
      <c r="D133" s="103">
        <v>31365.55</v>
      </c>
      <c r="E133" s="105">
        <f>'Hillpointe Detail'!E133+'Sandhill Detail'!E133</f>
        <v>3535.87</v>
      </c>
      <c r="F133" s="105">
        <f>'Hillpointe Detail'!F133+'Sandhill Detail'!F133</f>
        <v>4339.8</v>
      </c>
      <c r="G133" s="105">
        <f>'Hillpointe Detail'!G133+'Sandhill Detail'!G133</f>
        <v>1792.81</v>
      </c>
      <c r="H133" s="105">
        <f>'Hillpointe Detail'!H133+'Sandhill Detail'!H133</f>
        <v>3819.59</v>
      </c>
      <c r="I133" s="105">
        <f>'Hillpointe Detail'!I133+'Sandhill Detail'!I133</f>
        <v>181.89</v>
      </c>
      <c r="J133" s="105">
        <f>'Hillpointe Detail'!J133+'Sandhill Detail'!J133</f>
        <v>2666.6499999999996</v>
      </c>
      <c r="K133" s="105">
        <f>'Hillpointe Detail'!K133+'Sandhill Detail'!K133</f>
        <v>2600.98</v>
      </c>
      <c r="L133" s="105">
        <f>'Hillpointe Detail'!L133+'Sandhill Detail'!L133</f>
        <v>855.68999999999869</v>
      </c>
      <c r="M133" s="105">
        <f>'Hillpointe Detail'!M133+'Sandhill Detail'!M133</f>
        <v>2700.66</v>
      </c>
      <c r="N133" s="105">
        <f>'Hillpointe Detail'!N133+'Sandhill Detail'!N133</f>
        <v>5150.68</v>
      </c>
      <c r="O133" s="105">
        <f>'Hillpointe Detail'!O133+'Sandhill Detail'!O133</f>
        <v>264.72000000000003</v>
      </c>
      <c r="P133" s="105">
        <f>'Hillpointe Detail'!P133+'Sandhill Detail'!P133</f>
        <v>1011.72</v>
      </c>
      <c r="Q133" s="105">
        <f>'Hillpointe Detail'!Q133+'Sandhill Detail'!Q133</f>
        <v>1895.92</v>
      </c>
      <c r="R133" s="105">
        <f>'Hillpointe Detail'!R133+'Sandhill Detail'!R133</f>
        <v>1556.16</v>
      </c>
      <c r="S133" s="105">
        <f>'Hillpointe Detail'!S133+'Sandhill Detail'!S133</f>
        <v>1895.36</v>
      </c>
      <c r="T133" s="105">
        <f>'Hillpointe Detail'!T133+'Sandhill Detail'!T133</f>
        <v>3376.3</v>
      </c>
      <c r="U133" s="105">
        <f>'Hillpointe Detail'!U133+'Sandhill Detail'!U133</f>
        <v>2618.2200000000003</v>
      </c>
      <c r="V133" s="105">
        <f>'Hillpointe Detail'!V133+'Sandhill Detail'!V133</f>
        <v>2564.6999999999998</v>
      </c>
      <c r="W133" s="105">
        <f>'Hillpointe Detail'!W133+'Sandhill Detail'!W133</f>
        <v>1687.1200000000001</v>
      </c>
      <c r="X133" s="105">
        <f>'Hillpointe Detail'!X133+'Sandhill Detail'!X133</f>
        <v>877.77</v>
      </c>
      <c r="Y133" s="105">
        <f>'Hillpointe Detail'!Y133+'Sandhill Detail'!Y133</f>
        <v>4234.0600000000004</v>
      </c>
      <c r="Z133" s="105">
        <f>'Hillpointe Detail'!Z133+'Sandhill Detail'!Z133</f>
        <v>1773.0800000000002</v>
      </c>
      <c r="AA133" s="105">
        <f>'Hillpointe Detail'!AA133+'Sandhill Detail'!AA133</f>
        <v>3348.8599999999997</v>
      </c>
      <c r="AB133" s="105">
        <f>'Hillpointe Detail'!AB133+'Sandhill Detail'!AB133</f>
        <v>1042.0716000000002</v>
      </c>
      <c r="AC133" s="105">
        <f>'Hillpointe Detail'!AC133+'Sandhill Detail'!AC133</f>
        <v>1952.7976000000001</v>
      </c>
      <c r="AD133" s="105">
        <f>'Hillpointe Detail'!AD133+'Sandhill Detail'!AD133</f>
        <v>1602.8448000000001</v>
      </c>
      <c r="AE133" s="105">
        <f>'Hillpointe Detail'!AE133+'Sandhill Detail'!AE133</f>
        <v>1952.2208000000001</v>
      </c>
      <c r="AF133" s="105">
        <f>'Hillpointe Detail'!AF133+'Sandhill Detail'!AF133</f>
        <v>3477.5890000000004</v>
      </c>
      <c r="AG133" s="105">
        <f>'Hillpointe Detail'!AG133+'Sandhill Detail'!AG133</f>
        <v>2696.7665999999999</v>
      </c>
      <c r="AH133" s="105">
        <f>'Hillpointe Detail'!AH133+'Sandhill Detail'!AH133</f>
        <v>2641.6410000000001</v>
      </c>
      <c r="AI133" s="105">
        <f>'Hillpointe Detail'!AI133+'Sandhill Detail'!AI133</f>
        <v>1737.7336000000003</v>
      </c>
      <c r="AJ133" s="105">
        <f>'Hillpointe Detail'!AJ133+'Sandhill Detail'!AJ133</f>
        <v>904.10310000000004</v>
      </c>
      <c r="AK133" s="105">
        <f>'Hillpointe Detail'!AK133+'Sandhill Detail'!AK133</f>
        <v>4361.0818000000008</v>
      </c>
      <c r="AL133" s="105">
        <f>'Hillpointe Detail'!AL133+'Sandhill Detail'!AL133</f>
        <v>1826.2724000000001</v>
      </c>
      <c r="AM133" s="105">
        <f>'Hillpointe Detail'!AM133+'Sandhill Detail'!AM133</f>
        <v>3449.3258000000001</v>
      </c>
      <c r="AN133" s="105">
        <f>'Hillpointe Detail'!AN133+'Sandhill Detail'!AN133</f>
        <v>1073.3337480000002</v>
      </c>
      <c r="AO133" s="105">
        <f>'Hillpointe Detail'!AO133+'Sandhill Detail'!AO133</f>
        <v>2011.3815280000003</v>
      </c>
      <c r="AP133" s="105">
        <f>'Hillpointe Detail'!AP133+'Sandhill Detail'!AP133</f>
        <v>1650.9301440000002</v>
      </c>
      <c r="AQ133" s="105">
        <f>'Hillpointe Detail'!AQ133+'Sandhill Detail'!AQ133</f>
        <v>2010.7874240000001</v>
      </c>
      <c r="AR133" s="105">
        <f>'Hillpointe Detail'!AR133+'Sandhill Detail'!AR133</f>
        <v>3581.9166700000005</v>
      </c>
      <c r="AS133" s="105">
        <f>'Hillpointe Detail'!AS133+'Sandhill Detail'!AS133</f>
        <v>2777.6695980000004</v>
      </c>
      <c r="AT133" s="105">
        <f>'Hillpointe Detail'!AT133+'Sandhill Detail'!AT133</f>
        <v>2720.89023</v>
      </c>
      <c r="AU133" s="105">
        <f>'Hillpointe Detail'!AU133+'Sandhill Detail'!AU133</f>
        <v>1789.8656080000003</v>
      </c>
      <c r="AV133" s="105">
        <f>'Hillpointe Detail'!AV133+'Sandhill Detail'!AV133</f>
        <v>931.22619300000008</v>
      </c>
      <c r="AW133" s="105">
        <f>'Hillpointe Detail'!AW133+'Sandhill Detail'!AW133</f>
        <v>4491.9142540000003</v>
      </c>
      <c r="AX133" s="105">
        <f>'Hillpointe Detail'!AX133+'Sandhill Detail'!AX133</f>
        <v>1881.0605720000001</v>
      </c>
      <c r="AY133" s="105">
        <f>'Hillpointe Detail'!AY133+'Sandhill Detail'!AY133</f>
        <v>3552.8055740000004</v>
      </c>
      <c r="AZ133" s="105">
        <f>'Hillpointe Detail'!AZ133+'Sandhill Detail'!AZ133</f>
        <v>1105.5337604400002</v>
      </c>
      <c r="BA133" s="105">
        <f>'Hillpointe Detail'!BA133+'Sandhill Detail'!BA133</f>
        <v>2071.7229738400001</v>
      </c>
      <c r="BB133" s="105">
        <f>'Hillpointe Detail'!BB133+'Sandhill Detail'!BB133</f>
        <v>1700.4580483200002</v>
      </c>
      <c r="BC133" s="105">
        <f>'Hillpointe Detail'!BC133+'Sandhill Detail'!BC133</f>
        <v>2071.1110467200001</v>
      </c>
      <c r="BD133" s="105">
        <f>'Hillpointe Detail'!BD133+'Sandhill Detail'!BD133</f>
        <v>3689.3741701000008</v>
      </c>
      <c r="BE133" s="105">
        <f>'Hillpointe Detail'!BE133+'Sandhill Detail'!BE133</f>
        <v>2860.9996859399998</v>
      </c>
      <c r="BF133" s="105">
        <f>'Hillpointe Detail'!BF133+'Sandhill Detail'!BF133</f>
        <v>2802.5169369</v>
      </c>
      <c r="BG133" s="105">
        <f>'Hillpointe Detail'!BG133+'Sandhill Detail'!BG133</f>
        <v>1843.5615762400002</v>
      </c>
      <c r="BH133" s="105">
        <f>'Hillpointe Detail'!BH133+'Sandhill Detail'!BH133</f>
        <v>959.16297879000012</v>
      </c>
      <c r="BI133" s="105">
        <f>'Hillpointe Detail'!BI133+'Sandhill Detail'!BI133</f>
        <v>4626.6716816200005</v>
      </c>
      <c r="BJ133" s="105">
        <f>'Hillpointe Detail'!BJ133+'Sandhill Detail'!BJ133</f>
        <v>1937.4923891600001</v>
      </c>
      <c r="BK133" s="105">
        <f>'Hillpointe Detail'!BK133+'Sandhill Detail'!BK133</f>
        <v>3659.3897412200004</v>
      </c>
      <c r="BL133" s="105">
        <f>'Hillpointe Detail'!BL133+'Sandhill Detail'!BL133</f>
        <v>1138.6997732532004</v>
      </c>
      <c r="BM133" s="105">
        <f>'Hillpointe Detail'!BM133+'Sandhill Detail'!BM133</f>
        <v>2133.8746630552005</v>
      </c>
      <c r="BN133" s="105">
        <f>'Hillpointe Detail'!BN133+'Sandhill Detail'!BN133</f>
        <v>1751.4717897696003</v>
      </c>
      <c r="BO133" s="105">
        <f>'Hillpointe Detail'!BO133+'Sandhill Detail'!BO133</f>
        <v>2133.2443781216002</v>
      </c>
      <c r="BP133" s="105">
        <f>'Hillpointe Detail'!BP133+'Sandhill Detail'!BP133</f>
        <v>3800.0553952030009</v>
      </c>
      <c r="BQ133" s="105">
        <f>'Hillpointe Detail'!BQ133+'Sandhill Detail'!BQ133</f>
        <v>2946.8296765182004</v>
      </c>
      <c r="BR133" s="105">
        <f>'Hillpointe Detail'!BR133+'Sandhill Detail'!BR133</f>
        <v>2886.5924450070002</v>
      </c>
      <c r="BS133" s="105">
        <f>'Hillpointe Detail'!BS133+'Sandhill Detail'!BS133</f>
        <v>1898.8684235272003</v>
      </c>
      <c r="BT133" s="105">
        <f>'Hillpointe Detail'!BT133+'Sandhill Detail'!BT133</f>
        <v>987.93786815370015</v>
      </c>
      <c r="BU133" s="105">
        <f>'Hillpointe Detail'!BU133+'Sandhill Detail'!BU133</f>
        <v>4765.4718320686006</v>
      </c>
      <c r="BV133" s="105">
        <f>'Hillpointe Detail'!BV133+'Sandhill Detail'!BV133</f>
        <v>1995.6171608348002</v>
      </c>
      <c r="BW133" s="105">
        <f>'Hillpointe Detail'!BW133+'Sandhill Detail'!BW133</f>
        <v>3769.1714334566004</v>
      </c>
      <c r="BX133" s="105">
        <f>'Hillpointe Detail'!BX133+'Sandhill Detail'!BX133</f>
        <v>1172.8607664507963</v>
      </c>
      <c r="BY133" s="8"/>
      <c r="BZ133" s="105">
        <f t="shared" si="63"/>
        <v>3348.8599999999997</v>
      </c>
      <c r="CA133" s="105">
        <f t="shared" si="64"/>
        <v>25827.550000000003</v>
      </c>
      <c r="CC133" s="105">
        <f t="shared" si="59"/>
        <v>32937.51</v>
      </c>
      <c r="CD133" s="105">
        <f t="shared" si="65"/>
        <v>31365.55</v>
      </c>
      <c r="CE133" s="105">
        <f t="shared" si="65"/>
        <v>28921.06</v>
      </c>
      <c r="CF133" s="105">
        <f t="shared" si="65"/>
        <v>26869.621600000002</v>
      </c>
      <c r="CG133" s="105">
        <f t="shared" si="65"/>
        <v>27675.710247999999</v>
      </c>
      <c r="CH133" s="105">
        <f t="shared" si="65"/>
        <v>28505.981555440001</v>
      </c>
      <c r="CI133" s="105">
        <f t="shared" si="65"/>
        <v>29361.161002103199</v>
      </c>
      <c r="CJ133" s="105">
        <f t="shared" si="65"/>
        <v>30241.9958321663</v>
      </c>
      <c r="CL133" s="105"/>
      <c r="CM133" s="13"/>
    </row>
    <row r="134" spans="1:91" x14ac:dyDescent="0.3">
      <c r="A134" s="84" t="s">
        <v>90</v>
      </c>
      <c r="B134" s="10" t="s">
        <v>259</v>
      </c>
      <c r="C134" s="103">
        <v>6232.21</v>
      </c>
      <c r="D134" s="103">
        <v>7030.68</v>
      </c>
      <c r="E134" s="105">
        <f>'Hillpointe Detail'!E134+'Sandhill Detail'!E134</f>
        <v>0</v>
      </c>
      <c r="F134" s="105">
        <f>'Hillpointe Detail'!F134+'Sandhill Detail'!F134</f>
        <v>0</v>
      </c>
      <c r="G134" s="105">
        <f>'Hillpointe Detail'!G134+'Sandhill Detail'!G134</f>
        <v>0</v>
      </c>
      <c r="H134" s="105">
        <f>'Hillpointe Detail'!H134+'Sandhill Detail'!H134</f>
        <v>129.32</v>
      </c>
      <c r="I134" s="105">
        <f>'Hillpointe Detail'!I134+'Sandhill Detail'!I134</f>
        <v>472.34000000000003</v>
      </c>
      <c r="J134" s="105">
        <f>'Hillpointe Detail'!J134+'Sandhill Detail'!J134</f>
        <v>0</v>
      </c>
      <c r="K134" s="105">
        <f>'Hillpointe Detail'!K134+'Sandhill Detail'!K134</f>
        <v>0</v>
      </c>
      <c r="L134" s="105">
        <f>'Hillpointe Detail'!L134+'Sandhill Detail'!L134</f>
        <v>211.59</v>
      </c>
      <c r="M134" s="105">
        <f>'Hillpointe Detail'!M134+'Sandhill Detail'!M134</f>
        <v>43.149999999999977</v>
      </c>
      <c r="N134" s="105">
        <f>'Hillpointe Detail'!N134+'Sandhill Detail'!N134</f>
        <v>290.58</v>
      </c>
      <c r="O134" s="105">
        <f>'Hillpointe Detail'!O134+'Sandhill Detail'!O134</f>
        <v>0</v>
      </c>
      <c r="P134" s="105">
        <f>'Hillpointe Detail'!P134+'Sandhill Detail'!P134</f>
        <v>0</v>
      </c>
      <c r="Q134" s="105">
        <f>'Hillpointe Detail'!Q134+'Sandhill Detail'!Q134</f>
        <v>0</v>
      </c>
      <c r="R134" s="105">
        <f>'Hillpointe Detail'!R134+'Sandhill Detail'!R134</f>
        <v>231.75</v>
      </c>
      <c r="S134" s="105">
        <f>'Hillpointe Detail'!S134+'Sandhill Detail'!S134</f>
        <v>133.19999999999999</v>
      </c>
      <c r="T134" s="105">
        <f>'Hillpointe Detail'!T134+'Sandhill Detail'!T134</f>
        <v>1319.28</v>
      </c>
      <c r="U134" s="105">
        <f>'Hillpointe Detail'!U134+'Sandhill Detail'!U134</f>
        <v>240.35</v>
      </c>
      <c r="V134" s="105">
        <f>'Hillpointe Detail'!V134+'Sandhill Detail'!V134</f>
        <v>56.89</v>
      </c>
      <c r="W134" s="105">
        <f>'Hillpointe Detail'!W134+'Sandhill Detail'!W134</f>
        <v>2909.91</v>
      </c>
      <c r="X134" s="105">
        <f>'Hillpointe Detail'!X134+'Sandhill Detail'!X134</f>
        <v>2193.59</v>
      </c>
      <c r="Y134" s="105">
        <f>'Hillpointe Detail'!Y134+'Sandhill Detail'!Y134</f>
        <v>257.52999999999997</v>
      </c>
      <c r="Z134" s="105">
        <f>'Hillpointe Detail'!Z134+'Sandhill Detail'!Z134</f>
        <v>840.4</v>
      </c>
      <c r="AA134" s="105">
        <f>'Hillpointe Detail'!AA134+'Sandhill Detail'!AA134</f>
        <v>21.58</v>
      </c>
      <c r="AB134" s="105">
        <f>'Hillpointe Detail'!AB134+'Sandhill Detail'!AB134</f>
        <v>0</v>
      </c>
      <c r="AC134" s="105">
        <f>'Hillpointe Detail'!AC134+'Sandhill Detail'!AC134</f>
        <v>0</v>
      </c>
      <c r="AD134" s="105">
        <f>'Hillpointe Detail'!AD134+'Sandhill Detail'!AD134</f>
        <v>238.70250000000001</v>
      </c>
      <c r="AE134" s="105">
        <f>'Hillpointe Detail'!AE134+'Sandhill Detail'!AE134</f>
        <v>137.196</v>
      </c>
      <c r="AF134" s="105">
        <f>'Hillpointe Detail'!AF134+'Sandhill Detail'!AF134</f>
        <v>1358.8584000000001</v>
      </c>
      <c r="AG134" s="105">
        <f>'Hillpointe Detail'!AG134+'Sandhill Detail'!AG134</f>
        <v>247.56049999999999</v>
      </c>
      <c r="AH134" s="105">
        <f>'Hillpointe Detail'!AH134+'Sandhill Detail'!AH134</f>
        <v>58.596700000000006</v>
      </c>
      <c r="AI134" s="105">
        <f>'Hillpointe Detail'!AI134+'Sandhill Detail'!AI134</f>
        <v>2997.2073</v>
      </c>
      <c r="AJ134" s="105">
        <f>'Hillpointe Detail'!AJ134+'Sandhill Detail'!AJ134</f>
        <v>2259.3977000000004</v>
      </c>
      <c r="AK134" s="105">
        <f>'Hillpointe Detail'!AK134+'Sandhill Detail'!AK134</f>
        <v>265.2559</v>
      </c>
      <c r="AL134" s="105">
        <f>'Hillpointe Detail'!AL134+'Sandhill Detail'!AL134</f>
        <v>865.61199999999997</v>
      </c>
      <c r="AM134" s="105">
        <f>'Hillpointe Detail'!AM134+'Sandhill Detail'!AM134</f>
        <v>22.227399999999999</v>
      </c>
      <c r="AN134" s="105">
        <f>'Hillpointe Detail'!AN134+'Sandhill Detail'!AN134</f>
        <v>0</v>
      </c>
      <c r="AO134" s="105">
        <f>'Hillpointe Detail'!AO134+'Sandhill Detail'!AO134</f>
        <v>0</v>
      </c>
      <c r="AP134" s="105">
        <f>'Hillpointe Detail'!AP134+'Sandhill Detail'!AP134</f>
        <v>245.86357500000003</v>
      </c>
      <c r="AQ134" s="105">
        <f>'Hillpointe Detail'!AQ134+'Sandhill Detail'!AQ134</f>
        <v>141.31188</v>
      </c>
      <c r="AR134" s="105">
        <f>'Hillpointe Detail'!AR134+'Sandhill Detail'!AR134</f>
        <v>1399.6241520000001</v>
      </c>
      <c r="AS134" s="105">
        <f>'Hillpointe Detail'!AS134+'Sandhill Detail'!AS134</f>
        <v>254.987315</v>
      </c>
      <c r="AT134" s="105">
        <f>'Hillpointe Detail'!AT134+'Sandhill Detail'!AT134</f>
        <v>71.335113043478273</v>
      </c>
      <c r="AU134" s="105">
        <f>'Hillpointe Detail'!AU134+'Sandhill Detail'!AU134</f>
        <v>3676.2070482173913</v>
      </c>
      <c r="AV134" s="105">
        <f>'Hillpointe Detail'!AV134+'Sandhill Detail'!AV134</f>
        <v>2666.5756967826092</v>
      </c>
      <c r="AW134" s="105">
        <f>'Hillpointe Detail'!AW134+'Sandhill Detail'!AW134</f>
        <v>285.91383526086958</v>
      </c>
      <c r="AX134" s="105">
        <f>'Hillpointe Detail'!AX134+'Sandhill Detail'!AX134</f>
        <v>978.65626443478254</v>
      </c>
      <c r="AY134" s="105">
        <f>'Hillpointe Detail'!AY134+'Sandhill Detail'!AY134</f>
        <v>27.059443478260871</v>
      </c>
      <c r="AZ134" s="105">
        <f>'Hillpointe Detail'!AZ134+'Sandhill Detail'!AZ134</f>
        <v>0</v>
      </c>
      <c r="BA134" s="105">
        <f>'Hillpointe Detail'!BA134+'Sandhill Detail'!BA134</f>
        <v>0</v>
      </c>
      <c r="BB134" s="105">
        <f>'Hillpointe Detail'!BB134+'Sandhill Detail'!BB134</f>
        <v>253.23948225000004</v>
      </c>
      <c r="BC134" s="105">
        <f>'Hillpointe Detail'!BC134+'Sandhill Detail'!BC134</f>
        <v>145.55123639999999</v>
      </c>
      <c r="BD134" s="105">
        <f>'Hillpointe Detail'!BD134+'Sandhill Detail'!BD134</f>
        <v>1441.6128765600001</v>
      </c>
      <c r="BE134" s="105">
        <f>'Hillpointe Detail'!BE134+'Sandhill Detail'!BE134</f>
        <v>262.63693445000001</v>
      </c>
      <c r="BF134" s="105">
        <f>'Hillpointe Detail'!BF134+'Sandhill Detail'!BF134</f>
        <v>73.475166434782622</v>
      </c>
      <c r="BG134" s="105">
        <f>'Hillpointe Detail'!BG134+'Sandhill Detail'!BG134</f>
        <v>3786.4932596639132</v>
      </c>
      <c r="BH134" s="105">
        <f>'Hillpointe Detail'!BH134+'Sandhill Detail'!BH134</f>
        <v>2746.5729676860874</v>
      </c>
      <c r="BI134" s="105">
        <f>'Hillpointe Detail'!BI134+'Sandhill Detail'!BI134</f>
        <v>294.49125031869568</v>
      </c>
      <c r="BJ134" s="105">
        <f>'Hillpointe Detail'!BJ134+'Sandhill Detail'!BJ134</f>
        <v>1008.0159523678261</v>
      </c>
      <c r="BK134" s="105">
        <f>'Hillpointe Detail'!BK134+'Sandhill Detail'!BK134</f>
        <v>27.871226782608698</v>
      </c>
      <c r="BL134" s="105">
        <f>'Hillpointe Detail'!BL134+'Sandhill Detail'!BL134</f>
        <v>0</v>
      </c>
      <c r="BM134" s="105">
        <f>'Hillpointe Detail'!BM134+'Sandhill Detail'!BM134</f>
        <v>0</v>
      </c>
      <c r="BN134" s="105">
        <f>'Hillpointe Detail'!BN134+'Sandhill Detail'!BN134</f>
        <v>260.83666671750007</v>
      </c>
      <c r="BO134" s="105">
        <f>'Hillpointe Detail'!BO134+'Sandhill Detail'!BO134</f>
        <v>149.91777349200001</v>
      </c>
      <c r="BP134" s="105">
        <f>'Hillpointe Detail'!BP134+'Sandhill Detail'!BP134</f>
        <v>1484.8612628568001</v>
      </c>
      <c r="BQ134" s="105">
        <f>'Hillpointe Detail'!BQ134+'Sandhill Detail'!BQ134</f>
        <v>270.51604248350003</v>
      </c>
      <c r="BR134" s="105">
        <f>'Hillpointe Detail'!BR134+'Sandhill Detail'!BR134</f>
        <v>75.679421427826099</v>
      </c>
      <c r="BS134" s="105">
        <f>'Hillpointe Detail'!BS134+'Sandhill Detail'!BS134</f>
        <v>3900.0880574538305</v>
      </c>
      <c r="BT134" s="105">
        <f>'Hillpointe Detail'!BT134+'Sandhill Detail'!BT134</f>
        <v>2828.9701567166703</v>
      </c>
      <c r="BU134" s="105">
        <f>'Hillpointe Detail'!BU134+'Sandhill Detail'!BU134</f>
        <v>303.32598782825653</v>
      </c>
      <c r="BV134" s="105">
        <f>'Hillpointe Detail'!BV134+'Sandhill Detail'!BV134</f>
        <v>1038.2564309388608</v>
      </c>
      <c r="BW134" s="105">
        <f>'Hillpointe Detail'!BW134+'Sandhill Detail'!BW134</f>
        <v>28.707363586086959</v>
      </c>
      <c r="BX134" s="105">
        <f>'Hillpointe Detail'!BX134+'Sandhill Detail'!BX134</f>
        <v>0</v>
      </c>
      <c r="BY134" s="8"/>
      <c r="BZ134" s="105">
        <f t="shared" si="63"/>
        <v>21.58</v>
      </c>
      <c r="CA134" s="105">
        <f t="shared" si="64"/>
        <v>8204.48</v>
      </c>
      <c r="CC134" s="105">
        <f t="shared" si="59"/>
        <v>6232.21</v>
      </c>
      <c r="CD134" s="105">
        <f t="shared" si="65"/>
        <v>7030.68</v>
      </c>
      <c r="CE134" s="105">
        <f t="shared" si="65"/>
        <v>1146.98</v>
      </c>
      <c r="CF134" s="105">
        <f t="shared" si="65"/>
        <v>8204.48</v>
      </c>
      <c r="CG134" s="105">
        <f t="shared" si="65"/>
        <v>8450.6144000000004</v>
      </c>
      <c r="CH134" s="105">
        <f t="shared" si="65"/>
        <v>9747.5343232173927</v>
      </c>
      <c r="CI134" s="105">
        <f t="shared" si="65"/>
        <v>10039.960352913915</v>
      </c>
      <c r="CJ134" s="105">
        <f t="shared" si="65"/>
        <v>10341.159163501332</v>
      </c>
      <c r="CL134" s="105"/>
      <c r="CM134" s="13"/>
    </row>
    <row r="135" spans="1:91" x14ac:dyDescent="0.3">
      <c r="A135" s="84" t="s">
        <v>91</v>
      </c>
      <c r="B135" s="10" t="s">
        <v>139</v>
      </c>
      <c r="C135" s="103">
        <v>54850.61</v>
      </c>
      <c r="D135" s="103">
        <v>24178.82</v>
      </c>
      <c r="E135" s="105">
        <f>'Hillpointe Detail'!E135+'Sandhill Detail'!E135</f>
        <v>3295</v>
      </c>
      <c r="F135" s="105">
        <f>'Hillpointe Detail'!F135+'Sandhill Detail'!F135</f>
        <v>7508.96</v>
      </c>
      <c r="G135" s="105">
        <f>'Hillpointe Detail'!G135+'Sandhill Detail'!G135</f>
        <v>5208</v>
      </c>
      <c r="H135" s="105">
        <f>'Hillpointe Detail'!H135+'Sandhill Detail'!H135</f>
        <v>3743.1800000000003</v>
      </c>
      <c r="I135" s="105">
        <f>'Hillpointe Detail'!I135+'Sandhill Detail'!I135</f>
        <v>4626.2700000000004</v>
      </c>
      <c r="J135" s="105">
        <f>'Hillpointe Detail'!J135+'Sandhill Detail'!J135</f>
        <v>1654.5</v>
      </c>
      <c r="K135" s="105">
        <f>'Hillpointe Detail'!K135+'Sandhill Detail'!K135</f>
        <v>609</v>
      </c>
      <c r="L135" s="105">
        <f>'Hillpointe Detail'!L135+'Sandhill Detail'!L135</f>
        <v>1389.9999999999998</v>
      </c>
      <c r="M135" s="105">
        <f>'Hillpointe Detail'!M135+'Sandhill Detail'!M135</f>
        <v>2548.7300000000005</v>
      </c>
      <c r="N135" s="105">
        <f>'Hillpointe Detail'!N135+'Sandhill Detail'!N135</f>
        <v>3309.24</v>
      </c>
      <c r="O135" s="105">
        <f>'Hillpointe Detail'!O135+'Sandhill Detail'!O135</f>
        <v>1599.74</v>
      </c>
      <c r="P135" s="105">
        <f>'Hillpointe Detail'!P135+'Sandhill Detail'!P135</f>
        <v>2333.2400000000002</v>
      </c>
      <c r="Q135" s="105">
        <f>'Hillpointe Detail'!Q135+'Sandhill Detail'!Q135</f>
        <v>-208.76</v>
      </c>
      <c r="R135" s="105">
        <f>'Hillpointe Detail'!R135+'Sandhill Detail'!R135</f>
        <v>4544.82</v>
      </c>
      <c r="S135" s="105">
        <f>'Hillpointe Detail'!S135+'Sandhill Detail'!S135</f>
        <v>1822.42</v>
      </c>
      <c r="T135" s="105">
        <f>'Hillpointe Detail'!T135+'Sandhill Detail'!T135</f>
        <v>6115.12</v>
      </c>
      <c r="U135" s="105">
        <f>'Hillpointe Detail'!U135+'Sandhill Detail'!U135</f>
        <v>4394.84</v>
      </c>
      <c r="V135" s="105">
        <f>'Hillpointe Detail'!V135+'Sandhill Detail'!V135</f>
        <v>1184.2</v>
      </c>
      <c r="W135" s="105">
        <f>'Hillpointe Detail'!W135+'Sandhill Detail'!W135</f>
        <v>5274.5</v>
      </c>
      <c r="X135" s="105">
        <f>'Hillpointe Detail'!X135+'Sandhill Detail'!X135</f>
        <v>637.95000000000005</v>
      </c>
      <c r="Y135" s="105">
        <f>'Hillpointe Detail'!Y135+'Sandhill Detail'!Y135</f>
        <v>8467.14</v>
      </c>
      <c r="Z135" s="105">
        <f>'Hillpointe Detail'!Z135+'Sandhill Detail'!Z135</f>
        <v>1038</v>
      </c>
      <c r="AA135" s="105">
        <f>'Hillpointe Detail'!AA135+'Sandhill Detail'!AA135</f>
        <v>2149.81</v>
      </c>
      <c r="AB135" s="105">
        <f>'Hillpointe Detail'!AB135+'Sandhill Detail'!AB135</f>
        <v>2403.2372</v>
      </c>
      <c r="AC135" s="105">
        <f>'Hillpointe Detail'!AC135+'Sandhill Detail'!AC135</f>
        <v>-215.02279999999999</v>
      </c>
      <c r="AD135" s="105">
        <f>'Hillpointe Detail'!AD135+'Sandhill Detail'!AD135</f>
        <v>4681.1645999999992</v>
      </c>
      <c r="AE135" s="105">
        <f>'Hillpointe Detail'!AE135+'Sandhill Detail'!AE135</f>
        <v>1877.0925999999999</v>
      </c>
      <c r="AF135" s="105">
        <f>'Hillpointe Detail'!AF135+'Sandhill Detail'!AF135</f>
        <v>6298.5736000000006</v>
      </c>
      <c r="AG135" s="105">
        <f>'Hillpointe Detail'!AG135+'Sandhill Detail'!AG135</f>
        <v>4526.6851999999999</v>
      </c>
      <c r="AH135" s="105">
        <f>'Hillpointe Detail'!AH135+'Sandhill Detail'!AH135</f>
        <v>1219.7260000000001</v>
      </c>
      <c r="AI135" s="105">
        <f>'Hillpointe Detail'!AI135+'Sandhill Detail'!AI135</f>
        <v>5432.7349999999997</v>
      </c>
      <c r="AJ135" s="105">
        <f>'Hillpointe Detail'!AJ135+'Sandhill Detail'!AJ135</f>
        <v>657.08850000000007</v>
      </c>
      <c r="AK135" s="105">
        <f>'Hillpointe Detail'!AK135+'Sandhill Detail'!AK135</f>
        <v>8721.1542000000009</v>
      </c>
      <c r="AL135" s="105">
        <f>'Hillpointe Detail'!AL135+'Sandhill Detail'!AL135</f>
        <v>1069.1400000000001</v>
      </c>
      <c r="AM135" s="105">
        <f>'Hillpointe Detail'!AM135+'Sandhill Detail'!AM135</f>
        <v>2214.3042999999998</v>
      </c>
      <c r="AN135" s="105">
        <f>'Hillpointe Detail'!AN135+'Sandhill Detail'!AN135</f>
        <v>2475.3343160000004</v>
      </c>
      <c r="AO135" s="105">
        <f>'Hillpointe Detail'!AO135+'Sandhill Detail'!AO135</f>
        <v>-221.25730939130437</v>
      </c>
      <c r="AP135" s="105">
        <f>'Hillpointe Detail'!AP135+'Sandhill Detail'!AP135</f>
        <v>5623.8872051739127</v>
      </c>
      <c r="AQ135" s="105">
        <f>'Hillpointe Detail'!AQ135+'Sandhill Detail'!AQ135</f>
        <v>2273.1430768695654</v>
      </c>
      <c r="AR135" s="105">
        <f>'Hillpointe Detail'!AR135+'Sandhill Detail'!AR135</f>
        <v>7602.5903217391315</v>
      </c>
      <c r="AS135" s="105">
        <f>'Hillpointe Detail'!AS135+'Sandhill Detail'!AS135</f>
        <v>5194.3988217391307</v>
      </c>
      <c r="AT135" s="105">
        <f>'Hillpointe Detail'!AT135+'Sandhill Detail'!AT135</f>
        <v>1447.3389288695653</v>
      </c>
      <c r="AU135" s="105">
        <f>'Hillpointe Detail'!AU135+'Sandhill Detail'!AU135</f>
        <v>6368.8307956521749</v>
      </c>
      <c r="AV135" s="105">
        <f>'Hillpointe Detail'!AV135+'Sandhill Detail'!AV135</f>
        <v>821.46443108695667</v>
      </c>
      <c r="AW135" s="105">
        <f>'Hillpointe Detail'!AW135+'Sandhill Detail'!AW135</f>
        <v>10538.50097826087</v>
      </c>
      <c r="AX135" s="105">
        <f>'Hillpointe Detail'!AX135+'Sandhill Detail'!AX135</f>
        <v>1301.5617391304349</v>
      </c>
      <c r="AY135" s="105">
        <f>'Hillpointe Detail'!AY135+'Sandhill Detail'!AY135</f>
        <v>2670.9633400434782</v>
      </c>
      <c r="AZ135" s="105">
        <f>'Hillpointe Detail'!AZ135+'Sandhill Detail'!AZ135</f>
        <v>2951.2130683591308</v>
      </c>
      <c r="BA135" s="105">
        <f>'Hillpointe Detail'!BA135+'Sandhill Detail'!BA135</f>
        <v>-227.8950286730435</v>
      </c>
      <c r="BB135" s="105">
        <f>'Hillpointe Detail'!BB135+'Sandhill Detail'!BB135</f>
        <v>5792.6038213291304</v>
      </c>
      <c r="BC135" s="105">
        <f>'Hillpointe Detail'!BC135+'Sandhill Detail'!BC135</f>
        <v>2341.3373691756524</v>
      </c>
      <c r="BD135" s="105">
        <f>'Hillpointe Detail'!BD135+'Sandhill Detail'!BD135</f>
        <v>7830.6680313913048</v>
      </c>
      <c r="BE135" s="105">
        <f>'Hillpointe Detail'!BE135+'Sandhill Detail'!BE135</f>
        <v>5350.2307863913047</v>
      </c>
      <c r="BF135" s="105">
        <f>'Hillpointe Detail'!BF135+'Sandhill Detail'!BF135</f>
        <v>1490.7590967356523</v>
      </c>
      <c r="BG135" s="105">
        <f>'Hillpointe Detail'!BG135+'Sandhill Detail'!BG135</f>
        <v>6559.8957195217399</v>
      </c>
      <c r="BH135" s="105">
        <f>'Hillpointe Detail'!BH135+'Sandhill Detail'!BH135</f>
        <v>846.10836401956544</v>
      </c>
      <c r="BI135" s="105">
        <f>'Hillpointe Detail'!BI135+'Sandhill Detail'!BI135</f>
        <v>10854.656007608697</v>
      </c>
      <c r="BJ135" s="105">
        <f>'Hillpointe Detail'!BJ135+'Sandhill Detail'!BJ135</f>
        <v>1340.608591304348</v>
      </c>
      <c r="BK135" s="105">
        <f>'Hillpointe Detail'!BK135+'Sandhill Detail'!BK135</f>
        <v>2751.0922402447827</v>
      </c>
      <c r="BL135" s="105">
        <f>'Hillpointe Detail'!BL135+'Sandhill Detail'!BL135</f>
        <v>3039.7494604099047</v>
      </c>
      <c r="BM135" s="105">
        <f>'Hillpointe Detail'!BM135+'Sandhill Detail'!BM135</f>
        <v>-234.7318795332348</v>
      </c>
      <c r="BN135" s="105">
        <f>'Hillpointe Detail'!BN135+'Sandhill Detail'!BN135</f>
        <v>5966.3819359690051</v>
      </c>
      <c r="BO135" s="105">
        <f>'Hillpointe Detail'!BO135+'Sandhill Detail'!BO135</f>
        <v>2411.577490250922</v>
      </c>
      <c r="BP135" s="105">
        <f>'Hillpointe Detail'!BP135+'Sandhill Detail'!BP135</f>
        <v>8065.5880723330447</v>
      </c>
      <c r="BQ135" s="105">
        <f>'Hillpointe Detail'!BQ135+'Sandhill Detail'!BQ135</f>
        <v>5510.7377099830446</v>
      </c>
      <c r="BR135" s="105">
        <f>'Hillpointe Detail'!BR135+'Sandhill Detail'!BR135</f>
        <v>1535.481869637722</v>
      </c>
      <c r="BS135" s="105">
        <f>'Hillpointe Detail'!BS135+'Sandhill Detail'!BS135</f>
        <v>6756.6925911073922</v>
      </c>
      <c r="BT135" s="105">
        <f>'Hillpointe Detail'!BT135+'Sandhill Detail'!BT135</f>
        <v>871.49161494015243</v>
      </c>
      <c r="BU135" s="105">
        <f>'Hillpointe Detail'!BU135+'Sandhill Detail'!BU135</f>
        <v>11180.295687836957</v>
      </c>
      <c r="BV135" s="105">
        <f>'Hillpointe Detail'!BV135+'Sandhill Detail'!BV135</f>
        <v>1380.8268490434784</v>
      </c>
      <c r="BW135" s="105">
        <f>'Hillpointe Detail'!BW135+'Sandhill Detail'!BW135</f>
        <v>2833.6250074521263</v>
      </c>
      <c r="BX135" s="105">
        <f>'Hillpointe Detail'!BX135+'Sandhill Detail'!BX135</f>
        <v>3130.941944222202</v>
      </c>
      <c r="BY135" s="8"/>
      <c r="BZ135" s="105">
        <f t="shared" si="63"/>
        <v>2149.81</v>
      </c>
      <c r="CA135" s="105">
        <f t="shared" si="64"/>
        <v>35420.039999999994</v>
      </c>
      <c r="CC135" s="105">
        <f t="shared" si="59"/>
        <v>54850.61</v>
      </c>
      <c r="CD135" s="105">
        <f t="shared" si="65"/>
        <v>24178.82</v>
      </c>
      <c r="CE135" s="105">
        <f t="shared" si="65"/>
        <v>37825.859999999993</v>
      </c>
      <c r="CF135" s="105">
        <f t="shared" si="65"/>
        <v>37823.277199999997</v>
      </c>
      <c r="CG135" s="105">
        <f t="shared" si="65"/>
        <v>38957.975515999999</v>
      </c>
      <c r="CH135" s="105">
        <f t="shared" si="65"/>
        <v>46572.635397533042</v>
      </c>
      <c r="CI135" s="105">
        <f t="shared" si="65"/>
        <v>47969.814459459041</v>
      </c>
      <c r="CJ135" s="105">
        <f t="shared" si="65"/>
        <v>49408.908893242806</v>
      </c>
      <c r="CL135" s="105"/>
      <c r="CM135" s="13"/>
    </row>
    <row r="136" spans="1:91" x14ac:dyDescent="0.3">
      <c r="A136" s="84" t="s">
        <v>92</v>
      </c>
      <c r="B136" s="10" t="s">
        <v>138</v>
      </c>
      <c r="C136" s="103">
        <v>17095.189999999999</v>
      </c>
      <c r="D136" s="103">
        <v>7385.43</v>
      </c>
      <c r="E136" s="105">
        <f>'Hillpointe Detail'!E136+'Sandhill Detail'!E136</f>
        <v>1799.0900000000001</v>
      </c>
      <c r="F136" s="105">
        <f>'Hillpointe Detail'!F136+'Sandhill Detail'!F136</f>
        <v>177</v>
      </c>
      <c r="G136" s="105">
        <f>'Hillpointe Detail'!G136+'Sandhill Detail'!G136</f>
        <v>1456.04</v>
      </c>
      <c r="H136" s="105">
        <f>'Hillpointe Detail'!H136+'Sandhill Detail'!H136</f>
        <v>2911.33</v>
      </c>
      <c r="I136" s="105">
        <f>'Hillpointe Detail'!I136+'Sandhill Detail'!I136</f>
        <v>551.94000000000005</v>
      </c>
      <c r="J136" s="105">
        <f>'Hillpointe Detail'!J136+'Sandhill Detail'!J136</f>
        <v>1041.54</v>
      </c>
      <c r="K136" s="105">
        <f>'Hillpointe Detail'!K136+'Sandhill Detail'!K136</f>
        <v>0</v>
      </c>
      <c r="L136" s="105">
        <f>'Hillpointe Detail'!L136+'Sandhill Detail'!L136</f>
        <v>2081.83</v>
      </c>
      <c r="M136" s="105">
        <f>'Hillpointe Detail'!M136+'Sandhill Detail'!M136</f>
        <v>594.71</v>
      </c>
      <c r="N136" s="105">
        <f>'Hillpointe Detail'!N136+'Sandhill Detail'!N136</f>
        <v>676</v>
      </c>
      <c r="O136" s="105">
        <f>'Hillpointe Detail'!O136+'Sandhill Detail'!O136</f>
        <v>671.83</v>
      </c>
      <c r="P136" s="105">
        <f>'Hillpointe Detail'!P136+'Sandhill Detail'!P136</f>
        <v>4828.7999999999993</v>
      </c>
      <c r="Q136" s="105">
        <f>'Hillpointe Detail'!Q136+'Sandhill Detail'!Q136</f>
        <v>1857.06</v>
      </c>
      <c r="R136" s="105">
        <f>'Hillpointe Detail'!R136+'Sandhill Detail'!R136</f>
        <v>2963.91</v>
      </c>
      <c r="S136" s="105">
        <f>'Hillpointe Detail'!S136+'Sandhill Detail'!S136</f>
        <v>1322.42</v>
      </c>
      <c r="T136" s="105">
        <f>'Hillpointe Detail'!T136+'Sandhill Detail'!T136</f>
        <v>1606.46</v>
      </c>
      <c r="U136" s="105">
        <f>'Hillpointe Detail'!U136+'Sandhill Detail'!U136</f>
        <v>277</v>
      </c>
      <c r="V136" s="105">
        <f>'Hillpointe Detail'!V136+'Sandhill Detail'!V136</f>
        <v>490</v>
      </c>
      <c r="W136" s="105">
        <f>'Hillpointe Detail'!W136+'Sandhill Detail'!W136</f>
        <v>1111.8499999999999</v>
      </c>
      <c r="X136" s="105">
        <f>'Hillpointe Detail'!X136+'Sandhill Detail'!X136</f>
        <v>3427.1400000000003</v>
      </c>
      <c r="Y136" s="105">
        <f>'Hillpointe Detail'!Y136+'Sandhill Detail'!Y136</f>
        <v>1272.01</v>
      </c>
      <c r="Z136" s="105">
        <f>'Hillpointe Detail'!Z136+'Sandhill Detail'!Z136</f>
        <v>139.85</v>
      </c>
      <c r="AA136" s="105">
        <f>'Hillpointe Detail'!AA136+'Sandhill Detail'!AA136</f>
        <v>584.85</v>
      </c>
      <c r="AB136" s="105">
        <f>'Hillpointe Detail'!AB136+'Sandhill Detail'!AB136</f>
        <v>4973.6639999999998</v>
      </c>
      <c r="AC136" s="105">
        <f>'Hillpointe Detail'!AC136+'Sandhill Detail'!AC136</f>
        <v>1912.7718</v>
      </c>
      <c r="AD136" s="105">
        <f>'Hillpointe Detail'!AD136+'Sandhill Detail'!AD136</f>
        <v>3052.8272999999999</v>
      </c>
      <c r="AE136" s="105">
        <f>'Hillpointe Detail'!AE136+'Sandhill Detail'!AE136</f>
        <v>1362.0926000000002</v>
      </c>
      <c r="AF136" s="105">
        <f>'Hillpointe Detail'!AF136+'Sandhill Detail'!AF136</f>
        <v>1654.6538</v>
      </c>
      <c r="AG136" s="105">
        <f>'Hillpointe Detail'!AG136+'Sandhill Detail'!AG136</f>
        <v>285.31</v>
      </c>
      <c r="AH136" s="105">
        <f>'Hillpointe Detail'!AH136+'Sandhill Detail'!AH136</f>
        <v>504.7</v>
      </c>
      <c r="AI136" s="105">
        <f>'Hillpointe Detail'!AI136+'Sandhill Detail'!AI136</f>
        <v>1145.2055</v>
      </c>
      <c r="AJ136" s="105">
        <f>'Hillpointe Detail'!AJ136+'Sandhill Detail'!AJ136</f>
        <v>3529.9542000000001</v>
      </c>
      <c r="AK136" s="105">
        <f>'Hillpointe Detail'!AK136+'Sandhill Detail'!AK136</f>
        <v>1310.1703</v>
      </c>
      <c r="AL136" s="105">
        <f>'Hillpointe Detail'!AL136+'Sandhill Detail'!AL136</f>
        <v>144.0455</v>
      </c>
      <c r="AM136" s="105">
        <f>'Hillpointe Detail'!AM136+'Sandhill Detail'!AM136</f>
        <v>602.39549999999997</v>
      </c>
      <c r="AN136" s="105">
        <f>'Hillpointe Detail'!AN136+'Sandhill Detail'!AN136</f>
        <v>5122.87392</v>
      </c>
      <c r="AO136" s="105">
        <f>'Hillpointe Detail'!AO136+'Sandhill Detail'!AO136</f>
        <v>2362.5659124347826</v>
      </c>
      <c r="AP136" s="105">
        <f>'Hillpointe Detail'!AP136+'Sandhill Detail'!AP136</f>
        <v>3716.4854086956525</v>
      </c>
      <c r="AQ136" s="105">
        <f>'Hillpointe Detail'!AQ136+'Sandhill Detail'!AQ136</f>
        <v>1640.8285130434786</v>
      </c>
      <c r="AR136" s="105">
        <f>'Hillpointe Detail'!AR136+'Sandhill Detail'!AR136</f>
        <v>2014.3611478260871</v>
      </c>
      <c r="AS136" s="105">
        <f>'Hillpointe Detail'!AS136+'Sandhill Detail'!AS136</f>
        <v>305.45008260869565</v>
      </c>
      <c r="AT136" s="105">
        <f>'Hillpointe Detail'!AT136+'Sandhill Detail'!AT136</f>
        <v>608.62700000000007</v>
      </c>
      <c r="AU136" s="105">
        <f>'Hillpointe Detail'!AU136+'Sandhill Detail'!AU136</f>
        <v>1333.2000476086957</v>
      </c>
      <c r="AV136" s="105">
        <f>'Hillpointe Detail'!AV136+'Sandhill Detail'!AV136</f>
        <v>4236.3704479130438</v>
      </c>
      <c r="AW136" s="105">
        <f>'Hillpointe Detail'!AW136+'Sandhill Detail'!AW136</f>
        <v>1596.532104652174</v>
      </c>
      <c r="AX136" s="105">
        <f>'Hillpointe Detail'!AX136+'Sandhill Detail'!AX136</f>
        <v>157.05245195652174</v>
      </c>
      <c r="AY136" s="105">
        <f>'Hillpointe Detail'!AY136+'Sandhill Detail'!AY136</f>
        <v>715.04375630434777</v>
      </c>
      <c r="AZ136" s="105">
        <f>'Hillpointe Detail'!AZ136+'Sandhill Detail'!AZ136</f>
        <v>6183.6564737573917</v>
      </c>
      <c r="BA136" s="105">
        <f>'Hillpointe Detail'!BA136+'Sandhill Detail'!BA136</f>
        <v>2433.4428898078263</v>
      </c>
      <c r="BB136" s="105">
        <f>'Hillpointe Detail'!BB136+'Sandhill Detail'!BB136</f>
        <v>3827.9799709565223</v>
      </c>
      <c r="BC136" s="105">
        <f>'Hillpointe Detail'!BC136+'Sandhill Detail'!BC136</f>
        <v>1690.0533684347831</v>
      </c>
      <c r="BD136" s="105">
        <f>'Hillpointe Detail'!BD136+'Sandhill Detail'!BD136</f>
        <v>2074.7919822608696</v>
      </c>
      <c r="BE136" s="105">
        <f>'Hillpointe Detail'!BE136+'Sandhill Detail'!BE136</f>
        <v>314.61358508695656</v>
      </c>
      <c r="BF136" s="105">
        <f>'Hillpointe Detail'!BF136+'Sandhill Detail'!BF136</f>
        <v>626.88580999999999</v>
      </c>
      <c r="BG136" s="105">
        <f>'Hillpointe Detail'!BG136+'Sandhill Detail'!BG136</f>
        <v>1373.1960490369568</v>
      </c>
      <c r="BH136" s="105">
        <f>'Hillpointe Detail'!BH136+'Sandhill Detail'!BH136</f>
        <v>4363.4615613504357</v>
      </c>
      <c r="BI136" s="105">
        <f>'Hillpointe Detail'!BI136+'Sandhill Detail'!BI136</f>
        <v>1644.4280677917393</v>
      </c>
      <c r="BJ136" s="105">
        <f>'Hillpointe Detail'!BJ136+'Sandhill Detail'!BJ136</f>
        <v>161.76402551521738</v>
      </c>
      <c r="BK136" s="105">
        <f>'Hillpointe Detail'!BK136+'Sandhill Detail'!BK136</f>
        <v>736.4950689934783</v>
      </c>
      <c r="BL136" s="105">
        <f>'Hillpointe Detail'!BL136+'Sandhill Detail'!BL136</f>
        <v>6369.1661679701137</v>
      </c>
      <c r="BM136" s="105">
        <f>'Hillpointe Detail'!BM136+'Sandhill Detail'!BM136</f>
        <v>2506.4461765020615</v>
      </c>
      <c r="BN136" s="105">
        <f>'Hillpointe Detail'!BN136+'Sandhill Detail'!BN136</f>
        <v>3942.819370085218</v>
      </c>
      <c r="BO136" s="105">
        <f>'Hillpointe Detail'!BO136+'Sandhill Detail'!BO136</f>
        <v>1740.7549694878264</v>
      </c>
      <c r="BP136" s="105">
        <f>'Hillpointe Detail'!BP136+'Sandhill Detail'!BP136</f>
        <v>2137.0357417286959</v>
      </c>
      <c r="BQ136" s="105">
        <f>'Hillpointe Detail'!BQ136+'Sandhill Detail'!BQ136</f>
        <v>324.05199263956524</v>
      </c>
      <c r="BR136" s="105">
        <f>'Hillpointe Detail'!BR136+'Sandhill Detail'!BR136</f>
        <v>645.69238430000007</v>
      </c>
      <c r="BS136" s="105">
        <f>'Hillpointe Detail'!BS136+'Sandhill Detail'!BS136</f>
        <v>1414.3919305080653</v>
      </c>
      <c r="BT136" s="105">
        <f>'Hillpointe Detail'!BT136+'Sandhill Detail'!BT136</f>
        <v>4494.365408190949</v>
      </c>
      <c r="BU136" s="105">
        <f>'Hillpointe Detail'!BU136+'Sandhill Detail'!BU136</f>
        <v>1693.7609098254916</v>
      </c>
      <c r="BV136" s="105">
        <f>'Hillpointe Detail'!BV136+'Sandhill Detail'!BV136</f>
        <v>166.61694628067391</v>
      </c>
      <c r="BW136" s="105">
        <f>'Hillpointe Detail'!BW136+'Sandhill Detail'!BW136</f>
        <v>758.58992106328265</v>
      </c>
      <c r="BX136" s="105">
        <f>'Hillpointe Detail'!BX136+'Sandhill Detail'!BX136</f>
        <v>6560.2411530092168</v>
      </c>
      <c r="BY136" s="8"/>
      <c r="BZ136" s="105">
        <f t="shared" si="63"/>
        <v>584.85</v>
      </c>
      <c r="CA136" s="105">
        <f t="shared" si="64"/>
        <v>15052.550000000001</v>
      </c>
      <c r="CC136" s="105">
        <f t="shared" si="59"/>
        <v>17095.189999999999</v>
      </c>
      <c r="CD136" s="105">
        <f t="shared" si="65"/>
        <v>7385.43</v>
      </c>
      <c r="CE136" s="105">
        <f t="shared" si="65"/>
        <v>16790.11</v>
      </c>
      <c r="CF136" s="105">
        <f t="shared" si="65"/>
        <v>20026.214</v>
      </c>
      <c r="CG136" s="105">
        <f t="shared" si="65"/>
        <v>20627.00042</v>
      </c>
      <c r="CH136" s="105">
        <f t="shared" si="65"/>
        <v>24870.173346800875</v>
      </c>
      <c r="CI136" s="105">
        <f t="shared" si="65"/>
        <v>25616.278547204896</v>
      </c>
      <c r="CJ136" s="105">
        <f t="shared" si="65"/>
        <v>26384.766903621046</v>
      </c>
      <c r="CL136" s="105"/>
      <c r="CM136" s="13"/>
    </row>
    <row r="137" spans="1:91" x14ac:dyDescent="0.3">
      <c r="A137" s="84" t="s">
        <v>93</v>
      </c>
      <c r="B137" s="10" t="s">
        <v>138</v>
      </c>
      <c r="C137" s="103">
        <v>3961.69</v>
      </c>
      <c r="D137" s="103">
        <v>3340.86</v>
      </c>
      <c r="E137" s="105">
        <f>'Hillpointe Detail'!E137+'Sandhill Detail'!E137</f>
        <v>-115.53</v>
      </c>
      <c r="F137" s="105">
        <f>'Hillpointe Detail'!F137+'Sandhill Detail'!F137</f>
        <v>115.53</v>
      </c>
      <c r="G137" s="105">
        <f>'Hillpointe Detail'!G137+'Sandhill Detail'!G137</f>
        <v>228.9</v>
      </c>
      <c r="H137" s="105">
        <f>'Hillpointe Detail'!H137+'Sandhill Detail'!H137</f>
        <v>116.32</v>
      </c>
      <c r="I137" s="105">
        <f>'Hillpointe Detail'!I137+'Sandhill Detail'!I137</f>
        <v>114.42</v>
      </c>
      <c r="J137" s="105">
        <f>'Hillpointe Detail'!J137+'Sandhill Detail'!J137</f>
        <v>261.01</v>
      </c>
      <c r="K137" s="105">
        <f>'Hillpointe Detail'!K137+'Sandhill Detail'!K137</f>
        <v>0</v>
      </c>
      <c r="L137" s="105">
        <f>'Hillpointe Detail'!L137+'Sandhill Detail'!L137</f>
        <v>243.84999999999991</v>
      </c>
      <c r="M137" s="105">
        <f>'Hillpointe Detail'!M137+'Sandhill Detail'!M137</f>
        <v>7792.73</v>
      </c>
      <c r="N137" s="105">
        <f>'Hillpointe Detail'!N137+'Sandhill Detail'!N137</f>
        <v>1470.08</v>
      </c>
      <c r="O137" s="105">
        <f>'Hillpointe Detail'!O137+'Sandhill Detail'!O137</f>
        <v>140.88</v>
      </c>
      <c r="P137" s="105">
        <f>'Hillpointe Detail'!P137+'Sandhill Detail'!P137</f>
        <v>121.33</v>
      </c>
      <c r="Q137" s="105">
        <f>'Hillpointe Detail'!Q137+'Sandhill Detail'!Q137</f>
        <v>115.16</v>
      </c>
      <c r="R137" s="105">
        <f>'Hillpointe Detail'!R137+'Sandhill Detail'!R137</f>
        <v>117.89</v>
      </c>
      <c r="S137" s="105">
        <f>'Hillpointe Detail'!S137+'Sandhill Detail'!S137</f>
        <v>117.48</v>
      </c>
      <c r="T137" s="105">
        <f>'Hillpointe Detail'!T137+'Sandhill Detail'!T137</f>
        <v>119.15</v>
      </c>
      <c r="U137" s="105">
        <f>'Hillpointe Detail'!U137+'Sandhill Detail'!U137</f>
        <v>185.54</v>
      </c>
      <c r="V137" s="105">
        <f>'Hillpointe Detail'!V137+'Sandhill Detail'!V137</f>
        <v>762.48</v>
      </c>
      <c r="W137" s="105">
        <f>'Hillpointe Detail'!W137+'Sandhill Detail'!W137</f>
        <v>824.41</v>
      </c>
      <c r="X137" s="105">
        <f>'Hillpointe Detail'!X137+'Sandhill Detail'!X137</f>
        <v>633.66</v>
      </c>
      <c r="Y137" s="105">
        <f>'Hillpointe Detail'!Y137+'Sandhill Detail'!Y137</f>
        <v>0</v>
      </c>
      <c r="Z137" s="105">
        <f>'Hillpointe Detail'!Z137+'Sandhill Detail'!Z137</f>
        <v>594.54999999999995</v>
      </c>
      <c r="AA137" s="105">
        <f>'Hillpointe Detail'!AA137+'Sandhill Detail'!AA137</f>
        <v>120.61</v>
      </c>
      <c r="AB137" s="105">
        <f>'Hillpointe Detail'!AB137+'Sandhill Detail'!AB137</f>
        <v>124.9699</v>
      </c>
      <c r="AC137" s="105">
        <f>'Hillpointe Detail'!AC137+'Sandhill Detail'!AC137</f>
        <v>118.6148</v>
      </c>
      <c r="AD137" s="105">
        <f>'Hillpointe Detail'!AD137+'Sandhill Detail'!AD137</f>
        <v>121.4267</v>
      </c>
      <c r="AE137" s="105">
        <f>'Hillpointe Detail'!AE137+'Sandhill Detail'!AE137</f>
        <v>121.0044</v>
      </c>
      <c r="AF137" s="105">
        <f>'Hillpointe Detail'!AF137+'Sandhill Detail'!AF137</f>
        <v>122.72450000000001</v>
      </c>
      <c r="AG137" s="105">
        <f>'Hillpointe Detail'!AG137+'Sandhill Detail'!AG137</f>
        <v>191.1062</v>
      </c>
      <c r="AH137" s="105">
        <f>'Hillpointe Detail'!AH137+'Sandhill Detail'!AH137</f>
        <v>785.35440000000006</v>
      </c>
      <c r="AI137" s="105">
        <f>'Hillpointe Detail'!AI137+'Sandhill Detail'!AI137</f>
        <v>849.14229999999998</v>
      </c>
      <c r="AJ137" s="105">
        <f>'Hillpointe Detail'!AJ137+'Sandhill Detail'!AJ137</f>
        <v>652.66980000000001</v>
      </c>
      <c r="AK137" s="105">
        <f>'Hillpointe Detail'!AK137+'Sandhill Detail'!AK137</f>
        <v>0</v>
      </c>
      <c r="AL137" s="105">
        <f>'Hillpointe Detail'!AL137+'Sandhill Detail'!AL137</f>
        <v>612.38649999999996</v>
      </c>
      <c r="AM137" s="105">
        <f>'Hillpointe Detail'!AM137+'Sandhill Detail'!AM137</f>
        <v>124.2283</v>
      </c>
      <c r="AN137" s="105">
        <f>'Hillpointe Detail'!AN137+'Sandhill Detail'!AN137</f>
        <v>128.718997</v>
      </c>
      <c r="AO137" s="105">
        <f>'Hillpointe Detail'!AO137+'Sandhill Detail'!AO137</f>
        <v>144.40062608695652</v>
      </c>
      <c r="AP137" s="105">
        <f>'Hillpointe Detail'!AP137+'Sandhill Detail'!AP137</f>
        <v>147.82380869565219</v>
      </c>
      <c r="AQ137" s="105">
        <f>'Hillpointe Detail'!AQ137+'Sandhill Detail'!AQ137</f>
        <v>147.30970434782611</v>
      </c>
      <c r="AR137" s="105">
        <f>'Hillpointe Detail'!AR137+'Sandhill Detail'!AR137</f>
        <v>149.40373913043479</v>
      </c>
      <c r="AS137" s="105">
        <f>'Hillpointe Detail'!AS137+'Sandhill Detail'!AS137</f>
        <v>232.65102608695653</v>
      </c>
      <c r="AT137" s="105">
        <f>'Hillpointe Detail'!AT137+'Sandhill Detail'!AT137</f>
        <v>956.08361739130453</v>
      </c>
      <c r="AU137" s="105">
        <f>'Hillpointe Detail'!AU137+'Sandhill Detail'!AU137</f>
        <v>1033.7384521739132</v>
      </c>
      <c r="AV137" s="105">
        <f>'Hillpointe Detail'!AV137+'Sandhill Detail'!AV137</f>
        <v>794.55453913043482</v>
      </c>
      <c r="AW137" s="105">
        <f>'Hillpointe Detail'!AW137+'Sandhill Detail'!AW137</f>
        <v>0</v>
      </c>
      <c r="AX137" s="105">
        <f>'Hillpointe Detail'!AX137+'Sandhill Detail'!AX137</f>
        <v>745.51400000000001</v>
      </c>
      <c r="AY137" s="105">
        <f>'Hillpointe Detail'!AY137+'Sandhill Detail'!AY137</f>
        <v>151.23445217391307</v>
      </c>
      <c r="AZ137" s="105">
        <f>'Hillpointe Detail'!AZ137+'Sandhill Detail'!AZ137</f>
        <v>156.70138765217393</v>
      </c>
      <c r="BA137" s="105">
        <f>'Hillpointe Detail'!BA137+'Sandhill Detail'!BA137</f>
        <v>148.73264486956523</v>
      </c>
      <c r="BB137" s="105">
        <f>'Hillpointe Detail'!BB137+'Sandhill Detail'!BB137</f>
        <v>152.25852295652177</v>
      </c>
      <c r="BC137" s="105">
        <f>'Hillpointe Detail'!BC137+'Sandhill Detail'!BC137</f>
        <v>151.72899547826091</v>
      </c>
      <c r="BD137" s="105">
        <f>'Hillpointe Detail'!BD137+'Sandhill Detail'!BD137</f>
        <v>153.88585130434782</v>
      </c>
      <c r="BE137" s="105">
        <f>'Hillpointe Detail'!BE137+'Sandhill Detail'!BE137</f>
        <v>239.63055686956523</v>
      </c>
      <c r="BF137" s="105">
        <f>'Hillpointe Detail'!BF137+'Sandhill Detail'!BF137</f>
        <v>984.76612591304365</v>
      </c>
      <c r="BG137" s="105">
        <f>'Hillpointe Detail'!BG137+'Sandhill Detail'!BG137</f>
        <v>1064.7506057391306</v>
      </c>
      <c r="BH137" s="105">
        <f>'Hillpointe Detail'!BH137+'Sandhill Detail'!BH137</f>
        <v>818.39117530434794</v>
      </c>
      <c r="BI137" s="105">
        <f>'Hillpointe Detail'!BI137+'Sandhill Detail'!BI137</f>
        <v>0</v>
      </c>
      <c r="BJ137" s="105">
        <f>'Hillpointe Detail'!BJ137+'Sandhill Detail'!BJ137</f>
        <v>767.87941999999998</v>
      </c>
      <c r="BK137" s="105">
        <f>'Hillpointe Detail'!BK137+'Sandhill Detail'!BK137</f>
        <v>155.77148573913047</v>
      </c>
      <c r="BL137" s="105">
        <f>'Hillpointe Detail'!BL137+'Sandhill Detail'!BL137</f>
        <v>161.40242928173916</v>
      </c>
      <c r="BM137" s="105">
        <f>'Hillpointe Detail'!BM137+'Sandhill Detail'!BM137</f>
        <v>153.1946242156522</v>
      </c>
      <c r="BN137" s="105">
        <f>'Hillpointe Detail'!BN137+'Sandhill Detail'!BN137</f>
        <v>156.82627864521743</v>
      </c>
      <c r="BO137" s="105">
        <f>'Hillpointe Detail'!BO137+'Sandhill Detail'!BO137</f>
        <v>156.28086534260873</v>
      </c>
      <c r="BP137" s="105">
        <f>'Hillpointe Detail'!BP137+'Sandhill Detail'!BP137</f>
        <v>158.50242684347828</v>
      </c>
      <c r="BQ137" s="105">
        <f>'Hillpointe Detail'!BQ137+'Sandhill Detail'!BQ137</f>
        <v>246.81947357565218</v>
      </c>
      <c r="BR137" s="105">
        <f>'Hillpointe Detail'!BR137+'Sandhill Detail'!BR137</f>
        <v>1014.309109690435</v>
      </c>
      <c r="BS137" s="105">
        <f>'Hillpointe Detail'!BS137+'Sandhill Detail'!BS137</f>
        <v>1096.6931239113046</v>
      </c>
      <c r="BT137" s="105">
        <f>'Hillpointe Detail'!BT137+'Sandhill Detail'!BT137</f>
        <v>842.94291056347845</v>
      </c>
      <c r="BU137" s="105">
        <f>'Hillpointe Detail'!BU137+'Sandhill Detail'!BU137</f>
        <v>0</v>
      </c>
      <c r="BV137" s="105">
        <f>'Hillpointe Detail'!BV137+'Sandhill Detail'!BV137</f>
        <v>790.91580260000001</v>
      </c>
      <c r="BW137" s="105">
        <f>'Hillpointe Detail'!BW137+'Sandhill Detail'!BW137</f>
        <v>160.44463031130439</v>
      </c>
      <c r="BX137" s="105">
        <f>'Hillpointe Detail'!BX137+'Sandhill Detail'!BX137</f>
        <v>166.24450216019133</v>
      </c>
      <c r="BY137" s="8"/>
      <c r="BZ137" s="105">
        <f t="shared" si="63"/>
        <v>120.61</v>
      </c>
      <c r="CA137" s="105">
        <f t="shared" si="64"/>
        <v>3590.93</v>
      </c>
      <c r="CC137" s="105">
        <f t="shared" si="59"/>
        <v>3961.69</v>
      </c>
      <c r="CD137" s="105">
        <f t="shared" si="65"/>
        <v>3340.86</v>
      </c>
      <c r="CE137" s="105">
        <f t="shared" si="65"/>
        <v>10489.519999999999</v>
      </c>
      <c r="CF137" s="105">
        <f t="shared" si="65"/>
        <v>3715.8998999999999</v>
      </c>
      <c r="CG137" s="105">
        <f t="shared" si="65"/>
        <v>3827.3768970000006</v>
      </c>
      <c r="CH137" s="105">
        <f t="shared" si="65"/>
        <v>4659.415352869566</v>
      </c>
      <c r="CI137" s="105">
        <f t="shared" si="65"/>
        <v>4799.197813455653</v>
      </c>
      <c r="CJ137" s="105">
        <f t="shared" si="65"/>
        <v>4943.1737478593232</v>
      </c>
      <c r="CL137" s="105"/>
      <c r="CM137" s="13"/>
    </row>
    <row r="138" spans="1:91" x14ac:dyDescent="0.3">
      <c r="A138" s="84" t="s">
        <v>94</v>
      </c>
      <c r="B138" s="10" t="s">
        <v>138</v>
      </c>
      <c r="C138" s="103">
        <v>20283.34</v>
      </c>
      <c r="D138" s="103">
        <v>11023.06</v>
      </c>
      <c r="E138" s="105">
        <f>'Hillpointe Detail'!E138+'Sandhill Detail'!E138</f>
        <v>-861.12</v>
      </c>
      <c r="F138" s="105">
        <f>'Hillpointe Detail'!F138+'Sandhill Detail'!F138</f>
        <v>861.12</v>
      </c>
      <c r="G138" s="105">
        <f>'Hillpointe Detail'!G138+'Sandhill Detail'!G138</f>
        <v>1588.51</v>
      </c>
      <c r="H138" s="105">
        <f>'Hillpointe Detail'!H138+'Sandhill Detail'!H138</f>
        <v>1716.32</v>
      </c>
      <c r="I138" s="105">
        <f>'Hillpointe Detail'!I138+'Sandhill Detail'!I138</f>
        <v>539.75</v>
      </c>
      <c r="J138" s="105">
        <f>'Hillpointe Detail'!J138+'Sandhill Detail'!J138</f>
        <v>667.61</v>
      </c>
      <c r="K138" s="105">
        <f>'Hillpointe Detail'!K138+'Sandhill Detail'!K138</f>
        <v>0</v>
      </c>
      <c r="L138" s="105">
        <f>'Hillpointe Detail'!L138+'Sandhill Detail'!L138</f>
        <v>0</v>
      </c>
      <c r="M138" s="105">
        <f>'Hillpointe Detail'!M138+'Sandhill Detail'!M138</f>
        <v>1159.2700000000004</v>
      </c>
      <c r="N138" s="105">
        <f>'Hillpointe Detail'!N138+'Sandhill Detail'!N138</f>
        <v>522.89</v>
      </c>
      <c r="O138" s="105">
        <f>'Hillpointe Detail'!O138+'Sandhill Detail'!O138</f>
        <v>216.96</v>
      </c>
      <c r="P138" s="105">
        <f>'Hillpointe Detail'!P138+'Sandhill Detail'!P138</f>
        <v>1298.97</v>
      </c>
      <c r="Q138" s="105">
        <f>'Hillpointe Detail'!Q138+'Sandhill Detail'!Q138</f>
        <v>0</v>
      </c>
      <c r="R138" s="105">
        <f>'Hillpointe Detail'!R138+'Sandhill Detail'!R138</f>
        <v>1780.05</v>
      </c>
      <c r="S138" s="105">
        <f>'Hillpointe Detail'!S138+'Sandhill Detail'!S138</f>
        <v>2189.84</v>
      </c>
      <c r="T138" s="105">
        <f>'Hillpointe Detail'!T138+'Sandhill Detail'!T138</f>
        <v>2278.77</v>
      </c>
      <c r="U138" s="105">
        <f>'Hillpointe Detail'!U138+'Sandhill Detail'!U138</f>
        <v>0</v>
      </c>
      <c r="V138" s="105">
        <f>'Hillpointe Detail'!V138+'Sandhill Detail'!V138</f>
        <v>4224.8999999999996</v>
      </c>
      <c r="W138" s="105">
        <f>'Hillpointe Detail'!W138+'Sandhill Detail'!W138</f>
        <v>-1760.95</v>
      </c>
      <c r="X138" s="105">
        <f>'Hillpointe Detail'!X138+'Sandhill Detail'!X138</f>
        <v>0</v>
      </c>
      <c r="Y138" s="105">
        <f>'Hillpointe Detail'!Y138+'Sandhill Detail'!Y138</f>
        <v>1985.8</v>
      </c>
      <c r="Z138" s="105">
        <f>'Hillpointe Detail'!Z138+'Sandhill Detail'!Z138</f>
        <v>0</v>
      </c>
      <c r="AA138" s="105">
        <f>'Hillpointe Detail'!AA138+'Sandhill Detail'!AA138</f>
        <v>714.27</v>
      </c>
      <c r="AB138" s="105">
        <f>'Hillpointe Detail'!AB138+'Sandhill Detail'!AB138</f>
        <v>1337.9391000000001</v>
      </c>
      <c r="AC138" s="105">
        <f>'Hillpointe Detail'!AC138+'Sandhill Detail'!AC138</f>
        <v>0</v>
      </c>
      <c r="AD138" s="105">
        <f>'Hillpointe Detail'!AD138+'Sandhill Detail'!AD138</f>
        <v>1833.4514999999999</v>
      </c>
      <c r="AE138" s="105">
        <f>'Hillpointe Detail'!AE138+'Sandhill Detail'!AE138</f>
        <v>2255.5352000000003</v>
      </c>
      <c r="AF138" s="105">
        <f>'Hillpointe Detail'!AF138+'Sandhill Detail'!AF138</f>
        <v>2347.1331</v>
      </c>
      <c r="AG138" s="105">
        <f>'Hillpointe Detail'!AG138+'Sandhill Detail'!AG138</f>
        <v>0</v>
      </c>
      <c r="AH138" s="105">
        <f>'Hillpointe Detail'!AH138+'Sandhill Detail'!AH138</f>
        <v>4351.6469999999999</v>
      </c>
      <c r="AI138" s="105">
        <f>'Hillpointe Detail'!AI138+'Sandhill Detail'!AI138</f>
        <v>-1813.7785000000001</v>
      </c>
      <c r="AJ138" s="105">
        <f>'Hillpointe Detail'!AJ138+'Sandhill Detail'!AJ138</f>
        <v>0</v>
      </c>
      <c r="AK138" s="105">
        <f>'Hillpointe Detail'!AK138+'Sandhill Detail'!AK138</f>
        <v>2045.374</v>
      </c>
      <c r="AL138" s="105">
        <f>'Hillpointe Detail'!AL138+'Sandhill Detail'!AL138</f>
        <v>0</v>
      </c>
      <c r="AM138" s="105">
        <f>'Hillpointe Detail'!AM138+'Sandhill Detail'!AM138</f>
        <v>735.69809999999995</v>
      </c>
      <c r="AN138" s="105">
        <f>'Hillpointe Detail'!AN138+'Sandhill Detail'!AN138</f>
        <v>1378.0772730000001</v>
      </c>
      <c r="AO138" s="105">
        <f>'Hillpointe Detail'!AO138+'Sandhill Detail'!AO138</f>
        <v>0</v>
      </c>
      <c r="AP138" s="105">
        <f>'Hillpointe Detail'!AP138+'Sandhill Detail'!AP138</f>
        <v>2232.0279130434783</v>
      </c>
      <c r="AQ138" s="105">
        <f>'Hillpointe Detail'!AQ138+'Sandhill Detail'!AQ138</f>
        <v>2745.8689391304351</v>
      </c>
      <c r="AR138" s="105">
        <f>'Hillpointe Detail'!AR138+'Sandhill Detail'!AR138</f>
        <v>2857.3794260869568</v>
      </c>
      <c r="AS138" s="105">
        <f>'Hillpointe Detail'!AS138+'Sandhill Detail'!AS138</f>
        <v>0</v>
      </c>
      <c r="AT138" s="105">
        <f>'Hillpointe Detail'!AT138+'Sandhill Detail'!AT138</f>
        <v>5297.6572173913046</v>
      </c>
      <c r="AU138" s="105">
        <f>'Hillpointe Detail'!AU138+'Sandhill Detail'!AU138</f>
        <v>-2133.3029907391306</v>
      </c>
      <c r="AV138" s="105">
        <f>'Hillpointe Detail'!AV138+'Sandhill Detail'!AV138</f>
        <v>0</v>
      </c>
      <c r="AW138" s="105">
        <f>'Hillpointe Detail'!AW138+'Sandhill Detail'!AW138</f>
        <v>2490.0205217391308</v>
      </c>
      <c r="AX138" s="105">
        <f>'Hillpointe Detail'!AX138+'Sandhill Detail'!AX138</f>
        <v>0</v>
      </c>
      <c r="AY138" s="105">
        <f>'Hillpointe Detail'!AY138+'Sandhill Detail'!AY138</f>
        <v>895.63246956521743</v>
      </c>
      <c r="AZ138" s="105">
        <f>'Hillpointe Detail'!AZ138+'Sandhill Detail'!AZ138</f>
        <v>1677.6592888695654</v>
      </c>
      <c r="BA138" s="105">
        <f>'Hillpointe Detail'!BA138+'Sandhill Detail'!BA138</f>
        <v>0</v>
      </c>
      <c r="BB138" s="105">
        <f>'Hillpointe Detail'!BB138+'Sandhill Detail'!BB138</f>
        <v>2298.9887504347826</v>
      </c>
      <c r="BC138" s="105">
        <f>'Hillpointe Detail'!BC138+'Sandhill Detail'!BC138</f>
        <v>2828.2450073043483</v>
      </c>
      <c r="BD138" s="105">
        <f>'Hillpointe Detail'!BD138+'Sandhill Detail'!BD138</f>
        <v>2943.1008088695658</v>
      </c>
      <c r="BE138" s="105">
        <f>'Hillpointe Detail'!BE138+'Sandhill Detail'!BE138</f>
        <v>0</v>
      </c>
      <c r="BF138" s="105">
        <f>'Hillpointe Detail'!BF138+'Sandhill Detail'!BF138</f>
        <v>5456.586933913044</v>
      </c>
      <c r="BG138" s="105">
        <f>'Hillpointe Detail'!BG138+'Sandhill Detail'!BG138</f>
        <v>-2197.3020804613043</v>
      </c>
      <c r="BH138" s="105">
        <f>'Hillpointe Detail'!BH138+'Sandhill Detail'!BH138</f>
        <v>0</v>
      </c>
      <c r="BI138" s="105">
        <f>'Hillpointe Detail'!BI138+'Sandhill Detail'!BI138</f>
        <v>2564.7211373913046</v>
      </c>
      <c r="BJ138" s="105">
        <f>'Hillpointe Detail'!BJ138+'Sandhill Detail'!BJ138</f>
        <v>0</v>
      </c>
      <c r="BK138" s="105">
        <f>'Hillpointe Detail'!BK138+'Sandhill Detail'!BK138</f>
        <v>922.50144365217398</v>
      </c>
      <c r="BL138" s="105">
        <f>'Hillpointe Detail'!BL138+'Sandhill Detail'!BL138</f>
        <v>1727.9890675356523</v>
      </c>
      <c r="BM138" s="105">
        <f>'Hillpointe Detail'!BM138+'Sandhill Detail'!BM138</f>
        <v>0</v>
      </c>
      <c r="BN138" s="105">
        <f>'Hillpointe Detail'!BN138+'Sandhill Detail'!BN138</f>
        <v>2367.9584129478262</v>
      </c>
      <c r="BO138" s="105">
        <f>'Hillpointe Detail'!BO138+'Sandhill Detail'!BO138</f>
        <v>2913.0923575234788</v>
      </c>
      <c r="BP138" s="105">
        <f>'Hillpointe Detail'!BP138+'Sandhill Detail'!BP138</f>
        <v>3031.3938331356526</v>
      </c>
      <c r="BQ138" s="105">
        <f>'Hillpointe Detail'!BQ138+'Sandhill Detail'!BQ138</f>
        <v>0</v>
      </c>
      <c r="BR138" s="105">
        <f>'Hillpointe Detail'!BR138+'Sandhill Detail'!BR138</f>
        <v>5620.2845419304358</v>
      </c>
      <c r="BS138" s="105">
        <f>'Hillpointe Detail'!BS138+'Sandhill Detail'!BS138</f>
        <v>-2263.2211428751439</v>
      </c>
      <c r="BT138" s="105">
        <f>'Hillpointe Detail'!BT138+'Sandhill Detail'!BT138</f>
        <v>0</v>
      </c>
      <c r="BU138" s="105">
        <f>'Hillpointe Detail'!BU138+'Sandhill Detail'!BU138</f>
        <v>2641.6627715130439</v>
      </c>
      <c r="BV138" s="105">
        <f>'Hillpointe Detail'!BV138+'Sandhill Detail'!BV138</f>
        <v>0</v>
      </c>
      <c r="BW138" s="105">
        <f>'Hillpointe Detail'!BW138+'Sandhill Detail'!BW138</f>
        <v>950.17648696173922</v>
      </c>
      <c r="BX138" s="105">
        <f>'Hillpointe Detail'!BX138+'Sandhill Detail'!BX138</f>
        <v>1779.8287395617219</v>
      </c>
      <c r="BY138" s="8"/>
      <c r="BZ138" s="105">
        <f t="shared" si="63"/>
        <v>714.27</v>
      </c>
      <c r="CA138" s="105">
        <f t="shared" si="64"/>
        <v>11412.679999999998</v>
      </c>
      <c r="CC138" s="105">
        <f t="shared" si="59"/>
        <v>20283.34</v>
      </c>
      <c r="CD138" s="105">
        <f t="shared" si="65"/>
        <v>11023.06</v>
      </c>
      <c r="CE138" s="105">
        <f t="shared" si="65"/>
        <v>7710.2800000000007</v>
      </c>
      <c r="CF138" s="105">
        <f t="shared" si="65"/>
        <v>12750.619099999998</v>
      </c>
      <c r="CG138" s="105">
        <f t="shared" si="65"/>
        <v>13133.137673000001</v>
      </c>
      <c r="CH138" s="105">
        <f t="shared" si="65"/>
        <v>16062.942785086956</v>
      </c>
      <c r="CI138" s="105">
        <f t="shared" si="65"/>
        <v>16544.831068639567</v>
      </c>
      <c r="CJ138" s="105">
        <f t="shared" si="65"/>
        <v>17041.176000698757</v>
      </c>
      <c r="CL138" s="105"/>
      <c r="CM138" s="13"/>
    </row>
    <row r="139" spans="1:91" x14ac:dyDescent="0.3">
      <c r="A139" s="84" t="s">
        <v>95</v>
      </c>
      <c r="B139" s="10" t="s">
        <v>159</v>
      </c>
      <c r="C139" s="140">
        <v>2267</v>
      </c>
      <c r="D139" s="140">
        <v>5535</v>
      </c>
      <c r="E139" s="141">
        <f>'Hillpointe Detail'!E139+'Sandhill Detail'!E139</f>
        <v>283.33999999999997</v>
      </c>
      <c r="F139" s="141">
        <f>'Hillpointe Detail'!F139+'Sandhill Detail'!F139</f>
        <v>283.33999999999997</v>
      </c>
      <c r="G139" s="141">
        <f>'Hillpointe Detail'!G139+'Sandhill Detail'!G139</f>
        <v>283.33999999999997</v>
      </c>
      <c r="H139" s="141">
        <f>'Hillpointe Detail'!H139+'Sandhill Detail'!H139</f>
        <v>283.33999999999997</v>
      </c>
      <c r="I139" s="141">
        <f>'Hillpointe Detail'!I139+'Sandhill Detail'!I139</f>
        <v>283.33999999999997</v>
      </c>
      <c r="J139" s="141">
        <f>'Hillpointe Detail'!J139+'Sandhill Detail'!J139</f>
        <v>283.33999999999997</v>
      </c>
      <c r="K139" s="141">
        <f>'Hillpointe Detail'!K139+'Sandhill Detail'!K139</f>
        <v>283.33999999999997</v>
      </c>
      <c r="L139" s="141">
        <f>'Hillpointe Detail'!L139+'Sandhill Detail'!L139</f>
        <v>283.34000000000003</v>
      </c>
      <c r="M139" s="141">
        <f>'Hillpointe Detail'!M139+'Sandhill Detail'!M139</f>
        <v>9317.0300000000007</v>
      </c>
      <c r="N139" s="141">
        <f>'Hillpointe Detail'!N139+'Sandhill Detail'!N139</f>
        <v>2643.08</v>
      </c>
      <c r="O139" s="141">
        <f>'Hillpointe Detail'!O139+'Sandhill Detail'!O139</f>
        <v>2728.06</v>
      </c>
      <c r="P139" s="141">
        <f>'Hillpointe Detail'!P139+'Sandhill Detail'!P139</f>
        <v>129454.54000000001</v>
      </c>
      <c r="Q139" s="141">
        <f>'Hillpointe Detail'!Q139+'Sandhill Detail'!Q139</f>
        <v>23791.88</v>
      </c>
      <c r="R139" s="141">
        <f>'Hillpointe Detail'!R139+'Sandhill Detail'!R139</f>
        <v>23847.31</v>
      </c>
      <c r="S139" s="141">
        <f>'Hillpointe Detail'!S139+'Sandhill Detail'!S139</f>
        <v>23847.31</v>
      </c>
      <c r="T139" s="141">
        <f>'Hillpointe Detail'!T139+'Sandhill Detail'!T139</f>
        <v>23847.31</v>
      </c>
      <c r="U139" s="141">
        <f>'Hillpointe Detail'!U139+'Sandhill Detail'!U139</f>
        <v>23847.31</v>
      </c>
      <c r="V139" s="141">
        <f>'Hillpointe Detail'!V139+'Sandhill Detail'!V139</f>
        <v>23847.31</v>
      </c>
      <c r="W139" s="141">
        <f>'Hillpointe Detail'!W139+'Sandhill Detail'!W139</f>
        <v>23847.31</v>
      </c>
      <c r="X139" s="141">
        <f>'Hillpointe Detail'!X139+'Sandhill Detail'!X139</f>
        <v>23847.31</v>
      </c>
      <c r="Y139" s="141">
        <f>'Hillpointe Detail'!Y139+'Sandhill Detail'!Y139</f>
        <v>23847.31</v>
      </c>
      <c r="Z139" s="141">
        <f>'Hillpointe Detail'!Z139+'Sandhill Detail'!Z139</f>
        <v>23957.93</v>
      </c>
      <c r="AA139" s="141">
        <f>'Hillpointe Detail'!AA139+'Sandhill Detail'!AA139</f>
        <v>21831.32</v>
      </c>
      <c r="AB139" s="141">
        <f>'Hillpointe Detail'!AB139+'Sandhill Detail'!AB139</f>
        <v>23847.31</v>
      </c>
      <c r="AC139" s="141">
        <f>'Hillpointe Detail'!AC139+'Sandhill Detail'!AC139</f>
        <v>25452.287142857149</v>
      </c>
      <c r="AD139" s="141">
        <f>'Hillpointe Detail'!AD139+'Sandhill Detail'!AD139</f>
        <v>25452.287142857149</v>
      </c>
      <c r="AE139" s="141">
        <f>'Hillpointe Detail'!AE139+'Sandhill Detail'!AE139</f>
        <v>25461.810952380962</v>
      </c>
      <c r="AF139" s="141">
        <f>'Hillpointe Detail'!AF139+'Sandhill Detail'!AF139</f>
        <v>25471.334761904767</v>
      </c>
      <c r="AG139" s="141">
        <f>'Hillpointe Detail'!AG139+'Sandhill Detail'!AG139</f>
        <v>25509.430000000008</v>
      </c>
      <c r="AH139" s="141">
        <f>'Hillpointe Detail'!AH139+'Sandhill Detail'!AH139</f>
        <v>27434.505926424648</v>
      </c>
      <c r="AI139" s="141">
        <f>'Hillpointe Detail'!AI139+'Sandhill Detail'!AI139</f>
        <v>29359.581852849293</v>
      </c>
      <c r="AJ139" s="141">
        <f>'Hillpointe Detail'!AJ139+'Sandhill Detail'!AJ139</f>
        <v>31284.657779273937</v>
      </c>
      <c r="AK139" s="141">
        <f>'Hillpointe Detail'!AK139+'Sandhill Detail'!AK139</f>
        <v>33209.733705698571</v>
      </c>
      <c r="AL139" s="141">
        <f>'Hillpointe Detail'!AL139+'Sandhill Detail'!AL139</f>
        <v>35134.809632123215</v>
      </c>
      <c r="AM139" s="141">
        <f>'Hillpointe Detail'!AM139+'Sandhill Detail'!AM139</f>
        <v>37059.88555854786</v>
      </c>
      <c r="AN139" s="141">
        <f>'Hillpointe Detail'!AN139+'Sandhill Detail'!AN139</f>
        <v>38984.961484972504</v>
      </c>
      <c r="AO139" s="141">
        <f>'Hillpointe Detail'!AO139+'Sandhill Detail'!AO139</f>
        <v>40908.269365713495</v>
      </c>
      <c r="AP139" s="141">
        <f>'Hillpointe Detail'!AP139+'Sandhill Detail'!AP139</f>
        <v>42831.577246454501</v>
      </c>
      <c r="AQ139" s="141">
        <f>'Hillpointe Detail'!AQ139+'Sandhill Detail'!AQ139</f>
        <v>44754.885127195506</v>
      </c>
      <c r="AR139" s="141">
        <f>'Hillpointe Detail'!AR139+'Sandhill Detail'!AR139</f>
        <v>46678.193007936505</v>
      </c>
      <c r="AS139" s="141">
        <f>'Hillpointe Detail'!AS139+'Sandhill Detail'!AS139</f>
        <v>46698.034277777777</v>
      </c>
      <c r="AT139" s="141">
        <f>'Hillpointe Detail'!AT139+'Sandhill Detail'!AT139</f>
        <v>46717.875547619042</v>
      </c>
      <c r="AU139" s="141">
        <f>'Hillpointe Detail'!AU139+'Sandhill Detail'!AU139</f>
        <v>46737.716817460314</v>
      </c>
      <c r="AV139" s="141">
        <f>'Hillpointe Detail'!AV139+'Sandhill Detail'!AV139</f>
        <v>46757.558087301572</v>
      </c>
      <c r="AW139" s="141">
        <f>'Hillpointe Detail'!AW139+'Sandhill Detail'!AW139</f>
        <v>46777.399357142836</v>
      </c>
      <c r="AX139" s="141">
        <f>'Hillpointe Detail'!AX139+'Sandhill Detail'!AX139</f>
        <v>46797.240626984109</v>
      </c>
      <c r="AY139" s="141">
        <f>'Hillpointe Detail'!AY139+'Sandhill Detail'!AY139</f>
        <v>46817.081896825373</v>
      </c>
      <c r="AZ139" s="141">
        <f>'Hillpointe Detail'!AZ139+'Sandhill Detail'!AZ139</f>
        <v>46836.923166666646</v>
      </c>
      <c r="BA139" s="141">
        <f>'Hillpointe Detail'!BA139+'Sandhill Detail'!BA139</f>
        <v>46856.764436507903</v>
      </c>
      <c r="BB139" s="141">
        <f>'Hillpointe Detail'!BB139+'Sandhill Detail'!BB139</f>
        <v>46876.605706349175</v>
      </c>
      <c r="BC139" s="141">
        <f>'Hillpointe Detail'!BC139+'Sandhill Detail'!BC139</f>
        <v>46896.44697619044</v>
      </c>
      <c r="BD139" s="141">
        <f>'Hillpointe Detail'!BD139+'Sandhill Detail'!BD139</f>
        <v>46916.288246031712</v>
      </c>
      <c r="BE139" s="141">
        <f>'Hillpointe Detail'!BE139+'Sandhill Detail'!BE139</f>
        <v>46936.129515872977</v>
      </c>
      <c r="BF139" s="141">
        <f>'Hillpointe Detail'!BF139+'Sandhill Detail'!BF139</f>
        <v>46955.970785714249</v>
      </c>
      <c r="BG139" s="141">
        <f>'Hillpointe Detail'!BG139+'Sandhill Detail'!BG139</f>
        <v>46975.812055555507</v>
      </c>
      <c r="BH139" s="141">
        <f>'Hillpointe Detail'!BH139+'Sandhill Detail'!BH139</f>
        <v>46995.653325396772</v>
      </c>
      <c r="BI139" s="141">
        <f>'Hillpointe Detail'!BI139+'Sandhill Detail'!BI139</f>
        <v>47015.494595238044</v>
      </c>
      <c r="BJ139" s="141">
        <f>'Hillpointe Detail'!BJ139+'Sandhill Detail'!BJ139</f>
        <v>47035.335865079309</v>
      </c>
      <c r="BK139" s="141">
        <f>'Hillpointe Detail'!BK139+'Sandhill Detail'!BK139</f>
        <v>47055.177134920581</v>
      </c>
      <c r="BL139" s="141">
        <f>'Hillpointe Detail'!BL139+'Sandhill Detail'!BL139</f>
        <v>47075.018404761839</v>
      </c>
      <c r="BM139" s="141">
        <f>'Hillpointe Detail'!BM139+'Sandhill Detail'!BM139</f>
        <v>47094.859674603111</v>
      </c>
      <c r="BN139" s="141">
        <f>'Hillpointe Detail'!BN139+'Sandhill Detail'!BN139</f>
        <v>47114.700944444376</v>
      </c>
      <c r="BO139" s="141">
        <f>'Hillpointe Detail'!BO139+'Sandhill Detail'!BO139</f>
        <v>47134.542214285648</v>
      </c>
      <c r="BP139" s="141">
        <f>'Hillpointe Detail'!BP139+'Sandhill Detail'!BP139</f>
        <v>47154.383484126913</v>
      </c>
      <c r="BQ139" s="141">
        <f>'Hillpointe Detail'!BQ139+'Sandhill Detail'!BQ139</f>
        <v>47174.224753968185</v>
      </c>
      <c r="BR139" s="141">
        <f>'Hillpointe Detail'!BR139+'Sandhill Detail'!BR139</f>
        <v>47194.066023809442</v>
      </c>
      <c r="BS139" s="141">
        <f>'Hillpointe Detail'!BS139+'Sandhill Detail'!BS139</f>
        <v>47213.907293650715</v>
      </c>
      <c r="BT139" s="141">
        <f>'Hillpointe Detail'!BT139+'Sandhill Detail'!BT139</f>
        <v>47233.748563491979</v>
      </c>
      <c r="BU139" s="141">
        <f>'Hillpointe Detail'!BU139+'Sandhill Detail'!BU139</f>
        <v>47253.589833333244</v>
      </c>
      <c r="BV139" s="141">
        <f>'Hillpointe Detail'!BV139+'Sandhill Detail'!BV139</f>
        <v>47273.431103174516</v>
      </c>
      <c r="BW139" s="141">
        <f>'Hillpointe Detail'!BW139+'Sandhill Detail'!BW139</f>
        <v>47293.272373015774</v>
      </c>
      <c r="BX139" s="141">
        <f>'Hillpointe Detail'!BX139+'Sandhill Detail'!BX139</f>
        <v>47313.113642857046</v>
      </c>
      <c r="BY139" s="8"/>
      <c r="BZ139" s="141">
        <f t="shared" si="63"/>
        <v>21831.32</v>
      </c>
      <c r="CA139" s="141">
        <f t="shared" si="64"/>
        <v>260359.61</v>
      </c>
      <c r="CC139" s="141">
        <f t="shared" si="59"/>
        <v>2267</v>
      </c>
      <c r="CD139" s="141">
        <f t="shared" ref="CD139:CJ148" si="66">SUMIF($C$3:$BY$3,CD$3,$C139:$BY139)</f>
        <v>5535</v>
      </c>
      <c r="CE139" s="141">
        <f t="shared" si="66"/>
        <v>146409.43</v>
      </c>
      <c r="CF139" s="141">
        <f t="shared" si="66"/>
        <v>284206.92</v>
      </c>
      <c r="CG139" s="141">
        <f t="shared" si="66"/>
        <v>359815.28593989002</v>
      </c>
      <c r="CH139" s="141">
        <f t="shared" si="66"/>
        <v>549312.75452507765</v>
      </c>
      <c r="CI139" s="141">
        <f t="shared" si="66"/>
        <v>563590.69704761845</v>
      </c>
      <c r="CJ139" s="141">
        <f t="shared" si="66"/>
        <v>566447.83990476094</v>
      </c>
      <c r="CL139" s="105"/>
      <c r="CM139" s="13"/>
    </row>
    <row r="140" spans="1:91" x14ac:dyDescent="0.3">
      <c r="A140" s="84" t="s">
        <v>96</v>
      </c>
      <c r="B140" s="10"/>
      <c r="C140" s="18">
        <f>SUM(C124:C139)</f>
        <v>668087.99999999977</v>
      </c>
      <c r="D140" s="18">
        <f>SUM(D124:D139)</f>
        <v>738122.4800000001</v>
      </c>
      <c r="E140" s="105">
        <f>'Hillpointe Detail'!E140+'Sandhill Detail'!E140</f>
        <v>65490.89</v>
      </c>
      <c r="F140" s="105">
        <f>'Hillpointe Detail'!F140+'Sandhill Detail'!F140</f>
        <v>70602.039999999994</v>
      </c>
      <c r="G140" s="105">
        <f>'Hillpointe Detail'!G140+'Sandhill Detail'!G140</f>
        <v>122330.34999999999</v>
      </c>
      <c r="H140" s="105">
        <f>'Hillpointe Detail'!H140+'Sandhill Detail'!H140</f>
        <v>84785.47</v>
      </c>
      <c r="I140" s="105">
        <f>'Hillpointe Detail'!I140+'Sandhill Detail'!I140</f>
        <v>77819.610000000015</v>
      </c>
      <c r="J140" s="105">
        <f>'Hillpointe Detail'!J140+'Sandhill Detail'!J140</f>
        <v>38039.620000000003</v>
      </c>
      <c r="K140" s="105">
        <f>'Hillpointe Detail'!K140+'Sandhill Detail'!K140</f>
        <v>76621.31</v>
      </c>
      <c r="L140" s="105">
        <f>'Hillpointe Detail'!L140+'Sandhill Detail'!L140</f>
        <v>85203.53</v>
      </c>
      <c r="M140" s="105">
        <f>'Hillpointe Detail'!M140+'Sandhill Detail'!M140</f>
        <v>105386.48999999998</v>
      </c>
      <c r="N140" s="105">
        <f>'Hillpointe Detail'!N140+'Sandhill Detail'!N140</f>
        <v>116495.88</v>
      </c>
      <c r="O140" s="105">
        <f>'Hillpointe Detail'!O140+'Sandhill Detail'!O140</f>
        <v>80584.459999999992</v>
      </c>
      <c r="P140" s="105">
        <f>'Hillpointe Detail'!P140+'Sandhill Detail'!P140</f>
        <v>-130337.78999999996</v>
      </c>
      <c r="Q140" s="105">
        <f>'Hillpointe Detail'!Q140+'Sandhill Detail'!Q140</f>
        <v>94182.930000000008</v>
      </c>
      <c r="R140" s="105">
        <f>'Hillpointe Detail'!R140+'Sandhill Detail'!R140</f>
        <v>79165.94</v>
      </c>
      <c r="S140" s="105">
        <f>'Hillpointe Detail'!S140+'Sandhill Detail'!S140</f>
        <v>72795.91</v>
      </c>
      <c r="T140" s="105">
        <f>'Hillpointe Detail'!T140+'Sandhill Detail'!T140</f>
        <v>85083.79</v>
      </c>
      <c r="U140" s="105">
        <f>'Hillpointe Detail'!U140+'Sandhill Detail'!U140</f>
        <v>101974.65</v>
      </c>
      <c r="V140" s="105">
        <f>'Hillpointe Detail'!V140+'Sandhill Detail'!V140</f>
        <v>83151.02</v>
      </c>
      <c r="W140" s="105">
        <f>'Hillpointe Detail'!W140+'Sandhill Detail'!W140</f>
        <v>84528.900000000009</v>
      </c>
      <c r="X140" s="105">
        <f>'Hillpointe Detail'!X140+'Sandhill Detail'!X140</f>
        <v>80631.430000000008</v>
      </c>
      <c r="Y140" s="105">
        <f>'Hillpointe Detail'!Y140+'Sandhill Detail'!Y140</f>
        <v>-19451.979999999992</v>
      </c>
      <c r="Z140" s="105">
        <f>'Hillpointe Detail'!Z140+'Sandhill Detail'!Z140</f>
        <v>62850.14</v>
      </c>
      <c r="AA140" s="105">
        <f>'Hillpointe Detail'!AA140+'Sandhill Detail'!AA140</f>
        <v>64286.16</v>
      </c>
      <c r="AB140" s="105">
        <f>'Hillpointe Detail'!AB140+'Sandhill Detail'!AB140</f>
        <v>67649.717166666669</v>
      </c>
      <c r="AC140" s="105">
        <f>'Hillpointe Detail'!AC140+'Sandhill Detail'!AC140</f>
        <v>61506.035709523814</v>
      </c>
      <c r="AD140" s="105">
        <f>'Hillpointe Detail'!AD140+'Sandhill Detail'!AD140</f>
        <v>68494.153109523817</v>
      </c>
      <c r="AE140" s="105">
        <f>'Hillpointe Detail'!AE140+'Sandhill Detail'!AE140</f>
        <v>64218.846019047633</v>
      </c>
      <c r="AF140" s="105">
        <f>'Hillpointe Detail'!AF140+'Sandhill Detail'!AF140</f>
        <v>76884.886228571442</v>
      </c>
      <c r="AG140" s="105">
        <f>'Hillpointe Detail'!AG140+'Sandhill Detail'!AG140</f>
        <v>84673.443066666689</v>
      </c>
      <c r="AH140" s="105">
        <f>'Hillpointe Detail'!AH140+'Sandhill Detail'!AH140</f>
        <v>76857.304293091322</v>
      </c>
      <c r="AI140" s="105">
        <f>'Hillpointe Detail'!AI140+'Sandhill Detail'!AI140</f>
        <v>84065.724019515968</v>
      </c>
      <c r="AJ140" s="105">
        <f>'Hillpointe Detail'!AJ140+'Sandhill Detail'!AJ140</f>
        <v>79645.587945940613</v>
      </c>
      <c r="AK140" s="105">
        <f>'Hillpointe Detail'!AK140+'Sandhill Detail'!AK140</f>
        <v>87948.217872365232</v>
      </c>
      <c r="AL140" s="105">
        <f>'Hillpointe Detail'!AL140+'Sandhill Detail'!AL140</f>
        <v>75193.78593212321</v>
      </c>
      <c r="AM140" s="105">
        <f>'Hillpointe Detail'!AM140+'Sandhill Detail'!AM140</f>
        <v>80788.370758547855</v>
      </c>
      <c r="AN140" s="105">
        <f>'Hillpointe Detail'!AN140+'Sandhill Detail'!AN140</f>
        <v>84101.440866639168</v>
      </c>
      <c r="AO140" s="105">
        <f>'Hillpointe Detail'!AO140+'Sandhill Detail'!AO140</f>
        <v>81643.375763771488</v>
      </c>
      <c r="AP140" s="105">
        <f>'Hillpointe Detail'!AP140+'Sandhill Detail'!AP140</f>
        <v>92340.168311121161</v>
      </c>
      <c r="AQ140" s="105">
        <f>'Hillpointe Detail'!AQ140+'Sandhill Detail'!AQ140</f>
        <v>88677.06359312305</v>
      </c>
      <c r="AR140" s="105">
        <f>'Hillpointe Detail'!AR140+'Sandhill Detail'!AR140</f>
        <v>105256.26004073361</v>
      </c>
      <c r="AS140" s="105">
        <f>'Hillpointe Detail'!AS140+'Sandhill Detail'!AS140</f>
        <v>112944.17404800966</v>
      </c>
      <c r="AT140" s="105">
        <f>'Hillpointe Detail'!AT140+'Sandhill Detail'!AT140</f>
        <v>102284.86413159007</v>
      </c>
      <c r="AU140" s="105">
        <f>'Hillpointe Detail'!AU140+'Sandhill Detail'!AU140</f>
        <v>108532.71480308352</v>
      </c>
      <c r="AV140" s="105">
        <f>'Hillpointe Detail'!AV140+'Sandhill Detail'!AV140</f>
        <v>101407.51428579433</v>
      </c>
      <c r="AW140" s="105">
        <f>'Hillpointe Detail'!AW140+'Sandhill Detail'!AW140</f>
        <v>109434.58095641821</v>
      </c>
      <c r="AX140" s="105">
        <f>'Hillpointe Detail'!AX140+'Sandhill Detail'!AX140</f>
        <v>92184.902325636271</v>
      </c>
      <c r="AY140" s="105">
        <f>'Hillpointe Detail'!AY140+'Sandhill Detail'!AY140</f>
        <v>96079.917821608004</v>
      </c>
      <c r="AZ140" s="105">
        <f>'Hillpointe Detail'!AZ140+'Sandhill Detail'!AZ140</f>
        <v>98494.410139901564</v>
      </c>
      <c r="BA140" s="105">
        <f>'Hillpointe Detail'!BA140+'Sandhill Detail'!BA140</f>
        <v>88813.924026507622</v>
      </c>
      <c r="BB140" s="105">
        <f>'Hillpointe Detail'!BB140+'Sandhill Detail'!BB140</f>
        <v>97870.45450295585</v>
      </c>
      <c r="BC140" s="105">
        <f>'Hillpointe Detail'!BC140+'Sandhill Detail'!BC140</f>
        <v>92136.290796095825</v>
      </c>
      <c r="BD140" s="105">
        <f>'Hillpointe Detail'!BD140+'Sandhill Detail'!BD140</f>
        <v>107251.69728981273</v>
      </c>
      <c r="BE140" s="105">
        <f>'Hillpointe Detail'!BE140+'Sandhill Detail'!BE140</f>
        <v>115169.65347921183</v>
      </c>
      <c r="BF140" s="105">
        <f>'Hillpointe Detail'!BF140+'Sandhill Detail'!BF140</f>
        <v>104189.96902720441</v>
      </c>
      <c r="BG140" s="105">
        <f>'Hillpointe Detail'!BG140+'Sandhill Detail'!BG140</f>
        <v>110624.6599807474</v>
      </c>
      <c r="BH140" s="105">
        <f>'Hillpointe Detail'!BH140+'Sandhill Detail'!BH140</f>
        <v>103285.10820984431</v>
      </c>
      <c r="BI140" s="105">
        <f>'Hillpointe Detail'!BI140+'Sandhill Detail'!BI140</f>
        <v>111552.39164249167</v>
      </c>
      <c r="BJ140" s="105">
        <f>'Hillpointe Detail'!BJ140+'Sandhill Detail'!BJ140</f>
        <v>93784.627414691044</v>
      </c>
      <c r="BK140" s="105">
        <f>'Hillpointe Detail'!BK140+'Sandhill Detail'!BK140</f>
        <v>97795.898137446668</v>
      </c>
      <c r="BL140" s="105">
        <f>'Hillpointe Detail'!BL140+'Sandhill Detail'!BL140</f>
        <v>100282.22998719382</v>
      </c>
      <c r="BM140" s="105">
        <f>'Hillpointe Detail'!BM140+'Sandhill Detail'!BM140</f>
        <v>90310.734052302811</v>
      </c>
      <c r="BN140" s="105">
        <f>'Hillpointe Detail'!BN140+'Sandhill Detail'!BN140</f>
        <v>99638.365204949252</v>
      </c>
      <c r="BO140" s="105">
        <f>'Hillpointe Detail'!BO140+'Sandhill Detail'!BO140</f>
        <v>93731.581348788168</v>
      </c>
      <c r="BP140" s="105">
        <f>'Hillpointe Detail'!BP140+'Sandhill Detail'!BP140</f>
        <v>109299.85479922137</v>
      </c>
      <c r="BQ140" s="105">
        <f>'Hillpointe Detail'!BQ140+'Sandhill Detail'!BQ140</f>
        <v>117454.75443620719</v>
      </c>
      <c r="BR140" s="105">
        <f>'Hillpointe Detail'!BR140+'Sandhill Detail'!BR140</f>
        <v>106145.0842125443</v>
      </c>
      <c r="BS140" s="105">
        <f>'Hillpointe Detail'!BS140+'Sandhill Detail'!BS140</f>
        <v>112772.22065659838</v>
      </c>
      <c r="BT140" s="105">
        <f>'Hillpointe Detail'!BT140+'Sandhill Detail'!BT140</f>
        <v>105211.88709447294</v>
      </c>
      <c r="BU140" s="105">
        <f>'Hillpointe Detail'!BU140+'Sandhill Detail'!BU140</f>
        <v>113726.59379200448</v>
      </c>
      <c r="BV140" s="105">
        <f>'Hillpointe Detail'!BV140+'Sandhill Detail'!BV140</f>
        <v>95425.201399274607</v>
      </c>
      <c r="BW140" s="105">
        <f>'Hillpointe Detail'!BW140+'Sandhill Detail'!BW140</f>
        <v>99556.215005617662</v>
      </c>
      <c r="BX140" s="105">
        <f>'Hillpointe Detail'!BX140+'Sandhill Detail'!BX140</f>
        <v>102116.54157276198</v>
      </c>
      <c r="BY140" s="8"/>
      <c r="BZ140" s="105">
        <f t="shared" si="63"/>
        <v>64286.16</v>
      </c>
      <c r="CA140" s="105">
        <f t="shared" si="64"/>
        <v>789198.89000000013</v>
      </c>
      <c r="CC140" s="105">
        <f t="shared" si="59"/>
        <v>668087.99999999977</v>
      </c>
      <c r="CD140" s="105">
        <f t="shared" si="66"/>
        <v>738122.4800000001</v>
      </c>
      <c r="CE140" s="105">
        <f t="shared" si="66"/>
        <v>793021.8600000001</v>
      </c>
      <c r="CF140" s="105">
        <f t="shared" si="66"/>
        <v>856848.60716666677</v>
      </c>
      <c r="CG140" s="105">
        <f t="shared" si="66"/>
        <v>924377.79582155682</v>
      </c>
      <c r="CH140" s="105">
        <f t="shared" si="66"/>
        <v>1189279.946220791</v>
      </c>
      <c r="CI140" s="105">
        <f t="shared" si="66"/>
        <v>1222756.9044942032</v>
      </c>
      <c r="CJ140" s="105">
        <f t="shared" si="66"/>
        <v>1245389.033574743</v>
      </c>
      <c r="CL140" s="105"/>
      <c r="CM140" s="13"/>
    </row>
    <row r="141" spans="1:91" x14ac:dyDescent="0.3">
      <c r="A141" s="84" t="s">
        <v>97</v>
      </c>
      <c r="B141" s="10"/>
      <c r="C141" s="142">
        <f t="shared" ref="C141:D141" si="67">C140+C123+C113+C99+C96+C85+C74</f>
        <v>2678486.5299999998</v>
      </c>
      <c r="D141" s="142">
        <f t="shared" si="67"/>
        <v>3026915.9200000009</v>
      </c>
      <c r="E141" s="143">
        <f>'Hillpointe Detail'!E141+'Sandhill Detail'!E141</f>
        <v>-70286.390000000014</v>
      </c>
      <c r="F141" s="143">
        <f>'Hillpointe Detail'!F141+'Sandhill Detail'!F141</f>
        <v>219544.64</v>
      </c>
      <c r="G141" s="143">
        <f>'Hillpointe Detail'!G141+'Sandhill Detail'!G141</f>
        <v>326535.95999999996</v>
      </c>
      <c r="H141" s="143">
        <f>'Hillpointe Detail'!H141+'Sandhill Detail'!H141</f>
        <v>290948.56</v>
      </c>
      <c r="I141" s="143">
        <f>'Hillpointe Detail'!I141+'Sandhill Detail'!I141</f>
        <v>264843.66000000003</v>
      </c>
      <c r="J141" s="143">
        <f>'Hillpointe Detail'!J141+'Sandhill Detail'!J141</f>
        <v>223723.97000000003</v>
      </c>
      <c r="K141" s="143">
        <f>'Hillpointe Detail'!K141+'Sandhill Detail'!K141</f>
        <v>257696.66999999998</v>
      </c>
      <c r="L141" s="143">
        <f>'Hillpointe Detail'!L141+'Sandhill Detail'!L141</f>
        <v>280395.03999999998</v>
      </c>
      <c r="M141" s="143">
        <f>'Hillpointe Detail'!M141+'Sandhill Detail'!M141</f>
        <v>283670.02999999997</v>
      </c>
      <c r="N141" s="143">
        <f>'Hillpointe Detail'!N141+'Sandhill Detail'!N141</f>
        <v>296778.95</v>
      </c>
      <c r="O141" s="143">
        <f>'Hillpointe Detail'!O141+'Sandhill Detail'!O141</f>
        <v>277209.07</v>
      </c>
      <c r="P141" s="143">
        <f>'Hillpointe Detail'!P141+'Sandhill Detail'!P141</f>
        <v>322085.5</v>
      </c>
      <c r="Q141" s="143">
        <f>'Hillpointe Detail'!Q141+'Sandhill Detail'!Q141</f>
        <v>115960.53000000001</v>
      </c>
      <c r="R141" s="143">
        <f>'Hillpointe Detail'!R141+'Sandhill Detail'!R141</f>
        <v>297264.43000000005</v>
      </c>
      <c r="S141" s="143">
        <f>'Hillpointe Detail'!S141+'Sandhill Detail'!S141</f>
        <v>402794.76</v>
      </c>
      <c r="T141" s="143">
        <f>'Hillpointe Detail'!T141+'Sandhill Detail'!T141</f>
        <v>297139.67000000004</v>
      </c>
      <c r="U141" s="143">
        <f>'Hillpointe Detail'!U141+'Sandhill Detail'!U141</f>
        <v>391208.59999999986</v>
      </c>
      <c r="V141" s="143">
        <f>'Hillpointe Detail'!V141+'Sandhill Detail'!V141</f>
        <v>287259.02</v>
      </c>
      <c r="W141" s="143">
        <f>'Hillpointe Detail'!W141+'Sandhill Detail'!W141</f>
        <v>290184.31</v>
      </c>
      <c r="X141" s="143">
        <f>'Hillpointe Detail'!X141+'Sandhill Detail'!X141</f>
        <v>325217.82000000007</v>
      </c>
      <c r="Y141" s="143">
        <f>'Hillpointe Detail'!Y141+'Sandhill Detail'!Y141</f>
        <v>151643.58000000002</v>
      </c>
      <c r="Z141" s="143">
        <f>'Hillpointe Detail'!Z141+'Sandhill Detail'!Z141</f>
        <v>334998.67000000004</v>
      </c>
      <c r="AA141" s="143">
        <f>'Hillpointe Detail'!AA141+'Sandhill Detail'!AA141</f>
        <v>315653.96999999997</v>
      </c>
      <c r="AB141" s="143">
        <f>'Hillpointe Detail'!AB141+'Sandhill Detail'!AB141</f>
        <v>449031.58093468507</v>
      </c>
      <c r="AC141" s="143">
        <f>'Hillpointe Detail'!AC141+'Sandhill Detail'!AC141</f>
        <v>75377.983009523814</v>
      </c>
      <c r="AD141" s="143">
        <f>'Hillpointe Detail'!AD141+'Sandhill Detail'!AD141</f>
        <v>287344.44504706189</v>
      </c>
      <c r="AE141" s="143">
        <f>'Hillpointe Detail'!AE141+'Sandhill Detail'!AE141</f>
        <v>400380.61377678486</v>
      </c>
      <c r="AF141" s="143">
        <f>'Hillpointe Detail'!AF141+'Sandhill Detail'!AF141</f>
        <v>298929.43339148501</v>
      </c>
      <c r="AG141" s="143">
        <f>'Hillpointe Detail'!AG141+'Sandhill Detail'!AG141</f>
        <v>321956.97916244995</v>
      </c>
      <c r="AH141" s="143">
        <f>'Hillpointe Detail'!AH141+'Sandhill Detail'!AH141</f>
        <v>267403.43852044403</v>
      </c>
      <c r="AI141" s="143">
        <f>'Hillpointe Detail'!AI141+'Sandhill Detail'!AI141</f>
        <v>297316.79508604156</v>
      </c>
      <c r="AJ141" s="143">
        <f>'Hillpointe Detail'!AJ141+'Sandhill Detail'!AJ141</f>
        <v>278313.62868724903</v>
      </c>
      <c r="AK141" s="143">
        <f>'Hillpointe Detail'!AK141+'Sandhill Detail'!AK141</f>
        <v>302033.67971367366</v>
      </c>
      <c r="AL141" s="143">
        <f>'Hillpointe Detail'!AL141+'Sandhill Detail'!AL141</f>
        <v>276350.78701682738</v>
      </c>
      <c r="AM141" s="143">
        <f>'Hillpointe Detail'!AM141+'Sandhill Detail'!AM141</f>
        <v>292183.5552328187</v>
      </c>
      <c r="AN141" s="143">
        <f>'Hillpointe Detail'!AN141+'Sandhill Detail'!AN141</f>
        <v>459471.75262528297</v>
      </c>
      <c r="AO141" s="143">
        <f>'Hillpointe Detail'!AO141+'Sandhill Detail'!AO141</f>
        <v>96727.042645380192</v>
      </c>
      <c r="AP141" s="143">
        <f>'Hillpointe Detail'!AP141+'Sandhill Detail'!AP141</f>
        <v>334073.40229691885</v>
      </c>
      <c r="AQ141" s="143">
        <f>'Hillpointe Detail'!AQ141+'Sandhill Detail'!AQ141</f>
        <v>433031.25452164758</v>
      </c>
      <c r="AR141" s="143">
        <f>'Hillpointe Detail'!AR141+'Sandhill Detail'!AR141</f>
        <v>350309.00924735656</v>
      </c>
      <c r="AS141" s="143">
        <f>'Hillpointe Detail'!AS141+'Sandhill Detail'!AS141</f>
        <v>372571.67170341581</v>
      </c>
      <c r="AT141" s="143">
        <f>'Hillpointe Detail'!AT141+'Sandhill Detail'!AT141</f>
        <v>312658.43581716111</v>
      </c>
      <c r="AU141" s="143">
        <f>'Hillpointe Detail'!AU141+'Sandhill Detail'!AU141</f>
        <v>344019.02736401476</v>
      </c>
      <c r="AV141" s="143">
        <f>'Hillpointe Detail'!AV141+'Sandhill Detail'!AV141</f>
        <v>320539.70618124818</v>
      </c>
      <c r="AW141" s="143">
        <f>'Hillpointe Detail'!AW141+'Sandhill Detail'!AW141</f>
        <v>344882.4840632634</v>
      </c>
      <c r="AX141" s="143">
        <f>'Hillpointe Detail'!AX141+'Sandhill Detail'!AX141</f>
        <v>313533.25101221493</v>
      </c>
      <c r="AY141" s="143">
        <f>'Hillpointe Detail'!AY141+'Sandhill Detail'!AY141</f>
        <v>329005.13101595215</v>
      </c>
      <c r="AZ141" s="143">
        <f>'Hillpointe Detail'!AZ141+'Sandhill Detail'!AZ141</f>
        <v>512654.05567793513</v>
      </c>
      <c r="BA141" s="143">
        <f>'Hillpointe Detail'!BA141+'Sandhill Detail'!BA141</f>
        <v>104350.10091456457</v>
      </c>
      <c r="BB141" s="143">
        <f>'Hillpointe Detail'!BB141+'Sandhill Detail'!BB141</f>
        <v>350556.97839493532</v>
      </c>
      <c r="BC141" s="143">
        <f>'Hillpointe Detail'!BC141+'Sandhill Detail'!BC141</f>
        <v>449774.87097808509</v>
      </c>
      <c r="BD141" s="143">
        <f>'Hillpointe Detail'!BD141+'Sandhill Detail'!BD141</f>
        <v>363361.83677697502</v>
      </c>
      <c r="BE141" s="143">
        <f>'Hillpointe Detail'!BE141+'Sandhill Detail'!BE141</f>
        <v>386294.11057102995</v>
      </c>
      <c r="BF141" s="143">
        <f>'Hillpointe Detail'!BF141+'Sandhill Detail'!BF141</f>
        <v>324581.82548153854</v>
      </c>
      <c r="BG141" s="143">
        <f>'Hillpointe Detail'!BG141+'Sandhill Detail'!BG141</f>
        <v>356880.53543506062</v>
      </c>
      <c r="BH141" s="143">
        <f>'Hillpointe Detail'!BH141+'Sandhill Detail'!BH141</f>
        <v>332696.4408385047</v>
      </c>
      <c r="BI141" s="143">
        <f>'Hillpointe Detail'!BI141+'Sandhill Detail'!BI141</f>
        <v>357768.90681888512</v>
      </c>
      <c r="BJ141" s="143">
        <f>'Hillpointe Detail'!BJ141+'Sandhill Detail'!BJ141</f>
        <v>325479.15612245782</v>
      </c>
      <c r="BK141" s="143">
        <f>'Hillpointe Detail'!BK141+'Sandhill Detail'!BK141</f>
        <v>341414.87815035216</v>
      </c>
      <c r="BL141" s="143">
        <f>'Hillpointe Detail'!BL141+'Sandhill Detail'!BL141</f>
        <v>534278.74362779898</v>
      </c>
      <c r="BM141" s="143">
        <f>'Hillpointe Detail'!BM141+'Sandhill Detail'!BM141</f>
        <v>106312.99624700149</v>
      </c>
      <c r="BN141" s="143">
        <f>'Hillpointe Detail'!BN141+'Sandhill Detail'!BN141</f>
        <v>359905.28120449034</v>
      </c>
      <c r="BO141" s="143">
        <f>'Hillpointe Detail'!BO141+'Sandhill Detail'!BO141</f>
        <v>461349.20727833221</v>
      </c>
      <c r="BP141" s="143">
        <f>'Hillpointe Detail'!BP141+'Sandhill Detail'!BP141</f>
        <v>373093.26206788514</v>
      </c>
      <c r="BQ141" s="143">
        <f>'Hillpointe Detail'!BQ141+'Sandhill Detail'!BQ141</f>
        <v>396712.99387726618</v>
      </c>
      <c r="BR141" s="143">
        <f>'Hillpointe Detail'!BR141+'Sandhill Detail'!BR141</f>
        <v>333148.75972087617</v>
      </c>
      <c r="BS141" s="143">
        <f>'Hillpointe Detail'!BS141+'Sandhill Detail'!BS141</f>
        <v>366415.81160363264</v>
      </c>
      <c r="BT141" s="143">
        <f>'Hillpointe Detail'!BT141+'Sandhill Detail'!BT141</f>
        <v>341505.52629461471</v>
      </c>
      <c r="BU141" s="143">
        <f>'Hillpointe Detail'!BU141+'Sandhill Detail'!BU141</f>
        <v>367329.57101631124</v>
      </c>
      <c r="BV141" s="143">
        <f>'Hillpointe Detail'!BV141+'Sandhill Detail'!BV141</f>
        <v>334070.55687544157</v>
      </c>
      <c r="BW141" s="143">
        <f>'Hillpointe Detail'!BW141+'Sandhill Detail'!BW141</f>
        <v>350483.7699782307</v>
      </c>
      <c r="BX141" s="143">
        <f>'Hillpointe Detail'!BX141+'Sandhill Detail'!BX141</f>
        <v>549132.97373049287</v>
      </c>
      <c r="BY141" s="8"/>
      <c r="BZ141" s="143">
        <f t="shared" si="63"/>
        <v>315653.96999999997</v>
      </c>
      <c r="CA141" s="143">
        <f t="shared" si="64"/>
        <v>3209325.3600000003</v>
      </c>
      <c r="CC141" s="143">
        <f t="shared" si="59"/>
        <v>2678486.5299999998</v>
      </c>
      <c r="CD141" s="143">
        <f t="shared" si="66"/>
        <v>3026915.9200000009</v>
      </c>
      <c r="CE141" s="143">
        <f t="shared" si="66"/>
        <v>2973145.66</v>
      </c>
      <c r="CF141" s="143">
        <f t="shared" si="66"/>
        <v>3658356.9409346855</v>
      </c>
      <c r="CG141" s="143">
        <f t="shared" si="66"/>
        <v>3557063.0912696435</v>
      </c>
      <c r="CH141" s="143">
        <f t="shared" si="66"/>
        <v>4064004.4715465088</v>
      </c>
      <c r="CI141" s="143">
        <f t="shared" si="66"/>
        <v>4227438.3841101881</v>
      </c>
      <c r="CJ141" s="143">
        <f t="shared" si="66"/>
        <v>4339460.7098945752</v>
      </c>
      <c r="CL141" s="105"/>
      <c r="CM141" s="13"/>
    </row>
    <row r="142" spans="1:91" x14ac:dyDescent="0.3">
      <c r="A142" s="84" t="s">
        <v>98</v>
      </c>
      <c r="B142" s="10"/>
      <c r="C142" s="103">
        <v>0</v>
      </c>
      <c r="D142" s="103">
        <v>0</v>
      </c>
      <c r="E142" s="105">
        <f>'Hillpointe Detail'!E142+'Sandhill Detail'!E142</f>
        <v>0</v>
      </c>
      <c r="F142" s="105">
        <f>'Hillpointe Detail'!F142+'Sandhill Detail'!F142</f>
        <v>0</v>
      </c>
      <c r="G142" s="105">
        <f>'Hillpointe Detail'!G142+'Sandhill Detail'!G142</f>
        <v>0</v>
      </c>
      <c r="H142" s="105">
        <f>'Hillpointe Detail'!H142+'Sandhill Detail'!H142</f>
        <v>0</v>
      </c>
      <c r="I142" s="105">
        <f>'Hillpointe Detail'!I142+'Sandhill Detail'!I142</f>
        <v>0</v>
      </c>
      <c r="J142" s="105">
        <f>'Hillpointe Detail'!J142+'Sandhill Detail'!J142</f>
        <v>0</v>
      </c>
      <c r="K142" s="105">
        <f>'Hillpointe Detail'!K142+'Sandhill Detail'!K142</f>
        <v>0</v>
      </c>
      <c r="L142" s="105">
        <f>'Hillpointe Detail'!L142+'Sandhill Detail'!L142</f>
        <v>0</v>
      </c>
      <c r="M142" s="105">
        <f>'Hillpointe Detail'!M142+'Sandhill Detail'!M142</f>
        <v>0</v>
      </c>
      <c r="N142" s="105">
        <f>'Hillpointe Detail'!N142+'Sandhill Detail'!N142</f>
        <v>0</v>
      </c>
      <c r="O142" s="105">
        <f>'Hillpointe Detail'!O142+'Sandhill Detail'!O142</f>
        <v>0</v>
      </c>
      <c r="P142" s="105">
        <f>'Hillpointe Detail'!P142+'Sandhill Detail'!P142</f>
        <v>0</v>
      </c>
      <c r="Q142" s="105">
        <f>'Hillpointe Detail'!Q142+'Sandhill Detail'!Q142</f>
        <v>0</v>
      </c>
      <c r="R142" s="105">
        <f>'Hillpointe Detail'!R142+'Sandhill Detail'!R142</f>
        <v>0</v>
      </c>
      <c r="S142" s="105">
        <f>'Hillpointe Detail'!S142+'Sandhill Detail'!S142</f>
        <v>0</v>
      </c>
      <c r="T142" s="105">
        <f>'Hillpointe Detail'!T142+'Sandhill Detail'!T142</f>
        <v>0</v>
      </c>
      <c r="U142" s="105">
        <f>'Hillpointe Detail'!U142+'Sandhill Detail'!U142</f>
        <v>0</v>
      </c>
      <c r="V142" s="105">
        <f>'Hillpointe Detail'!V142+'Sandhill Detail'!V142</f>
        <v>0</v>
      </c>
      <c r="W142" s="105">
        <f>'Hillpointe Detail'!W142+'Sandhill Detail'!W142</f>
        <v>0</v>
      </c>
      <c r="X142" s="105">
        <f>'Hillpointe Detail'!X142+'Sandhill Detail'!X142</f>
        <v>0</v>
      </c>
      <c r="Y142" s="105">
        <f>'Hillpointe Detail'!Y142+'Sandhill Detail'!Y142</f>
        <v>0</v>
      </c>
      <c r="Z142" s="105">
        <f>'Hillpointe Detail'!Z142+'Sandhill Detail'!Z142</f>
        <v>0</v>
      </c>
      <c r="AA142" s="105">
        <f>'Hillpointe Detail'!AA142+'Sandhill Detail'!AA142</f>
        <v>0</v>
      </c>
      <c r="AB142" s="105">
        <f>'Hillpointe Detail'!AB142+'Sandhill Detail'!AB142</f>
        <v>0</v>
      </c>
      <c r="AC142" s="105">
        <f>'Hillpointe Detail'!AC142+'Sandhill Detail'!AC142</f>
        <v>0</v>
      </c>
      <c r="AD142" s="105">
        <f>'Hillpointe Detail'!AD142+'Sandhill Detail'!AD142</f>
        <v>0</v>
      </c>
      <c r="AE142" s="105">
        <f>'Hillpointe Detail'!AE142+'Sandhill Detail'!AE142</f>
        <v>0</v>
      </c>
      <c r="AF142" s="105">
        <f>'Hillpointe Detail'!AF142+'Sandhill Detail'!AF142</f>
        <v>0</v>
      </c>
      <c r="AG142" s="105">
        <f>'Hillpointe Detail'!AG142+'Sandhill Detail'!AG142</f>
        <v>0</v>
      </c>
      <c r="AH142" s="105">
        <f>'Hillpointe Detail'!AH142+'Sandhill Detail'!AH142</f>
        <v>0</v>
      </c>
      <c r="AI142" s="105">
        <f>'Hillpointe Detail'!AI142+'Sandhill Detail'!AI142</f>
        <v>0</v>
      </c>
      <c r="AJ142" s="105">
        <f>'Hillpointe Detail'!AJ142+'Sandhill Detail'!AJ142</f>
        <v>0</v>
      </c>
      <c r="AK142" s="105">
        <f>'Hillpointe Detail'!AK142+'Sandhill Detail'!AK142</f>
        <v>0</v>
      </c>
      <c r="AL142" s="105">
        <f>'Hillpointe Detail'!AL142+'Sandhill Detail'!AL142</f>
        <v>0</v>
      </c>
      <c r="AM142" s="105">
        <f>'Hillpointe Detail'!AM142+'Sandhill Detail'!AM142</f>
        <v>0</v>
      </c>
      <c r="AN142" s="105">
        <f>'Hillpointe Detail'!AN142+'Sandhill Detail'!AN142</f>
        <v>0</v>
      </c>
      <c r="AO142" s="105">
        <f>'Hillpointe Detail'!AO142+'Sandhill Detail'!AO142</f>
        <v>0</v>
      </c>
      <c r="AP142" s="105">
        <f>'Hillpointe Detail'!AP142+'Sandhill Detail'!AP142</f>
        <v>0</v>
      </c>
      <c r="AQ142" s="105">
        <f>'Hillpointe Detail'!AQ142+'Sandhill Detail'!AQ142</f>
        <v>0</v>
      </c>
      <c r="AR142" s="105">
        <f>'Hillpointe Detail'!AR142+'Sandhill Detail'!AR142</f>
        <v>0</v>
      </c>
      <c r="AS142" s="105">
        <f>'Hillpointe Detail'!AS142+'Sandhill Detail'!AS142</f>
        <v>0</v>
      </c>
      <c r="AT142" s="105">
        <f>'Hillpointe Detail'!AT142+'Sandhill Detail'!AT142</f>
        <v>0</v>
      </c>
      <c r="AU142" s="105">
        <f>'Hillpointe Detail'!AU142+'Sandhill Detail'!AU142</f>
        <v>0</v>
      </c>
      <c r="AV142" s="105">
        <f>'Hillpointe Detail'!AV142+'Sandhill Detail'!AV142</f>
        <v>0</v>
      </c>
      <c r="AW142" s="105">
        <f>'Hillpointe Detail'!AW142+'Sandhill Detail'!AW142</f>
        <v>0</v>
      </c>
      <c r="AX142" s="105">
        <f>'Hillpointe Detail'!AX142+'Sandhill Detail'!AX142</f>
        <v>0</v>
      </c>
      <c r="AY142" s="105">
        <f>'Hillpointe Detail'!AY142+'Sandhill Detail'!AY142</f>
        <v>0</v>
      </c>
      <c r="AZ142" s="105">
        <f>'Hillpointe Detail'!AZ142+'Sandhill Detail'!AZ142</f>
        <v>0</v>
      </c>
      <c r="BA142" s="105">
        <f>'Hillpointe Detail'!BA142+'Sandhill Detail'!BA142</f>
        <v>0</v>
      </c>
      <c r="BB142" s="105">
        <f>'Hillpointe Detail'!BB142+'Sandhill Detail'!BB142</f>
        <v>0</v>
      </c>
      <c r="BC142" s="105">
        <f>'Hillpointe Detail'!BC142+'Sandhill Detail'!BC142</f>
        <v>0</v>
      </c>
      <c r="BD142" s="105">
        <f>'Hillpointe Detail'!BD142+'Sandhill Detail'!BD142</f>
        <v>0</v>
      </c>
      <c r="BE142" s="105">
        <f>'Hillpointe Detail'!BE142+'Sandhill Detail'!BE142</f>
        <v>0</v>
      </c>
      <c r="BF142" s="105">
        <f>'Hillpointe Detail'!BF142+'Sandhill Detail'!BF142</f>
        <v>0</v>
      </c>
      <c r="BG142" s="105">
        <f>'Hillpointe Detail'!BG142+'Sandhill Detail'!BG142</f>
        <v>0</v>
      </c>
      <c r="BH142" s="105">
        <f>'Hillpointe Detail'!BH142+'Sandhill Detail'!BH142</f>
        <v>0</v>
      </c>
      <c r="BI142" s="105">
        <f>'Hillpointe Detail'!BI142+'Sandhill Detail'!BI142</f>
        <v>0</v>
      </c>
      <c r="BJ142" s="105">
        <f>'Hillpointe Detail'!BJ142+'Sandhill Detail'!BJ142</f>
        <v>0</v>
      </c>
      <c r="BK142" s="105">
        <f>'Hillpointe Detail'!BK142+'Sandhill Detail'!BK142</f>
        <v>0</v>
      </c>
      <c r="BL142" s="105">
        <f>'Hillpointe Detail'!BL142+'Sandhill Detail'!BL142</f>
        <v>0</v>
      </c>
      <c r="BM142" s="105">
        <f>'Hillpointe Detail'!BM142+'Sandhill Detail'!BM142</f>
        <v>0</v>
      </c>
      <c r="BN142" s="105">
        <f>'Hillpointe Detail'!BN142+'Sandhill Detail'!BN142</f>
        <v>0</v>
      </c>
      <c r="BO142" s="105">
        <f>'Hillpointe Detail'!BO142+'Sandhill Detail'!BO142</f>
        <v>0</v>
      </c>
      <c r="BP142" s="105">
        <f>'Hillpointe Detail'!BP142+'Sandhill Detail'!BP142</f>
        <v>0</v>
      </c>
      <c r="BQ142" s="105">
        <f>'Hillpointe Detail'!BQ142+'Sandhill Detail'!BQ142</f>
        <v>0</v>
      </c>
      <c r="BR142" s="105">
        <f>'Hillpointe Detail'!BR142+'Sandhill Detail'!BR142</f>
        <v>0</v>
      </c>
      <c r="BS142" s="105">
        <f>'Hillpointe Detail'!BS142+'Sandhill Detail'!BS142</f>
        <v>0</v>
      </c>
      <c r="BT142" s="105">
        <f>'Hillpointe Detail'!BT142+'Sandhill Detail'!BT142</f>
        <v>0</v>
      </c>
      <c r="BU142" s="105">
        <f>'Hillpointe Detail'!BU142+'Sandhill Detail'!BU142</f>
        <v>0</v>
      </c>
      <c r="BV142" s="105">
        <f>'Hillpointe Detail'!BV142+'Sandhill Detail'!BV142</f>
        <v>0</v>
      </c>
      <c r="BW142" s="105">
        <f>'Hillpointe Detail'!BW142+'Sandhill Detail'!BW142</f>
        <v>0</v>
      </c>
      <c r="BX142" s="105">
        <f>'Hillpointe Detail'!BX142+'Sandhill Detail'!BX142</f>
        <v>0</v>
      </c>
      <c r="BY142" s="8"/>
      <c r="BZ142" s="105">
        <f t="shared" si="63"/>
        <v>0</v>
      </c>
      <c r="CA142" s="105">
        <f t="shared" si="64"/>
        <v>0</v>
      </c>
      <c r="CC142" s="105">
        <f t="shared" si="59"/>
        <v>0</v>
      </c>
      <c r="CD142" s="105">
        <f t="shared" si="66"/>
        <v>0</v>
      </c>
      <c r="CE142" s="105">
        <f t="shared" si="66"/>
        <v>0</v>
      </c>
      <c r="CF142" s="105">
        <f t="shared" si="66"/>
        <v>0</v>
      </c>
      <c r="CG142" s="105">
        <f t="shared" si="66"/>
        <v>0</v>
      </c>
      <c r="CH142" s="105">
        <f t="shared" si="66"/>
        <v>0</v>
      </c>
      <c r="CI142" s="105">
        <f t="shared" si="66"/>
        <v>0</v>
      </c>
      <c r="CJ142" s="105">
        <f t="shared" si="66"/>
        <v>0</v>
      </c>
      <c r="CL142" s="105"/>
      <c r="CM142" s="13"/>
    </row>
    <row r="143" spans="1:91" x14ac:dyDescent="0.3">
      <c r="A143" s="84" t="s">
        <v>99</v>
      </c>
      <c r="B143" s="10"/>
      <c r="C143" s="103">
        <v>0</v>
      </c>
      <c r="D143" s="103">
        <v>0</v>
      </c>
      <c r="E143" s="105">
        <f>'Hillpointe Detail'!E143+'Sandhill Detail'!E143</f>
        <v>0</v>
      </c>
      <c r="F143" s="105">
        <f>'Hillpointe Detail'!F143+'Sandhill Detail'!F143</f>
        <v>0</v>
      </c>
      <c r="G143" s="105">
        <f>'Hillpointe Detail'!G143+'Sandhill Detail'!G143</f>
        <v>0</v>
      </c>
      <c r="H143" s="105">
        <f>'Hillpointe Detail'!H143+'Sandhill Detail'!H143</f>
        <v>0</v>
      </c>
      <c r="I143" s="105">
        <f>'Hillpointe Detail'!I143+'Sandhill Detail'!I143</f>
        <v>0</v>
      </c>
      <c r="J143" s="105">
        <f>'Hillpointe Detail'!J143+'Sandhill Detail'!J143</f>
        <v>0</v>
      </c>
      <c r="K143" s="105">
        <f>'Hillpointe Detail'!K143+'Sandhill Detail'!K143</f>
        <v>0</v>
      </c>
      <c r="L143" s="105">
        <f>'Hillpointe Detail'!L143+'Sandhill Detail'!L143</f>
        <v>0</v>
      </c>
      <c r="M143" s="105">
        <f>'Hillpointe Detail'!M143+'Sandhill Detail'!M143</f>
        <v>0</v>
      </c>
      <c r="N143" s="105">
        <f>'Hillpointe Detail'!N143+'Sandhill Detail'!N143</f>
        <v>0</v>
      </c>
      <c r="O143" s="105">
        <f>'Hillpointe Detail'!O143+'Sandhill Detail'!O143</f>
        <v>0</v>
      </c>
      <c r="P143" s="105">
        <f>'Hillpointe Detail'!P143+'Sandhill Detail'!P143</f>
        <v>0</v>
      </c>
      <c r="Q143" s="105">
        <f>'Hillpointe Detail'!Q143+'Sandhill Detail'!Q143</f>
        <v>0</v>
      </c>
      <c r="R143" s="105">
        <f>'Hillpointe Detail'!R143+'Sandhill Detail'!R143</f>
        <v>0</v>
      </c>
      <c r="S143" s="105">
        <f>'Hillpointe Detail'!S143+'Sandhill Detail'!S143</f>
        <v>0</v>
      </c>
      <c r="T143" s="105">
        <f>'Hillpointe Detail'!T143+'Sandhill Detail'!T143</f>
        <v>0</v>
      </c>
      <c r="U143" s="105">
        <f>'Hillpointe Detail'!U143+'Sandhill Detail'!U143</f>
        <v>0</v>
      </c>
      <c r="V143" s="105">
        <f>'Hillpointe Detail'!V143+'Sandhill Detail'!V143</f>
        <v>0</v>
      </c>
      <c r="W143" s="105">
        <f>'Hillpointe Detail'!W143+'Sandhill Detail'!W143</f>
        <v>0</v>
      </c>
      <c r="X143" s="105">
        <f>'Hillpointe Detail'!X143+'Sandhill Detail'!X143</f>
        <v>0</v>
      </c>
      <c r="Y143" s="105">
        <f>'Hillpointe Detail'!Y143+'Sandhill Detail'!Y143</f>
        <v>0</v>
      </c>
      <c r="Z143" s="105">
        <f>'Hillpointe Detail'!Z143+'Sandhill Detail'!Z143</f>
        <v>0</v>
      </c>
      <c r="AA143" s="105">
        <f>'Hillpointe Detail'!AA143+'Sandhill Detail'!AA143</f>
        <v>0</v>
      </c>
      <c r="AB143" s="105">
        <f>'Hillpointe Detail'!AB143+'Sandhill Detail'!AB143</f>
        <v>0</v>
      </c>
      <c r="AC143" s="105">
        <f>'Hillpointe Detail'!AC143+'Sandhill Detail'!AC143</f>
        <v>0</v>
      </c>
      <c r="AD143" s="105">
        <f>'Hillpointe Detail'!AD143+'Sandhill Detail'!AD143</f>
        <v>0</v>
      </c>
      <c r="AE143" s="105">
        <f>'Hillpointe Detail'!AE143+'Sandhill Detail'!AE143</f>
        <v>0</v>
      </c>
      <c r="AF143" s="105">
        <f>'Hillpointe Detail'!AF143+'Sandhill Detail'!AF143</f>
        <v>0</v>
      </c>
      <c r="AG143" s="105">
        <f>'Hillpointe Detail'!AG143+'Sandhill Detail'!AG143</f>
        <v>0</v>
      </c>
      <c r="AH143" s="105">
        <f>'Hillpointe Detail'!AH143+'Sandhill Detail'!AH143</f>
        <v>0</v>
      </c>
      <c r="AI143" s="105">
        <f>'Hillpointe Detail'!AI143+'Sandhill Detail'!AI143</f>
        <v>0</v>
      </c>
      <c r="AJ143" s="105">
        <f>'Hillpointe Detail'!AJ143+'Sandhill Detail'!AJ143</f>
        <v>0</v>
      </c>
      <c r="AK143" s="105">
        <f>'Hillpointe Detail'!AK143+'Sandhill Detail'!AK143</f>
        <v>0</v>
      </c>
      <c r="AL143" s="105">
        <f>'Hillpointe Detail'!AL143+'Sandhill Detail'!AL143</f>
        <v>0</v>
      </c>
      <c r="AM143" s="105">
        <f>'Hillpointe Detail'!AM143+'Sandhill Detail'!AM143</f>
        <v>0</v>
      </c>
      <c r="AN143" s="105">
        <f>'Hillpointe Detail'!AN143+'Sandhill Detail'!AN143</f>
        <v>0</v>
      </c>
      <c r="AO143" s="105">
        <f>'Hillpointe Detail'!AO143+'Sandhill Detail'!AO143</f>
        <v>0</v>
      </c>
      <c r="AP143" s="105">
        <f>'Hillpointe Detail'!AP143+'Sandhill Detail'!AP143</f>
        <v>0</v>
      </c>
      <c r="AQ143" s="105">
        <f>'Hillpointe Detail'!AQ143+'Sandhill Detail'!AQ143</f>
        <v>0</v>
      </c>
      <c r="AR143" s="105">
        <f>'Hillpointe Detail'!AR143+'Sandhill Detail'!AR143</f>
        <v>0</v>
      </c>
      <c r="AS143" s="105">
        <f>'Hillpointe Detail'!AS143+'Sandhill Detail'!AS143</f>
        <v>0</v>
      </c>
      <c r="AT143" s="105">
        <f>'Hillpointe Detail'!AT143+'Sandhill Detail'!AT143</f>
        <v>0</v>
      </c>
      <c r="AU143" s="105">
        <f>'Hillpointe Detail'!AU143+'Sandhill Detail'!AU143</f>
        <v>0</v>
      </c>
      <c r="AV143" s="105">
        <f>'Hillpointe Detail'!AV143+'Sandhill Detail'!AV143</f>
        <v>0</v>
      </c>
      <c r="AW143" s="105">
        <f>'Hillpointe Detail'!AW143+'Sandhill Detail'!AW143</f>
        <v>0</v>
      </c>
      <c r="AX143" s="105">
        <f>'Hillpointe Detail'!AX143+'Sandhill Detail'!AX143</f>
        <v>0</v>
      </c>
      <c r="AY143" s="105">
        <f>'Hillpointe Detail'!AY143+'Sandhill Detail'!AY143</f>
        <v>0</v>
      </c>
      <c r="AZ143" s="105">
        <f>'Hillpointe Detail'!AZ143+'Sandhill Detail'!AZ143</f>
        <v>0</v>
      </c>
      <c r="BA143" s="105">
        <f>'Hillpointe Detail'!BA143+'Sandhill Detail'!BA143</f>
        <v>0</v>
      </c>
      <c r="BB143" s="105">
        <f>'Hillpointe Detail'!BB143+'Sandhill Detail'!BB143</f>
        <v>0</v>
      </c>
      <c r="BC143" s="105">
        <f>'Hillpointe Detail'!BC143+'Sandhill Detail'!BC143</f>
        <v>0</v>
      </c>
      <c r="BD143" s="105">
        <f>'Hillpointe Detail'!BD143+'Sandhill Detail'!BD143</f>
        <v>0</v>
      </c>
      <c r="BE143" s="105">
        <f>'Hillpointe Detail'!BE143+'Sandhill Detail'!BE143</f>
        <v>0</v>
      </c>
      <c r="BF143" s="105">
        <f>'Hillpointe Detail'!BF143+'Sandhill Detail'!BF143</f>
        <v>0</v>
      </c>
      <c r="BG143" s="105">
        <f>'Hillpointe Detail'!BG143+'Sandhill Detail'!BG143</f>
        <v>0</v>
      </c>
      <c r="BH143" s="105">
        <f>'Hillpointe Detail'!BH143+'Sandhill Detail'!BH143</f>
        <v>0</v>
      </c>
      <c r="BI143" s="105">
        <f>'Hillpointe Detail'!BI143+'Sandhill Detail'!BI143</f>
        <v>0</v>
      </c>
      <c r="BJ143" s="105">
        <f>'Hillpointe Detail'!BJ143+'Sandhill Detail'!BJ143</f>
        <v>0</v>
      </c>
      <c r="BK143" s="105">
        <f>'Hillpointe Detail'!BK143+'Sandhill Detail'!BK143</f>
        <v>0</v>
      </c>
      <c r="BL143" s="105">
        <f>'Hillpointe Detail'!BL143+'Sandhill Detail'!BL143</f>
        <v>0</v>
      </c>
      <c r="BM143" s="105">
        <f>'Hillpointe Detail'!BM143+'Sandhill Detail'!BM143</f>
        <v>0</v>
      </c>
      <c r="BN143" s="105">
        <f>'Hillpointe Detail'!BN143+'Sandhill Detail'!BN143</f>
        <v>0</v>
      </c>
      <c r="BO143" s="105">
        <f>'Hillpointe Detail'!BO143+'Sandhill Detail'!BO143</f>
        <v>0</v>
      </c>
      <c r="BP143" s="105">
        <f>'Hillpointe Detail'!BP143+'Sandhill Detail'!BP143</f>
        <v>0</v>
      </c>
      <c r="BQ143" s="105">
        <f>'Hillpointe Detail'!BQ143+'Sandhill Detail'!BQ143</f>
        <v>0</v>
      </c>
      <c r="BR143" s="105">
        <f>'Hillpointe Detail'!BR143+'Sandhill Detail'!BR143</f>
        <v>0</v>
      </c>
      <c r="BS143" s="105">
        <f>'Hillpointe Detail'!BS143+'Sandhill Detail'!BS143</f>
        <v>0</v>
      </c>
      <c r="BT143" s="105">
        <f>'Hillpointe Detail'!BT143+'Sandhill Detail'!BT143</f>
        <v>0</v>
      </c>
      <c r="BU143" s="105">
        <f>'Hillpointe Detail'!BU143+'Sandhill Detail'!BU143</f>
        <v>0</v>
      </c>
      <c r="BV143" s="105">
        <f>'Hillpointe Detail'!BV143+'Sandhill Detail'!BV143</f>
        <v>0</v>
      </c>
      <c r="BW143" s="105">
        <f>'Hillpointe Detail'!BW143+'Sandhill Detail'!BW143</f>
        <v>0</v>
      </c>
      <c r="BX143" s="105">
        <f>'Hillpointe Detail'!BX143+'Sandhill Detail'!BX143</f>
        <v>0</v>
      </c>
      <c r="BY143" s="8"/>
      <c r="BZ143" s="105">
        <f t="shared" si="63"/>
        <v>0</v>
      </c>
      <c r="CA143" s="105">
        <f t="shared" si="64"/>
        <v>0</v>
      </c>
      <c r="CC143" s="105">
        <f t="shared" si="59"/>
        <v>0</v>
      </c>
      <c r="CD143" s="105">
        <f t="shared" si="66"/>
        <v>0</v>
      </c>
      <c r="CE143" s="105">
        <f t="shared" si="66"/>
        <v>0</v>
      </c>
      <c r="CF143" s="105">
        <f t="shared" si="66"/>
        <v>0</v>
      </c>
      <c r="CG143" s="105">
        <f t="shared" si="66"/>
        <v>0</v>
      </c>
      <c r="CH143" s="105">
        <f t="shared" si="66"/>
        <v>0</v>
      </c>
      <c r="CI143" s="105">
        <f t="shared" si="66"/>
        <v>0</v>
      </c>
      <c r="CJ143" s="105">
        <f t="shared" si="66"/>
        <v>0</v>
      </c>
      <c r="CL143" s="105"/>
      <c r="CM143" s="13"/>
    </row>
    <row r="144" spans="1:91" x14ac:dyDescent="0.3">
      <c r="A144" s="84" t="s">
        <v>100</v>
      </c>
      <c r="B144" s="10" t="s">
        <v>135</v>
      </c>
      <c r="C144" s="103">
        <v>90015.89</v>
      </c>
      <c r="D144" s="103">
        <v>59272.5</v>
      </c>
      <c r="E144" s="105">
        <f>'Hillpointe Detail'!E144+'Sandhill Detail'!E144</f>
        <v>-5267.5</v>
      </c>
      <c r="F144" s="105">
        <f>'Hillpointe Detail'!F144+'Sandhill Detail'!F144</f>
        <v>4892.5</v>
      </c>
      <c r="G144" s="105">
        <f>'Hillpointe Detail'!G144+'Sandhill Detail'!G144</f>
        <v>4975.84</v>
      </c>
      <c r="H144" s="105">
        <f>'Hillpointe Detail'!H144+'Sandhill Detail'!H144</f>
        <v>4975.84</v>
      </c>
      <c r="I144" s="105">
        <f>'Hillpointe Detail'!I144+'Sandhill Detail'!I144</f>
        <v>4975.84</v>
      </c>
      <c r="J144" s="105">
        <f>'Hillpointe Detail'!J144+'Sandhill Detail'!J144</f>
        <v>4975.84</v>
      </c>
      <c r="K144" s="105">
        <f>'Hillpointe Detail'!K144+'Sandhill Detail'!K144</f>
        <v>4975.84</v>
      </c>
      <c r="L144" s="105">
        <f>'Hillpointe Detail'!L144+'Sandhill Detail'!L144</f>
        <v>4975.8399999999992</v>
      </c>
      <c r="M144" s="105">
        <f>'Hillpointe Detail'!M144+'Sandhill Detail'!M144</f>
        <v>4975.84</v>
      </c>
      <c r="N144" s="105">
        <f>'Hillpointe Detail'!N144+'Sandhill Detail'!N144</f>
        <v>4975.84</v>
      </c>
      <c r="O144" s="105">
        <f>'Hillpointe Detail'!O144+'Sandhill Detail'!O144</f>
        <v>4975.84</v>
      </c>
      <c r="P144" s="105">
        <f>'Hillpointe Detail'!P144+'Sandhill Detail'!P144</f>
        <v>14927.52</v>
      </c>
      <c r="Q144" s="105">
        <f>'Hillpointe Detail'!Q144+'Sandhill Detail'!Q144</f>
        <v>0</v>
      </c>
      <c r="R144" s="105">
        <f>'Hillpointe Detail'!R144+'Sandhill Detail'!R144</f>
        <v>4975.84</v>
      </c>
      <c r="S144" s="105">
        <f>'Hillpointe Detail'!S144+'Sandhill Detail'!S144</f>
        <v>5005.84</v>
      </c>
      <c r="T144" s="105">
        <f>'Hillpointe Detail'!T144+'Sandhill Detail'!T144</f>
        <v>4975.84</v>
      </c>
      <c r="U144" s="105">
        <f>'Hillpointe Detail'!U144+'Sandhill Detail'!U144</f>
        <v>4975.84</v>
      </c>
      <c r="V144" s="105">
        <f>'Hillpointe Detail'!V144+'Sandhill Detail'!V144</f>
        <v>5000.84</v>
      </c>
      <c r="W144" s="105">
        <f>'Hillpointe Detail'!W144+'Sandhill Detail'!W144</f>
        <v>4975.84</v>
      </c>
      <c r="X144" s="105">
        <f>'Hillpointe Detail'!X144+'Sandhill Detail'!X144</f>
        <v>4975.84</v>
      </c>
      <c r="Y144" s="105">
        <f>'Hillpointe Detail'!Y144+'Sandhill Detail'!Y144</f>
        <v>4975.84</v>
      </c>
      <c r="Z144" s="105">
        <f>'Hillpointe Detail'!Z144+'Sandhill Detail'!Z144</f>
        <v>4975.84</v>
      </c>
      <c r="AA144" s="105">
        <f>'Hillpointe Detail'!AA144+'Sandhill Detail'!AA144</f>
        <v>4975.84</v>
      </c>
      <c r="AB144" s="105">
        <f>'Hillpointe Detail'!AB144+'Sandhill Detail'!AB144</f>
        <v>9968.3466666666664</v>
      </c>
      <c r="AC144" s="105">
        <f>'Hillpointe Detail'!AC144+'Sandhill Detail'!AC144</f>
        <v>0</v>
      </c>
      <c r="AD144" s="105">
        <f>'Hillpointe Detail'!AD144+'Sandhill Detail'!AD144</f>
        <v>8871.8333333333321</v>
      </c>
      <c r="AE144" s="105">
        <f>'Hillpointe Detail'!AE144+'Sandhill Detail'!AE144</f>
        <v>8871.8333333333321</v>
      </c>
      <c r="AF144" s="105">
        <f>'Hillpointe Detail'!AF144+'Sandhill Detail'!AF144</f>
        <v>8871.8333333333321</v>
      </c>
      <c r="AG144" s="105">
        <f>'Hillpointe Detail'!AG144+'Sandhill Detail'!AG144</f>
        <v>8871.8333333333321</v>
      </c>
      <c r="AH144" s="105">
        <f>'Hillpointe Detail'!AH144+'Sandhill Detail'!AH144</f>
        <v>8871.8333333333321</v>
      </c>
      <c r="AI144" s="105">
        <f>'Hillpointe Detail'!AI144+'Sandhill Detail'!AI144</f>
        <v>8871.8333333333321</v>
      </c>
      <c r="AJ144" s="105">
        <f>'Hillpointe Detail'!AJ144+'Sandhill Detail'!AJ144</f>
        <v>8871.8333333333321</v>
      </c>
      <c r="AK144" s="105">
        <f>'Hillpointe Detail'!AK144+'Sandhill Detail'!AK144</f>
        <v>8871.8333333333321</v>
      </c>
      <c r="AL144" s="105">
        <f>'Hillpointe Detail'!AL144+'Sandhill Detail'!AL144</f>
        <v>8871.8333333333321</v>
      </c>
      <c r="AM144" s="105">
        <f>'Hillpointe Detail'!AM144+'Sandhill Detail'!AM144</f>
        <v>8871.8333333333321</v>
      </c>
      <c r="AN144" s="105">
        <f>'Hillpointe Detail'!AN144+'Sandhill Detail'!AN144</f>
        <v>17743.666666666664</v>
      </c>
      <c r="AO144" s="105">
        <f>'Hillpointe Detail'!AO144+'Sandhill Detail'!AO144</f>
        <v>0</v>
      </c>
      <c r="AP144" s="105">
        <f>'Hillpointe Detail'!AP144+'Sandhill Detail'!AP144</f>
        <v>9137.9883333333328</v>
      </c>
      <c r="AQ144" s="105">
        <f>'Hillpointe Detail'!AQ144+'Sandhill Detail'!AQ144</f>
        <v>9137.9883333333328</v>
      </c>
      <c r="AR144" s="105">
        <f>'Hillpointe Detail'!AR144+'Sandhill Detail'!AR144</f>
        <v>9137.9883333333328</v>
      </c>
      <c r="AS144" s="105">
        <f>'Hillpointe Detail'!AS144+'Sandhill Detail'!AS144</f>
        <v>9137.9883333333328</v>
      </c>
      <c r="AT144" s="105">
        <f>'Hillpointe Detail'!AT144+'Sandhill Detail'!AT144</f>
        <v>9137.9883333333328</v>
      </c>
      <c r="AU144" s="105">
        <f>'Hillpointe Detail'!AU144+'Sandhill Detail'!AU144</f>
        <v>9137.9883333333328</v>
      </c>
      <c r="AV144" s="105">
        <f>'Hillpointe Detail'!AV144+'Sandhill Detail'!AV144</f>
        <v>9137.9883333333328</v>
      </c>
      <c r="AW144" s="105">
        <f>'Hillpointe Detail'!AW144+'Sandhill Detail'!AW144</f>
        <v>9137.9883333333328</v>
      </c>
      <c r="AX144" s="105">
        <f>'Hillpointe Detail'!AX144+'Sandhill Detail'!AX144</f>
        <v>9137.9883333333328</v>
      </c>
      <c r="AY144" s="105">
        <f>'Hillpointe Detail'!AY144+'Sandhill Detail'!AY144</f>
        <v>9137.9883333333328</v>
      </c>
      <c r="AZ144" s="105">
        <f>'Hillpointe Detail'!AZ144+'Sandhill Detail'!AZ144</f>
        <v>18275.976666666666</v>
      </c>
      <c r="BA144" s="105">
        <f>'Hillpointe Detail'!BA144+'Sandhill Detail'!BA144</f>
        <v>0</v>
      </c>
      <c r="BB144" s="105">
        <f>'Hillpointe Detail'!BB144+'Sandhill Detail'!BB144</f>
        <v>9412.1279833333338</v>
      </c>
      <c r="BC144" s="105">
        <f>'Hillpointe Detail'!BC144+'Sandhill Detail'!BC144</f>
        <v>9412.1279833333338</v>
      </c>
      <c r="BD144" s="105">
        <f>'Hillpointe Detail'!BD144+'Sandhill Detail'!BD144</f>
        <v>9412.1279833333338</v>
      </c>
      <c r="BE144" s="105">
        <f>'Hillpointe Detail'!BE144+'Sandhill Detail'!BE144</f>
        <v>9412.1279833333338</v>
      </c>
      <c r="BF144" s="105">
        <f>'Hillpointe Detail'!BF144+'Sandhill Detail'!BF144</f>
        <v>9412.1279833333338</v>
      </c>
      <c r="BG144" s="105">
        <f>'Hillpointe Detail'!BG144+'Sandhill Detail'!BG144</f>
        <v>9412.1279833333338</v>
      </c>
      <c r="BH144" s="105">
        <f>'Hillpointe Detail'!BH144+'Sandhill Detail'!BH144</f>
        <v>9412.1279833333338</v>
      </c>
      <c r="BI144" s="105">
        <f>'Hillpointe Detail'!BI144+'Sandhill Detail'!BI144</f>
        <v>9412.1279833333338</v>
      </c>
      <c r="BJ144" s="105">
        <f>'Hillpointe Detail'!BJ144+'Sandhill Detail'!BJ144</f>
        <v>9412.1279833333338</v>
      </c>
      <c r="BK144" s="105">
        <f>'Hillpointe Detail'!BK144+'Sandhill Detail'!BK144</f>
        <v>9412.1279833333338</v>
      </c>
      <c r="BL144" s="105">
        <f>'Hillpointe Detail'!BL144+'Sandhill Detail'!BL144</f>
        <v>18824.255966666668</v>
      </c>
      <c r="BM144" s="105">
        <f>'Hillpointe Detail'!BM144+'Sandhill Detail'!BM144</f>
        <v>0</v>
      </c>
      <c r="BN144" s="105">
        <f>'Hillpointe Detail'!BN144+'Sandhill Detail'!BN144</f>
        <v>9694.4918228333336</v>
      </c>
      <c r="BO144" s="105">
        <f>'Hillpointe Detail'!BO144+'Sandhill Detail'!BO144</f>
        <v>9694.4918228333336</v>
      </c>
      <c r="BP144" s="105">
        <f>'Hillpointe Detail'!BP144+'Sandhill Detail'!BP144</f>
        <v>9694.4918228333336</v>
      </c>
      <c r="BQ144" s="105">
        <f>'Hillpointe Detail'!BQ144+'Sandhill Detail'!BQ144</f>
        <v>9694.4918228333336</v>
      </c>
      <c r="BR144" s="105">
        <f>'Hillpointe Detail'!BR144+'Sandhill Detail'!BR144</f>
        <v>9694.4918228333336</v>
      </c>
      <c r="BS144" s="105">
        <f>'Hillpointe Detail'!BS144+'Sandhill Detail'!BS144</f>
        <v>9694.4918228333336</v>
      </c>
      <c r="BT144" s="105">
        <f>'Hillpointe Detail'!BT144+'Sandhill Detail'!BT144</f>
        <v>9694.4918228333336</v>
      </c>
      <c r="BU144" s="105">
        <f>'Hillpointe Detail'!BU144+'Sandhill Detail'!BU144</f>
        <v>9694.4918228333336</v>
      </c>
      <c r="BV144" s="105">
        <f>'Hillpointe Detail'!BV144+'Sandhill Detail'!BV144</f>
        <v>9694.4918228333336</v>
      </c>
      <c r="BW144" s="105">
        <f>'Hillpointe Detail'!BW144+'Sandhill Detail'!BW144</f>
        <v>9694.4918228333336</v>
      </c>
      <c r="BX144" s="105">
        <f>'Hillpointe Detail'!BX144+'Sandhill Detail'!BX144</f>
        <v>19388.983645666667</v>
      </c>
      <c r="BY144" s="8"/>
      <c r="BZ144" s="105">
        <f t="shared" si="63"/>
        <v>4975.84</v>
      </c>
      <c r="CA144" s="105">
        <f t="shared" si="64"/>
        <v>49813.399999999994</v>
      </c>
      <c r="CC144" s="105">
        <f t="shared" si="59"/>
        <v>90015.89</v>
      </c>
      <c r="CD144" s="105">
        <f t="shared" si="66"/>
        <v>59272.5</v>
      </c>
      <c r="CE144" s="105">
        <f t="shared" si="66"/>
        <v>59335.08</v>
      </c>
      <c r="CF144" s="105">
        <f t="shared" si="66"/>
        <v>59781.746666666659</v>
      </c>
      <c r="CG144" s="105">
        <f t="shared" si="66"/>
        <v>106461.99999999997</v>
      </c>
      <c r="CH144" s="105">
        <f t="shared" si="66"/>
        <v>109655.85999999999</v>
      </c>
      <c r="CI144" s="105">
        <f t="shared" si="66"/>
        <v>112945.53580000001</v>
      </c>
      <c r="CJ144" s="105">
        <f t="shared" si="66"/>
        <v>116333.90187400002</v>
      </c>
      <c r="CL144" s="105"/>
      <c r="CM144" s="13"/>
    </row>
    <row r="145" spans="1:91" x14ac:dyDescent="0.3">
      <c r="A145" s="84" t="s">
        <v>101</v>
      </c>
      <c r="B145" s="10" t="s">
        <v>135</v>
      </c>
      <c r="C145" s="103">
        <v>48466.92</v>
      </c>
      <c r="D145" s="103">
        <v>28316.6</v>
      </c>
      <c r="E145" s="105">
        <f>'Hillpointe Detail'!E145+'Sandhill Detail'!E145</f>
        <v>-2347.7399999999998</v>
      </c>
      <c r="F145" s="105">
        <f>'Hillpointe Detail'!F145+'Sandhill Detail'!F145</f>
        <v>2347.7399999999998</v>
      </c>
      <c r="G145" s="105">
        <f>'Hillpointe Detail'!G145+'Sandhill Detail'!G145</f>
        <v>2383.2600000000002</v>
      </c>
      <c r="H145" s="105">
        <f>'Hillpointe Detail'!H145+'Sandhill Detail'!H145</f>
        <v>2383.2600000000002</v>
      </c>
      <c r="I145" s="105">
        <f>'Hillpointe Detail'!I145+'Sandhill Detail'!I145</f>
        <v>2383.2600000000002</v>
      </c>
      <c r="J145" s="105">
        <f>'Hillpointe Detail'!J145+'Sandhill Detail'!J145</f>
        <v>2383.2600000000002</v>
      </c>
      <c r="K145" s="105">
        <f>'Hillpointe Detail'!K145+'Sandhill Detail'!K145</f>
        <v>2383.2600000000002</v>
      </c>
      <c r="L145" s="105">
        <f>'Hillpointe Detail'!L145+'Sandhill Detail'!L145</f>
        <v>2383.2599999999984</v>
      </c>
      <c r="M145" s="105">
        <f>'Hillpointe Detail'!M145+'Sandhill Detail'!M145</f>
        <v>2383.2600000000002</v>
      </c>
      <c r="N145" s="105">
        <f>'Hillpointe Detail'!N145+'Sandhill Detail'!N145</f>
        <v>2383.2600000000002</v>
      </c>
      <c r="O145" s="105">
        <f>'Hillpointe Detail'!O145+'Sandhill Detail'!O145</f>
        <v>2383.2600000000002</v>
      </c>
      <c r="P145" s="105">
        <f>'Hillpointe Detail'!P145+'Sandhill Detail'!P145</f>
        <v>7149.78</v>
      </c>
      <c r="Q145" s="105">
        <f>'Hillpointe Detail'!Q145+'Sandhill Detail'!Q145</f>
        <v>0</v>
      </c>
      <c r="R145" s="105">
        <f>'Hillpointe Detail'!R145+'Sandhill Detail'!R145</f>
        <v>2383.2600000000002</v>
      </c>
      <c r="S145" s="105">
        <f>'Hillpointe Detail'!S145+'Sandhill Detail'!S145</f>
        <v>2413.2599999999998</v>
      </c>
      <c r="T145" s="105">
        <f>'Hillpointe Detail'!T145+'Sandhill Detail'!T145</f>
        <v>2383.2600000000002</v>
      </c>
      <c r="U145" s="105">
        <f>'Hillpointe Detail'!U145+'Sandhill Detail'!U145</f>
        <v>2383.2600000000002</v>
      </c>
      <c r="V145" s="105">
        <f>'Hillpointe Detail'!V145+'Sandhill Detail'!V145</f>
        <v>2868.2599999999998</v>
      </c>
      <c r="W145" s="105">
        <f>'Hillpointe Detail'!W145+'Sandhill Detail'!W145</f>
        <v>2683.26</v>
      </c>
      <c r="X145" s="105">
        <f>'Hillpointe Detail'!X145+'Sandhill Detail'!X145</f>
        <v>2981.3399999999997</v>
      </c>
      <c r="Y145" s="105">
        <f>'Hillpointe Detail'!Y145+'Sandhill Detail'!Y145</f>
        <v>2383.2600000000002</v>
      </c>
      <c r="Z145" s="105">
        <f>'Hillpointe Detail'!Z145+'Sandhill Detail'!Z145</f>
        <v>2479.5</v>
      </c>
      <c r="AA145" s="105">
        <f>'Hillpointe Detail'!AA145+'Sandhill Detail'!AA145</f>
        <v>2583.2600000000002</v>
      </c>
      <c r="AB145" s="105">
        <f>'Hillpointe Detail'!AB145+'Sandhill Detail'!AB145</f>
        <v>5688.5733333333337</v>
      </c>
      <c r="AC145" s="105">
        <f>'Hillpointe Detail'!AC145+'Sandhill Detail'!AC145</f>
        <v>0</v>
      </c>
      <c r="AD145" s="105">
        <f>'Hillpointe Detail'!AD145+'Sandhill Detail'!AD145</f>
        <v>2844.2866666666669</v>
      </c>
      <c r="AE145" s="105">
        <f>'Hillpointe Detail'!AE145+'Sandhill Detail'!AE145</f>
        <v>2844.2866666666669</v>
      </c>
      <c r="AF145" s="105">
        <f>'Hillpointe Detail'!AF145+'Sandhill Detail'!AF145</f>
        <v>2844.2866666666669</v>
      </c>
      <c r="AG145" s="105">
        <f>'Hillpointe Detail'!AG145+'Sandhill Detail'!AG145</f>
        <v>2844.2866666666669</v>
      </c>
      <c r="AH145" s="105">
        <f>'Hillpointe Detail'!AH145+'Sandhill Detail'!AH145</f>
        <v>2844.2866666666669</v>
      </c>
      <c r="AI145" s="105">
        <f>'Hillpointe Detail'!AI145+'Sandhill Detail'!AI145</f>
        <v>2844.2866666666669</v>
      </c>
      <c r="AJ145" s="105">
        <f>'Hillpointe Detail'!AJ145+'Sandhill Detail'!AJ145</f>
        <v>2844.2866666666669</v>
      </c>
      <c r="AK145" s="105">
        <f>'Hillpointe Detail'!AK145+'Sandhill Detail'!AK145</f>
        <v>2844.2866666666669</v>
      </c>
      <c r="AL145" s="105">
        <f>'Hillpointe Detail'!AL145+'Sandhill Detail'!AL145</f>
        <v>2844.2866666666669</v>
      </c>
      <c r="AM145" s="105">
        <f>'Hillpointe Detail'!AM145+'Sandhill Detail'!AM145</f>
        <v>2844.2866666666669</v>
      </c>
      <c r="AN145" s="105">
        <f>'Hillpointe Detail'!AN145+'Sandhill Detail'!AN145</f>
        <v>5688.5733333333337</v>
      </c>
      <c r="AO145" s="105">
        <f>'Hillpointe Detail'!AO145+'Sandhill Detail'!AO145</f>
        <v>0</v>
      </c>
      <c r="AP145" s="105">
        <f>'Hillpointe Detail'!AP145+'Sandhill Detail'!AP145</f>
        <v>2929.6152666666671</v>
      </c>
      <c r="AQ145" s="105">
        <f>'Hillpointe Detail'!AQ145+'Sandhill Detail'!AQ145</f>
        <v>2929.6152666666671</v>
      </c>
      <c r="AR145" s="105">
        <f>'Hillpointe Detail'!AR145+'Sandhill Detail'!AR145</f>
        <v>2929.6152666666671</v>
      </c>
      <c r="AS145" s="105">
        <f>'Hillpointe Detail'!AS145+'Sandhill Detail'!AS145</f>
        <v>2929.6152666666671</v>
      </c>
      <c r="AT145" s="105">
        <f>'Hillpointe Detail'!AT145+'Sandhill Detail'!AT145</f>
        <v>2929.6152666666671</v>
      </c>
      <c r="AU145" s="105">
        <f>'Hillpointe Detail'!AU145+'Sandhill Detail'!AU145</f>
        <v>2929.6152666666671</v>
      </c>
      <c r="AV145" s="105">
        <f>'Hillpointe Detail'!AV145+'Sandhill Detail'!AV145</f>
        <v>2929.6152666666671</v>
      </c>
      <c r="AW145" s="105">
        <f>'Hillpointe Detail'!AW145+'Sandhill Detail'!AW145</f>
        <v>2929.6152666666671</v>
      </c>
      <c r="AX145" s="105">
        <f>'Hillpointe Detail'!AX145+'Sandhill Detail'!AX145</f>
        <v>2929.6152666666671</v>
      </c>
      <c r="AY145" s="105">
        <f>'Hillpointe Detail'!AY145+'Sandhill Detail'!AY145</f>
        <v>2929.6152666666671</v>
      </c>
      <c r="AZ145" s="105">
        <f>'Hillpointe Detail'!AZ145+'Sandhill Detail'!AZ145</f>
        <v>5859.2305333333343</v>
      </c>
      <c r="BA145" s="105">
        <f>'Hillpointe Detail'!BA145+'Sandhill Detail'!BA145</f>
        <v>0</v>
      </c>
      <c r="BB145" s="105">
        <f>'Hillpointe Detail'!BB145+'Sandhill Detail'!BB145</f>
        <v>3017.503724666667</v>
      </c>
      <c r="BC145" s="105">
        <f>'Hillpointe Detail'!BC145+'Sandhill Detail'!BC145</f>
        <v>3017.503724666667</v>
      </c>
      <c r="BD145" s="105">
        <f>'Hillpointe Detail'!BD145+'Sandhill Detail'!BD145</f>
        <v>3017.503724666667</v>
      </c>
      <c r="BE145" s="105">
        <f>'Hillpointe Detail'!BE145+'Sandhill Detail'!BE145</f>
        <v>3017.503724666667</v>
      </c>
      <c r="BF145" s="105">
        <f>'Hillpointe Detail'!BF145+'Sandhill Detail'!BF145</f>
        <v>3017.503724666667</v>
      </c>
      <c r="BG145" s="105">
        <f>'Hillpointe Detail'!BG145+'Sandhill Detail'!BG145</f>
        <v>3017.503724666667</v>
      </c>
      <c r="BH145" s="105">
        <f>'Hillpointe Detail'!BH145+'Sandhill Detail'!BH145</f>
        <v>3017.503724666667</v>
      </c>
      <c r="BI145" s="105">
        <f>'Hillpointe Detail'!BI145+'Sandhill Detail'!BI145</f>
        <v>3017.503724666667</v>
      </c>
      <c r="BJ145" s="105">
        <f>'Hillpointe Detail'!BJ145+'Sandhill Detail'!BJ145</f>
        <v>3017.503724666667</v>
      </c>
      <c r="BK145" s="105">
        <f>'Hillpointe Detail'!BK145+'Sandhill Detail'!BK145</f>
        <v>3017.503724666667</v>
      </c>
      <c r="BL145" s="105">
        <f>'Hillpointe Detail'!BL145+'Sandhill Detail'!BL145</f>
        <v>6035.0074493333341</v>
      </c>
      <c r="BM145" s="105">
        <f>'Hillpointe Detail'!BM145+'Sandhill Detail'!BM145</f>
        <v>0</v>
      </c>
      <c r="BN145" s="105">
        <f>'Hillpointe Detail'!BN145+'Sandhill Detail'!BN145</f>
        <v>3108.0288364066673</v>
      </c>
      <c r="BO145" s="105">
        <f>'Hillpointe Detail'!BO145+'Sandhill Detail'!BO145</f>
        <v>3108.0288364066673</v>
      </c>
      <c r="BP145" s="105">
        <f>'Hillpointe Detail'!BP145+'Sandhill Detail'!BP145</f>
        <v>3108.0288364066673</v>
      </c>
      <c r="BQ145" s="105">
        <f>'Hillpointe Detail'!BQ145+'Sandhill Detail'!BQ145</f>
        <v>3108.0288364066673</v>
      </c>
      <c r="BR145" s="105">
        <f>'Hillpointe Detail'!BR145+'Sandhill Detail'!BR145</f>
        <v>3108.0288364066673</v>
      </c>
      <c r="BS145" s="105">
        <f>'Hillpointe Detail'!BS145+'Sandhill Detail'!BS145</f>
        <v>3108.0288364066673</v>
      </c>
      <c r="BT145" s="105">
        <f>'Hillpointe Detail'!BT145+'Sandhill Detail'!BT145</f>
        <v>3108.0288364066673</v>
      </c>
      <c r="BU145" s="105">
        <f>'Hillpointe Detail'!BU145+'Sandhill Detail'!BU145</f>
        <v>3108.0288364066673</v>
      </c>
      <c r="BV145" s="105">
        <f>'Hillpointe Detail'!BV145+'Sandhill Detail'!BV145</f>
        <v>3108.0288364066673</v>
      </c>
      <c r="BW145" s="105">
        <f>'Hillpointe Detail'!BW145+'Sandhill Detail'!BW145</f>
        <v>3108.0288364066673</v>
      </c>
      <c r="BX145" s="105">
        <f>'Hillpointe Detail'!BX145+'Sandhill Detail'!BX145</f>
        <v>6216.0576728133346</v>
      </c>
      <c r="BY145" s="8"/>
      <c r="BZ145" s="105">
        <f t="shared" si="63"/>
        <v>2583.2600000000002</v>
      </c>
      <c r="CA145" s="105">
        <f t="shared" si="64"/>
        <v>25541.920000000006</v>
      </c>
      <c r="CC145" s="105">
        <f t="shared" si="59"/>
        <v>48466.92</v>
      </c>
      <c r="CD145" s="105">
        <f t="shared" si="66"/>
        <v>28316.6</v>
      </c>
      <c r="CE145" s="105">
        <f t="shared" si="66"/>
        <v>28599.120000000003</v>
      </c>
      <c r="CF145" s="105">
        <f t="shared" si="66"/>
        <v>31230.493333333339</v>
      </c>
      <c r="CG145" s="105">
        <f t="shared" si="66"/>
        <v>34131.440000000002</v>
      </c>
      <c r="CH145" s="105">
        <f t="shared" si="66"/>
        <v>35155.383200000004</v>
      </c>
      <c r="CI145" s="105">
        <f t="shared" si="66"/>
        <v>36210.044696000012</v>
      </c>
      <c r="CJ145" s="105">
        <f t="shared" si="66"/>
        <v>37296.346036880001</v>
      </c>
      <c r="CL145" s="105"/>
      <c r="CM145" s="13"/>
    </row>
    <row r="146" spans="1:91" x14ac:dyDescent="0.3">
      <c r="A146" s="84" t="s">
        <v>102</v>
      </c>
      <c r="B146" s="10" t="s">
        <v>136</v>
      </c>
      <c r="C146" s="103">
        <v>7418.73</v>
      </c>
      <c r="D146" s="103">
        <v>0</v>
      </c>
      <c r="E146" s="105">
        <f>'Hillpointe Detail'!E146+'Sandhill Detail'!E146</f>
        <v>0</v>
      </c>
      <c r="F146" s="105">
        <f>'Hillpointe Detail'!F146+'Sandhill Detail'!F146</f>
        <v>0</v>
      </c>
      <c r="G146" s="105">
        <f>'Hillpointe Detail'!G146+'Sandhill Detail'!G146</f>
        <v>0</v>
      </c>
      <c r="H146" s="105">
        <f>'Hillpointe Detail'!H146+'Sandhill Detail'!H146</f>
        <v>0</v>
      </c>
      <c r="I146" s="105">
        <f>'Hillpointe Detail'!I146+'Sandhill Detail'!I146</f>
        <v>0</v>
      </c>
      <c r="J146" s="105">
        <f>'Hillpointe Detail'!J146+'Sandhill Detail'!J146</f>
        <v>0</v>
      </c>
      <c r="K146" s="105">
        <f>'Hillpointe Detail'!K146+'Sandhill Detail'!K146</f>
        <v>0</v>
      </c>
      <c r="L146" s="105">
        <f>'Hillpointe Detail'!L146+'Sandhill Detail'!L146</f>
        <v>0</v>
      </c>
      <c r="M146" s="105">
        <f>'Hillpointe Detail'!M146+'Sandhill Detail'!M146</f>
        <v>0</v>
      </c>
      <c r="N146" s="105">
        <f>'Hillpointe Detail'!N146+'Sandhill Detail'!N146</f>
        <v>0</v>
      </c>
      <c r="O146" s="105">
        <f>'Hillpointe Detail'!O146+'Sandhill Detail'!O146</f>
        <v>0</v>
      </c>
      <c r="P146" s="105">
        <f>'Hillpointe Detail'!P146+'Sandhill Detail'!P146</f>
        <v>0</v>
      </c>
      <c r="Q146" s="105">
        <f>'Hillpointe Detail'!Q146+'Sandhill Detail'!Q146</f>
        <v>0</v>
      </c>
      <c r="R146" s="105">
        <f>'Hillpointe Detail'!R146+'Sandhill Detail'!R146</f>
        <v>0</v>
      </c>
      <c r="S146" s="105">
        <f>'Hillpointe Detail'!S146+'Sandhill Detail'!S146</f>
        <v>0</v>
      </c>
      <c r="T146" s="105">
        <f>'Hillpointe Detail'!T146+'Sandhill Detail'!T146</f>
        <v>0</v>
      </c>
      <c r="U146" s="105">
        <f>'Hillpointe Detail'!U146+'Sandhill Detail'!U146</f>
        <v>0</v>
      </c>
      <c r="V146" s="105">
        <f>'Hillpointe Detail'!V146+'Sandhill Detail'!V146</f>
        <v>0</v>
      </c>
      <c r="W146" s="105">
        <f>'Hillpointe Detail'!W146+'Sandhill Detail'!W146</f>
        <v>0</v>
      </c>
      <c r="X146" s="105">
        <f>'Hillpointe Detail'!X146+'Sandhill Detail'!X146</f>
        <v>0</v>
      </c>
      <c r="Y146" s="105">
        <f>'Hillpointe Detail'!Y146+'Sandhill Detail'!Y146</f>
        <v>0</v>
      </c>
      <c r="Z146" s="105">
        <f>'Hillpointe Detail'!Z146+'Sandhill Detail'!Z146</f>
        <v>0</v>
      </c>
      <c r="AA146" s="105">
        <f>'Hillpointe Detail'!AA146+'Sandhill Detail'!AA146</f>
        <v>0</v>
      </c>
      <c r="AB146" s="105">
        <f>'Hillpointe Detail'!AB146+'Sandhill Detail'!AB146</f>
        <v>0</v>
      </c>
      <c r="AC146" s="105">
        <f>'Hillpointe Detail'!AC146+'Sandhill Detail'!AC146</f>
        <v>0</v>
      </c>
      <c r="AD146" s="105">
        <f>'Hillpointe Detail'!AD146+'Sandhill Detail'!AD146</f>
        <v>0</v>
      </c>
      <c r="AE146" s="105">
        <f>'Hillpointe Detail'!AE146+'Sandhill Detail'!AE146</f>
        <v>0</v>
      </c>
      <c r="AF146" s="105">
        <f>'Hillpointe Detail'!AF146+'Sandhill Detail'!AF146</f>
        <v>0</v>
      </c>
      <c r="AG146" s="105">
        <f>'Hillpointe Detail'!AG146+'Sandhill Detail'!AG146</f>
        <v>0</v>
      </c>
      <c r="AH146" s="105">
        <f>'Hillpointe Detail'!AH146+'Sandhill Detail'!AH146</f>
        <v>0</v>
      </c>
      <c r="AI146" s="105">
        <f>'Hillpointe Detail'!AI146+'Sandhill Detail'!AI146</f>
        <v>0</v>
      </c>
      <c r="AJ146" s="105">
        <f>'Hillpointe Detail'!AJ146+'Sandhill Detail'!AJ146</f>
        <v>0</v>
      </c>
      <c r="AK146" s="105">
        <f>'Hillpointe Detail'!AK146+'Sandhill Detail'!AK146</f>
        <v>0</v>
      </c>
      <c r="AL146" s="105">
        <f>'Hillpointe Detail'!AL146+'Sandhill Detail'!AL146</f>
        <v>0</v>
      </c>
      <c r="AM146" s="105">
        <f>'Hillpointe Detail'!AM146+'Sandhill Detail'!AM146</f>
        <v>0</v>
      </c>
      <c r="AN146" s="105">
        <f>'Hillpointe Detail'!AN146+'Sandhill Detail'!AN146</f>
        <v>0</v>
      </c>
      <c r="AO146" s="105">
        <f>'Hillpointe Detail'!AO146+'Sandhill Detail'!AO146</f>
        <v>0</v>
      </c>
      <c r="AP146" s="105">
        <f>'Hillpointe Detail'!AP146+'Sandhill Detail'!AP146</f>
        <v>0</v>
      </c>
      <c r="AQ146" s="105">
        <f>'Hillpointe Detail'!AQ146+'Sandhill Detail'!AQ146</f>
        <v>0</v>
      </c>
      <c r="AR146" s="105">
        <f>'Hillpointe Detail'!AR146+'Sandhill Detail'!AR146</f>
        <v>0</v>
      </c>
      <c r="AS146" s="105">
        <f>'Hillpointe Detail'!AS146+'Sandhill Detail'!AS146</f>
        <v>0</v>
      </c>
      <c r="AT146" s="105">
        <f>'Hillpointe Detail'!AT146+'Sandhill Detail'!AT146</f>
        <v>0</v>
      </c>
      <c r="AU146" s="105">
        <f>'Hillpointe Detail'!AU146+'Sandhill Detail'!AU146</f>
        <v>0</v>
      </c>
      <c r="AV146" s="105">
        <f>'Hillpointe Detail'!AV146+'Sandhill Detail'!AV146</f>
        <v>0</v>
      </c>
      <c r="AW146" s="105">
        <f>'Hillpointe Detail'!AW146+'Sandhill Detail'!AW146</f>
        <v>0</v>
      </c>
      <c r="AX146" s="105">
        <f>'Hillpointe Detail'!AX146+'Sandhill Detail'!AX146</f>
        <v>0</v>
      </c>
      <c r="AY146" s="105">
        <f>'Hillpointe Detail'!AY146+'Sandhill Detail'!AY146</f>
        <v>0</v>
      </c>
      <c r="AZ146" s="105">
        <f>'Hillpointe Detail'!AZ146+'Sandhill Detail'!AZ146</f>
        <v>0</v>
      </c>
      <c r="BA146" s="105">
        <f>'Hillpointe Detail'!BA146+'Sandhill Detail'!BA146</f>
        <v>0</v>
      </c>
      <c r="BB146" s="105">
        <f>'Hillpointe Detail'!BB146+'Sandhill Detail'!BB146</f>
        <v>0</v>
      </c>
      <c r="BC146" s="105">
        <f>'Hillpointe Detail'!BC146+'Sandhill Detail'!BC146</f>
        <v>0</v>
      </c>
      <c r="BD146" s="105">
        <f>'Hillpointe Detail'!BD146+'Sandhill Detail'!BD146</f>
        <v>0</v>
      </c>
      <c r="BE146" s="105">
        <f>'Hillpointe Detail'!BE146+'Sandhill Detail'!BE146</f>
        <v>0</v>
      </c>
      <c r="BF146" s="105">
        <f>'Hillpointe Detail'!BF146+'Sandhill Detail'!BF146</f>
        <v>0</v>
      </c>
      <c r="BG146" s="105">
        <f>'Hillpointe Detail'!BG146+'Sandhill Detail'!BG146</f>
        <v>0</v>
      </c>
      <c r="BH146" s="105">
        <f>'Hillpointe Detail'!BH146+'Sandhill Detail'!BH146</f>
        <v>0</v>
      </c>
      <c r="BI146" s="105">
        <f>'Hillpointe Detail'!BI146+'Sandhill Detail'!BI146</f>
        <v>0</v>
      </c>
      <c r="BJ146" s="105">
        <f>'Hillpointe Detail'!BJ146+'Sandhill Detail'!BJ146</f>
        <v>0</v>
      </c>
      <c r="BK146" s="105">
        <f>'Hillpointe Detail'!BK146+'Sandhill Detail'!BK146</f>
        <v>0</v>
      </c>
      <c r="BL146" s="105">
        <f>'Hillpointe Detail'!BL146+'Sandhill Detail'!BL146</f>
        <v>0</v>
      </c>
      <c r="BM146" s="105">
        <f>'Hillpointe Detail'!BM146+'Sandhill Detail'!BM146</f>
        <v>0</v>
      </c>
      <c r="BN146" s="105">
        <f>'Hillpointe Detail'!BN146+'Sandhill Detail'!BN146</f>
        <v>0</v>
      </c>
      <c r="BO146" s="105">
        <f>'Hillpointe Detail'!BO146+'Sandhill Detail'!BO146</f>
        <v>0</v>
      </c>
      <c r="BP146" s="105">
        <f>'Hillpointe Detail'!BP146+'Sandhill Detail'!BP146</f>
        <v>0</v>
      </c>
      <c r="BQ146" s="105">
        <f>'Hillpointe Detail'!BQ146+'Sandhill Detail'!BQ146</f>
        <v>0</v>
      </c>
      <c r="BR146" s="105">
        <f>'Hillpointe Detail'!BR146+'Sandhill Detail'!BR146</f>
        <v>0</v>
      </c>
      <c r="BS146" s="105">
        <f>'Hillpointe Detail'!BS146+'Sandhill Detail'!BS146</f>
        <v>0</v>
      </c>
      <c r="BT146" s="105">
        <f>'Hillpointe Detail'!BT146+'Sandhill Detail'!BT146</f>
        <v>0</v>
      </c>
      <c r="BU146" s="105">
        <f>'Hillpointe Detail'!BU146+'Sandhill Detail'!BU146</f>
        <v>0</v>
      </c>
      <c r="BV146" s="105">
        <f>'Hillpointe Detail'!BV146+'Sandhill Detail'!BV146</f>
        <v>0</v>
      </c>
      <c r="BW146" s="105">
        <f>'Hillpointe Detail'!BW146+'Sandhill Detail'!BW146</f>
        <v>0</v>
      </c>
      <c r="BX146" s="105">
        <f>'Hillpointe Detail'!BX146+'Sandhill Detail'!BX146</f>
        <v>0</v>
      </c>
      <c r="BY146" s="8"/>
      <c r="BZ146" s="105">
        <f t="shared" si="63"/>
        <v>0</v>
      </c>
      <c r="CA146" s="105">
        <f t="shared" si="64"/>
        <v>0</v>
      </c>
      <c r="CC146" s="105">
        <f t="shared" si="59"/>
        <v>7418.73</v>
      </c>
      <c r="CD146" s="105">
        <f t="shared" si="66"/>
        <v>0</v>
      </c>
      <c r="CE146" s="105">
        <f t="shared" si="66"/>
        <v>0</v>
      </c>
      <c r="CF146" s="105">
        <f t="shared" si="66"/>
        <v>0</v>
      </c>
      <c r="CG146" s="105">
        <f t="shared" si="66"/>
        <v>0</v>
      </c>
      <c r="CH146" s="105">
        <f t="shared" si="66"/>
        <v>0</v>
      </c>
      <c r="CI146" s="105">
        <f t="shared" si="66"/>
        <v>0</v>
      </c>
      <c r="CJ146" s="105">
        <f t="shared" si="66"/>
        <v>0</v>
      </c>
      <c r="CL146" s="105"/>
      <c r="CM146" s="13"/>
    </row>
    <row r="147" spans="1:91" x14ac:dyDescent="0.3">
      <c r="A147" s="84" t="s">
        <v>103</v>
      </c>
      <c r="B147" s="10" t="s">
        <v>136</v>
      </c>
      <c r="C147" s="103">
        <v>6183.15</v>
      </c>
      <c r="D147" s="103">
        <v>895.69</v>
      </c>
      <c r="E147" s="105">
        <f>'Hillpointe Detail'!E147+'Sandhill Detail'!E147</f>
        <v>-75.900000000000006</v>
      </c>
      <c r="F147" s="105">
        <f>'Hillpointe Detail'!F147+'Sandhill Detail'!F147</f>
        <v>70.460000000000008</v>
      </c>
      <c r="G147" s="105">
        <f>'Hillpointe Detail'!G147+'Sandhill Detail'!G147</f>
        <v>71.66</v>
      </c>
      <c r="H147" s="105">
        <f>'Hillpointe Detail'!H147+'Sandhill Detail'!H147</f>
        <v>71.66</v>
      </c>
      <c r="I147" s="105">
        <f>'Hillpointe Detail'!I147+'Sandhill Detail'!I147</f>
        <v>71.66</v>
      </c>
      <c r="J147" s="105">
        <f>'Hillpointe Detail'!J147+'Sandhill Detail'!J147</f>
        <v>71.66</v>
      </c>
      <c r="K147" s="105">
        <f>'Hillpointe Detail'!K147+'Sandhill Detail'!K147</f>
        <v>101.32</v>
      </c>
      <c r="L147" s="105">
        <f>'Hillpointe Detail'!L147+'Sandhill Detail'!L147</f>
        <v>84</v>
      </c>
      <c r="M147" s="105">
        <f>'Hillpointe Detail'!M147+'Sandhill Detail'!M147</f>
        <v>71.66</v>
      </c>
      <c r="N147" s="105">
        <f>'Hillpointe Detail'!N147+'Sandhill Detail'!N147</f>
        <v>71.66</v>
      </c>
      <c r="O147" s="105">
        <f>'Hillpointe Detail'!O147+'Sandhill Detail'!O147</f>
        <v>71.66</v>
      </c>
      <c r="P147" s="105">
        <f>'Hillpointe Detail'!P147+'Sandhill Detail'!P147</f>
        <v>215.26</v>
      </c>
      <c r="Q147" s="105">
        <f>'Hillpointe Detail'!Q147+'Sandhill Detail'!Q147</f>
        <v>0</v>
      </c>
      <c r="R147" s="105">
        <f>'Hillpointe Detail'!R147+'Sandhill Detail'!R147</f>
        <v>71.66</v>
      </c>
      <c r="S147" s="105">
        <f>'Hillpointe Detail'!S147+'Sandhill Detail'!S147</f>
        <v>72.099999999999994</v>
      </c>
      <c r="T147" s="105">
        <f>'Hillpointe Detail'!T147+'Sandhill Detail'!T147</f>
        <v>71.67</v>
      </c>
      <c r="U147" s="105">
        <f>'Hillpointe Detail'!U147+'Sandhill Detail'!U147</f>
        <v>71.66</v>
      </c>
      <c r="V147" s="105">
        <f>'Hillpointe Detail'!V147+'Sandhill Detail'!V147</f>
        <v>72.03</v>
      </c>
      <c r="W147" s="105">
        <f>'Hillpointe Detail'!W147+'Sandhill Detail'!W147</f>
        <v>101.32</v>
      </c>
      <c r="X147" s="105">
        <f>'Hillpointe Detail'!X147+'Sandhill Detail'!X147</f>
        <v>84</v>
      </c>
      <c r="Y147" s="105">
        <f>'Hillpointe Detail'!Y147+'Sandhill Detail'!Y147</f>
        <v>71.67</v>
      </c>
      <c r="Z147" s="105">
        <f>'Hillpointe Detail'!Z147+'Sandhill Detail'!Z147</f>
        <v>71.66</v>
      </c>
      <c r="AA147" s="105">
        <f>'Hillpointe Detail'!AA147+'Sandhill Detail'!AA147</f>
        <v>71.67</v>
      </c>
      <c r="AB147" s="105">
        <f>'Hillpointe Detail'!AB147+'Sandhill Detail'!AB147</f>
        <v>155.58007056870497</v>
      </c>
      <c r="AC147" s="105">
        <f>'Hillpointe Detail'!AC147+'Sandhill Detail'!AC147</f>
        <v>0</v>
      </c>
      <c r="AD147" s="105">
        <f>'Hillpointe Detail'!AD147+'Sandhill Detail'!AD147</f>
        <v>141.52436412921051</v>
      </c>
      <c r="AE147" s="105">
        <f>'Hillpointe Detail'!AE147+'Sandhill Detail'!AE147</f>
        <v>136.55117917975622</v>
      </c>
      <c r="AF147" s="105">
        <f>'Hillpointe Detail'!AF147+'Sandhill Detail'!AF147</f>
        <v>135.02985217355274</v>
      </c>
      <c r="AG147" s="105">
        <f>'Hillpointe Detail'!AG147+'Sandhill Detail'!AG147</f>
        <v>135.78622500381232</v>
      </c>
      <c r="AH147" s="105">
        <f>'Hillpointe Detail'!AH147+'Sandhill Detail'!AH147</f>
        <v>136.55974781937672</v>
      </c>
      <c r="AI147" s="105">
        <f>'Hillpointe Detail'!AI147+'Sandhill Detail'!AI147</f>
        <v>137.34915867977313</v>
      </c>
      <c r="AJ147" s="105">
        <f>'Hillpointe Detail'!AJ147+'Sandhill Detail'!AJ147</f>
        <v>137.13342116424695</v>
      </c>
      <c r="AK147" s="105">
        <f>'Hillpointe Detail'!AK147+'Sandhill Detail'!AK147</f>
        <v>137.13342116424695</v>
      </c>
      <c r="AL147" s="105">
        <f>'Hillpointe Detail'!AL147+'Sandhill Detail'!AL147</f>
        <v>136.50614359782358</v>
      </c>
      <c r="AM147" s="105">
        <f>'Hillpointe Detail'!AM147+'Sandhill Detail'!AM147</f>
        <v>136.49970994326176</v>
      </c>
      <c r="AN147" s="105">
        <f>'Hillpointe Detail'!AN147+'Sandhill Detail'!AN147</f>
        <v>273.41937924929755</v>
      </c>
      <c r="AO147" s="105">
        <f>'Hillpointe Detail'!AO147+'Sandhill Detail'!AO147</f>
        <v>0</v>
      </c>
      <c r="AP147" s="105">
        <f>'Hillpointe Detail'!AP147+'Sandhill Detail'!AP147</f>
        <v>140.96892440180133</v>
      </c>
      <c r="AQ147" s="105">
        <f>'Hillpointe Detail'!AQ147+'Sandhill Detail'!AQ147</f>
        <v>140.89769978752466</v>
      </c>
      <c r="AR147" s="105">
        <f>'Hillpointe Detail'!AR147+'Sandhill Detail'!AR147</f>
        <v>140.84816380853746</v>
      </c>
      <c r="AS147" s="105">
        <f>'Hillpointe Detail'!AS147+'Sandhill Detail'!AS147</f>
        <v>140.79185069279183</v>
      </c>
      <c r="AT147" s="105">
        <f>'Hillpointe Detail'!AT147+'Sandhill Detail'!AT147</f>
        <v>140.81860951119538</v>
      </c>
      <c r="AU147" s="105">
        <f>'Hillpointe Detail'!AU147+'Sandhill Detail'!AU147</f>
        <v>140.84992535310246</v>
      </c>
      <c r="AV147" s="105">
        <f>'Hillpointe Detail'!AV147+'Sandhill Detail'!AV147</f>
        <v>140.8625289258255</v>
      </c>
      <c r="AW147" s="105">
        <f>'Hillpointe Detail'!AW147+'Sandhill Detail'!AW147</f>
        <v>140.86252892582553</v>
      </c>
      <c r="AX147" s="105">
        <f>'Hillpointe Detail'!AX147+'Sandhill Detail'!AX147</f>
        <v>140.84732957211469</v>
      </c>
      <c r="AY147" s="105">
        <f>'Hillpointe Detail'!AY147+'Sandhill Detail'!AY147</f>
        <v>140.84013382705615</v>
      </c>
      <c r="AZ147" s="105">
        <f>'Hillpointe Detail'!AZ147+'Sandhill Detail'!AZ147</f>
        <v>281.67797337368904</v>
      </c>
      <c r="BA147" s="105">
        <f>'Hillpointe Detail'!BA147+'Sandhill Detail'!BA147</f>
        <v>0</v>
      </c>
      <c r="BB147" s="105">
        <f>'Hillpointe Detail'!BB147+'Sandhill Detail'!BB147</f>
        <v>145.07409036813456</v>
      </c>
      <c r="BC147" s="105">
        <f>'Hillpointe Detail'!BC147+'Sandhill Detail'!BC147</f>
        <v>145.07390078839614</v>
      </c>
      <c r="BD147" s="105">
        <f>'Hillpointe Detail'!BD147+'Sandhill Detail'!BD147</f>
        <v>145.07184639672417</v>
      </c>
      <c r="BE147" s="105">
        <f>'Hillpointe Detail'!BE147+'Sandhill Detail'!BE147</f>
        <v>145.06951093877268</v>
      </c>
      <c r="BF147" s="105">
        <f>'Hillpointe Detail'!BF147+'Sandhill Detail'!BF147</f>
        <v>145.06905609038705</v>
      </c>
      <c r="BG147" s="105">
        <f>'Hillpointe Detail'!BG147+'Sandhill Detail'!BG147</f>
        <v>145.06957612514498</v>
      </c>
      <c r="BH147" s="105">
        <f>'Hillpointe Detail'!BH147+'Sandhill Detail'!BH147</f>
        <v>145.07133011792661</v>
      </c>
      <c r="BI147" s="105">
        <f>'Hillpointe Detail'!BI147+'Sandhill Detail'!BI147</f>
        <v>145.07133011792661</v>
      </c>
      <c r="BJ147" s="105">
        <f>'Hillpointe Detail'!BJ147+'Sandhill Detail'!BJ147</f>
        <v>145.07093579646829</v>
      </c>
      <c r="BK147" s="105">
        <f>'Hillpointe Detail'!BK147+'Sandhill Detail'!BK147</f>
        <v>145.0705122261929</v>
      </c>
      <c r="BL147" s="105">
        <f>'Hillpointe Detail'!BL147+'Sandhill Detail'!BL147</f>
        <v>290.1406432608054</v>
      </c>
      <c r="BM147" s="105">
        <f>'Hillpointe Detail'!BM147+'Sandhill Detail'!BM147</f>
        <v>0</v>
      </c>
      <c r="BN147" s="105">
        <f>'Hillpointe Detail'!BN147+'Sandhill Detail'!BN147</f>
        <v>149.42273678197122</v>
      </c>
      <c r="BO147" s="105">
        <f>'Hillpointe Detail'!BO147+'Sandhill Detail'!BO147</f>
        <v>149.42288946661876</v>
      </c>
      <c r="BP147" s="105">
        <f>'Hillpointe Detail'!BP147+'Sandhill Detail'!BP147</f>
        <v>149.42280723505419</v>
      </c>
      <c r="BQ147" s="105">
        <f>'Hillpointe Detail'!BQ147+'Sandhill Detail'!BQ147</f>
        <v>149.422713753191</v>
      </c>
      <c r="BR147" s="105">
        <f>'Hillpointe Detail'!BR147+'Sandhill Detail'!BR147</f>
        <v>149.42266457943094</v>
      </c>
      <c r="BS147" s="105">
        <f>'Hillpointe Detail'!BS147+'Sandhill Detail'!BS147</f>
        <v>149.42266975236134</v>
      </c>
      <c r="BT147" s="105">
        <f>'Hillpointe Detail'!BT147+'Sandhill Detail'!BT147</f>
        <v>149.42274692810454</v>
      </c>
      <c r="BU147" s="105">
        <f>'Hillpointe Detail'!BU147+'Sandhill Detail'!BU147</f>
        <v>149.42274692810454</v>
      </c>
      <c r="BV147" s="105">
        <f>'Hillpointe Detail'!BV147+'Sandhill Detail'!BV147</f>
        <v>149.42274837755221</v>
      </c>
      <c r="BW147" s="105">
        <f>'Hillpointe Detail'!BW147+'Sandhill Detail'!BW147</f>
        <v>149.42272822197123</v>
      </c>
      <c r="BX147" s="105">
        <f>'Hillpointe Detail'!BX147+'Sandhill Detail'!BX147</f>
        <v>298.8454338687759</v>
      </c>
      <c r="BY147" s="8"/>
      <c r="BZ147" s="105">
        <f t="shared" si="63"/>
        <v>71.67</v>
      </c>
      <c r="CA147" s="105">
        <f t="shared" si="64"/>
        <v>759.43999999999994</v>
      </c>
      <c r="CC147" s="105">
        <f t="shared" si="59"/>
        <v>6183.15</v>
      </c>
      <c r="CD147" s="105">
        <f t="shared" si="66"/>
        <v>895.69</v>
      </c>
      <c r="CE147" s="105">
        <f t="shared" si="66"/>
        <v>896.75999999999988</v>
      </c>
      <c r="CF147" s="105">
        <f t="shared" si="66"/>
        <v>915.02007056870491</v>
      </c>
      <c r="CG147" s="105">
        <f t="shared" si="66"/>
        <v>1643.4926021043584</v>
      </c>
      <c r="CH147" s="105">
        <f t="shared" si="66"/>
        <v>1690.2656681794642</v>
      </c>
      <c r="CI147" s="105">
        <f t="shared" si="66"/>
        <v>1740.8527322268797</v>
      </c>
      <c r="CJ147" s="105">
        <f t="shared" si="66"/>
        <v>1793.0728858931359</v>
      </c>
      <c r="CL147" s="105"/>
      <c r="CM147" s="13"/>
    </row>
    <row r="148" spans="1:91" x14ac:dyDescent="0.3">
      <c r="A148" s="84" t="s">
        <v>104</v>
      </c>
      <c r="B148" s="10" t="s">
        <v>136</v>
      </c>
      <c r="C148" s="103">
        <v>0</v>
      </c>
      <c r="D148" s="103">
        <v>480.04</v>
      </c>
      <c r="E148" s="105">
        <f>'Hillpointe Detail'!E148+'Sandhill Detail'!E148</f>
        <v>-28.86</v>
      </c>
      <c r="F148" s="105">
        <f>'Hillpointe Detail'!F148+'Sandhill Detail'!F148</f>
        <v>28.86</v>
      </c>
      <c r="G148" s="105">
        <f>'Hillpointe Detail'!G148+'Sandhill Detail'!G148</f>
        <v>29.28</v>
      </c>
      <c r="H148" s="105">
        <f>'Hillpointe Detail'!H148+'Sandhill Detail'!H148</f>
        <v>29.28</v>
      </c>
      <c r="I148" s="105">
        <f>'Hillpointe Detail'!I148+'Sandhill Detail'!I148</f>
        <v>29.28</v>
      </c>
      <c r="J148" s="105">
        <f>'Hillpointe Detail'!J148+'Sandhill Detail'!J148</f>
        <v>29.28</v>
      </c>
      <c r="K148" s="105">
        <f>'Hillpointe Detail'!K148+'Sandhill Detail'!K148</f>
        <v>41.4</v>
      </c>
      <c r="L148" s="105">
        <f>'Hillpointe Detail'!L148+'Sandhill Detail'!L148</f>
        <v>41.399999999999984</v>
      </c>
      <c r="M148" s="105">
        <f>'Hillpointe Detail'!M148+'Sandhill Detail'!M148</f>
        <v>41.4</v>
      </c>
      <c r="N148" s="105">
        <f>'Hillpointe Detail'!N148+'Sandhill Detail'!N148</f>
        <v>47.690000000000005</v>
      </c>
      <c r="O148" s="105">
        <f>'Hillpointe Detail'!O148+'Sandhill Detail'!O148</f>
        <v>36.409999999999997</v>
      </c>
      <c r="P148" s="105">
        <f>'Hillpointe Detail'!P148+'Sandhill Detail'!P148</f>
        <v>87.85</v>
      </c>
      <c r="Q148" s="105">
        <f>'Hillpointe Detail'!Q148+'Sandhill Detail'!Q148</f>
        <v>0</v>
      </c>
      <c r="R148" s="105">
        <f>'Hillpointe Detail'!R148+'Sandhill Detail'!R148</f>
        <v>29.28</v>
      </c>
      <c r="S148" s="105">
        <f>'Hillpointe Detail'!S148+'Sandhill Detail'!S148</f>
        <v>29.72</v>
      </c>
      <c r="T148" s="105">
        <f>'Hillpointe Detail'!T148+'Sandhill Detail'!T148</f>
        <v>29.290000000000003</v>
      </c>
      <c r="U148" s="105">
        <f>'Hillpointe Detail'!U148+'Sandhill Detail'!U148</f>
        <v>29.290000000000003</v>
      </c>
      <c r="V148" s="105">
        <f>'Hillpointe Detail'!V148+'Sandhill Detail'!V148</f>
        <v>36.32</v>
      </c>
      <c r="W148" s="105">
        <f>'Hillpointe Detail'!W148+'Sandhill Detail'!W148</f>
        <v>47.550000000000004</v>
      </c>
      <c r="X148" s="105">
        <f>'Hillpointe Detail'!X148+'Sandhill Detail'!X148</f>
        <v>53.68</v>
      </c>
      <c r="Y148" s="105">
        <f>'Hillpointe Detail'!Y148+'Sandhill Detail'!Y148</f>
        <v>41.41</v>
      </c>
      <c r="Z148" s="105">
        <f>'Hillpointe Detail'!Z148+'Sandhill Detail'!Z148</f>
        <v>30.93</v>
      </c>
      <c r="AA148" s="105">
        <f>'Hillpointe Detail'!AA148+'Sandhill Detail'!AA148</f>
        <v>32.14</v>
      </c>
      <c r="AB148" s="105">
        <f>'Hillpointe Detail'!AB148+'Sandhill Detail'!AB148</f>
        <v>84.054675377828957</v>
      </c>
      <c r="AC148" s="105">
        <f>'Hillpointe Detail'!AC148+'Sandhill Detail'!AC148</f>
        <v>0</v>
      </c>
      <c r="AD148" s="105">
        <f>'Hillpointe Detail'!AD148+'Sandhill Detail'!AD148</f>
        <v>43.840913174007824</v>
      </c>
      <c r="AE148" s="105">
        <f>'Hillpointe Detail'!AE148+'Sandhill Detail'!AE148</f>
        <v>42.912165388478378</v>
      </c>
      <c r="AF148" s="105">
        <f>'Hillpointe Detail'!AF148+'Sandhill Detail'!AF148</f>
        <v>41.597532548382958</v>
      </c>
      <c r="AG148" s="105">
        <f>'Hillpointe Detail'!AG148+'Sandhill Detail'!AG148</f>
        <v>40.630721277226542</v>
      </c>
      <c r="AH148" s="105">
        <f>'Hillpointe Detail'!AH148+'Sandhill Detail'!AH148</f>
        <v>41.280632204071956</v>
      </c>
      <c r="AI148" s="105">
        <f>'Hillpointe Detail'!AI148+'Sandhill Detail'!AI148</f>
        <v>42.045234281428094</v>
      </c>
      <c r="AJ148" s="105">
        <f>'Hillpointe Detail'!AJ148+'Sandhill Detail'!AJ148</f>
        <v>42.051199812265963</v>
      </c>
      <c r="AK148" s="105">
        <f>'Hillpointe Detail'!AK148+'Sandhill Detail'!AK148</f>
        <v>42.051199812265963</v>
      </c>
      <c r="AL148" s="105">
        <f>'Hillpointe Detail'!AL148+'Sandhill Detail'!AL148</f>
        <v>41.795526474874272</v>
      </c>
      <c r="AM148" s="105">
        <f>'Hillpointe Detail'!AM148+'Sandhill Detail'!AM148</f>
        <v>41.636006630073695</v>
      </c>
      <c r="AN148" s="105">
        <f>'Hillpointe Detail'!AN148+'Sandhill Detail'!AN148</f>
        <v>83.283005854916141</v>
      </c>
      <c r="AO148" s="105">
        <f>'Hillpointe Detail'!AO148+'Sandhill Detail'!AO148</f>
        <v>0</v>
      </c>
      <c r="AP148" s="105">
        <f>'Hillpointe Detail'!AP148+'Sandhill Detail'!AP148</f>
        <v>43.0925768645427</v>
      </c>
      <c r="AQ148" s="105">
        <f>'Hillpointe Detail'!AQ148+'Sandhill Detail'!AQ148</f>
        <v>43.062133842447636</v>
      </c>
      <c r="AR148" s="105">
        <f>'Hillpointe Detail'!AR148+'Sandhill Detail'!AR148</f>
        <v>43.026637813526079</v>
      </c>
      <c r="AS148" s="105">
        <f>'Hillpointe Detail'!AS148+'Sandhill Detail'!AS148</f>
        <v>42.986285487276724</v>
      </c>
      <c r="AT148" s="105">
        <f>'Hillpointe Detail'!AT148+'Sandhill Detail'!AT148</f>
        <v>42.977422175220013</v>
      </c>
      <c r="AU148" s="105">
        <f>'Hillpointe Detail'!AU148+'Sandhill Detail'!AU148</f>
        <v>42.990336209659752</v>
      </c>
      <c r="AV148" s="105">
        <f>'Hillpointe Detail'!AV148+'Sandhill Detail'!AV148</f>
        <v>43.022565398778823</v>
      </c>
      <c r="AW148" s="105">
        <f>'Hillpointe Detail'!AW148+'Sandhill Detail'!AW148</f>
        <v>43.022565398778823</v>
      </c>
      <c r="AX148" s="105">
        <f>'Hillpointe Detail'!AX148+'Sandhill Detail'!AX148</f>
        <v>43.012563760812554</v>
      </c>
      <c r="AY148" s="105">
        <f>'Hillpointe Detail'!AY148+'Sandhill Detail'!AY148</f>
        <v>43.005482320578977</v>
      </c>
      <c r="AZ148" s="105">
        <f>'Hillpointe Detail'!AZ148+'Sandhill Detail'!AZ148</f>
        <v>86.004920214601626</v>
      </c>
      <c r="BA148" s="105">
        <f>'Hillpointe Detail'!BA148+'Sandhill Detail'!BA148</f>
        <v>0</v>
      </c>
      <c r="BB148" s="105">
        <f>'Hillpointe Detail'!BB148+'Sandhill Detail'!BB148</f>
        <v>44.298598043186708</v>
      </c>
      <c r="BC148" s="105">
        <f>'Hillpointe Detail'!BC148+'Sandhill Detail'!BC148</f>
        <v>44.301236983049733</v>
      </c>
      <c r="BD148" s="105">
        <f>'Hillpointe Detail'!BD148+'Sandhill Detail'!BD148</f>
        <v>44.299536504623042</v>
      </c>
      <c r="BE148" s="105">
        <f>'Hillpointe Detail'!BE148+'Sandhill Detail'!BE148</f>
        <v>44.297603379641501</v>
      </c>
      <c r="BF148" s="105">
        <f>'Hillpointe Detail'!BF148+'Sandhill Detail'!BF148</f>
        <v>44.296853759698315</v>
      </c>
      <c r="BG148" s="105">
        <f>'Hillpointe Detail'!BG148+'Sandhill Detail'!BG148</f>
        <v>44.297022566621663</v>
      </c>
      <c r="BH148" s="105">
        <f>'Hillpointe Detail'!BH148+'Sandhill Detail'!BH148</f>
        <v>44.298475206136814</v>
      </c>
      <c r="BI148" s="105">
        <f>'Hillpointe Detail'!BI148+'Sandhill Detail'!BI148</f>
        <v>44.298475206136821</v>
      </c>
      <c r="BJ148" s="105">
        <f>'Hillpointe Detail'!BJ148+'Sandhill Detail'!BJ148</f>
        <v>44.298457657986845</v>
      </c>
      <c r="BK148" s="105">
        <f>'Hillpointe Detail'!BK148+'Sandhill Detail'!BK148</f>
        <v>44.298060611549282</v>
      </c>
      <c r="BL148" s="105">
        <f>'Hillpointe Detail'!BL148+'Sandhill Detail'!BL148</f>
        <v>88.59569953936321</v>
      </c>
      <c r="BM148" s="105">
        <f>'Hillpointe Detail'!BM148+'Sandhill Detail'!BM148</f>
        <v>0</v>
      </c>
      <c r="BN148" s="105">
        <f>'Hillpointe Detail'!BN148+'Sandhill Detail'!BN148</f>
        <v>45.626968073061214</v>
      </c>
      <c r="BO148" s="105">
        <f>'Hillpointe Detail'!BO148+'Sandhill Detail'!BO148</f>
        <v>45.62711527497315</v>
      </c>
      <c r="BP148" s="105">
        <f>'Hillpointe Detail'!BP148+'Sandhill Detail'!BP148</f>
        <v>45.627070772515957</v>
      </c>
      <c r="BQ148" s="105">
        <f>'Hillpointe Detail'!BQ148+'Sandhill Detail'!BQ148</f>
        <v>45.627020181570259</v>
      </c>
      <c r="BR148" s="105">
        <f>'Hillpointe Detail'!BR148+'Sandhill Detail'!BR148</f>
        <v>45.626965236885397</v>
      </c>
      <c r="BS148" s="105">
        <f>'Hillpointe Detail'!BS148+'Sandhill Detail'!BS148</f>
        <v>45.626960035065771</v>
      </c>
      <c r="BT148" s="105">
        <f>'Hillpointe Detail'!BT148+'Sandhill Detail'!BT148</f>
        <v>45.627016595678633</v>
      </c>
      <c r="BU148" s="105">
        <f>'Hillpointe Detail'!BU148+'Sandhill Detail'!BU148</f>
        <v>45.627016595678626</v>
      </c>
      <c r="BV148" s="105">
        <f>'Hillpointe Detail'!BV148+'Sandhill Detail'!BV148</f>
        <v>45.627023527481114</v>
      </c>
      <c r="BW148" s="105">
        <f>'Hillpointe Detail'!BW148+'Sandhill Detail'!BW148</f>
        <v>45.627010420696536</v>
      </c>
      <c r="BX148" s="105">
        <f>'Hillpointe Detail'!BX148+'Sandhill Detail'!BX148</f>
        <v>91.254003598016098</v>
      </c>
      <c r="BY148" s="8"/>
      <c r="BZ148" s="105">
        <f t="shared" si="63"/>
        <v>32.14</v>
      </c>
      <c r="CA148" s="105">
        <f t="shared" si="64"/>
        <v>359.61</v>
      </c>
      <c r="CC148" s="105">
        <f t="shared" si="59"/>
        <v>0</v>
      </c>
      <c r="CD148" s="105">
        <f t="shared" si="66"/>
        <v>480.04</v>
      </c>
      <c r="CE148" s="105">
        <f t="shared" si="66"/>
        <v>413.27</v>
      </c>
      <c r="CF148" s="105">
        <f t="shared" si="66"/>
        <v>443.66467537782898</v>
      </c>
      <c r="CG148" s="105">
        <f t="shared" si="66"/>
        <v>503.12413745799188</v>
      </c>
      <c r="CH148" s="105">
        <f t="shared" si="66"/>
        <v>516.2034894862237</v>
      </c>
      <c r="CI148" s="105">
        <f t="shared" si="66"/>
        <v>531.58001945799379</v>
      </c>
      <c r="CJ148" s="105">
        <f t="shared" si="66"/>
        <v>547.52417031162281</v>
      </c>
      <c r="CL148" s="105"/>
      <c r="CM148" s="13"/>
    </row>
    <row r="149" spans="1:91" x14ac:dyDescent="0.3">
      <c r="A149" s="84" t="s">
        <v>105</v>
      </c>
      <c r="B149" s="10" t="s">
        <v>136</v>
      </c>
      <c r="C149" s="103">
        <v>205679.05000000002</v>
      </c>
      <c r="D149" s="103">
        <v>14310.6</v>
      </c>
      <c r="E149" s="105">
        <f>'Hillpointe Detail'!E149+'Sandhill Detail'!E149</f>
        <v>1431.06</v>
      </c>
      <c r="F149" s="105">
        <f>'Hillpointe Detail'!F149+'Sandhill Detail'!F149</f>
        <v>1431.06</v>
      </c>
      <c r="G149" s="105">
        <f>'Hillpointe Detail'!G149+'Sandhill Detail'!G149</f>
        <v>1455.44</v>
      </c>
      <c r="H149" s="105">
        <f>'Hillpointe Detail'!H149+'Sandhill Detail'!H149</f>
        <v>1455.44</v>
      </c>
      <c r="I149" s="105">
        <f>'Hillpointe Detail'!I149+'Sandhill Detail'!I149</f>
        <v>1455.44</v>
      </c>
      <c r="J149" s="105">
        <f>'Hillpointe Detail'!J149+'Sandhill Detail'!J149</f>
        <v>1455.44</v>
      </c>
      <c r="K149" s="105">
        <f>'Hillpointe Detail'!K149+'Sandhill Detail'!K149</f>
        <v>1455.44</v>
      </c>
      <c r="L149" s="105">
        <f>'Hillpointe Detail'!L149+'Sandhill Detail'!L149</f>
        <v>1455.440000000001</v>
      </c>
      <c r="M149" s="105">
        <f>'Hillpointe Detail'!M149+'Sandhill Detail'!M149</f>
        <v>727.72</v>
      </c>
      <c r="N149" s="105">
        <f>'Hillpointe Detail'!N149+'Sandhill Detail'!N149</f>
        <v>0</v>
      </c>
      <c r="O149" s="105">
        <f>'Hillpointe Detail'!O149+'Sandhill Detail'!O149</f>
        <v>727.72</v>
      </c>
      <c r="P149" s="105">
        <f>'Hillpointe Detail'!P149+'Sandhill Detail'!P149</f>
        <v>4366.3099999999995</v>
      </c>
      <c r="Q149" s="105">
        <f>'Hillpointe Detail'!Q149+'Sandhill Detail'!Q149</f>
        <v>0</v>
      </c>
      <c r="R149" s="105">
        <f>'Hillpointe Detail'!R149+'Sandhill Detail'!R149</f>
        <v>1455.44</v>
      </c>
      <c r="S149" s="105">
        <f>'Hillpointe Detail'!S149+'Sandhill Detail'!S149</f>
        <v>1455.44</v>
      </c>
      <c r="T149" s="105">
        <f>'Hillpointe Detail'!T149+'Sandhill Detail'!T149</f>
        <v>1455.44</v>
      </c>
      <c r="U149" s="105">
        <f>'Hillpointe Detail'!U149+'Sandhill Detail'!U149</f>
        <v>1455.44</v>
      </c>
      <c r="V149" s="105">
        <f>'Hillpointe Detail'!V149+'Sandhill Detail'!V149</f>
        <v>1462.75</v>
      </c>
      <c r="W149" s="105">
        <f>'Hillpointe Detail'!W149+'Sandhill Detail'!W149</f>
        <v>1455.44</v>
      </c>
      <c r="X149" s="105">
        <f>'Hillpointe Detail'!X149+'Sandhill Detail'!X149</f>
        <v>1455.44</v>
      </c>
      <c r="Y149" s="105">
        <f>'Hillpointe Detail'!Y149+'Sandhill Detail'!Y149</f>
        <v>1455.44</v>
      </c>
      <c r="Z149" s="105">
        <f>'Hillpointe Detail'!Z149+'Sandhill Detail'!Z149</f>
        <v>1455.44</v>
      </c>
      <c r="AA149" s="105">
        <f>'Hillpointe Detail'!AA149+'Sandhill Detail'!AA149</f>
        <v>1467.88</v>
      </c>
      <c r="AB149" s="105">
        <f>'Hillpointe Detail'!AB149+'Sandhill Detail'!AB149</f>
        <v>2919.3119827816972</v>
      </c>
      <c r="AC149" s="105">
        <f>'Hillpointe Detail'!AC149+'Sandhill Detail'!AC149</f>
        <v>0</v>
      </c>
      <c r="AD149" s="105">
        <f>'Hillpointe Detail'!AD149+'Sandhill Detail'!AD149</f>
        <v>2599.0930118612423</v>
      </c>
      <c r="AE149" s="105">
        <f>'Hillpointe Detail'!AE149+'Sandhill Detail'!AE149</f>
        <v>2599.6108282634887</v>
      </c>
      <c r="AF149" s="105">
        <f>'Hillpointe Detail'!AF149+'Sandhill Detail'!AF149</f>
        <v>2600.1386848642424</v>
      </c>
      <c r="AG149" s="105">
        <f>'Hillpointe Detail'!AG149+'Sandhill Detail'!AG149</f>
        <v>2600.6780497293921</v>
      </c>
      <c r="AH149" s="105">
        <f>'Hillpointe Detail'!AH149+'Sandhill Detail'!AH149</f>
        <v>2601.230593886211</v>
      </c>
      <c r="AI149" s="105">
        <f>'Hillpointe Detail'!AI149+'Sandhill Detail'!AI149</f>
        <v>2599.7898879359072</v>
      </c>
      <c r="AJ149" s="105">
        <f>'Hillpointe Detail'!AJ149+'Sandhill Detail'!AJ149</f>
        <v>2600.0901760900801</v>
      </c>
      <c r="AK149" s="105">
        <f>'Hillpointe Detail'!AK149+'Sandhill Detail'!AK149</f>
        <v>2600.0901760900801</v>
      </c>
      <c r="AL149" s="105">
        <f>'Hillpointe Detail'!AL149+'Sandhill Detail'!AL149</f>
        <v>2600.2326281227715</v>
      </c>
      <c r="AM149" s="105">
        <f>'Hillpointe Detail'!AM149+'Sandhill Detail'!AM149</f>
        <v>2600.321456674098</v>
      </c>
      <c r="AN149" s="105">
        <f>'Hillpointe Detail'!AN149+'Sandhill Detail'!AN149</f>
        <v>5200.6951338652971</v>
      </c>
      <c r="AO149" s="105">
        <f>'Hillpointe Detail'!AO149+'Sandhill Detail'!AO149</f>
        <v>0</v>
      </c>
      <c r="AP149" s="105">
        <f>'Hillpointe Detail'!AP149+'Sandhill Detail'!AP149</f>
        <v>2678.1794346487977</v>
      </c>
      <c r="AQ149" s="105">
        <f>'Hillpointe Detail'!AQ149+'Sandhill Detail'!AQ149</f>
        <v>2678.2357433365373</v>
      </c>
      <c r="AR149" s="105">
        <f>'Hillpointe Detail'!AR149+'Sandhill Detail'!AR149</f>
        <v>2678.2559787421687</v>
      </c>
      <c r="AS149" s="105">
        <f>'Hillpointe Detail'!AS149+'Sandhill Detail'!AS149</f>
        <v>2678.2789826024482</v>
      </c>
      <c r="AT149" s="105">
        <f>'Hillpointe Detail'!AT149+'Sandhill Detail'!AT149</f>
        <v>2678.2845128884028</v>
      </c>
      <c r="AU149" s="105">
        <f>'Hillpointe Detail'!AU149+'Sandhill Detail'!AU149</f>
        <v>2678.2779971561067</v>
      </c>
      <c r="AV149" s="105">
        <f>'Hillpointe Detail'!AV149+'Sandhill Detail'!AV149</f>
        <v>2678.2521082290773</v>
      </c>
      <c r="AW149" s="105">
        <f>'Hillpointe Detail'!AW149+'Sandhill Detail'!AW149</f>
        <v>2678.2521082290773</v>
      </c>
      <c r="AX149" s="105">
        <f>'Hillpointe Detail'!AX149+'Sandhill Detail'!AX149</f>
        <v>2678.262490169117</v>
      </c>
      <c r="AY149" s="105">
        <f>'Hillpointe Detail'!AY149+'Sandhill Detail'!AY149</f>
        <v>2678.2663111452002</v>
      </c>
      <c r="AZ149" s="105">
        <f>'Hillpointe Detail'!AZ149+'Sandhill Detail'!AZ149</f>
        <v>5356.5355744055514</v>
      </c>
      <c r="BA149" s="105">
        <f>'Hillpointe Detail'!BA149+'Sandhill Detail'!BA149</f>
        <v>0</v>
      </c>
      <c r="BB149" s="105">
        <f>'Hillpointe Detail'!BB149+'Sandhill Detail'!BB149</f>
        <v>2758.6117124305938</v>
      </c>
      <c r="BC149" s="105">
        <f>'Hillpointe Detail'!BC149+'Sandhill Detail'!BC149</f>
        <v>2758.6096321119317</v>
      </c>
      <c r="BD149" s="105">
        <f>'Hillpointe Detail'!BD149+'Sandhill Detail'!BD149</f>
        <v>2758.6110429668861</v>
      </c>
      <c r="BE149" s="105">
        <f>'Hillpointe Detail'!BE149+'Sandhill Detail'!BE149</f>
        <v>2758.6126468443103</v>
      </c>
      <c r="BF149" s="105">
        <f>'Hillpointe Detail'!BF149+'Sandhill Detail'!BF149</f>
        <v>2758.6129673457312</v>
      </c>
      <c r="BG149" s="105">
        <f>'Hillpointe Detail'!BG149+'Sandhill Detail'!BG149</f>
        <v>2758.6127808934475</v>
      </c>
      <c r="BH149" s="105">
        <f>'Hillpointe Detail'!BH149+'Sandhill Detail'!BH149</f>
        <v>2758.6117970988166</v>
      </c>
      <c r="BI149" s="105">
        <f>'Hillpointe Detail'!BI149+'Sandhill Detail'!BI149</f>
        <v>2758.6117970988162</v>
      </c>
      <c r="BJ149" s="105">
        <f>'Hillpointe Detail'!BJ149+'Sandhill Detail'!BJ149</f>
        <v>2758.6118091942767</v>
      </c>
      <c r="BK149" s="105">
        <f>'Hillpointe Detail'!BK149+'Sandhill Detail'!BK149</f>
        <v>2758.6121202060403</v>
      </c>
      <c r="BL149" s="105">
        <f>'Hillpointe Detail'!BL149+'Sandhill Detail'!BL149</f>
        <v>5517.2245481946957</v>
      </c>
      <c r="BM149" s="105">
        <f>'Hillpointe Detail'!BM149+'Sandhill Detail'!BM149</f>
        <v>0</v>
      </c>
      <c r="BN149" s="105">
        <f>'Hillpointe Detail'!BN149+'Sandhill Detail'!BN149</f>
        <v>2841.3704854666676</v>
      </c>
      <c r="BO149" s="105">
        <f>'Hillpointe Detail'!BO149+'Sandhill Detail'!BO149</f>
        <v>2841.3703889014359</v>
      </c>
      <c r="BP149" s="105">
        <f>'Hillpointe Detail'!BP149+'Sandhill Detail'!BP149</f>
        <v>2841.370422596854</v>
      </c>
      <c r="BQ149" s="105">
        <f>'Hillpointe Detail'!BQ149+'Sandhill Detail'!BQ149</f>
        <v>2841.3704609022234</v>
      </c>
      <c r="BR149" s="105">
        <f>'Hillpointe Detail'!BR149+'Sandhill Detail'!BR149</f>
        <v>2841.3705026763982</v>
      </c>
      <c r="BS149" s="105">
        <f>'Hillpointe Detail'!BS149+'Sandhill Detail'!BS149</f>
        <v>2841.3705053147442</v>
      </c>
      <c r="BT149" s="105">
        <f>'Hillpointe Detail'!BT149+'Sandhill Detail'!BT149</f>
        <v>2841.3704609763868</v>
      </c>
      <c r="BU149" s="105">
        <f>'Hillpointe Detail'!BU149+'Sandhill Detail'!BU149</f>
        <v>2841.3704609763868</v>
      </c>
      <c r="BV149" s="105">
        <f>'Hillpointe Detail'!BV149+'Sandhill Detail'!BV149</f>
        <v>2841.3704574777753</v>
      </c>
      <c r="BW149" s="105">
        <f>'Hillpointe Detail'!BW149+'Sandhill Detail'!BW149</f>
        <v>2841.3704672743952</v>
      </c>
      <c r="BX149" s="105">
        <f>'Hillpointe Detail'!BX149+'Sandhill Detail'!BX149</f>
        <v>5682.7409473138023</v>
      </c>
      <c r="BY149" s="8"/>
      <c r="BZ149" s="105">
        <f t="shared" si="63"/>
        <v>1467.88</v>
      </c>
      <c r="CA149" s="105">
        <f t="shared" si="64"/>
        <v>14574.150000000001</v>
      </c>
      <c r="CC149" s="105">
        <f t="shared" si="59"/>
        <v>205679.05000000002</v>
      </c>
      <c r="CD149" s="105">
        <f t="shared" ref="CD149:CJ159" si="68">SUMIF($C$3:$BY$3,CD$3,$C149:$BY149)</f>
        <v>14310.6</v>
      </c>
      <c r="CE149" s="105">
        <f t="shared" si="68"/>
        <v>17416.510000000002</v>
      </c>
      <c r="CF149" s="105">
        <f t="shared" si="68"/>
        <v>17493.4619827817</v>
      </c>
      <c r="CG149" s="105">
        <f t="shared" si="68"/>
        <v>31201.970627382812</v>
      </c>
      <c r="CH149" s="105">
        <f t="shared" si="68"/>
        <v>32139.081241552482</v>
      </c>
      <c r="CI149" s="105">
        <f t="shared" si="68"/>
        <v>33103.342854385548</v>
      </c>
      <c r="CJ149" s="105">
        <f t="shared" si="68"/>
        <v>34096.445559877073</v>
      </c>
      <c r="CL149" s="105"/>
      <c r="CM149" s="13"/>
    </row>
    <row r="150" spans="1:91" x14ac:dyDescent="0.3">
      <c r="A150" s="84" t="s">
        <v>106</v>
      </c>
      <c r="B150" s="10" t="s">
        <v>136</v>
      </c>
      <c r="C150" s="103">
        <v>9628.77</v>
      </c>
      <c r="D150" s="103">
        <v>4327.54</v>
      </c>
      <c r="E150" s="105">
        <f>'Hillpointe Detail'!E150+'Sandhill Detail'!E150</f>
        <v>-358.03999999999996</v>
      </c>
      <c r="F150" s="105">
        <f>'Hillpointe Detail'!F150+'Sandhill Detail'!F150</f>
        <v>358.03999999999996</v>
      </c>
      <c r="G150" s="105">
        <f>'Hillpointe Detail'!G150+'Sandhill Detail'!G150</f>
        <v>363.44</v>
      </c>
      <c r="H150" s="105">
        <f>'Hillpointe Detail'!H150+'Sandhill Detail'!H150</f>
        <v>363.44</v>
      </c>
      <c r="I150" s="105">
        <f>'Hillpointe Detail'!I150+'Sandhill Detail'!I150</f>
        <v>363.44</v>
      </c>
      <c r="J150" s="105">
        <f>'Hillpointe Detail'!J150+'Sandhill Detail'!J150</f>
        <v>363.44</v>
      </c>
      <c r="K150" s="105">
        <f>'Hillpointe Detail'!K150+'Sandhill Detail'!K150</f>
        <v>363.44</v>
      </c>
      <c r="L150" s="105">
        <f>'Hillpointe Detail'!L150+'Sandhill Detail'!L150</f>
        <v>363.44000000000005</v>
      </c>
      <c r="M150" s="105">
        <f>'Hillpointe Detail'!M150+'Sandhill Detail'!M150</f>
        <v>1091.1600000000001</v>
      </c>
      <c r="N150" s="105">
        <f>'Hillpointe Detail'!N150+'Sandhill Detail'!N150</f>
        <v>1818.88</v>
      </c>
      <c r="O150" s="105">
        <f>'Hillpointe Detail'!O150+'Sandhill Detail'!O150</f>
        <v>1091.1600000000001</v>
      </c>
      <c r="P150" s="105">
        <f>'Hillpointe Detail'!P150+'Sandhill Detail'!P150</f>
        <v>1090.33</v>
      </c>
      <c r="Q150" s="105">
        <f>'Hillpointe Detail'!Q150+'Sandhill Detail'!Q150</f>
        <v>0</v>
      </c>
      <c r="R150" s="105">
        <f>'Hillpointe Detail'!R150+'Sandhill Detail'!R150</f>
        <v>363.44</v>
      </c>
      <c r="S150" s="105">
        <f>'Hillpointe Detail'!S150+'Sandhill Detail'!S150</f>
        <v>363.44</v>
      </c>
      <c r="T150" s="105">
        <f>'Hillpointe Detail'!T150+'Sandhill Detail'!T150</f>
        <v>363.44</v>
      </c>
      <c r="U150" s="105">
        <f>'Hillpointe Detail'!U150+'Sandhill Detail'!U150</f>
        <v>363.44</v>
      </c>
      <c r="V150" s="105">
        <f>'Hillpointe Detail'!V150+'Sandhill Detail'!V150</f>
        <v>363.44</v>
      </c>
      <c r="W150" s="105">
        <f>'Hillpointe Detail'!W150+'Sandhill Detail'!W150</f>
        <v>363.44</v>
      </c>
      <c r="X150" s="105">
        <f>'Hillpointe Detail'!X150+'Sandhill Detail'!X150</f>
        <v>363.44</v>
      </c>
      <c r="Y150" s="105">
        <f>'Hillpointe Detail'!Y150+'Sandhill Detail'!Y150</f>
        <v>363.44</v>
      </c>
      <c r="Z150" s="105">
        <f>'Hillpointe Detail'!Z150+'Sandhill Detail'!Z150</f>
        <v>363.44</v>
      </c>
      <c r="AA150" s="105">
        <f>'Hillpointe Detail'!AA150+'Sandhill Detail'!AA150</f>
        <v>366.42</v>
      </c>
      <c r="AB150" s="105">
        <f>'Hillpointe Detail'!AB150+'Sandhill Detail'!AB150</f>
        <v>789.0767412834457</v>
      </c>
      <c r="AC150" s="105">
        <f>'Hillpointe Detail'!AC150+'Sandhill Detail'!AC150</f>
        <v>0</v>
      </c>
      <c r="AD150" s="105">
        <f>'Hillpointe Detail'!AD150+'Sandhill Detail'!AD150</f>
        <v>394.77620276145922</v>
      </c>
      <c r="AE150" s="105">
        <f>'Hillpointe Detail'!AE150+'Sandhill Detail'!AE150</f>
        <v>396.12426980505484</v>
      </c>
      <c r="AF150" s="105">
        <f>'Hillpointe Detail'!AF150+'Sandhill Detail'!AF150</f>
        <v>403.94726722942096</v>
      </c>
      <c r="AG150" s="105">
        <f>'Hillpointe Detail'!AG150+'Sandhill Detail'!AG150</f>
        <v>400.26465625482052</v>
      </c>
      <c r="AH150" s="105">
        <f>'Hillpointe Detail'!AH150+'Sandhill Detail'!AH150</f>
        <v>398.16422503915123</v>
      </c>
      <c r="AI150" s="105">
        <f>'Hillpointe Detail'!AI150+'Sandhill Detail'!AI150</f>
        <v>397.47905176762185</v>
      </c>
      <c r="AJ150" s="105">
        <f>'Hillpointe Detail'!AJ150+'Sandhill Detail'!AJ150</f>
        <v>398.45927880958811</v>
      </c>
      <c r="AK150" s="105">
        <f>'Hillpointe Detail'!AK150+'Sandhill Detail'!AK150</f>
        <v>398.45927880958811</v>
      </c>
      <c r="AL150" s="105">
        <f>'Hillpointe Detail'!AL150+'Sandhill Detail'!AL150</f>
        <v>398.98543253074939</v>
      </c>
      <c r="AM150" s="105">
        <f>'Hillpointe Detail'!AM150+'Sandhill Detail'!AM150</f>
        <v>399.39417006299146</v>
      </c>
      <c r="AN150" s="105">
        <f>'Hillpointe Detail'!AN150+'Sandhill Detail'!AN150</f>
        <v>797.48745522128888</v>
      </c>
      <c r="AO150" s="105">
        <f>'Hillpointe Detail'!AO150+'Sandhill Detail'!AO150</f>
        <v>0</v>
      </c>
      <c r="AP150" s="105">
        <f>'Hillpointe Detail'!AP150+'Sandhill Detail'!AP150</f>
        <v>410.56751531684046</v>
      </c>
      <c r="AQ150" s="105">
        <f>'Hillpointe Detail'!AQ150+'Sandhill Detail'!AQ150</f>
        <v>410.73310450548763</v>
      </c>
      <c r="AR150" s="105">
        <f>'Hillpointe Detail'!AR150+'Sandhill Detail'!AR150</f>
        <v>410.77843698871879</v>
      </c>
      <c r="AS150" s="105">
        <f>'Hillpointe Detail'!AS150+'Sandhill Detail'!AS150</f>
        <v>410.82997151831586</v>
      </c>
      <c r="AT150" s="105">
        <f>'Hillpointe Detail'!AT150+'Sandhill Detail'!AT150</f>
        <v>410.81241196938947</v>
      </c>
      <c r="AU150" s="105">
        <f>'Hillpointe Detail'!AU150+'Sandhill Detail'!AU150</f>
        <v>410.7335891448451</v>
      </c>
      <c r="AV150" s="105">
        <f>'Hillpointe Detail'!AV150+'Sandhill Detail'!AV150</f>
        <v>410.74250490726627</v>
      </c>
      <c r="AW150" s="105">
        <f>'Hillpointe Detail'!AW150+'Sandhill Detail'!AW150</f>
        <v>410.74250490726627</v>
      </c>
      <c r="AX150" s="105">
        <f>'Hillpointe Detail'!AX150+'Sandhill Detail'!AX150</f>
        <v>410.76750342018425</v>
      </c>
      <c r="AY150" s="105">
        <f>'Hillpointe Detail'!AY150+'Sandhill Detail'!AY150</f>
        <v>410.77241755085521</v>
      </c>
      <c r="AZ150" s="105">
        <f>'Hillpointe Detail'!AZ150+'Sandhill Detail'!AZ150</f>
        <v>821.54311526232084</v>
      </c>
      <c r="BA150" s="105">
        <f>'Hillpointe Detail'!BA150+'Sandhill Detail'!BA150</f>
        <v>0</v>
      </c>
      <c r="BB150" s="105">
        <f>'Hillpointe Detail'!BB150+'Sandhill Detail'!BB150</f>
        <v>423.08009774978871</v>
      </c>
      <c r="BC150" s="105">
        <f>'Hillpointe Detail'!BC150+'Sandhill Detail'!BC150</f>
        <v>423.08358294617523</v>
      </c>
      <c r="BD150" s="105">
        <f>'Hillpointe Detail'!BD150+'Sandhill Detail'!BD150</f>
        <v>423.08624624528164</v>
      </c>
      <c r="BE150" s="105">
        <f>'Hillpointe Detail'!BE150+'Sandhill Detail'!BE150</f>
        <v>423.08927391676224</v>
      </c>
      <c r="BF150" s="105">
        <f>'Hillpointe Detail'!BF150+'Sandhill Detail'!BF150</f>
        <v>423.0890977080503</v>
      </c>
      <c r="BG150" s="105">
        <f>'Hillpointe Detail'!BG150+'Sandhill Detail'!BG150</f>
        <v>423.08818968436788</v>
      </c>
      <c r="BH150" s="105">
        <f>'Hillpointe Detail'!BH150+'Sandhill Detail'!BH150</f>
        <v>423.08608137507093</v>
      </c>
      <c r="BI150" s="105">
        <f>'Hillpointe Detail'!BI150+'Sandhill Detail'!BI150</f>
        <v>423.08608137507093</v>
      </c>
      <c r="BJ150" s="105">
        <f>'Hillpointe Detail'!BJ150+'Sandhill Detail'!BJ150</f>
        <v>423.08693617868266</v>
      </c>
      <c r="BK150" s="105">
        <f>'Hillpointe Detail'!BK150+'Sandhill Detail'!BK150</f>
        <v>423.08741521189802</v>
      </c>
      <c r="BL150" s="105">
        <f>'Hillpointe Detail'!BL150+'Sandhill Detail'!BL150</f>
        <v>846.17516441425778</v>
      </c>
      <c r="BM150" s="105">
        <f>'Hillpointe Detail'!BM150+'Sandhill Detail'!BM150</f>
        <v>0</v>
      </c>
      <c r="BN150" s="105">
        <f>'Hillpointe Detail'!BN150+'Sandhill Detail'!BN150</f>
        <v>435.77973775521843</v>
      </c>
      <c r="BO150" s="105">
        <f>'Hillpointe Detail'!BO150+'Sandhill Detail'!BO150</f>
        <v>435.77958162155113</v>
      </c>
      <c r="BP150" s="105">
        <f>'Hillpointe Detail'!BP150+'Sandhill Detail'!BP150</f>
        <v>435.77971162229176</v>
      </c>
      <c r="BQ150" s="105">
        <f>'Hillpointe Detail'!BQ150+'Sandhill Detail'!BQ150</f>
        <v>435.77985940874714</v>
      </c>
      <c r="BR150" s="105">
        <f>'Hillpointe Detail'!BR150+'Sandhill Detail'!BR150</f>
        <v>435.77990367064371</v>
      </c>
      <c r="BS150" s="105">
        <f>'Hillpointe Detail'!BS150+'Sandhill Detail'!BS150</f>
        <v>435.77988492971906</v>
      </c>
      <c r="BT150" s="105">
        <f>'Hillpointe Detail'!BT150+'Sandhill Detail'!BT150</f>
        <v>435.7797798346952</v>
      </c>
      <c r="BU150" s="105">
        <f>'Hillpointe Detail'!BU150+'Sandhill Detail'!BU150</f>
        <v>435.7797798346952</v>
      </c>
      <c r="BV150" s="105">
        <f>'Hillpointe Detail'!BV150+'Sandhill Detail'!BV150</f>
        <v>435.77978584604898</v>
      </c>
      <c r="BW150" s="105">
        <f>'Hillpointe Detail'!BW150+'Sandhill Detail'!BW150</f>
        <v>435.77981502097725</v>
      </c>
      <c r="BX150" s="105">
        <f>'Hillpointe Detail'!BX150+'Sandhill Detail'!BX150</f>
        <v>871.55965958443608</v>
      </c>
      <c r="BY150" s="8"/>
      <c r="BZ150" s="105">
        <f t="shared" si="63"/>
        <v>366.42</v>
      </c>
      <c r="CA150" s="105">
        <f t="shared" si="64"/>
        <v>3637.38</v>
      </c>
      <c r="CC150" s="105">
        <f t="shared" si="59"/>
        <v>9628.77</v>
      </c>
      <c r="CD150" s="105">
        <f t="shared" si="68"/>
        <v>4327.54</v>
      </c>
      <c r="CE150" s="105">
        <f t="shared" si="68"/>
        <v>7272.17</v>
      </c>
      <c r="CF150" s="105">
        <f t="shared" si="68"/>
        <v>4426.4567412834458</v>
      </c>
      <c r="CG150" s="105">
        <f t="shared" si="68"/>
        <v>4783.5412882917344</v>
      </c>
      <c r="CH150" s="105">
        <f t="shared" si="68"/>
        <v>4929.0230754914901</v>
      </c>
      <c r="CI150" s="105">
        <f t="shared" si="68"/>
        <v>5077.0381668054069</v>
      </c>
      <c r="CJ150" s="105">
        <f t="shared" si="68"/>
        <v>5229.3574991290243</v>
      </c>
      <c r="CL150" s="105"/>
      <c r="CM150" s="13"/>
    </row>
    <row r="151" spans="1:91" x14ac:dyDescent="0.3">
      <c r="A151" s="84" t="s">
        <v>107</v>
      </c>
      <c r="B151" s="10" t="s">
        <v>136</v>
      </c>
      <c r="C151" s="103">
        <v>0</v>
      </c>
      <c r="D151" s="103">
        <v>389.98</v>
      </c>
      <c r="E151" s="105">
        <f>'Hillpointe Detail'!E151+'Sandhill Detail'!E151</f>
        <v>-25.16</v>
      </c>
      <c r="F151" s="105">
        <f>'Hillpointe Detail'!F151+'Sandhill Detail'!F151</f>
        <v>0</v>
      </c>
      <c r="G151" s="105">
        <f>'Hillpointe Detail'!G151+'Sandhill Detail'!G151</f>
        <v>0</v>
      </c>
      <c r="H151" s="105">
        <f>'Hillpointe Detail'!H151+'Sandhill Detail'!H151</f>
        <v>0</v>
      </c>
      <c r="I151" s="105">
        <f>'Hillpointe Detail'!I151+'Sandhill Detail'!I151</f>
        <v>0</v>
      </c>
      <c r="J151" s="105">
        <f>'Hillpointe Detail'!J151+'Sandhill Detail'!J151</f>
        <v>0</v>
      </c>
      <c r="K151" s="105">
        <f>'Hillpointe Detail'!K151+'Sandhill Detail'!K151</f>
        <v>89.55</v>
      </c>
      <c r="L151" s="105">
        <f>'Hillpointe Detail'!L151+'Sandhill Detail'!L151</f>
        <v>89.56</v>
      </c>
      <c r="M151" s="105">
        <f>'Hillpointe Detail'!M151+'Sandhill Detail'!M151</f>
        <v>74.64</v>
      </c>
      <c r="N151" s="105">
        <f>'Hillpointe Detail'!N151+'Sandhill Detail'!N151</f>
        <v>74.64</v>
      </c>
      <c r="O151" s="105">
        <f>'Hillpointe Detail'!O151+'Sandhill Detail'!O151</f>
        <v>74.64</v>
      </c>
      <c r="P151" s="105">
        <f>'Hillpointe Detail'!P151+'Sandhill Detail'!P151</f>
        <v>127.81</v>
      </c>
      <c r="Q151" s="105">
        <f>'Hillpointe Detail'!Q151+'Sandhill Detail'!Q151</f>
        <v>0</v>
      </c>
      <c r="R151" s="105">
        <f>'Hillpointe Detail'!R151+'Sandhill Detail'!R151</f>
        <v>0</v>
      </c>
      <c r="S151" s="105">
        <f>'Hillpointe Detail'!S151+'Sandhill Detail'!S151</f>
        <v>0</v>
      </c>
      <c r="T151" s="105">
        <f>'Hillpointe Detail'!T151+'Sandhill Detail'!T151</f>
        <v>0</v>
      </c>
      <c r="U151" s="105">
        <f>'Hillpointe Detail'!U151+'Sandhill Detail'!U151</f>
        <v>0</v>
      </c>
      <c r="V151" s="105">
        <f>'Hillpointe Detail'!V151+'Sandhill Detail'!V151</f>
        <v>0</v>
      </c>
      <c r="W151" s="105">
        <f>'Hillpointe Detail'!W151+'Sandhill Detail'!W151</f>
        <v>74.64</v>
      </c>
      <c r="X151" s="105">
        <f>'Hillpointe Detail'!X151+'Sandhill Detail'!X151</f>
        <v>74.64</v>
      </c>
      <c r="Y151" s="105">
        <f>'Hillpointe Detail'!Y151+'Sandhill Detail'!Y151</f>
        <v>74.64</v>
      </c>
      <c r="Z151" s="105">
        <f>'Hillpointe Detail'!Z151+'Sandhill Detail'!Z151</f>
        <v>74.64</v>
      </c>
      <c r="AA151" s="105">
        <f>'Hillpointe Detail'!AA151+'Sandhill Detail'!AA151</f>
        <v>74.64</v>
      </c>
      <c r="AB151" s="105">
        <f>'Hillpointe Detail'!AB151+'Sandhill Detail'!AB151</f>
        <v>106.73054233603642</v>
      </c>
      <c r="AC151" s="105">
        <f>'Hillpointe Detail'!AC151+'Sandhill Detail'!AC151</f>
        <v>0</v>
      </c>
      <c r="AD151" s="105">
        <f>'Hillpointe Detail'!AD151+'Sandhill Detail'!AD151</f>
        <v>122.18613709992125</v>
      </c>
      <c r="AE151" s="105">
        <f>'Hillpointe Detail'!AE151+'Sandhill Detail'!AE151</f>
        <v>120.80117977014507</v>
      </c>
      <c r="AF151" s="105">
        <f>'Hillpointe Detail'!AF151+'Sandhill Detail'!AF151</f>
        <v>119.38927471850488</v>
      </c>
      <c r="AG151" s="105">
        <f>'Hillpointe Detail'!AG151+'Sandhill Detail'!AG151</f>
        <v>117.94648211796104</v>
      </c>
      <c r="AH151" s="105">
        <f>'Hillpointe Detail'!AH151+'Sandhill Detail'!AH151</f>
        <v>116.46831739987746</v>
      </c>
      <c r="AI151" s="105">
        <f>'Hillpointe Detail'!AI151+'Sandhill Detail'!AI151</f>
        <v>114.94967089321263</v>
      </c>
      <c r="AJ151" s="105">
        <f>'Hillpointe Detail'!AJ151+'Sandhill Detail'!AJ151</f>
        <v>118.62351033327039</v>
      </c>
      <c r="AK151" s="105">
        <f>'Hillpointe Detail'!AK151+'Sandhill Detail'!AK151</f>
        <v>118.6235103332704</v>
      </c>
      <c r="AL151" s="105">
        <f>'Hillpointe Detail'!AL151+'Sandhill Detail'!AL151</f>
        <v>118.11456365232027</v>
      </c>
      <c r="AM151" s="105">
        <f>'Hillpointe Detail'!AM151+'Sandhill Detail'!AM151</f>
        <v>117.73076134977387</v>
      </c>
      <c r="AN151" s="105">
        <f>'Hillpointe Detail'!AN151+'Sandhill Detail'!AN151</f>
        <v>234.98766173705317</v>
      </c>
      <c r="AO151" s="105">
        <f>'Hillpointe Detail'!AO151+'Sandhill Detail'!AO151</f>
        <v>0</v>
      </c>
      <c r="AP151" s="105">
        <f>'Hillpointe Detail'!AP151+'Sandhill Detail'!AP151</f>
        <v>121.10293837826683</v>
      </c>
      <c r="AQ151" s="105">
        <f>'Hillpointe Detail'!AQ151+'Sandhill Detail'!AQ151</f>
        <v>121.48768622439171</v>
      </c>
      <c r="AR151" s="105">
        <f>'Hillpointe Detail'!AR151+'Sandhill Detail'!AR151</f>
        <v>121.38931095259613</v>
      </c>
      <c r="AS151" s="105">
        <f>'Hillpointe Detail'!AS151+'Sandhill Detail'!AS151</f>
        <v>121.27747672260003</v>
      </c>
      <c r="AT151" s="105">
        <f>'Hillpointe Detail'!AT151+'Sandhill Detail'!AT151</f>
        <v>121.22403236314919</v>
      </c>
      <c r="AU151" s="105">
        <f>'Hillpointe Detail'!AU151+'Sandhill Detail'!AU151</f>
        <v>121.21862651320264</v>
      </c>
      <c r="AV151" s="105">
        <f>'Hillpointe Detail'!AV151+'Sandhill Detail'!AV151</f>
        <v>121.28334519236778</v>
      </c>
      <c r="AW151" s="105">
        <f>'Hillpointe Detail'!AW151+'Sandhill Detail'!AW151</f>
        <v>121.28334519236778</v>
      </c>
      <c r="AX151" s="105">
        <f>'Hillpointe Detail'!AX151+'Sandhill Detail'!AX151</f>
        <v>121.30911759438219</v>
      </c>
      <c r="AY151" s="105">
        <f>'Hillpointe Detail'!AY151+'Sandhill Detail'!AY151</f>
        <v>121.28360779009512</v>
      </c>
      <c r="AZ151" s="105">
        <f>'Hillpointe Detail'!AZ151+'Sandhill Detail'!AZ151</f>
        <v>242.53701467661853</v>
      </c>
      <c r="BA151" s="105">
        <f>'Hillpointe Detail'!BA151+'Sandhill Detail'!BA151</f>
        <v>0</v>
      </c>
      <c r="BB151" s="105">
        <f>'Hillpointe Detail'!BB151+'Sandhill Detail'!BB151</f>
        <v>124.91178695254357</v>
      </c>
      <c r="BC151" s="105">
        <f>'Hillpointe Detail'!BC151+'Sandhill Detail'!BC151</f>
        <v>124.91983839549451</v>
      </c>
      <c r="BD151" s="105">
        <f>'Hillpointe Detail'!BD151+'Sandhill Detail'!BD151</f>
        <v>124.91955409625308</v>
      </c>
      <c r="BE151" s="105">
        <f>'Hillpointe Detail'!BE151+'Sandhill Detail'!BE151</f>
        <v>124.91923090134678</v>
      </c>
      <c r="BF151" s="105">
        <f>'Hillpointe Detail'!BF151+'Sandhill Detail'!BF151</f>
        <v>124.91513536470816</v>
      </c>
      <c r="BG151" s="105">
        <f>'Hillpointe Detail'!BG151+'Sandhill Detail'!BG151</f>
        <v>124.91415904875154</v>
      </c>
      <c r="BH151" s="105">
        <f>'Hillpointe Detail'!BH151+'Sandhill Detail'!BH151</f>
        <v>124.9166174598496</v>
      </c>
      <c r="BI151" s="105">
        <f>'Hillpointe Detail'!BI151+'Sandhill Detail'!BI151</f>
        <v>124.9166174598496</v>
      </c>
      <c r="BJ151" s="105">
        <f>'Hillpointe Detail'!BJ151+'Sandhill Detail'!BJ151</f>
        <v>124.91730753232189</v>
      </c>
      <c r="BK151" s="105">
        <f>'Hillpointe Detail'!BK151+'Sandhill Detail'!BK151</f>
        <v>124.91694598044008</v>
      </c>
      <c r="BL151" s="105">
        <f>'Hillpointe Detail'!BL151+'Sandhill Detail'!BL151</f>
        <v>249.83314678493355</v>
      </c>
      <c r="BM151" s="105">
        <f>'Hillpointe Detail'!BM151+'Sandhill Detail'!BM151</f>
        <v>0</v>
      </c>
      <c r="BN151" s="105">
        <f>'Hillpointe Detail'!BN151+'Sandhill Detail'!BN151</f>
        <v>128.66389115630435</v>
      </c>
      <c r="BO151" s="105">
        <f>'Hillpointe Detail'!BO151+'Sandhill Detail'!BO151</f>
        <v>128.66421936911951</v>
      </c>
      <c r="BP151" s="105">
        <f>'Hillpointe Detail'!BP151+'Sandhill Detail'!BP151</f>
        <v>128.66423401295441</v>
      </c>
      <c r="BQ151" s="105">
        <f>'Hillpointe Detail'!BQ151+'Sandhill Detail'!BQ151</f>
        <v>128.66425066024766</v>
      </c>
      <c r="BR151" s="105">
        <f>'Hillpointe Detail'!BR151+'Sandhill Detail'!BR151</f>
        <v>128.66416974760108</v>
      </c>
      <c r="BS151" s="105">
        <f>'Hillpointe Detail'!BS151+'Sandhill Detail'!BS151</f>
        <v>128.66412994169164</v>
      </c>
      <c r="BT151" s="105">
        <f>'Hillpointe Detail'!BT151+'Sandhill Detail'!BT151</f>
        <v>128.66414914798642</v>
      </c>
      <c r="BU151" s="105">
        <f>'Hillpointe Detail'!BU151+'Sandhill Detail'!BU151</f>
        <v>128.66414914798642</v>
      </c>
      <c r="BV151" s="105">
        <f>'Hillpointe Detail'!BV151+'Sandhill Detail'!BV151</f>
        <v>128.66418600394101</v>
      </c>
      <c r="BW151" s="105">
        <f>'Hillpointe Detail'!BW151+'Sandhill Detail'!BW151</f>
        <v>128.66418123748696</v>
      </c>
      <c r="BX151" s="105">
        <f>'Hillpointe Detail'!BX151+'Sandhill Detail'!BX151</f>
        <v>257.32834739626895</v>
      </c>
      <c r="BY151" s="8"/>
      <c r="BZ151" s="105">
        <f t="shared" si="63"/>
        <v>74.64</v>
      </c>
      <c r="CA151" s="105">
        <f t="shared" si="64"/>
        <v>373.2</v>
      </c>
      <c r="CC151" s="105">
        <f t="shared" si="59"/>
        <v>0</v>
      </c>
      <c r="CD151" s="105">
        <f t="shared" si="68"/>
        <v>389.98</v>
      </c>
      <c r="CE151" s="105">
        <f t="shared" si="68"/>
        <v>505.67999999999995</v>
      </c>
      <c r="CF151" s="105">
        <f t="shared" si="68"/>
        <v>479.93054233603641</v>
      </c>
      <c r="CG151" s="105">
        <f t="shared" si="68"/>
        <v>1419.8210694053107</v>
      </c>
      <c r="CH151" s="105">
        <f t="shared" si="68"/>
        <v>1455.3965016000377</v>
      </c>
      <c r="CI151" s="105">
        <f t="shared" si="68"/>
        <v>1499.0003399764923</v>
      </c>
      <c r="CJ151" s="105">
        <f t="shared" si="68"/>
        <v>1543.9699078215883</v>
      </c>
      <c r="CL151" s="105"/>
      <c r="CM151" s="13"/>
    </row>
    <row r="152" spans="1:91" x14ac:dyDescent="0.3">
      <c r="A152" s="84" t="s">
        <v>108</v>
      </c>
      <c r="B152" s="10" t="s">
        <v>136</v>
      </c>
      <c r="C152" s="103">
        <v>0</v>
      </c>
      <c r="D152" s="103">
        <v>232.43</v>
      </c>
      <c r="E152" s="105">
        <f>'Hillpointe Detail'!E152+'Sandhill Detail'!E152</f>
        <v>-42.260000000000005</v>
      </c>
      <c r="F152" s="105">
        <f>'Hillpointe Detail'!F152+'Sandhill Detail'!F152</f>
        <v>42.260000000000005</v>
      </c>
      <c r="G152" s="105">
        <f>'Hillpointe Detail'!G152+'Sandhill Detail'!G152</f>
        <v>42.9</v>
      </c>
      <c r="H152" s="105">
        <f>'Hillpointe Detail'!H152+'Sandhill Detail'!H152</f>
        <v>42.9</v>
      </c>
      <c r="I152" s="105">
        <f>'Hillpointe Detail'!I152+'Sandhill Detail'!I152</f>
        <v>42.9</v>
      </c>
      <c r="J152" s="105">
        <f>'Hillpointe Detail'!J152+'Sandhill Detail'!J152</f>
        <v>42.9</v>
      </c>
      <c r="K152" s="105">
        <f>'Hillpointe Detail'!K152+'Sandhill Detail'!K152</f>
        <v>42.9</v>
      </c>
      <c r="L152" s="105">
        <f>'Hillpointe Detail'!L152+'Sandhill Detail'!L152</f>
        <v>42.899999999999984</v>
      </c>
      <c r="M152" s="105">
        <f>'Hillpointe Detail'!M152+'Sandhill Detail'!M152</f>
        <v>35.74</v>
      </c>
      <c r="N152" s="105">
        <f>'Hillpointe Detail'!N152+'Sandhill Detail'!N152</f>
        <v>35.74</v>
      </c>
      <c r="O152" s="105">
        <f>'Hillpointe Detail'!O152+'Sandhill Detail'!O152</f>
        <v>35.74</v>
      </c>
      <c r="P152" s="105">
        <f>'Hillpointe Detail'!P152+'Sandhill Detail'!P152</f>
        <v>107.23</v>
      </c>
      <c r="Q152" s="105">
        <f>'Hillpointe Detail'!Q152+'Sandhill Detail'!Q152</f>
        <v>0</v>
      </c>
      <c r="R152" s="105">
        <f>'Hillpointe Detail'!R152+'Sandhill Detail'!R152</f>
        <v>35.74</v>
      </c>
      <c r="S152" s="105">
        <f>'Hillpointe Detail'!S152+'Sandhill Detail'!S152</f>
        <v>36.19</v>
      </c>
      <c r="T152" s="105">
        <f>'Hillpointe Detail'!T152+'Sandhill Detail'!T152</f>
        <v>35.74</v>
      </c>
      <c r="U152" s="105">
        <f>'Hillpointe Detail'!U152+'Sandhill Detail'!U152</f>
        <v>35.74</v>
      </c>
      <c r="V152" s="105">
        <f>'Hillpointe Detail'!V152+'Sandhill Detail'!V152</f>
        <v>43.02</v>
      </c>
      <c r="W152" s="105">
        <f>'Hillpointe Detail'!W152+'Sandhill Detail'!W152</f>
        <v>40.25</v>
      </c>
      <c r="X152" s="105">
        <f>'Hillpointe Detail'!X152+'Sandhill Detail'!X152</f>
        <v>44.72</v>
      </c>
      <c r="Y152" s="105">
        <f>'Hillpointe Detail'!Y152+'Sandhill Detail'!Y152</f>
        <v>35.75</v>
      </c>
      <c r="Z152" s="105">
        <f>'Hillpointe Detail'!Z152+'Sandhill Detail'!Z152</f>
        <v>37.19</v>
      </c>
      <c r="AA152" s="105">
        <f>'Hillpointe Detail'!AA152+'Sandhill Detail'!AA152</f>
        <v>38.739999999999995</v>
      </c>
      <c r="AB152" s="105">
        <f>'Hillpointe Detail'!AB152+'Sandhill Detail'!AB152</f>
        <v>85.321753456183302</v>
      </c>
      <c r="AC152" s="105">
        <f>'Hillpointe Detail'!AC152+'Sandhill Detail'!AC152</f>
        <v>0</v>
      </c>
      <c r="AD152" s="105">
        <f>'Hillpointe Detail'!AD152+'Sandhill Detail'!AD152</f>
        <v>42.661857056942878</v>
      </c>
      <c r="AE152" s="105">
        <f>'Hillpointe Detail'!AE152+'Sandhill Detail'!AE152</f>
        <v>42.661346313404287</v>
      </c>
      <c r="AF152" s="105">
        <f>'Hillpointe Detail'!AF152+'Sandhill Detail'!AF152</f>
        <v>42.66089360425066</v>
      </c>
      <c r="AG152" s="105">
        <f>'Hillpointe Detail'!AG152+'Sandhill Detail'!AG152</f>
        <v>42.660310375526088</v>
      </c>
      <c r="AH152" s="105">
        <f>'Hillpointe Detail'!AH152+'Sandhill Detail'!AH152</f>
        <v>42.660168813384139</v>
      </c>
      <c r="AI152" s="105">
        <f>'Hillpointe Detail'!AI152+'Sandhill Detail'!AI152</f>
        <v>42.660904231384478</v>
      </c>
      <c r="AJ152" s="105">
        <f>'Hillpointe Detail'!AJ152+'Sandhill Detail'!AJ152</f>
        <v>42.660913399148761</v>
      </c>
      <c r="AK152" s="105">
        <f>'Hillpointe Detail'!AK152+'Sandhill Detail'!AK152</f>
        <v>42.660913399148761</v>
      </c>
      <c r="AL152" s="105">
        <f>'Hillpointe Detail'!AL152+'Sandhill Detail'!AL152</f>
        <v>42.660778590892463</v>
      </c>
      <c r="AM152" s="105">
        <f>'Hillpointe Detail'!AM152+'Sandhill Detail'!AM152</f>
        <v>42.66069748767648</v>
      </c>
      <c r="AN152" s="105">
        <f>'Hillpointe Detail'!AN152+'Sandhill Detail'!AN152</f>
        <v>85.321338942046054</v>
      </c>
      <c r="AO152" s="105">
        <f>'Hillpointe Detail'!AO152+'Sandhill Detail'!AO152</f>
        <v>0</v>
      </c>
      <c r="AP152" s="105">
        <f>'Hillpointe Detail'!AP152+'Sandhill Detail'!AP152</f>
        <v>43.940616061686569</v>
      </c>
      <c r="AQ152" s="105">
        <f>'Hillpointe Detail'!AQ152+'Sandhill Detail'!AQ152</f>
        <v>43.94059966102661</v>
      </c>
      <c r="AR152" s="105">
        <f>'Hillpointe Detail'!AR152+'Sandhill Detail'!AR152</f>
        <v>43.940579669511514</v>
      </c>
      <c r="AS152" s="105">
        <f>'Hillpointe Detail'!AS152+'Sandhill Detail'!AS152</f>
        <v>43.940556942909012</v>
      </c>
      <c r="AT152" s="105">
        <f>'Hillpointe Detail'!AT152+'Sandhill Detail'!AT152</f>
        <v>43.940550621882295</v>
      </c>
      <c r="AU152" s="105">
        <f>'Hillpointe Detail'!AU152+'Sandhill Detail'!AU152</f>
        <v>43.940555126718024</v>
      </c>
      <c r="AV152" s="105">
        <f>'Hillpointe Detail'!AV152+'Sandhill Detail'!AV152</f>
        <v>43.940576347289003</v>
      </c>
      <c r="AW152" s="105">
        <f>'Hillpointe Detail'!AW152+'Sandhill Detail'!AW152</f>
        <v>43.940576347289003</v>
      </c>
      <c r="AX152" s="105">
        <f>'Hillpointe Detail'!AX152+'Sandhill Detail'!AX152</f>
        <v>43.940570673803641</v>
      </c>
      <c r="AY152" s="105">
        <f>'Hillpointe Detail'!AY152+'Sandhill Detail'!AY152</f>
        <v>43.94056653277179</v>
      </c>
      <c r="AZ152" s="105">
        <f>'Hillpointe Detail'!AZ152+'Sandhill Detail'!AZ152</f>
        <v>87.881129312189358</v>
      </c>
      <c r="BA152" s="105">
        <f>'Hillpointe Detail'!BA152+'Sandhill Detail'!BA152</f>
        <v>0</v>
      </c>
      <c r="BB152" s="105">
        <f>'Hillpointe Detail'!BB152+'Sandhill Detail'!BB152</f>
        <v>45.258784795751808</v>
      </c>
      <c r="BC152" s="105">
        <f>'Hillpointe Detail'!BC152+'Sandhill Detail'!BC152</f>
        <v>45.258786647136198</v>
      </c>
      <c r="BD152" s="105">
        <f>'Hillpointe Detail'!BD152+'Sandhill Detail'!BD152</f>
        <v>45.258785656970261</v>
      </c>
      <c r="BE152" s="105">
        <f>'Hillpointe Detail'!BE152+'Sandhill Detail'!BE152</f>
        <v>45.258784531337341</v>
      </c>
      <c r="BF152" s="105">
        <f>'Hillpointe Detail'!BF152+'Sandhill Detail'!BF152</f>
        <v>45.258784073095704</v>
      </c>
      <c r="BG152" s="105">
        <f>'Hillpointe Detail'!BG152+'Sandhill Detail'!BG152</f>
        <v>45.258784149227282</v>
      </c>
      <c r="BH152" s="105">
        <f>'Hillpointe Detail'!BH152+'Sandhill Detail'!BH152</f>
        <v>45.258784975586423</v>
      </c>
      <c r="BI152" s="105">
        <f>'Hillpointe Detail'!BI152+'Sandhill Detail'!BI152</f>
        <v>45.258784975586423</v>
      </c>
      <c r="BJ152" s="105">
        <f>'Hillpointe Detail'!BJ152+'Sandhill Detail'!BJ152</f>
        <v>45.25878500127709</v>
      </c>
      <c r="BK152" s="105">
        <f>'Hillpointe Detail'!BK152+'Sandhill Detail'!BK152</f>
        <v>45.258784766154363</v>
      </c>
      <c r="BL152" s="105">
        <f>'Hillpointe Detail'!BL152+'Sandhill Detail'!BL152</f>
        <v>90.517569277789875</v>
      </c>
      <c r="BM152" s="105">
        <f>'Hillpointe Detail'!BM152+'Sandhill Detail'!BM152</f>
        <v>0</v>
      </c>
      <c r="BN152" s="105">
        <f>'Hillpointe Detail'!BN152+'Sandhill Detail'!BN152</f>
        <v>46.61654827714144</v>
      </c>
      <c r="BO152" s="105">
        <f>'Hillpointe Detail'!BO152+'Sandhill Detail'!BO152</f>
        <v>46.616548362978897</v>
      </c>
      <c r="BP152" s="105">
        <f>'Hillpointe Detail'!BP152+'Sandhill Detail'!BP152</f>
        <v>46.616548340050414</v>
      </c>
      <c r="BQ152" s="105">
        <f>'Hillpointe Detail'!BQ152+'Sandhill Detail'!BQ152</f>
        <v>46.616548313985028</v>
      </c>
      <c r="BR152" s="105">
        <f>'Hillpointe Detail'!BR152+'Sandhill Detail'!BR152</f>
        <v>46.616548280652104</v>
      </c>
      <c r="BS152" s="105">
        <f>'Hillpointe Detail'!BS152+'Sandhill Detail'!BS152</f>
        <v>46.616548276667928</v>
      </c>
      <c r="BT152" s="105">
        <f>'Hillpointe Detail'!BT152+'Sandhill Detail'!BT152</f>
        <v>46.616548308579304</v>
      </c>
      <c r="BU152" s="105">
        <f>'Hillpointe Detail'!BU152+'Sandhill Detail'!BU152</f>
        <v>46.616548308579304</v>
      </c>
      <c r="BV152" s="105">
        <f>'Hillpointe Detail'!BV152+'Sandhill Detail'!BV152</f>
        <v>46.616548313070425</v>
      </c>
      <c r="BW152" s="105">
        <f>'Hillpointe Detail'!BW152+'Sandhill Detail'!BW152</f>
        <v>46.61654830594064</v>
      </c>
      <c r="BX152" s="105">
        <f>'Hillpointe Detail'!BX152+'Sandhill Detail'!BX152</f>
        <v>93.233096602135646</v>
      </c>
      <c r="BY152" s="8"/>
      <c r="BZ152" s="105">
        <f t="shared" si="63"/>
        <v>38.739999999999995</v>
      </c>
      <c r="CA152" s="105">
        <f t="shared" si="64"/>
        <v>383.08000000000004</v>
      </c>
      <c r="CC152" s="105">
        <f t="shared" si="59"/>
        <v>0</v>
      </c>
      <c r="CD152" s="105">
        <f t="shared" si="68"/>
        <v>232.43</v>
      </c>
      <c r="CE152" s="105">
        <f t="shared" si="68"/>
        <v>471.85</v>
      </c>
      <c r="CF152" s="105">
        <f t="shared" si="68"/>
        <v>468.40175345618331</v>
      </c>
      <c r="CG152" s="105">
        <f t="shared" si="68"/>
        <v>511.93012221380502</v>
      </c>
      <c r="CH152" s="105">
        <f t="shared" si="68"/>
        <v>527.28687729707678</v>
      </c>
      <c r="CI152" s="105">
        <f t="shared" si="68"/>
        <v>543.10541884991278</v>
      </c>
      <c r="CJ152" s="105">
        <f t="shared" si="68"/>
        <v>559.39857968978106</v>
      </c>
      <c r="CL152" s="105"/>
      <c r="CM152" s="13"/>
    </row>
    <row r="153" spans="1:91" x14ac:dyDescent="0.3">
      <c r="A153" s="84" t="s">
        <v>109</v>
      </c>
      <c r="B153" s="10" t="s">
        <v>136</v>
      </c>
      <c r="C153" s="103">
        <v>0</v>
      </c>
      <c r="D153" s="103">
        <v>1102.56</v>
      </c>
      <c r="E153" s="105">
        <f>'Hillpointe Detail'!E153+'Sandhill Detail'!E153</f>
        <v>91.88</v>
      </c>
      <c r="F153" s="105">
        <f>'Hillpointe Detail'!F153+'Sandhill Detail'!F153</f>
        <v>91.88</v>
      </c>
      <c r="G153" s="105">
        <f>'Hillpointe Detail'!G153+'Sandhill Detail'!G153</f>
        <v>91.88</v>
      </c>
      <c r="H153" s="105">
        <f>'Hillpointe Detail'!H153+'Sandhill Detail'!H153</f>
        <v>91.88</v>
      </c>
      <c r="I153" s="105">
        <f>'Hillpointe Detail'!I153+'Sandhill Detail'!I153</f>
        <v>91.88</v>
      </c>
      <c r="J153" s="105">
        <f>'Hillpointe Detail'!J153+'Sandhill Detail'!J153</f>
        <v>91.88</v>
      </c>
      <c r="K153" s="105">
        <f>'Hillpointe Detail'!K153+'Sandhill Detail'!K153</f>
        <v>91.88</v>
      </c>
      <c r="L153" s="105">
        <f>'Hillpointe Detail'!L153+'Sandhill Detail'!L153</f>
        <v>91.879999999999939</v>
      </c>
      <c r="M153" s="105">
        <f>'Hillpointe Detail'!M153+'Sandhill Detail'!M153</f>
        <v>91.88</v>
      </c>
      <c r="N153" s="105">
        <f>'Hillpointe Detail'!N153+'Sandhill Detail'!N153</f>
        <v>91.88</v>
      </c>
      <c r="O153" s="105">
        <f>'Hillpointe Detail'!O153+'Sandhill Detail'!O153</f>
        <v>91.88</v>
      </c>
      <c r="P153" s="105">
        <f>'Hillpointe Detail'!P153+'Sandhill Detail'!P153</f>
        <v>183.75</v>
      </c>
      <c r="Q153" s="105">
        <f>'Hillpointe Detail'!Q153+'Sandhill Detail'!Q153</f>
        <v>91.88</v>
      </c>
      <c r="R153" s="105">
        <f>'Hillpointe Detail'!R153+'Sandhill Detail'!R153</f>
        <v>91.88</v>
      </c>
      <c r="S153" s="105">
        <f>'Hillpointe Detail'!S153+'Sandhill Detail'!S153</f>
        <v>91.88</v>
      </c>
      <c r="T153" s="105">
        <f>'Hillpointe Detail'!T153+'Sandhill Detail'!T153</f>
        <v>91.88</v>
      </c>
      <c r="U153" s="105">
        <f>'Hillpointe Detail'!U153+'Sandhill Detail'!U153</f>
        <v>91.88</v>
      </c>
      <c r="V153" s="105">
        <f>'Hillpointe Detail'!V153+'Sandhill Detail'!V153</f>
        <v>91.88</v>
      </c>
      <c r="W153" s="105">
        <f>'Hillpointe Detail'!W153+'Sandhill Detail'!W153</f>
        <v>91.88</v>
      </c>
      <c r="X153" s="105">
        <f>'Hillpointe Detail'!X153+'Sandhill Detail'!X153</f>
        <v>91.88</v>
      </c>
      <c r="Y153" s="105">
        <f>'Hillpointe Detail'!Y153+'Sandhill Detail'!Y153</f>
        <v>91.88</v>
      </c>
      <c r="Z153" s="105">
        <f>'Hillpointe Detail'!Z153+'Sandhill Detail'!Z153</f>
        <v>91.88</v>
      </c>
      <c r="AA153" s="105">
        <f>'Hillpointe Detail'!AA153+'Sandhill Detail'!AA153</f>
        <v>91.88</v>
      </c>
      <c r="AB153" s="105">
        <f>'Hillpointe Detail'!AB153+'Sandhill Detail'!AB153</f>
        <v>183.9357331426439</v>
      </c>
      <c r="AC153" s="105">
        <f>'Hillpointe Detail'!AC153+'Sandhill Detail'!AC153</f>
        <v>0</v>
      </c>
      <c r="AD153" s="105">
        <f>'Hillpointe Detail'!AD153+'Sandhill Detail'!AD153</f>
        <v>163.79029489087378</v>
      </c>
      <c r="AE153" s="105">
        <f>'Hillpointe Detail'!AE153+'Sandhill Detail'!AE153</f>
        <v>163.7860227519642</v>
      </c>
      <c r="AF153" s="105">
        <f>'Hillpointe Detail'!AF153+'Sandhill Detail'!AF153</f>
        <v>163.7816674998673</v>
      </c>
      <c r="AG153" s="105">
        <f>'Hillpointe Detail'!AG153+'Sandhill Detail'!AG153</f>
        <v>163.77721698316492</v>
      </c>
      <c r="AH153" s="105">
        <f>'Hillpointe Detail'!AH153+'Sandhill Detail'!AH153</f>
        <v>163.77265737032548</v>
      </c>
      <c r="AI153" s="105">
        <f>'Hillpointe Detail'!AI153+'Sandhill Detail'!AI153</f>
        <v>163.76797290185107</v>
      </c>
      <c r="AJ153" s="105">
        <f>'Hillpointe Detail'!AJ153+'Sandhill Detail'!AJ153</f>
        <v>163.77930539967446</v>
      </c>
      <c r="AK153" s="105">
        <f>'Hillpointe Detail'!AK153+'Sandhill Detail'!AK153</f>
        <v>163.77930539967443</v>
      </c>
      <c r="AL153" s="105">
        <f>'Hillpointe Detail'!AL153+'Sandhill Detail'!AL153</f>
        <v>163.77773547236026</v>
      </c>
      <c r="AM153" s="105">
        <f>'Hillpointe Detail'!AM153+'Sandhill Detail'!AM153</f>
        <v>163.77655157527397</v>
      </c>
      <c r="AN153" s="105">
        <f>'Hillpointe Detail'!AN153+'Sandhill Detail'!AN153</f>
        <v>327.55164145780697</v>
      </c>
      <c r="AO153" s="105">
        <f>'Hillpointe Detail'!AO153+'Sandhill Detail'!AO153</f>
        <v>0</v>
      </c>
      <c r="AP153" s="105">
        <f>'Hillpointe Detail'!AP153+'Sandhill Detail'!AP153</f>
        <v>168.68935536754861</v>
      </c>
      <c r="AQ153" s="105">
        <f>'Hillpointe Detail'!AQ153+'Sandhill Detail'!AQ153</f>
        <v>168.69054217816631</v>
      </c>
      <c r="AR153" s="105">
        <f>'Hillpointe Detail'!AR153+'Sandhill Detail'!AR153</f>
        <v>168.69023872441298</v>
      </c>
      <c r="AS153" s="105">
        <f>'Hillpointe Detail'!AS153+'Sandhill Detail'!AS153</f>
        <v>168.68989375441978</v>
      </c>
      <c r="AT153" s="105">
        <f>'Hillpointe Detail'!AT153+'Sandhill Detail'!AT153</f>
        <v>168.68972889738166</v>
      </c>
      <c r="AU153" s="105">
        <f>'Hillpointe Detail'!AU153+'Sandhill Detail'!AU153</f>
        <v>168.68971222253546</v>
      </c>
      <c r="AV153" s="105">
        <f>'Hillpointe Detail'!AV153+'Sandhill Detail'!AV153</f>
        <v>168.68991185741078</v>
      </c>
      <c r="AW153" s="105">
        <f>'Hillpointe Detail'!AW153+'Sandhill Detail'!AW153</f>
        <v>168.68991185741078</v>
      </c>
      <c r="AX153" s="105">
        <f>'Hillpointe Detail'!AX153+'Sandhill Detail'!AX153</f>
        <v>168.68999135596258</v>
      </c>
      <c r="AY153" s="105">
        <f>'Hillpointe Detail'!AY153+'Sandhill Detail'!AY153</f>
        <v>168.68991266707633</v>
      </c>
      <c r="AZ153" s="105">
        <f>'Hillpointe Detail'!AZ153+'Sandhill Detail'!AZ153</f>
        <v>337.37973217491361</v>
      </c>
      <c r="BA153" s="105">
        <f>'Hillpointe Detail'!BA153+'Sandhill Detail'!BA153</f>
        <v>0</v>
      </c>
      <c r="BB153" s="105">
        <f>'Hillpointe Detail'!BB153+'Sandhill Detail'!BB153</f>
        <v>173.75057818562414</v>
      </c>
      <c r="BC153" s="105">
        <f>'Hillpointe Detail'!BC153+'Sandhill Detail'!BC153</f>
        <v>173.7506030215292</v>
      </c>
      <c r="BD153" s="105">
        <f>'Hillpointe Detail'!BD153+'Sandhill Detail'!BD153</f>
        <v>173.75060214453146</v>
      </c>
      <c r="BE153" s="105">
        <f>'Hillpointe Detail'!BE153+'Sandhill Detail'!BE153</f>
        <v>173.75060114754959</v>
      </c>
      <c r="BF153" s="105">
        <f>'Hillpointe Detail'!BF153+'Sandhill Detail'!BF153</f>
        <v>173.7505885142501</v>
      </c>
      <c r="BG153" s="105">
        <f>'Hillpointe Detail'!BG153+'Sandhill Detail'!BG153</f>
        <v>173.75058550266434</v>
      </c>
      <c r="BH153" s="105">
        <f>'Hillpointe Detail'!BH153+'Sandhill Detail'!BH153</f>
        <v>173.75059308602482</v>
      </c>
      <c r="BI153" s="105">
        <f>'Hillpointe Detail'!BI153+'Sandhill Detail'!BI153</f>
        <v>173.75059308602482</v>
      </c>
      <c r="BJ153" s="105">
        <f>'Hillpointe Detail'!BJ153+'Sandhill Detail'!BJ153</f>
        <v>173.75059521465343</v>
      </c>
      <c r="BK153" s="105">
        <f>'Hillpointe Detail'!BK153+'Sandhill Detail'!BK153</f>
        <v>173.75059409938547</v>
      </c>
      <c r="BL153" s="105">
        <f>'Hillpointe Detail'!BL153+'Sandhill Detail'!BL153</f>
        <v>347.50118590015779</v>
      </c>
      <c r="BM153" s="105">
        <f>'Hillpointe Detail'!BM153+'Sandhill Detail'!BM153</f>
        <v>0</v>
      </c>
      <c r="BN153" s="105">
        <f>'Hillpointe Detail'!BN153+'Sandhill Detail'!BN153</f>
        <v>178.96311018508254</v>
      </c>
      <c r="BO153" s="105">
        <f>'Hillpointe Detail'!BO153+'Sandhill Detail'!BO153</f>
        <v>178.96311119750621</v>
      </c>
      <c r="BP153" s="105">
        <f>'Hillpointe Detail'!BP153+'Sandhill Detail'!BP153</f>
        <v>178.96311124267629</v>
      </c>
      <c r="BQ153" s="105">
        <f>'Hillpointe Detail'!BQ153+'Sandhill Detail'!BQ153</f>
        <v>178.96311129402619</v>
      </c>
      <c r="BR153" s="105">
        <f>'Hillpointe Detail'!BR153+'Sandhill Detail'!BR153</f>
        <v>178.96311104443814</v>
      </c>
      <c r="BS153" s="105">
        <f>'Hillpointe Detail'!BS153+'Sandhill Detail'!BS153</f>
        <v>178.96311092165087</v>
      </c>
      <c r="BT153" s="105">
        <f>'Hillpointe Detail'!BT153+'Sandhill Detail'!BT153</f>
        <v>178.96311098089672</v>
      </c>
      <c r="BU153" s="105">
        <f>'Hillpointe Detail'!BU153+'Sandhill Detail'!BU153</f>
        <v>178.96311098089672</v>
      </c>
      <c r="BV153" s="105">
        <f>'Hillpointe Detail'!BV153+'Sandhill Detail'!BV153</f>
        <v>178.96311109458443</v>
      </c>
      <c r="BW153" s="105">
        <f>'Hillpointe Detail'!BW153+'Sandhill Detail'!BW153</f>
        <v>178.96311107988132</v>
      </c>
      <c r="BX153" s="105">
        <f>'Hillpointe Detail'!BX153+'Sandhill Detail'!BX153</f>
        <v>357.92622211324988</v>
      </c>
      <c r="BY153" s="8"/>
      <c r="BZ153" s="105">
        <f t="shared" si="63"/>
        <v>91.88</v>
      </c>
      <c r="CA153" s="105">
        <f t="shared" si="64"/>
        <v>1010.68</v>
      </c>
      <c r="CC153" s="105">
        <f t="shared" si="59"/>
        <v>0</v>
      </c>
      <c r="CD153" s="105">
        <f t="shared" si="68"/>
        <v>1102.56</v>
      </c>
      <c r="CE153" s="105">
        <f t="shared" si="68"/>
        <v>1194.4299999999998</v>
      </c>
      <c r="CF153" s="105">
        <f t="shared" si="68"/>
        <v>1194.6157331426439</v>
      </c>
      <c r="CG153" s="105">
        <f t="shared" si="68"/>
        <v>1965.3403717028368</v>
      </c>
      <c r="CH153" s="105">
        <f t="shared" si="68"/>
        <v>2024.2789310572391</v>
      </c>
      <c r="CI153" s="105">
        <f t="shared" si="68"/>
        <v>2085.0071199023951</v>
      </c>
      <c r="CJ153" s="105">
        <f t="shared" si="68"/>
        <v>2147.5573321348897</v>
      </c>
      <c r="CL153" s="105"/>
      <c r="CM153" s="13"/>
    </row>
    <row r="154" spans="1:91" x14ac:dyDescent="0.3">
      <c r="A154" s="84" t="s">
        <v>110</v>
      </c>
      <c r="B154" s="10" t="s">
        <v>136</v>
      </c>
      <c r="C154" s="147">
        <v>0</v>
      </c>
      <c r="D154" s="147">
        <v>1194.44</v>
      </c>
      <c r="E154" s="148">
        <f>'Hillpointe Detail'!E154+'Sandhill Detail'!E154</f>
        <v>91.88</v>
      </c>
      <c r="F154" s="148">
        <f>'Hillpointe Detail'!F154+'Sandhill Detail'!F154</f>
        <v>91.88</v>
      </c>
      <c r="G154" s="148">
        <f>'Hillpointe Detail'!G154+'Sandhill Detail'!G154</f>
        <v>91.88</v>
      </c>
      <c r="H154" s="148">
        <f>'Hillpointe Detail'!H154+'Sandhill Detail'!H154</f>
        <v>91.88</v>
      </c>
      <c r="I154" s="148">
        <f>'Hillpointe Detail'!I154+'Sandhill Detail'!I154</f>
        <v>91.88</v>
      </c>
      <c r="J154" s="148">
        <f>'Hillpointe Detail'!J154+'Sandhill Detail'!J154</f>
        <v>91.88</v>
      </c>
      <c r="K154" s="148">
        <f>'Hillpointe Detail'!K154+'Sandhill Detail'!K154</f>
        <v>91.88</v>
      </c>
      <c r="L154" s="148">
        <f>'Hillpointe Detail'!L154+'Sandhill Detail'!L154</f>
        <v>91.879999999999939</v>
      </c>
      <c r="M154" s="148">
        <f>'Hillpointe Detail'!M154+'Sandhill Detail'!M154</f>
        <v>91.88</v>
      </c>
      <c r="N154" s="148">
        <f>'Hillpointe Detail'!N154+'Sandhill Detail'!N154</f>
        <v>91.88</v>
      </c>
      <c r="O154" s="148">
        <f>'Hillpointe Detail'!O154+'Sandhill Detail'!O154</f>
        <v>91.88</v>
      </c>
      <c r="P154" s="148">
        <f>'Hillpointe Detail'!P154+'Sandhill Detail'!P154</f>
        <v>183.75</v>
      </c>
      <c r="Q154" s="148">
        <f>'Hillpointe Detail'!Q154+'Sandhill Detail'!Q154</f>
        <v>91.88</v>
      </c>
      <c r="R154" s="148">
        <f>'Hillpointe Detail'!R154+'Sandhill Detail'!R154</f>
        <v>91.88</v>
      </c>
      <c r="S154" s="148">
        <f>'Hillpointe Detail'!S154+'Sandhill Detail'!S154</f>
        <v>91.88</v>
      </c>
      <c r="T154" s="148">
        <f>'Hillpointe Detail'!T154+'Sandhill Detail'!T154</f>
        <v>91.88</v>
      </c>
      <c r="U154" s="148">
        <f>'Hillpointe Detail'!U154+'Sandhill Detail'!U154</f>
        <v>91.88</v>
      </c>
      <c r="V154" s="148">
        <f>'Hillpointe Detail'!V154+'Sandhill Detail'!V154</f>
        <v>91.88</v>
      </c>
      <c r="W154" s="148">
        <f>'Hillpointe Detail'!W154+'Sandhill Detail'!W154</f>
        <v>91.88</v>
      </c>
      <c r="X154" s="148">
        <f>'Hillpointe Detail'!X154+'Sandhill Detail'!X154</f>
        <v>91.88</v>
      </c>
      <c r="Y154" s="148">
        <f>'Hillpointe Detail'!Y154+'Sandhill Detail'!Y154</f>
        <v>91.88</v>
      </c>
      <c r="Z154" s="148">
        <f>'Hillpointe Detail'!Z154+'Sandhill Detail'!Z154</f>
        <v>91.88</v>
      </c>
      <c r="AA154" s="148">
        <f>'Hillpointe Detail'!AA154+'Sandhill Detail'!AA154</f>
        <v>91.88</v>
      </c>
      <c r="AB154" s="148">
        <f>'Hillpointe Detail'!AB154+'Sandhill Detail'!AB154</f>
        <v>199.25035019944568</v>
      </c>
      <c r="AC154" s="148">
        <f>'Hillpointe Detail'!AC154+'Sandhill Detail'!AC154</f>
        <v>0</v>
      </c>
      <c r="AD154" s="148">
        <f>'Hillpointe Detail'!AD154+'Sandhill Detail'!AD154</f>
        <v>99.652701895473058</v>
      </c>
      <c r="AE154" s="148">
        <f>'Hillpointe Detail'!AE154+'Sandhill Detail'!AE154</f>
        <v>99.972373813637347</v>
      </c>
      <c r="AF154" s="148">
        <f>'Hillpointe Detail'!AF154+'Sandhill Detail'!AF154</f>
        <v>101.92308586874286</v>
      </c>
      <c r="AG154" s="148">
        <f>'Hillpointe Detail'!AG154+'Sandhill Detail'!AG154</f>
        <v>100.96770002248374</v>
      </c>
      <c r="AH154" s="148">
        <f>'Hillpointe Detail'!AH154+'Sandhill Detail'!AH154</f>
        <v>100.40870679624985</v>
      </c>
      <c r="AI154" s="148">
        <f>'Hillpointe Detail'!AI154+'Sandhill Detail'!AI154</f>
        <v>100.31070265657608</v>
      </c>
      <c r="AJ154" s="148">
        <f>'Hillpointe Detail'!AJ154+'Sandhill Detail'!AJ154</f>
        <v>100.53921184219381</v>
      </c>
      <c r="AK154" s="148">
        <f>'Hillpointe Detail'!AK154+'Sandhill Detail'!AK154</f>
        <v>100.53921184219382</v>
      </c>
      <c r="AL154" s="148">
        <f>'Hillpointe Detail'!AL154+'Sandhill Detail'!AL154</f>
        <v>100.66585612029678</v>
      </c>
      <c r="AM154" s="148">
        <f>'Hillpointe Detail'!AM154+'Sandhill Detail'!AM154</f>
        <v>100.76492502124815</v>
      </c>
      <c r="AN154" s="148">
        <f>'Hillpointe Detail'!AN154+'Sandhill Detail'!AN154</f>
        <v>201.19894694321209</v>
      </c>
      <c r="AO154" s="148">
        <f>'Hillpointe Detail'!AO154+'Sandhill Detail'!AO154</f>
        <v>0</v>
      </c>
      <c r="AP154" s="148">
        <f>'Hillpointe Detail'!AP154+'Sandhill Detail'!AP154</f>
        <v>103.59134572264178</v>
      </c>
      <c r="AQ154" s="148">
        <f>'Hillpointe Detail'!AQ154+'Sandhill Detail'!AQ154</f>
        <v>103.62994059979231</v>
      </c>
      <c r="AR154" s="148">
        <f>'Hillpointe Detail'!AR154+'Sandhill Detail'!AR154</f>
        <v>103.64050043015108</v>
      </c>
      <c r="AS154" s="148">
        <f>'Hillpointe Detail'!AS154+'Sandhill Detail'!AS154</f>
        <v>103.65250497636988</v>
      </c>
      <c r="AT154" s="148">
        <f>'Hillpointe Detail'!AT154+'Sandhill Detail'!AT154</f>
        <v>103.64782424216544</v>
      </c>
      <c r="AU154" s="148">
        <f>'Hillpointe Detail'!AU154+'Sandhill Detail'!AU154</f>
        <v>103.62823703521155</v>
      </c>
      <c r="AV154" s="148">
        <f>'Hillpointe Detail'!AV154+'Sandhill Detail'!AV154</f>
        <v>103.63172550105534</v>
      </c>
      <c r="AW154" s="148">
        <f>'Hillpointe Detail'!AW154+'Sandhill Detail'!AW154</f>
        <v>103.63172550105534</v>
      </c>
      <c r="AX154" s="148">
        <f>'Hillpointe Detail'!AX154+'Sandhill Detail'!AX154</f>
        <v>103.6374940408287</v>
      </c>
      <c r="AY154" s="148">
        <f>'Hillpointe Detail'!AY154+'Sandhill Detail'!AY154</f>
        <v>103.63857310383392</v>
      </c>
      <c r="AZ154" s="148">
        <f>'Hillpointe Detail'!AZ154+'Sandhill Detail'!AZ154</f>
        <v>207.27659554300575</v>
      </c>
      <c r="BA154" s="148">
        <f>'Hillpointe Detail'!BA154+'Sandhill Detail'!BA154</f>
        <v>0</v>
      </c>
      <c r="BB154" s="148">
        <f>'Hillpointe Detail'!BB154+'Sandhill Detail'!BB154</f>
        <v>106.74395446382006</v>
      </c>
      <c r="BC154" s="148">
        <f>'Hillpointe Detail'!BC154+'Sandhill Detail'!BC154</f>
        <v>106.74493174938935</v>
      </c>
      <c r="BD154" s="148">
        <f>'Hillpointe Detail'!BD154+'Sandhill Detail'!BD154</f>
        <v>106.74553436742082</v>
      </c>
      <c r="BE154" s="148">
        <f>'Hillpointe Detail'!BE154+'Sandhill Detail'!BE154</f>
        <v>106.74621943107864</v>
      </c>
      <c r="BF154" s="148">
        <f>'Hillpointe Detail'!BF154+'Sandhill Detail'!BF154</f>
        <v>106.7461633312226</v>
      </c>
      <c r="BG154" s="148">
        <f>'Hillpointe Detail'!BG154+'Sandhill Detail'!BG154</f>
        <v>106.74594417517693</v>
      </c>
      <c r="BH154" s="148">
        <f>'Hillpointe Detail'!BH154+'Sandhill Detail'!BH154</f>
        <v>106.74545791968471</v>
      </c>
      <c r="BI154" s="148">
        <f>'Hillpointe Detail'!BI154+'Sandhill Detail'!BI154</f>
        <v>106.7454579196847</v>
      </c>
      <c r="BJ154" s="148">
        <f>'Hillpointe Detail'!BJ154+'Sandhill Detail'!BJ154</f>
        <v>106.74567269909394</v>
      </c>
      <c r="BK154" s="148">
        <f>'Hillpointe Detail'!BK154+'Sandhill Detail'!BK154</f>
        <v>106.74577854905175</v>
      </c>
      <c r="BL154" s="148">
        <f>'Hillpointe Detail'!BL154+'Sandhill Detail'!BL154</f>
        <v>213.49162686428375</v>
      </c>
      <c r="BM154" s="148">
        <f>'Hillpointe Detail'!BM154+'Sandhill Detail'!BM154</f>
        <v>0</v>
      </c>
      <c r="BN154" s="148">
        <f>'Hillpointe Detail'!BN154+'Sandhill Detail'!BN154</f>
        <v>109.94807661011217</v>
      </c>
      <c r="BO154" s="148">
        <f>'Hillpointe Detail'!BO154+'Sandhill Detail'!BO154</f>
        <v>109.94804163282622</v>
      </c>
      <c r="BP154" s="148">
        <f>'Hillpointe Detail'!BP154+'Sandhill Detail'!BP154</f>
        <v>109.94807279083628</v>
      </c>
      <c r="BQ154" s="148">
        <f>'Hillpointe Detail'!BQ154+'Sandhill Detail'!BQ154</f>
        <v>109.94810821164884</v>
      </c>
      <c r="BR154" s="148">
        <f>'Hillpointe Detail'!BR154+'Sandhill Detail'!BR154</f>
        <v>109.94811738743283</v>
      </c>
      <c r="BS154" s="148">
        <f>'Hillpointe Detail'!BS154+'Sandhill Detail'!BS154</f>
        <v>109.94811255972787</v>
      </c>
      <c r="BT154" s="148">
        <f>'Hillpointe Detail'!BT154+'Sandhill Detail'!BT154</f>
        <v>109.94808819876403</v>
      </c>
      <c r="BU154" s="148">
        <f>'Hillpointe Detail'!BU154+'Sandhill Detail'!BU154</f>
        <v>109.94808819876401</v>
      </c>
      <c r="BV154" s="148">
        <f>'Hillpointe Detail'!BV154+'Sandhill Detail'!BV154</f>
        <v>109.94808985428571</v>
      </c>
      <c r="BW154" s="148">
        <f>'Hillpointe Detail'!BW154+'Sandhill Detail'!BW154</f>
        <v>109.94809674306565</v>
      </c>
      <c r="BX154" s="148">
        <f>'Hillpointe Detail'!BX154+'Sandhill Detail'!BX154</f>
        <v>219.89620032962546</v>
      </c>
      <c r="BY154" s="11"/>
      <c r="BZ154" s="148">
        <f t="shared" ref="BZ154:BZ171" si="69">SUMIF($B$252:$BY$252,1,$B154:$BY154)</f>
        <v>91.88</v>
      </c>
      <c r="CA154" s="148">
        <f t="shared" ref="CA154:CA171" si="70">SUMIF($B$253:$BY$253,1,$B154:$BY154)</f>
        <v>1010.68</v>
      </c>
      <c r="CC154" s="148">
        <f t="shared" si="59"/>
        <v>0</v>
      </c>
      <c r="CD154" s="148">
        <f t="shared" si="68"/>
        <v>1194.44</v>
      </c>
      <c r="CE154" s="148">
        <f t="shared" si="68"/>
        <v>1194.4299999999998</v>
      </c>
      <c r="CF154" s="148">
        <f t="shared" si="68"/>
        <v>1209.9303501994457</v>
      </c>
      <c r="CG154" s="148">
        <f t="shared" si="68"/>
        <v>1206.9434228223074</v>
      </c>
      <c r="CH154" s="148">
        <f t="shared" si="68"/>
        <v>1243.6064666961111</v>
      </c>
      <c r="CI154" s="148">
        <f t="shared" si="68"/>
        <v>1280.9467414699072</v>
      </c>
      <c r="CJ154" s="148">
        <f t="shared" si="68"/>
        <v>1319.3770925170888</v>
      </c>
      <c r="CL154" s="105"/>
      <c r="CM154" s="13"/>
    </row>
    <row r="155" spans="1:91" x14ac:dyDescent="0.3">
      <c r="A155" s="84" t="s">
        <v>416</v>
      </c>
      <c r="B155" s="10" t="s">
        <v>140</v>
      </c>
      <c r="C155" s="147">
        <v>0</v>
      </c>
      <c r="D155" s="147">
        <v>0</v>
      </c>
      <c r="E155" s="148">
        <f>'Hillpointe Detail'!E155+'Sandhill Detail'!E155</f>
        <v>0</v>
      </c>
      <c r="F155" s="148">
        <f>'Hillpointe Detail'!F155+'Sandhill Detail'!F155</f>
        <v>0</v>
      </c>
      <c r="G155" s="148">
        <f>'Hillpointe Detail'!G155+'Sandhill Detail'!G155</f>
        <v>0</v>
      </c>
      <c r="H155" s="148">
        <f>'Hillpointe Detail'!H155+'Sandhill Detail'!H155</f>
        <v>0</v>
      </c>
      <c r="I155" s="148">
        <f>'Hillpointe Detail'!I155+'Sandhill Detail'!I155</f>
        <v>0</v>
      </c>
      <c r="J155" s="148">
        <f>'Hillpointe Detail'!J155+'Sandhill Detail'!J155</f>
        <v>0</v>
      </c>
      <c r="K155" s="148">
        <f>'Hillpointe Detail'!K155+'Sandhill Detail'!K155</f>
        <v>0</v>
      </c>
      <c r="L155" s="148">
        <f>'Hillpointe Detail'!L155+'Sandhill Detail'!L155</f>
        <v>0</v>
      </c>
      <c r="M155" s="148">
        <f>'Hillpointe Detail'!M155+'Sandhill Detail'!M155</f>
        <v>0</v>
      </c>
      <c r="N155" s="148">
        <f>'Hillpointe Detail'!N155+'Sandhill Detail'!N155</f>
        <v>0</v>
      </c>
      <c r="O155" s="148">
        <f>'Hillpointe Detail'!O155+'Sandhill Detail'!O155</f>
        <v>0</v>
      </c>
      <c r="P155" s="148">
        <f>'Hillpointe Detail'!P155+'Sandhill Detail'!P155</f>
        <v>0</v>
      </c>
      <c r="Q155" s="148">
        <f>'Hillpointe Detail'!Q155+'Sandhill Detail'!Q155</f>
        <v>0</v>
      </c>
      <c r="R155" s="148">
        <f>'Hillpointe Detail'!R155+'Sandhill Detail'!R155</f>
        <v>0</v>
      </c>
      <c r="S155" s="148">
        <f>'Hillpointe Detail'!S155+'Sandhill Detail'!S155</f>
        <v>0</v>
      </c>
      <c r="T155" s="148">
        <f>'Hillpointe Detail'!T155+'Sandhill Detail'!T155</f>
        <v>0</v>
      </c>
      <c r="U155" s="148">
        <f>'Hillpointe Detail'!U155+'Sandhill Detail'!U155</f>
        <v>0</v>
      </c>
      <c r="V155" s="148">
        <f>'Hillpointe Detail'!V155+'Sandhill Detail'!V155</f>
        <v>0</v>
      </c>
      <c r="W155" s="148">
        <f>'Hillpointe Detail'!W155+'Sandhill Detail'!W155</f>
        <v>0</v>
      </c>
      <c r="X155" s="148">
        <f>'Hillpointe Detail'!X155+'Sandhill Detail'!X155</f>
        <v>0</v>
      </c>
      <c r="Y155" s="148">
        <f>'Hillpointe Detail'!Y155+'Sandhill Detail'!Y155</f>
        <v>241.75</v>
      </c>
      <c r="Z155" s="148">
        <f>'Hillpointe Detail'!Z155+'Sandhill Detail'!Z155</f>
        <v>0</v>
      </c>
      <c r="AA155" s="148">
        <f>'Hillpointe Detail'!AA155+'Sandhill Detail'!AA155</f>
        <v>0</v>
      </c>
      <c r="AB155" s="148">
        <f>'Hillpointe Detail'!AB155+'Sandhill Detail'!AB155</f>
        <v>0</v>
      </c>
      <c r="AC155" s="148">
        <f>'Hillpointe Detail'!AC155+'Sandhill Detail'!AC155</f>
        <v>0</v>
      </c>
      <c r="AD155" s="148">
        <f>'Hillpointe Detail'!AD155+'Sandhill Detail'!AD155</f>
        <v>0</v>
      </c>
      <c r="AE155" s="148">
        <f>'Hillpointe Detail'!AE155+'Sandhill Detail'!AE155</f>
        <v>0</v>
      </c>
      <c r="AF155" s="148">
        <f>'Hillpointe Detail'!AF155+'Sandhill Detail'!AF155</f>
        <v>0</v>
      </c>
      <c r="AG155" s="148">
        <f>'Hillpointe Detail'!AG155+'Sandhill Detail'!AG155</f>
        <v>0</v>
      </c>
      <c r="AH155" s="148">
        <f>'Hillpointe Detail'!AH155+'Sandhill Detail'!AH155</f>
        <v>0</v>
      </c>
      <c r="AI155" s="148">
        <f>'Hillpointe Detail'!AI155+'Sandhill Detail'!AI155</f>
        <v>0</v>
      </c>
      <c r="AJ155" s="148">
        <f>'Hillpointe Detail'!AJ155+'Sandhill Detail'!AJ155</f>
        <v>0</v>
      </c>
      <c r="AK155" s="148">
        <f>'Hillpointe Detail'!AK155+'Sandhill Detail'!AK155</f>
        <v>249.0025</v>
      </c>
      <c r="AL155" s="148">
        <f>'Hillpointe Detail'!AL155+'Sandhill Detail'!AL155</f>
        <v>0</v>
      </c>
      <c r="AM155" s="148">
        <f>'Hillpointe Detail'!AM155+'Sandhill Detail'!AM155</f>
        <v>0</v>
      </c>
      <c r="AN155" s="148">
        <f>'Hillpointe Detail'!AN155+'Sandhill Detail'!AN155</f>
        <v>0</v>
      </c>
      <c r="AO155" s="148">
        <f>'Hillpointe Detail'!AO155+'Sandhill Detail'!AO155</f>
        <v>0</v>
      </c>
      <c r="AP155" s="148">
        <f>'Hillpointe Detail'!AP155+'Sandhill Detail'!AP155</f>
        <v>0</v>
      </c>
      <c r="AQ155" s="148">
        <f>'Hillpointe Detail'!AQ155+'Sandhill Detail'!AQ155</f>
        <v>0</v>
      </c>
      <c r="AR155" s="148">
        <f>'Hillpointe Detail'!AR155+'Sandhill Detail'!AR155</f>
        <v>0</v>
      </c>
      <c r="AS155" s="148">
        <f>'Hillpointe Detail'!AS155+'Sandhill Detail'!AS155</f>
        <v>0</v>
      </c>
      <c r="AT155" s="148">
        <f>'Hillpointe Detail'!AT155+'Sandhill Detail'!AT155</f>
        <v>0</v>
      </c>
      <c r="AU155" s="148">
        <f>'Hillpointe Detail'!AU155+'Sandhill Detail'!AU155</f>
        <v>0</v>
      </c>
      <c r="AV155" s="148">
        <f>'Hillpointe Detail'!AV155+'Sandhill Detail'!AV155</f>
        <v>0</v>
      </c>
      <c r="AW155" s="148">
        <f>'Hillpointe Detail'!AW155+'Sandhill Detail'!AW155</f>
        <v>303.13347826086959</v>
      </c>
      <c r="AX155" s="148">
        <f>'Hillpointe Detail'!AX155+'Sandhill Detail'!AX155</f>
        <v>0</v>
      </c>
      <c r="AY155" s="148">
        <f>'Hillpointe Detail'!AY155+'Sandhill Detail'!AY155</f>
        <v>0</v>
      </c>
      <c r="AZ155" s="148">
        <f>'Hillpointe Detail'!AZ155+'Sandhill Detail'!AZ155</f>
        <v>0</v>
      </c>
      <c r="BA155" s="148">
        <f>'Hillpointe Detail'!BA155+'Sandhill Detail'!BA155</f>
        <v>0</v>
      </c>
      <c r="BB155" s="148">
        <f>'Hillpointe Detail'!BB155+'Sandhill Detail'!BB155</f>
        <v>0</v>
      </c>
      <c r="BC155" s="148">
        <f>'Hillpointe Detail'!BC155+'Sandhill Detail'!BC155</f>
        <v>0</v>
      </c>
      <c r="BD155" s="148">
        <f>'Hillpointe Detail'!BD155+'Sandhill Detail'!BD155</f>
        <v>0</v>
      </c>
      <c r="BE155" s="148">
        <f>'Hillpointe Detail'!BE155+'Sandhill Detail'!BE155</f>
        <v>0</v>
      </c>
      <c r="BF155" s="148">
        <f>'Hillpointe Detail'!BF155+'Sandhill Detail'!BF155</f>
        <v>0</v>
      </c>
      <c r="BG155" s="148">
        <f>'Hillpointe Detail'!BG155+'Sandhill Detail'!BG155</f>
        <v>0</v>
      </c>
      <c r="BH155" s="148">
        <f>'Hillpointe Detail'!BH155+'Sandhill Detail'!BH155</f>
        <v>0</v>
      </c>
      <c r="BI155" s="148">
        <f>'Hillpointe Detail'!BI155+'Sandhill Detail'!BI155</f>
        <v>312.22748260869571</v>
      </c>
      <c r="BJ155" s="148">
        <f>'Hillpointe Detail'!BJ155+'Sandhill Detail'!BJ155</f>
        <v>0</v>
      </c>
      <c r="BK155" s="148">
        <f>'Hillpointe Detail'!BK155+'Sandhill Detail'!BK155</f>
        <v>0</v>
      </c>
      <c r="BL155" s="148">
        <f>'Hillpointe Detail'!BL155+'Sandhill Detail'!BL155</f>
        <v>0</v>
      </c>
      <c r="BM155" s="148">
        <f>'Hillpointe Detail'!BM155+'Sandhill Detail'!BM155</f>
        <v>0</v>
      </c>
      <c r="BN155" s="148">
        <f>'Hillpointe Detail'!BN155+'Sandhill Detail'!BN155</f>
        <v>0</v>
      </c>
      <c r="BO155" s="148">
        <f>'Hillpointe Detail'!BO155+'Sandhill Detail'!BO155</f>
        <v>0</v>
      </c>
      <c r="BP155" s="148">
        <f>'Hillpointe Detail'!BP155+'Sandhill Detail'!BP155</f>
        <v>0</v>
      </c>
      <c r="BQ155" s="148">
        <f>'Hillpointe Detail'!BQ155+'Sandhill Detail'!BQ155</f>
        <v>0</v>
      </c>
      <c r="BR155" s="148">
        <f>'Hillpointe Detail'!BR155+'Sandhill Detail'!BR155</f>
        <v>0</v>
      </c>
      <c r="BS155" s="148">
        <f>'Hillpointe Detail'!BS155+'Sandhill Detail'!BS155</f>
        <v>0</v>
      </c>
      <c r="BT155" s="148">
        <f>'Hillpointe Detail'!BT155+'Sandhill Detail'!BT155</f>
        <v>0</v>
      </c>
      <c r="BU155" s="148">
        <f>'Hillpointe Detail'!BU155+'Sandhill Detail'!BU155</f>
        <v>321.59430708695658</v>
      </c>
      <c r="BV155" s="148">
        <f>'Hillpointe Detail'!BV155+'Sandhill Detail'!BV155</f>
        <v>0</v>
      </c>
      <c r="BW155" s="148">
        <f>'Hillpointe Detail'!BW155+'Sandhill Detail'!BW155</f>
        <v>0</v>
      </c>
      <c r="BX155" s="148">
        <f>'Hillpointe Detail'!BX155+'Sandhill Detail'!BX155</f>
        <v>0</v>
      </c>
      <c r="BY155" s="11"/>
      <c r="BZ155" s="148">
        <f t="shared" si="69"/>
        <v>0</v>
      </c>
      <c r="CA155" s="148">
        <f t="shared" si="70"/>
        <v>241.75</v>
      </c>
      <c r="CC155" s="148">
        <f t="shared" si="59"/>
        <v>0</v>
      </c>
      <c r="CD155" s="148">
        <f t="shared" si="68"/>
        <v>0</v>
      </c>
      <c r="CE155" s="148">
        <f t="shared" si="68"/>
        <v>0</v>
      </c>
      <c r="CF155" s="148">
        <f t="shared" si="68"/>
        <v>241.75</v>
      </c>
      <c r="CG155" s="148">
        <f t="shared" si="68"/>
        <v>249.0025</v>
      </c>
      <c r="CH155" s="148">
        <f t="shared" si="68"/>
        <v>303.13347826086959</v>
      </c>
      <c r="CI155" s="148">
        <f t="shared" si="68"/>
        <v>312.22748260869571</v>
      </c>
      <c r="CJ155" s="148">
        <f t="shared" si="68"/>
        <v>321.59430708695658</v>
      </c>
      <c r="CL155" s="105"/>
      <c r="CM155" s="13"/>
    </row>
    <row r="156" spans="1:91" x14ac:dyDescent="0.3">
      <c r="A156" s="84" t="s">
        <v>111</v>
      </c>
      <c r="B156" s="10" t="s">
        <v>258</v>
      </c>
      <c r="C156" s="140">
        <v>32775.229999999996</v>
      </c>
      <c r="D156" s="140">
        <v>17667.12</v>
      </c>
      <c r="E156" s="141">
        <f>'Hillpointe Detail'!E156+'Sandhill Detail'!E156</f>
        <v>0</v>
      </c>
      <c r="F156" s="141">
        <f>'Hillpointe Detail'!F156+'Sandhill Detail'!F156</f>
        <v>0</v>
      </c>
      <c r="G156" s="141">
        <f>'Hillpointe Detail'!G156+'Sandhill Detail'!G156</f>
        <v>1068.75</v>
      </c>
      <c r="H156" s="141">
        <f>'Hillpointe Detail'!H156+'Sandhill Detail'!H156</f>
        <v>0</v>
      </c>
      <c r="I156" s="141">
        <f>'Hillpointe Detail'!I156+'Sandhill Detail'!I156</f>
        <v>5925</v>
      </c>
      <c r="J156" s="141">
        <f>'Hillpointe Detail'!J156+'Sandhill Detail'!J156</f>
        <v>1818.75</v>
      </c>
      <c r="K156" s="141">
        <f>'Hillpointe Detail'!K156+'Sandhill Detail'!K156</f>
        <v>2106</v>
      </c>
      <c r="L156" s="141">
        <f>'Hillpointe Detail'!L156+'Sandhill Detail'!L156</f>
        <v>3712.5</v>
      </c>
      <c r="M156" s="141">
        <f>'Hillpointe Detail'!M156+'Sandhill Detail'!M156</f>
        <v>3168.75</v>
      </c>
      <c r="N156" s="141">
        <f>'Hillpointe Detail'!N156+'Sandhill Detail'!N156</f>
        <v>3093.75</v>
      </c>
      <c r="O156" s="141">
        <f>'Hillpointe Detail'!O156+'Sandhill Detail'!O156</f>
        <v>0</v>
      </c>
      <c r="P156" s="141">
        <f>'Hillpointe Detail'!P156+'Sandhill Detail'!P156</f>
        <v>3187.5</v>
      </c>
      <c r="Q156" s="141">
        <f>'Hillpointe Detail'!Q156+'Sandhill Detail'!Q156</f>
        <v>500</v>
      </c>
      <c r="R156" s="141">
        <f>'Hillpointe Detail'!R156+'Sandhill Detail'!R156</f>
        <v>0</v>
      </c>
      <c r="S156" s="141">
        <f>'Hillpointe Detail'!S156+'Sandhill Detail'!S156</f>
        <v>0</v>
      </c>
      <c r="T156" s="141">
        <f>'Hillpointe Detail'!T156+'Sandhill Detail'!T156</f>
        <v>0</v>
      </c>
      <c r="U156" s="141">
        <f>'Hillpointe Detail'!U156+'Sandhill Detail'!U156</f>
        <v>9871.8799999999992</v>
      </c>
      <c r="V156" s="141">
        <f>'Hillpointe Detail'!V156+'Sandhill Detail'!V156</f>
        <v>4518.75</v>
      </c>
      <c r="W156" s="141">
        <f>'Hillpointe Detail'!W156+'Sandhill Detail'!W156</f>
        <v>4950</v>
      </c>
      <c r="X156" s="141">
        <f>'Hillpointe Detail'!X156+'Sandhill Detail'!X156</f>
        <v>10162.5</v>
      </c>
      <c r="Y156" s="141">
        <f>'Hillpointe Detail'!Y156+'Sandhill Detail'!Y156</f>
        <v>18759.38</v>
      </c>
      <c r="Z156" s="141">
        <f>'Hillpointe Detail'!Z156+'Sandhill Detail'!Z156</f>
        <v>9084.3799999999992</v>
      </c>
      <c r="AA156" s="141">
        <f>'Hillpointe Detail'!AA156+'Sandhill Detail'!AA156</f>
        <v>16528.13</v>
      </c>
      <c r="AB156" s="141">
        <f>'Hillpointe Detail'!AB156+'Sandhill Detail'!AB156</f>
        <v>7375.7824999999993</v>
      </c>
      <c r="AC156" s="141">
        <f>'Hillpointe Detail'!AC156+'Sandhill Detail'!AC156</f>
        <v>0</v>
      </c>
      <c r="AD156" s="141">
        <f>'Hillpointe Detail'!AD156+'Sandhill Detail'!AD156</f>
        <v>0</v>
      </c>
      <c r="AE156" s="141">
        <f>'Hillpointe Detail'!AE156+'Sandhill Detail'!AE156</f>
        <v>0</v>
      </c>
      <c r="AF156" s="141">
        <f>'Hillpointe Detail'!AF156+'Sandhill Detail'!AF156</f>
        <v>0</v>
      </c>
      <c r="AG156" s="141">
        <f>'Hillpointe Detail'!AG156+'Sandhill Detail'!AG156</f>
        <v>0</v>
      </c>
      <c r="AH156" s="141">
        <f>'Hillpointe Detail'!AH156+'Sandhill Detail'!AH156</f>
        <v>0</v>
      </c>
      <c r="AI156" s="141">
        <f>'Hillpointe Detail'!AI156+'Sandhill Detail'!AI156</f>
        <v>0</v>
      </c>
      <c r="AJ156" s="141">
        <f>'Hillpointe Detail'!AJ156+'Sandhill Detail'!AJ156</f>
        <v>0</v>
      </c>
      <c r="AK156" s="141">
        <f>'Hillpointe Detail'!AK156+'Sandhill Detail'!AK156</f>
        <v>0</v>
      </c>
      <c r="AL156" s="141">
        <f>'Hillpointe Detail'!AL156+'Sandhill Detail'!AL156</f>
        <v>0</v>
      </c>
      <c r="AM156" s="141">
        <f>'Hillpointe Detail'!AM156+'Sandhill Detail'!AM156</f>
        <v>0</v>
      </c>
      <c r="AN156" s="141">
        <f>'Hillpointe Detail'!AN156+'Sandhill Detail'!AN156</f>
        <v>0</v>
      </c>
      <c r="AO156" s="141">
        <f>'Hillpointe Detail'!AO156+'Sandhill Detail'!AO156</f>
        <v>0</v>
      </c>
      <c r="AP156" s="141">
        <f>'Hillpointe Detail'!AP156+'Sandhill Detail'!AP156</f>
        <v>0</v>
      </c>
      <c r="AQ156" s="141">
        <f>'Hillpointe Detail'!AQ156+'Sandhill Detail'!AQ156</f>
        <v>0</v>
      </c>
      <c r="AR156" s="141">
        <f>'Hillpointe Detail'!AR156+'Sandhill Detail'!AR156</f>
        <v>0</v>
      </c>
      <c r="AS156" s="141">
        <f>'Hillpointe Detail'!AS156+'Sandhill Detail'!AS156</f>
        <v>0</v>
      </c>
      <c r="AT156" s="141">
        <f>'Hillpointe Detail'!AT156+'Sandhill Detail'!AT156</f>
        <v>0</v>
      </c>
      <c r="AU156" s="141">
        <f>'Hillpointe Detail'!AU156+'Sandhill Detail'!AU156</f>
        <v>0</v>
      </c>
      <c r="AV156" s="141">
        <f>'Hillpointe Detail'!AV156+'Sandhill Detail'!AV156</f>
        <v>0</v>
      </c>
      <c r="AW156" s="141">
        <f>'Hillpointe Detail'!AW156+'Sandhill Detail'!AW156</f>
        <v>0</v>
      </c>
      <c r="AX156" s="141">
        <f>'Hillpointe Detail'!AX156+'Sandhill Detail'!AX156</f>
        <v>0</v>
      </c>
      <c r="AY156" s="141">
        <f>'Hillpointe Detail'!AY156+'Sandhill Detail'!AY156</f>
        <v>0</v>
      </c>
      <c r="AZ156" s="141">
        <f>'Hillpointe Detail'!AZ156+'Sandhill Detail'!AZ156</f>
        <v>0</v>
      </c>
      <c r="BA156" s="141">
        <f>'Hillpointe Detail'!BA156+'Sandhill Detail'!BA156</f>
        <v>0</v>
      </c>
      <c r="BB156" s="141">
        <f>'Hillpointe Detail'!BB156+'Sandhill Detail'!BB156</f>
        <v>0</v>
      </c>
      <c r="BC156" s="141">
        <f>'Hillpointe Detail'!BC156+'Sandhill Detail'!BC156</f>
        <v>0</v>
      </c>
      <c r="BD156" s="141">
        <f>'Hillpointe Detail'!BD156+'Sandhill Detail'!BD156</f>
        <v>0</v>
      </c>
      <c r="BE156" s="141">
        <f>'Hillpointe Detail'!BE156+'Sandhill Detail'!BE156</f>
        <v>0</v>
      </c>
      <c r="BF156" s="141">
        <f>'Hillpointe Detail'!BF156+'Sandhill Detail'!BF156</f>
        <v>0</v>
      </c>
      <c r="BG156" s="141">
        <f>'Hillpointe Detail'!BG156+'Sandhill Detail'!BG156</f>
        <v>0</v>
      </c>
      <c r="BH156" s="141">
        <f>'Hillpointe Detail'!BH156+'Sandhill Detail'!BH156</f>
        <v>0</v>
      </c>
      <c r="BI156" s="141">
        <f>'Hillpointe Detail'!BI156+'Sandhill Detail'!BI156</f>
        <v>0</v>
      </c>
      <c r="BJ156" s="141">
        <f>'Hillpointe Detail'!BJ156+'Sandhill Detail'!BJ156</f>
        <v>0</v>
      </c>
      <c r="BK156" s="141">
        <f>'Hillpointe Detail'!BK156+'Sandhill Detail'!BK156</f>
        <v>0</v>
      </c>
      <c r="BL156" s="141">
        <f>'Hillpointe Detail'!BL156+'Sandhill Detail'!BL156</f>
        <v>0</v>
      </c>
      <c r="BM156" s="141">
        <f>'Hillpointe Detail'!BM156+'Sandhill Detail'!BM156</f>
        <v>0</v>
      </c>
      <c r="BN156" s="141">
        <f>'Hillpointe Detail'!BN156+'Sandhill Detail'!BN156</f>
        <v>0</v>
      </c>
      <c r="BO156" s="141">
        <f>'Hillpointe Detail'!BO156+'Sandhill Detail'!BO156</f>
        <v>0</v>
      </c>
      <c r="BP156" s="141">
        <f>'Hillpointe Detail'!BP156+'Sandhill Detail'!BP156</f>
        <v>0</v>
      </c>
      <c r="BQ156" s="141">
        <f>'Hillpointe Detail'!BQ156+'Sandhill Detail'!BQ156</f>
        <v>0</v>
      </c>
      <c r="BR156" s="141">
        <f>'Hillpointe Detail'!BR156+'Sandhill Detail'!BR156</f>
        <v>0</v>
      </c>
      <c r="BS156" s="141">
        <f>'Hillpointe Detail'!BS156+'Sandhill Detail'!BS156</f>
        <v>0</v>
      </c>
      <c r="BT156" s="141">
        <f>'Hillpointe Detail'!BT156+'Sandhill Detail'!BT156</f>
        <v>0</v>
      </c>
      <c r="BU156" s="141">
        <f>'Hillpointe Detail'!BU156+'Sandhill Detail'!BU156</f>
        <v>0</v>
      </c>
      <c r="BV156" s="141">
        <f>'Hillpointe Detail'!BV156+'Sandhill Detail'!BV156</f>
        <v>0</v>
      </c>
      <c r="BW156" s="141">
        <f>'Hillpointe Detail'!BW156+'Sandhill Detail'!BW156</f>
        <v>0</v>
      </c>
      <c r="BX156" s="141">
        <f>'Hillpointe Detail'!BX156+'Sandhill Detail'!BX156</f>
        <v>0</v>
      </c>
      <c r="BY156" s="8"/>
      <c r="BZ156" s="141">
        <f t="shared" si="69"/>
        <v>16528.13</v>
      </c>
      <c r="CA156" s="141">
        <f t="shared" si="70"/>
        <v>74375.01999999999</v>
      </c>
      <c r="CC156" s="141">
        <f t="shared" si="59"/>
        <v>32775.229999999996</v>
      </c>
      <c r="CD156" s="141">
        <f t="shared" si="68"/>
        <v>17667.12</v>
      </c>
      <c r="CE156" s="141">
        <f t="shared" si="68"/>
        <v>24081</v>
      </c>
      <c r="CF156" s="141">
        <f t="shared" si="68"/>
        <v>81750.802499999991</v>
      </c>
      <c r="CG156" s="141">
        <f t="shared" si="68"/>
        <v>0</v>
      </c>
      <c r="CH156" s="141">
        <f t="shared" si="68"/>
        <v>0</v>
      </c>
      <c r="CI156" s="141">
        <f t="shared" si="68"/>
        <v>0</v>
      </c>
      <c r="CJ156" s="141">
        <f t="shared" si="68"/>
        <v>0</v>
      </c>
      <c r="CL156" s="105"/>
      <c r="CM156" s="13"/>
    </row>
    <row r="157" spans="1:91" x14ac:dyDescent="0.3">
      <c r="A157" s="84" t="s">
        <v>112</v>
      </c>
      <c r="B157" s="10"/>
      <c r="C157" s="18">
        <f>SUM(C143:C156)</f>
        <v>400167.74</v>
      </c>
      <c r="D157" s="18">
        <f>SUM(D143:D156)</f>
        <v>128189.49999999999</v>
      </c>
      <c r="E157" s="105">
        <f>'Hillpointe Detail'!E157+'Sandhill Detail'!E157</f>
        <v>-6530.6399999999994</v>
      </c>
      <c r="F157" s="105">
        <f>'Hillpointe Detail'!F157+'Sandhill Detail'!F157</f>
        <v>9354.68</v>
      </c>
      <c r="G157" s="105">
        <f>'Hillpointe Detail'!G157+'Sandhill Detail'!G157</f>
        <v>10574.330000000002</v>
      </c>
      <c r="H157" s="105">
        <f>'Hillpointe Detail'!H157+'Sandhill Detail'!H157</f>
        <v>9505.5800000000017</v>
      </c>
      <c r="I157" s="105">
        <f>'Hillpointe Detail'!I157+'Sandhill Detail'!I157</f>
        <v>15430.580000000002</v>
      </c>
      <c r="J157" s="105">
        <f>'Hillpointe Detail'!J157+'Sandhill Detail'!J157</f>
        <v>11324.330000000002</v>
      </c>
      <c r="K157" s="105">
        <f>'Hillpointe Detail'!K157+'Sandhill Detail'!K157</f>
        <v>11742.91</v>
      </c>
      <c r="L157" s="105">
        <f>'Hillpointe Detail'!L157+'Sandhill Detail'!L157</f>
        <v>13332.099999999999</v>
      </c>
      <c r="M157" s="105">
        <f>'Hillpointe Detail'!M157+'Sandhill Detail'!M157</f>
        <v>12753.93</v>
      </c>
      <c r="N157" s="105">
        <f>'Hillpointe Detail'!N157+'Sandhill Detail'!N157</f>
        <v>12685.220000000001</v>
      </c>
      <c r="O157" s="105">
        <f>'Hillpointe Detail'!O157+'Sandhill Detail'!O157</f>
        <v>9580.19</v>
      </c>
      <c r="P157" s="105">
        <f>'Hillpointe Detail'!P157+'Sandhill Detail'!P157</f>
        <v>31627.090000000004</v>
      </c>
      <c r="Q157" s="105">
        <f>'Hillpointe Detail'!Q157+'Sandhill Detail'!Q157</f>
        <v>683.76</v>
      </c>
      <c r="R157" s="105">
        <f>'Hillpointe Detail'!R157+'Sandhill Detail'!R157</f>
        <v>9498.4200000000019</v>
      </c>
      <c r="S157" s="105">
        <f>'Hillpointe Detail'!S157+'Sandhill Detail'!S157</f>
        <v>9559.7499999999982</v>
      </c>
      <c r="T157" s="105">
        <f>'Hillpointe Detail'!T157+'Sandhill Detail'!T157</f>
        <v>9498.44</v>
      </c>
      <c r="U157" s="105">
        <f>'Hillpointe Detail'!U157+'Sandhill Detail'!U157</f>
        <v>19370.310000000001</v>
      </c>
      <c r="V157" s="105">
        <f>'Hillpointe Detail'!V157+'Sandhill Detail'!V157</f>
        <v>14549.170000000002</v>
      </c>
      <c r="W157" s="105">
        <f>'Hillpointe Detail'!W157+'Sandhill Detail'!W157</f>
        <v>14875.500000000002</v>
      </c>
      <c r="X157" s="105">
        <f>'Hillpointe Detail'!X157+'Sandhill Detail'!X157</f>
        <v>20379.36</v>
      </c>
      <c r="Y157" s="105">
        <f>'Hillpointe Detail'!Y157+'Sandhill Detail'!Y157</f>
        <v>28586.340000000004</v>
      </c>
      <c r="Z157" s="105">
        <f>'Hillpointe Detail'!Z157+'Sandhill Detail'!Z157</f>
        <v>18756.78</v>
      </c>
      <c r="AA157" s="105">
        <f>'Hillpointe Detail'!AA157+'Sandhill Detail'!AA157</f>
        <v>26322.480000000003</v>
      </c>
      <c r="AB157" s="105">
        <f>'Hillpointe Detail'!AB157+'Sandhill Detail'!AB157</f>
        <v>27555.964349145986</v>
      </c>
      <c r="AC157" s="105">
        <f>'Hillpointe Detail'!AC157+'Sandhill Detail'!AC157</f>
        <v>0</v>
      </c>
      <c r="AD157" s="105">
        <f>'Hillpointe Detail'!AD157+'Sandhill Detail'!AD157</f>
        <v>15323.645482869131</v>
      </c>
      <c r="AE157" s="105">
        <f>'Hillpointe Detail'!AE157+'Sandhill Detail'!AE157</f>
        <v>15318.539365285927</v>
      </c>
      <c r="AF157" s="105">
        <f>'Hillpointe Detail'!AF157+'Sandhill Detail'!AF157</f>
        <v>15324.588258506967</v>
      </c>
      <c r="AG157" s="105">
        <f>'Hillpointe Detail'!AG157+'Sandhill Detail'!AG157</f>
        <v>15318.831361764387</v>
      </c>
      <c r="AH157" s="105">
        <f>'Hillpointe Detail'!AH157+'Sandhill Detail'!AH157</f>
        <v>15316.665049328649</v>
      </c>
      <c r="AI157" s="105">
        <f>'Hillpointe Detail'!AI157+'Sandhill Detail'!AI157</f>
        <v>15314.472583347753</v>
      </c>
      <c r="AJ157" s="105">
        <f>'Hillpointe Detail'!AJ157+'Sandhill Detail'!AJ157</f>
        <v>15319.457016850469</v>
      </c>
      <c r="AK157" s="105">
        <f>'Hillpointe Detail'!AK157+'Sandhill Detail'!AK157</f>
        <v>15568.459516850471</v>
      </c>
      <c r="AL157" s="105">
        <f>'Hillpointe Detail'!AL157+'Sandhill Detail'!AL157</f>
        <v>15318.858664562091</v>
      </c>
      <c r="AM157" s="105">
        <f>'Hillpointe Detail'!AM157+'Sandhill Detail'!AM157</f>
        <v>15318.904278744398</v>
      </c>
      <c r="AN157" s="105">
        <f>'Hillpointe Detail'!AN157+'Sandhill Detail'!AN157</f>
        <v>30636.184563270919</v>
      </c>
      <c r="AO157" s="105">
        <f>'Hillpointe Detail'!AO157+'Sandhill Detail'!AO157</f>
        <v>0</v>
      </c>
      <c r="AP157" s="105">
        <f>'Hillpointe Detail'!AP157+'Sandhill Detail'!AP157</f>
        <v>15777.736306762128</v>
      </c>
      <c r="AQ157" s="105">
        <f>'Hillpointe Detail'!AQ157+'Sandhill Detail'!AQ157</f>
        <v>15778.281050135376</v>
      </c>
      <c r="AR157" s="105">
        <f>'Hillpointe Detail'!AR157+'Sandhill Detail'!AR157</f>
        <v>15778.173447129624</v>
      </c>
      <c r="AS157" s="105">
        <f>'Hillpointe Detail'!AS157+'Sandhill Detail'!AS157</f>
        <v>15778.051122697136</v>
      </c>
      <c r="AT157" s="105">
        <f>'Hillpointe Detail'!AT157+'Sandhill Detail'!AT157</f>
        <v>15777.998692668785</v>
      </c>
      <c r="AU157" s="105">
        <f>'Hillpointe Detail'!AU157+'Sandhill Detail'!AU157</f>
        <v>15777.932578761383</v>
      </c>
      <c r="AV157" s="105">
        <f>'Hillpointe Detail'!AV157+'Sandhill Detail'!AV157</f>
        <v>15778.028866359073</v>
      </c>
      <c r="AW157" s="105">
        <f>'Hillpointe Detail'!AW157+'Sandhill Detail'!AW157</f>
        <v>16081.162344619941</v>
      </c>
      <c r="AX157" s="105">
        <f>'Hillpointe Detail'!AX157+'Sandhill Detail'!AX157</f>
        <v>15778.070660587207</v>
      </c>
      <c r="AY157" s="105">
        <f>'Hillpointe Detail'!AY157+'Sandhill Detail'!AY157</f>
        <v>15778.040604937469</v>
      </c>
      <c r="AZ157" s="105">
        <f>'Hillpointe Detail'!AZ157+'Sandhill Detail'!AZ157</f>
        <v>31556.043254962886</v>
      </c>
      <c r="BA157" s="105">
        <f>'Hillpointe Detail'!BA157+'Sandhill Detail'!BA157</f>
        <v>0</v>
      </c>
      <c r="BB157" s="105">
        <f>'Hillpointe Detail'!BB157+'Sandhill Detail'!BB157</f>
        <v>16251.361310989443</v>
      </c>
      <c r="BC157" s="105">
        <f>'Hillpointe Detail'!BC157+'Sandhill Detail'!BC157</f>
        <v>16251.374220643102</v>
      </c>
      <c r="BD157" s="105">
        <f>'Hillpointe Detail'!BD157+'Sandhill Detail'!BD157</f>
        <v>16251.37485637869</v>
      </c>
      <c r="BE157" s="105">
        <f>'Hillpointe Detail'!BE157+'Sandhill Detail'!BE157</f>
        <v>16251.375579090796</v>
      </c>
      <c r="BF157" s="105">
        <f>'Hillpointe Detail'!BF157+'Sandhill Detail'!BF157</f>
        <v>16251.370354187144</v>
      </c>
      <c r="BG157" s="105">
        <f>'Hillpointe Detail'!BG157+'Sandhill Detail'!BG157</f>
        <v>16251.368750145401</v>
      </c>
      <c r="BH157" s="105">
        <f>'Hillpointe Detail'!BH157+'Sandhill Detail'!BH157</f>
        <v>16251.370845239098</v>
      </c>
      <c r="BI157" s="105">
        <f>'Hillpointe Detail'!BI157+'Sandhill Detail'!BI157</f>
        <v>16563.598327847794</v>
      </c>
      <c r="BJ157" s="105">
        <f>'Hillpointe Detail'!BJ157+'Sandhill Detail'!BJ157</f>
        <v>16251.372207274764</v>
      </c>
      <c r="BK157" s="105">
        <f>'Hillpointe Detail'!BK157+'Sandhill Detail'!BK157</f>
        <v>16251.371919650714</v>
      </c>
      <c r="BL157" s="105">
        <f>'Hillpointe Detail'!BL157+'Sandhill Detail'!BL157</f>
        <v>32502.743000236289</v>
      </c>
      <c r="BM157" s="105">
        <f>'Hillpointe Detail'!BM157+'Sandhill Detail'!BM157</f>
        <v>0</v>
      </c>
      <c r="BN157" s="105">
        <f>'Hillpointe Detail'!BN157+'Sandhill Detail'!BN157</f>
        <v>16738.912213545562</v>
      </c>
      <c r="BO157" s="105">
        <f>'Hillpointe Detail'!BO157+'Sandhill Detail'!BO157</f>
        <v>16738.912555067011</v>
      </c>
      <c r="BP157" s="105">
        <f>'Hillpointe Detail'!BP157+'Sandhill Detail'!BP157</f>
        <v>16738.912637853235</v>
      </c>
      <c r="BQ157" s="105">
        <f>'Hillpointe Detail'!BQ157+'Sandhill Detail'!BQ157</f>
        <v>16738.91273196564</v>
      </c>
      <c r="BR157" s="105">
        <f>'Hillpointe Detail'!BR157+'Sandhill Detail'!BR157</f>
        <v>16738.912641863481</v>
      </c>
      <c r="BS157" s="105">
        <f>'Hillpointe Detail'!BS157+'Sandhill Detail'!BS157</f>
        <v>16738.912580971628</v>
      </c>
      <c r="BT157" s="105">
        <f>'Hillpointe Detail'!BT157+'Sandhill Detail'!BT157</f>
        <v>16738.912560211094</v>
      </c>
      <c r="BU157" s="105">
        <f>'Hillpointe Detail'!BU157+'Sandhill Detail'!BU157</f>
        <v>17060.506867298049</v>
      </c>
      <c r="BV157" s="105">
        <f>'Hillpointe Detail'!BV157+'Sandhill Detail'!BV157</f>
        <v>16738.91260973474</v>
      </c>
      <c r="BW157" s="105">
        <f>'Hillpointe Detail'!BW157+'Sandhill Detail'!BW157</f>
        <v>16738.912617544418</v>
      </c>
      <c r="BX157" s="105">
        <f>'Hillpointe Detail'!BX157+'Sandhill Detail'!BX157</f>
        <v>33477.825229286318</v>
      </c>
      <c r="BY157" s="8"/>
      <c r="BZ157" s="105">
        <f t="shared" si="69"/>
        <v>26322.480000000003</v>
      </c>
      <c r="CA157" s="105">
        <f t="shared" si="70"/>
        <v>172080.31000000003</v>
      </c>
      <c r="CC157" s="105">
        <f t="shared" si="59"/>
        <v>400167.74</v>
      </c>
      <c r="CD157" s="105">
        <f t="shared" si="68"/>
        <v>128189.49999999999</v>
      </c>
      <c r="CE157" s="105">
        <f t="shared" si="68"/>
        <v>141380.29999999999</v>
      </c>
      <c r="CF157" s="105">
        <f t="shared" si="68"/>
        <v>199636.274349146</v>
      </c>
      <c r="CG157" s="105">
        <f t="shared" si="68"/>
        <v>184078.60614138117</v>
      </c>
      <c r="CH157" s="105">
        <f t="shared" si="68"/>
        <v>189639.518929621</v>
      </c>
      <c r="CI157" s="105">
        <f t="shared" si="68"/>
        <v>195328.68137168323</v>
      </c>
      <c r="CJ157" s="105">
        <f t="shared" si="68"/>
        <v>201188.54524534114</v>
      </c>
      <c r="CL157" s="105"/>
      <c r="CM157" s="13"/>
    </row>
    <row r="158" spans="1:91" x14ac:dyDescent="0.3">
      <c r="A158" s="84" t="s">
        <v>113</v>
      </c>
      <c r="B158" s="10"/>
      <c r="C158" s="142">
        <f>C157</f>
        <v>400167.74</v>
      </c>
      <c r="D158" s="142">
        <f>D157</f>
        <v>128189.49999999999</v>
      </c>
      <c r="E158" s="143">
        <f>'Hillpointe Detail'!E158+'Sandhill Detail'!E158</f>
        <v>-6530.6399999999994</v>
      </c>
      <c r="F158" s="143">
        <f>'Hillpointe Detail'!F158+'Sandhill Detail'!F158</f>
        <v>9354.68</v>
      </c>
      <c r="G158" s="143">
        <f>'Hillpointe Detail'!G158+'Sandhill Detail'!G158</f>
        <v>10574.330000000002</v>
      </c>
      <c r="H158" s="143">
        <f>'Hillpointe Detail'!H158+'Sandhill Detail'!H158</f>
        <v>9505.5800000000017</v>
      </c>
      <c r="I158" s="143">
        <f>'Hillpointe Detail'!I158+'Sandhill Detail'!I158</f>
        <v>15430.580000000002</v>
      </c>
      <c r="J158" s="143">
        <f>'Hillpointe Detail'!J158+'Sandhill Detail'!J158</f>
        <v>11324.330000000002</v>
      </c>
      <c r="K158" s="143">
        <f>'Hillpointe Detail'!K158+'Sandhill Detail'!K158</f>
        <v>11742.91</v>
      </c>
      <c r="L158" s="143">
        <f>'Hillpointe Detail'!L158+'Sandhill Detail'!L158</f>
        <v>13332.099999999999</v>
      </c>
      <c r="M158" s="143">
        <f>'Hillpointe Detail'!M158+'Sandhill Detail'!M158</f>
        <v>12753.93</v>
      </c>
      <c r="N158" s="143">
        <f>'Hillpointe Detail'!N158+'Sandhill Detail'!N158</f>
        <v>12685.220000000001</v>
      </c>
      <c r="O158" s="143">
        <f>'Hillpointe Detail'!O158+'Sandhill Detail'!O158</f>
        <v>9580.19</v>
      </c>
      <c r="P158" s="143">
        <f>'Hillpointe Detail'!P158+'Sandhill Detail'!P158</f>
        <v>31627.090000000004</v>
      </c>
      <c r="Q158" s="143">
        <f>'Hillpointe Detail'!Q158+'Sandhill Detail'!Q158</f>
        <v>683.76</v>
      </c>
      <c r="R158" s="143">
        <f>'Hillpointe Detail'!R158+'Sandhill Detail'!R158</f>
        <v>9498.4200000000019</v>
      </c>
      <c r="S158" s="143">
        <f>'Hillpointe Detail'!S158+'Sandhill Detail'!S158</f>
        <v>9559.7499999999982</v>
      </c>
      <c r="T158" s="143">
        <f>'Hillpointe Detail'!T158+'Sandhill Detail'!T158</f>
        <v>9498.44</v>
      </c>
      <c r="U158" s="143">
        <f>'Hillpointe Detail'!U158+'Sandhill Detail'!U158</f>
        <v>19370.310000000001</v>
      </c>
      <c r="V158" s="143">
        <f>'Hillpointe Detail'!V158+'Sandhill Detail'!V158</f>
        <v>14549.170000000002</v>
      </c>
      <c r="W158" s="143">
        <f>'Hillpointe Detail'!W158+'Sandhill Detail'!W158</f>
        <v>14875.500000000002</v>
      </c>
      <c r="X158" s="143">
        <f>'Hillpointe Detail'!X158+'Sandhill Detail'!X158</f>
        <v>20379.36</v>
      </c>
      <c r="Y158" s="143">
        <f>'Hillpointe Detail'!Y158+'Sandhill Detail'!Y158</f>
        <v>28586.340000000004</v>
      </c>
      <c r="Z158" s="143">
        <f>'Hillpointe Detail'!Z158+'Sandhill Detail'!Z158</f>
        <v>18756.78</v>
      </c>
      <c r="AA158" s="143">
        <f>'Hillpointe Detail'!AA158+'Sandhill Detail'!AA158</f>
        <v>26322.480000000003</v>
      </c>
      <c r="AB158" s="143">
        <f>'Hillpointe Detail'!AB158+'Sandhill Detail'!AB158</f>
        <v>27555.964349145986</v>
      </c>
      <c r="AC158" s="143">
        <f>'Hillpointe Detail'!AC158+'Sandhill Detail'!AC158</f>
        <v>0</v>
      </c>
      <c r="AD158" s="143">
        <f>'Hillpointe Detail'!AD158+'Sandhill Detail'!AD158</f>
        <v>15323.645482869131</v>
      </c>
      <c r="AE158" s="143">
        <f>'Hillpointe Detail'!AE158+'Sandhill Detail'!AE158</f>
        <v>15318.539365285927</v>
      </c>
      <c r="AF158" s="143">
        <f>'Hillpointe Detail'!AF158+'Sandhill Detail'!AF158</f>
        <v>15324.588258506967</v>
      </c>
      <c r="AG158" s="143">
        <f>'Hillpointe Detail'!AG158+'Sandhill Detail'!AG158</f>
        <v>15318.831361764387</v>
      </c>
      <c r="AH158" s="143">
        <f>'Hillpointe Detail'!AH158+'Sandhill Detail'!AH158</f>
        <v>15316.665049328649</v>
      </c>
      <c r="AI158" s="143">
        <f>'Hillpointe Detail'!AI158+'Sandhill Detail'!AI158</f>
        <v>15314.472583347753</v>
      </c>
      <c r="AJ158" s="143">
        <f>'Hillpointe Detail'!AJ158+'Sandhill Detail'!AJ158</f>
        <v>15319.457016850469</v>
      </c>
      <c r="AK158" s="143">
        <f>'Hillpointe Detail'!AK158+'Sandhill Detail'!AK158</f>
        <v>15568.459516850471</v>
      </c>
      <c r="AL158" s="143">
        <f>'Hillpointe Detail'!AL158+'Sandhill Detail'!AL158</f>
        <v>15318.858664562091</v>
      </c>
      <c r="AM158" s="143">
        <f>'Hillpointe Detail'!AM158+'Sandhill Detail'!AM158</f>
        <v>15318.904278744398</v>
      </c>
      <c r="AN158" s="143">
        <f>'Hillpointe Detail'!AN158+'Sandhill Detail'!AN158</f>
        <v>30636.184563270919</v>
      </c>
      <c r="AO158" s="143">
        <f>'Hillpointe Detail'!AO158+'Sandhill Detail'!AO158</f>
        <v>0</v>
      </c>
      <c r="AP158" s="143">
        <f>'Hillpointe Detail'!AP158+'Sandhill Detail'!AP158</f>
        <v>15777.736306762128</v>
      </c>
      <c r="AQ158" s="143">
        <f>'Hillpointe Detail'!AQ158+'Sandhill Detail'!AQ158</f>
        <v>15778.281050135376</v>
      </c>
      <c r="AR158" s="143">
        <f>'Hillpointe Detail'!AR158+'Sandhill Detail'!AR158</f>
        <v>15778.173447129624</v>
      </c>
      <c r="AS158" s="143">
        <f>'Hillpointe Detail'!AS158+'Sandhill Detail'!AS158</f>
        <v>15778.051122697136</v>
      </c>
      <c r="AT158" s="143">
        <f>'Hillpointe Detail'!AT158+'Sandhill Detail'!AT158</f>
        <v>15777.998692668785</v>
      </c>
      <c r="AU158" s="143">
        <f>'Hillpointe Detail'!AU158+'Sandhill Detail'!AU158</f>
        <v>15777.932578761383</v>
      </c>
      <c r="AV158" s="143">
        <f>'Hillpointe Detail'!AV158+'Sandhill Detail'!AV158</f>
        <v>15778.028866359073</v>
      </c>
      <c r="AW158" s="143">
        <f>'Hillpointe Detail'!AW158+'Sandhill Detail'!AW158</f>
        <v>16081.162344619941</v>
      </c>
      <c r="AX158" s="143">
        <f>'Hillpointe Detail'!AX158+'Sandhill Detail'!AX158</f>
        <v>15778.070660587207</v>
      </c>
      <c r="AY158" s="143">
        <f>'Hillpointe Detail'!AY158+'Sandhill Detail'!AY158</f>
        <v>15778.040604937469</v>
      </c>
      <c r="AZ158" s="143">
        <f>'Hillpointe Detail'!AZ158+'Sandhill Detail'!AZ158</f>
        <v>31556.043254962886</v>
      </c>
      <c r="BA158" s="143">
        <f>'Hillpointe Detail'!BA158+'Sandhill Detail'!BA158</f>
        <v>0</v>
      </c>
      <c r="BB158" s="143">
        <f>'Hillpointe Detail'!BB158+'Sandhill Detail'!BB158</f>
        <v>16251.361310989443</v>
      </c>
      <c r="BC158" s="143">
        <f>'Hillpointe Detail'!BC158+'Sandhill Detail'!BC158</f>
        <v>16251.374220643102</v>
      </c>
      <c r="BD158" s="143">
        <f>'Hillpointe Detail'!BD158+'Sandhill Detail'!BD158</f>
        <v>16251.37485637869</v>
      </c>
      <c r="BE158" s="143">
        <f>'Hillpointe Detail'!BE158+'Sandhill Detail'!BE158</f>
        <v>16251.375579090796</v>
      </c>
      <c r="BF158" s="143">
        <f>'Hillpointe Detail'!BF158+'Sandhill Detail'!BF158</f>
        <v>16251.370354187144</v>
      </c>
      <c r="BG158" s="143">
        <f>'Hillpointe Detail'!BG158+'Sandhill Detail'!BG158</f>
        <v>16251.368750145401</v>
      </c>
      <c r="BH158" s="143">
        <f>'Hillpointe Detail'!BH158+'Sandhill Detail'!BH158</f>
        <v>16251.370845239098</v>
      </c>
      <c r="BI158" s="143">
        <f>'Hillpointe Detail'!BI158+'Sandhill Detail'!BI158</f>
        <v>16563.598327847794</v>
      </c>
      <c r="BJ158" s="143">
        <f>'Hillpointe Detail'!BJ158+'Sandhill Detail'!BJ158</f>
        <v>16251.372207274764</v>
      </c>
      <c r="BK158" s="143">
        <f>'Hillpointe Detail'!BK158+'Sandhill Detail'!BK158</f>
        <v>16251.371919650714</v>
      </c>
      <c r="BL158" s="143">
        <f>'Hillpointe Detail'!BL158+'Sandhill Detail'!BL158</f>
        <v>32502.743000236289</v>
      </c>
      <c r="BM158" s="143">
        <f>'Hillpointe Detail'!BM158+'Sandhill Detail'!BM158</f>
        <v>0</v>
      </c>
      <c r="BN158" s="143">
        <f>'Hillpointe Detail'!BN158+'Sandhill Detail'!BN158</f>
        <v>16738.912213545562</v>
      </c>
      <c r="BO158" s="143">
        <f>'Hillpointe Detail'!BO158+'Sandhill Detail'!BO158</f>
        <v>16738.912555067011</v>
      </c>
      <c r="BP158" s="143">
        <f>'Hillpointe Detail'!BP158+'Sandhill Detail'!BP158</f>
        <v>16738.912637853235</v>
      </c>
      <c r="BQ158" s="143">
        <f>'Hillpointe Detail'!BQ158+'Sandhill Detail'!BQ158</f>
        <v>16738.91273196564</v>
      </c>
      <c r="BR158" s="143">
        <f>'Hillpointe Detail'!BR158+'Sandhill Detail'!BR158</f>
        <v>16738.912641863481</v>
      </c>
      <c r="BS158" s="143">
        <f>'Hillpointe Detail'!BS158+'Sandhill Detail'!BS158</f>
        <v>16738.912580971628</v>
      </c>
      <c r="BT158" s="143">
        <f>'Hillpointe Detail'!BT158+'Sandhill Detail'!BT158</f>
        <v>16738.912560211094</v>
      </c>
      <c r="BU158" s="143">
        <f>'Hillpointe Detail'!BU158+'Sandhill Detail'!BU158</f>
        <v>17060.506867298049</v>
      </c>
      <c r="BV158" s="143">
        <f>'Hillpointe Detail'!BV158+'Sandhill Detail'!BV158</f>
        <v>16738.91260973474</v>
      </c>
      <c r="BW158" s="143">
        <f>'Hillpointe Detail'!BW158+'Sandhill Detail'!BW158</f>
        <v>16738.912617544418</v>
      </c>
      <c r="BX158" s="143">
        <f>'Hillpointe Detail'!BX158+'Sandhill Detail'!BX158</f>
        <v>33477.825229286318</v>
      </c>
      <c r="BY158" s="8"/>
      <c r="BZ158" s="143">
        <f t="shared" si="69"/>
        <v>26322.480000000003</v>
      </c>
      <c r="CA158" s="143">
        <f t="shared" si="70"/>
        <v>172080.31000000003</v>
      </c>
      <c r="CC158" s="143">
        <f t="shared" si="59"/>
        <v>400167.74</v>
      </c>
      <c r="CD158" s="143">
        <f t="shared" si="68"/>
        <v>128189.49999999999</v>
      </c>
      <c r="CE158" s="143">
        <f t="shared" si="68"/>
        <v>141380.29999999999</v>
      </c>
      <c r="CF158" s="143">
        <f t="shared" si="68"/>
        <v>199636.274349146</v>
      </c>
      <c r="CG158" s="143">
        <f t="shared" si="68"/>
        <v>184078.60614138117</v>
      </c>
      <c r="CH158" s="143">
        <f t="shared" si="68"/>
        <v>189639.518929621</v>
      </c>
      <c r="CI158" s="143">
        <f t="shared" si="68"/>
        <v>195328.68137168323</v>
      </c>
      <c r="CJ158" s="143">
        <f t="shared" si="68"/>
        <v>201188.54524534114</v>
      </c>
      <c r="CL158" s="105"/>
      <c r="CM158" s="13"/>
    </row>
    <row r="159" spans="1:91" x14ac:dyDescent="0.3">
      <c r="A159" s="84" t="s">
        <v>114</v>
      </c>
      <c r="B159" s="10" t="s">
        <v>146</v>
      </c>
      <c r="C159" s="103">
        <v>0</v>
      </c>
      <c r="D159" s="103">
        <v>10063.52</v>
      </c>
      <c r="E159" s="105">
        <f>'Hillpointe Detail'!E159+'Sandhill Detail'!E159</f>
        <v>0</v>
      </c>
      <c r="F159" s="105">
        <f>'Hillpointe Detail'!F159+'Sandhill Detail'!F159</f>
        <v>0</v>
      </c>
      <c r="G159" s="105">
        <f>'Hillpointe Detail'!G159+'Sandhill Detail'!G159</f>
        <v>1535.81</v>
      </c>
      <c r="H159" s="105">
        <f>'Hillpointe Detail'!H159+'Sandhill Detail'!H159</f>
        <v>439.57</v>
      </c>
      <c r="I159" s="105">
        <f>'Hillpointe Detail'!I159+'Sandhill Detail'!I159</f>
        <v>315.71000000000004</v>
      </c>
      <c r="J159" s="105">
        <f>'Hillpointe Detail'!J159+'Sandhill Detail'!J159</f>
        <v>0</v>
      </c>
      <c r="K159" s="105">
        <f>'Hillpointe Detail'!K159+'Sandhill Detail'!K159</f>
        <v>2094.59</v>
      </c>
      <c r="L159" s="105">
        <f>'Hillpointe Detail'!L159+'Sandhill Detail'!L159</f>
        <v>958.67999999999961</v>
      </c>
      <c r="M159" s="105">
        <f>'Hillpointe Detail'!M159+'Sandhill Detail'!M159</f>
        <v>3859.69</v>
      </c>
      <c r="N159" s="105">
        <f>'Hillpointe Detail'!N159+'Sandhill Detail'!N159</f>
        <v>0</v>
      </c>
      <c r="O159" s="105">
        <f>'Hillpointe Detail'!O159+'Sandhill Detail'!O159</f>
        <v>530</v>
      </c>
      <c r="P159" s="105">
        <f>'Hillpointe Detail'!P159+'Sandhill Detail'!P159</f>
        <v>718.61</v>
      </c>
      <c r="Q159" s="105">
        <f>'Hillpointe Detail'!Q159+'Sandhill Detail'!Q159</f>
        <v>850</v>
      </c>
      <c r="R159" s="105">
        <f>'Hillpointe Detail'!R159+'Sandhill Detail'!R159</f>
        <v>900</v>
      </c>
      <c r="S159" s="105">
        <f>'Hillpointe Detail'!S159+'Sandhill Detail'!S159</f>
        <v>1309.79</v>
      </c>
      <c r="T159" s="105">
        <f>'Hillpointe Detail'!T159+'Sandhill Detail'!T159</f>
        <v>872.73</v>
      </c>
      <c r="U159" s="105">
        <f>'Hillpointe Detail'!U159+'Sandhill Detail'!U159</f>
        <v>993.79</v>
      </c>
      <c r="V159" s="105">
        <f>'Hillpointe Detail'!V159+'Sandhill Detail'!V159</f>
        <v>567.9</v>
      </c>
      <c r="W159" s="105">
        <f>'Hillpointe Detail'!W159+'Sandhill Detail'!W159</f>
        <v>6340.25</v>
      </c>
      <c r="X159" s="105">
        <f>'Hillpointe Detail'!X159+'Sandhill Detail'!X159</f>
        <v>889.49</v>
      </c>
      <c r="Y159" s="105">
        <f>'Hillpointe Detail'!Y159+'Sandhill Detail'!Y159</f>
        <v>1300</v>
      </c>
      <c r="Z159" s="105">
        <f>'Hillpointe Detail'!Z159+'Sandhill Detail'!Z159</f>
        <v>478.39</v>
      </c>
      <c r="AA159" s="105">
        <f>'Hillpointe Detail'!AA159+'Sandhill Detail'!AA159</f>
        <v>1859.6599999999999</v>
      </c>
      <c r="AB159" s="105">
        <f>'Hillpointe Detail'!AB159+'Sandhill Detail'!AB159</f>
        <v>740.16830000000004</v>
      </c>
      <c r="AC159" s="105">
        <f>'Hillpointe Detail'!AC159+'Sandhill Detail'!AC159</f>
        <v>875.5</v>
      </c>
      <c r="AD159" s="105">
        <f>'Hillpointe Detail'!AD159+'Sandhill Detail'!AD159</f>
        <v>927</v>
      </c>
      <c r="AE159" s="105">
        <f>'Hillpointe Detail'!AE159+'Sandhill Detail'!AE159</f>
        <v>1349.0837000000001</v>
      </c>
      <c r="AF159" s="105">
        <f>'Hillpointe Detail'!AF159+'Sandhill Detail'!AF159</f>
        <v>898.91190000000006</v>
      </c>
      <c r="AG159" s="105">
        <f>'Hillpointe Detail'!AG159+'Sandhill Detail'!AG159</f>
        <v>1023.6037</v>
      </c>
      <c r="AH159" s="105">
        <f>'Hillpointe Detail'!AH159+'Sandhill Detail'!AH159</f>
        <v>584.93700000000001</v>
      </c>
      <c r="AI159" s="105">
        <f>'Hillpointe Detail'!AI159+'Sandhill Detail'!AI159</f>
        <v>6530.4575000000004</v>
      </c>
      <c r="AJ159" s="105">
        <f>'Hillpointe Detail'!AJ159+'Sandhill Detail'!AJ159</f>
        <v>916.17469999999992</v>
      </c>
      <c r="AK159" s="105">
        <f>'Hillpointe Detail'!AK159+'Sandhill Detail'!AK159</f>
        <v>1339</v>
      </c>
      <c r="AL159" s="105">
        <f>'Hillpointe Detail'!AL159+'Sandhill Detail'!AL159</f>
        <v>492.74170000000004</v>
      </c>
      <c r="AM159" s="105">
        <f>'Hillpointe Detail'!AM159+'Sandhill Detail'!AM159</f>
        <v>1915.4497999999999</v>
      </c>
      <c r="AN159" s="105">
        <f>'Hillpointe Detail'!AN159+'Sandhill Detail'!AN159</f>
        <v>762.37334899999996</v>
      </c>
      <c r="AO159" s="105">
        <f>'Hillpointe Detail'!AO159+'Sandhill Detail'!AO159</f>
        <v>901.7650000000001</v>
      </c>
      <c r="AP159" s="105">
        <f>'Hillpointe Detail'!AP159+'Sandhill Detail'!AP159</f>
        <v>954.81000000000017</v>
      </c>
      <c r="AQ159" s="105">
        <f>'Hillpointe Detail'!AQ159+'Sandhill Detail'!AQ159</f>
        <v>1389.5562110000001</v>
      </c>
      <c r="AR159" s="105">
        <f>'Hillpointe Detail'!AR159+'Sandhill Detail'!AR159</f>
        <v>925.87925700000017</v>
      </c>
      <c r="AS159" s="105">
        <f>'Hillpointe Detail'!AS159+'Sandhill Detail'!AS159</f>
        <v>1054.311811</v>
      </c>
      <c r="AT159" s="105">
        <f>'Hillpointe Detail'!AT159+'Sandhill Detail'!AT159</f>
        <v>602.48511000000008</v>
      </c>
      <c r="AU159" s="105">
        <f>'Hillpointe Detail'!AU159+'Sandhill Detail'!AU159</f>
        <v>6726.3712249999999</v>
      </c>
      <c r="AV159" s="105">
        <f>'Hillpointe Detail'!AV159+'Sandhill Detail'!AV159</f>
        <v>943.659941</v>
      </c>
      <c r="AW159" s="105">
        <f>'Hillpointe Detail'!AW159+'Sandhill Detail'!AW159</f>
        <v>1379.17</v>
      </c>
      <c r="AX159" s="105">
        <f>'Hillpointe Detail'!AX159+'Sandhill Detail'!AX159</f>
        <v>507.52395100000001</v>
      </c>
      <c r="AY159" s="105">
        <f>'Hillpointe Detail'!AY159+'Sandhill Detail'!AY159</f>
        <v>1972.913294</v>
      </c>
      <c r="AZ159" s="105">
        <f>'Hillpointe Detail'!AZ159+'Sandhill Detail'!AZ159</f>
        <v>785.24454947000004</v>
      </c>
      <c r="BA159" s="105">
        <f>'Hillpointe Detail'!BA159+'Sandhill Detail'!BA159</f>
        <v>928.81795000000011</v>
      </c>
      <c r="BB159" s="105">
        <f>'Hillpointe Detail'!BB159+'Sandhill Detail'!BB159</f>
        <v>983.45430000000022</v>
      </c>
      <c r="BC159" s="105">
        <f>'Hillpointe Detail'!BC159+'Sandhill Detail'!BC159</f>
        <v>1431.2428973300002</v>
      </c>
      <c r="BD159" s="105">
        <f>'Hillpointe Detail'!BD159+'Sandhill Detail'!BD159</f>
        <v>953.65563471000019</v>
      </c>
      <c r="BE159" s="105">
        <f>'Hillpointe Detail'!BE159+'Sandhill Detail'!BE159</f>
        <v>1085.9411653300001</v>
      </c>
      <c r="BF159" s="105">
        <f>'Hillpointe Detail'!BF159+'Sandhill Detail'!BF159</f>
        <v>620.55966330000001</v>
      </c>
      <c r="BG159" s="105">
        <f>'Hillpointe Detail'!BG159+'Sandhill Detail'!BG159</f>
        <v>6928.1623617500009</v>
      </c>
      <c r="BH159" s="105">
        <f>'Hillpointe Detail'!BH159+'Sandhill Detail'!BH159</f>
        <v>971.96973923000007</v>
      </c>
      <c r="BI159" s="105">
        <f>'Hillpointe Detail'!BI159+'Sandhill Detail'!BI159</f>
        <v>1420.5451</v>
      </c>
      <c r="BJ159" s="105">
        <f>'Hillpointe Detail'!BJ159+'Sandhill Detail'!BJ159</f>
        <v>522.74966953000001</v>
      </c>
      <c r="BK159" s="105">
        <f>'Hillpointe Detail'!BK159+'Sandhill Detail'!BK159</f>
        <v>2032.1006928200002</v>
      </c>
      <c r="BL159" s="105">
        <f>'Hillpointe Detail'!BL159+'Sandhill Detail'!BL159</f>
        <v>808.80188595410004</v>
      </c>
      <c r="BM159" s="105">
        <f>'Hillpointe Detail'!BM159+'Sandhill Detail'!BM159</f>
        <v>956.68248850000009</v>
      </c>
      <c r="BN159" s="105">
        <f>'Hillpointe Detail'!BN159+'Sandhill Detail'!BN159</f>
        <v>1012.9579290000003</v>
      </c>
      <c r="BO159" s="105">
        <f>'Hillpointe Detail'!BO159+'Sandhill Detail'!BO159</f>
        <v>1474.1801842499003</v>
      </c>
      <c r="BP159" s="105">
        <f>'Hillpointe Detail'!BP159+'Sandhill Detail'!BP159</f>
        <v>982.26530375130017</v>
      </c>
      <c r="BQ159" s="105">
        <f>'Hillpointe Detail'!BQ159+'Sandhill Detail'!BQ159</f>
        <v>1118.5194002899002</v>
      </c>
      <c r="BR159" s="105">
        <f>'Hillpointe Detail'!BR159+'Sandhill Detail'!BR159</f>
        <v>639.17645319900009</v>
      </c>
      <c r="BS159" s="105">
        <f>'Hillpointe Detail'!BS159+'Sandhill Detail'!BS159</f>
        <v>7136.0072326025011</v>
      </c>
      <c r="BT159" s="105">
        <f>'Hillpointe Detail'!BT159+'Sandhill Detail'!BT159</f>
        <v>1001.1288314069001</v>
      </c>
      <c r="BU159" s="105">
        <f>'Hillpointe Detail'!BU159+'Sandhill Detail'!BU159</f>
        <v>1463.1614530000002</v>
      </c>
      <c r="BV159" s="105">
        <f>'Hillpointe Detail'!BV159+'Sandhill Detail'!BV159</f>
        <v>538.43215961589999</v>
      </c>
      <c r="BW159" s="105">
        <f>'Hillpointe Detail'!BW159+'Sandhill Detail'!BW159</f>
        <v>2093.0637136046003</v>
      </c>
      <c r="BX159" s="105">
        <f>'Hillpointe Detail'!BX159+'Sandhill Detail'!BX159</f>
        <v>833.06594253272306</v>
      </c>
      <c r="BY159" s="8"/>
      <c r="BZ159" s="105">
        <f t="shared" si="69"/>
        <v>1859.6599999999999</v>
      </c>
      <c r="CA159" s="105">
        <f t="shared" si="70"/>
        <v>16361.999999999998</v>
      </c>
      <c r="CC159" s="105">
        <f t="shared" si="59"/>
        <v>0</v>
      </c>
      <c r="CD159" s="105">
        <f t="shared" si="68"/>
        <v>10063.52</v>
      </c>
      <c r="CE159" s="105">
        <f t="shared" si="68"/>
        <v>10452.66</v>
      </c>
      <c r="CF159" s="105">
        <f t="shared" si="68"/>
        <v>17102.168299999998</v>
      </c>
      <c r="CG159" s="105">
        <f t="shared" si="68"/>
        <v>17615.233349000002</v>
      </c>
      <c r="CH159" s="105">
        <f t="shared" si="68"/>
        <v>18143.690349470002</v>
      </c>
      <c r="CI159" s="105">
        <f t="shared" si="68"/>
        <v>18688.001059954102</v>
      </c>
      <c r="CJ159" s="105">
        <f t="shared" si="68"/>
        <v>19248.641091752725</v>
      </c>
      <c r="CL159" s="105"/>
      <c r="CM159" s="13"/>
    </row>
    <row r="160" spans="1:91" x14ac:dyDescent="0.3">
      <c r="A160" s="84" t="s">
        <v>367</v>
      </c>
      <c r="B160" s="10"/>
      <c r="C160" s="103">
        <v>0</v>
      </c>
      <c r="D160" s="103">
        <v>0</v>
      </c>
      <c r="E160" s="105">
        <f>'Hillpointe Detail'!E160+'Sandhill Detail'!E160</f>
        <v>0</v>
      </c>
      <c r="F160" s="105">
        <f>'Hillpointe Detail'!F160+'Sandhill Detail'!F160</f>
        <v>0</v>
      </c>
      <c r="G160" s="105">
        <f>'Hillpointe Detail'!G160+'Sandhill Detail'!G160</f>
        <v>0</v>
      </c>
      <c r="H160" s="105">
        <f>'Hillpointe Detail'!H160+'Sandhill Detail'!H160</f>
        <v>0</v>
      </c>
      <c r="I160" s="105">
        <f>'Hillpointe Detail'!I160+'Sandhill Detail'!I160</f>
        <v>0</v>
      </c>
      <c r="J160" s="105">
        <f>'Hillpointe Detail'!J160+'Sandhill Detail'!J160</f>
        <v>0</v>
      </c>
      <c r="K160" s="105">
        <f>'Hillpointe Detail'!K160+'Sandhill Detail'!K160</f>
        <v>0</v>
      </c>
      <c r="L160" s="105">
        <f>'Hillpointe Detail'!L160+'Sandhill Detail'!L160</f>
        <v>0</v>
      </c>
      <c r="M160" s="105">
        <f>'Hillpointe Detail'!M160+'Sandhill Detail'!M160</f>
        <v>0</v>
      </c>
      <c r="N160" s="105">
        <f>'Hillpointe Detail'!N160+'Sandhill Detail'!N160</f>
        <v>0</v>
      </c>
      <c r="O160" s="105">
        <f>'Hillpointe Detail'!O160+'Sandhill Detail'!O160</f>
        <v>0</v>
      </c>
      <c r="P160" s="105">
        <f>'Hillpointe Detail'!P160+'Sandhill Detail'!P160</f>
        <v>0</v>
      </c>
      <c r="Q160" s="105">
        <f>'Hillpointe Detail'!Q160+'Sandhill Detail'!Q160</f>
        <v>0</v>
      </c>
      <c r="R160" s="105">
        <f>'Hillpointe Detail'!R160+'Sandhill Detail'!R160</f>
        <v>0</v>
      </c>
      <c r="S160" s="105">
        <f>'Hillpointe Detail'!S160+'Sandhill Detail'!S160</f>
        <v>0</v>
      </c>
      <c r="T160" s="105">
        <f>'Hillpointe Detail'!T160+'Sandhill Detail'!T160</f>
        <v>0</v>
      </c>
      <c r="U160" s="105">
        <f>'Hillpointe Detail'!U160+'Sandhill Detail'!U160</f>
        <v>0</v>
      </c>
      <c r="V160" s="105">
        <f>'Hillpointe Detail'!V160+'Sandhill Detail'!V160</f>
        <v>0</v>
      </c>
      <c r="W160" s="105">
        <f>'Hillpointe Detail'!W160+'Sandhill Detail'!W160</f>
        <v>0</v>
      </c>
      <c r="X160" s="105">
        <f>'Hillpointe Detail'!X160+'Sandhill Detail'!X160</f>
        <v>0</v>
      </c>
      <c r="Y160" s="105">
        <f>'Hillpointe Detail'!Y160+'Sandhill Detail'!Y160</f>
        <v>0</v>
      </c>
      <c r="Z160" s="105">
        <f>'Hillpointe Detail'!Z160+'Sandhill Detail'!Z160</f>
        <v>0</v>
      </c>
      <c r="AA160" s="105">
        <f>'Hillpointe Detail'!AA160+'Sandhill Detail'!AA160</f>
        <v>0</v>
      </c>
      <c r="AB160" s="105">
        <f>'Hillpointe Detail'!AB160+'Sandhill Detail'!AB160</f>
        <v>0</v>
      </c>
      <c r="AC160" s="105">
        <f>'Hillpointe Detail'!AC160+'Sandhill Detail'!AC160</f>
        <v>0</v>
      </c>
      <c r="AD160" s="105">
        <f>'Hillpointe Detail'!AD160+'Sandhill Detail'!AD160</f>
        <v>0</v>
      </c>
      <c r="AE160" s="105">
        <f>'Hillpointe Detail'!AE160+'Sandhill Detail'!AE160</f>
        <v>0</v>
      </c>
      <c r="AF160" s="105">
        <f>'Hillpointe Detail'!AF160+'Sandhill Detail'!AF160</f>
        <v>0</v>
      </c>
      <c r="AG160" s="105">
        <f>'Hillpointe Detail'!AG160+'Sandhill Detail'!AG160</f>
        <v>0</v>
      </c>
      <c r="AH160" s="105">
        <f>'Hillpointe Detail'!AH160+'Sandhill Detail'!AH160</f>
        <v>0</v>
      </c>
      <c r="AI160" s="105">
        <f>'Hillpointe Detail'!AI160+'Sandhill Detail'!AI160</f>
        <v>0</v>
      </c>
      <c r="AJ160" s="105">
        <f>'Hillpointe Detail'!AJ160+'Sandhill Detail'!AJ160</f>
        <v>0</v>
      </c>
      <c r="AK160" s="105">
        <f>'Hillpointe Detail'!AK160+'Sandhill Detail'!AK160</f>
        <v>0</v>
      </c>
      <c r="AL160" s="105">
        <f>'Hillpointe Detail'!AL160+'Sandhill Detail'!AL160</f>
        <v>0</v>
      </c>
      <c r="AM160" s="105">
        <f>'Hillpointe Detail'!AM160+'Sandhill Detail'!AM160</f>
        <v>0</v>
      </c>
      <c r="AN160" s="105">
        <f>'Hillpointe Detail'!AN160+'Sandhill Detail'!AN160</f>
        <v>0</v>
      </c>
      <c r="AO160" s="105">
        <f>'Hillpointe Detail'!AO160+'Sandhill Detail'!AO160</f>
        <v>0</v>
      </c>
      <c r="AP160" s="105">
        <f>'Hillpointe Detail'!AP160+'Sandhill Detail'!AP160</f>
        <v>0</v>
      </c>
      <c r="AQ160" s="105">
        <f>'Hillpointe Detail'!AQ160+'Sandhill Detail'!AQ160</f>
        <v>0</v>
      </c>
      <c r="AR160" s="105">
        <f>'Hillpointe Detail'!AR160+'Sandhill Detail'!AR160</f>
        <v>0</v>
      </c>
      <c r="AS160" s="105">
        <f>'Hillpointe Detail'!AS160+'Sandhill Detail'!AS160</f>
        <v>0</v>
      </c>
      <c r="AT160" s="105">
        <f>'Hillpointe Detail'!AT160+'Sandhill Detail'!AT160</f>
        <v>0</v>
      </c>
      <c r="AU160" s="105">
        <f>'Hillpointe Detail'!AU160+'Sandhill Detail'!AU160</f>
        <v>0</v>
      </c>
      <c r="AV160" s="105">
        <f>'Hillpointe Detail'!AV160+'Sandhill Detail'!AV160</f>
        <v>0</v>
      </c>
      <c r="AW160" s="105">
        <f>'Hillpointe Detail'!AW160+'Sandhill Detail'!AW160</f>
        <v>0</v>
      </c>
      <c r="AX160" s="105">
        <f>'Hillpointe Detail'!AX160+'Sandhill Detail'!AX160</f>
        <v>0</v>
      </c>
      <c r="AY160" s="105">
        <f>'Hillpointe Detail'!AY160+'Sandhill Detail'!AY160</f>
        <v>0</v>
      </c>
      <c r="AZ160" s="105">
        <f>'Hillpointe Detail'!AZ160+'Sandhill Detail'!AZ160</f>
        <v>0</v>
      </c>
      <c r="BA160" s="105">
        <f>'Hillpointe Detail'!BA160+'Sandhill Detail'!BA160</f>
        <v>0</v>
      </c>
      <c r="BB160" s="105">
        <f>'Hillpointe Detail'!BB160+'Sandhill Detail'!BB160</f>
        <v>0</v>
      </c>
      <c r="BC160" s="105">
        <f>'Hillpointe Detail'!BC160+'Sandhill Detail'!BC160</f>
        <v>0</v>
      </c>
      <c r="BD160" s="105">
        <f>'Hillpointe Detail'!BD160+'Sandhill Detail'!BD160</f>
        <v>0</v>
      </c>
      <c r="BE160" s="105">
        <f>'Hillpointe Detail'!BE160+'Sandhill Detail'!BE160</f>
        <v>0</v>
      </c>
      <c r="BF160" s="105">
        <f>'Hillpointe Detail'!BF160+'Sandhill Detail'!BF160</f>
        <v>0</v>
      </c>
      <c r="BG160" s="105">
        <f>'Hillpointe Detail'!BG160+'Sandhill Detail'!BG160</f>
        <v>0</v>
      </c>
      <c r="BH160" s="105">
        <f>'Hillpointe Detail'!BH160+'Sandhill Detail'!BH160</f>
        <v>0</v>
      </c>
      <c r="BI160" s="105">
        <f>'Hillpointe Detail'!BI160+'Sandhill Detail'!BI160</f>
        <v>0</v>
      </c>
      <c r="BJ160" s="105">
        <f>'Hillpointe Detail'!BJ160+'Sandhill Detail'!BJ160</f>
        <v>0</v>
      </c>
      <c r="BK160" s="105">
        <f>'Hillpointe Detail'!BK160+'Sandhill Detail'!BK160</f>
        <v>0</v>
      </c>
      <c r="BL160" s="105">
        <f>'Hillpointe Detail'!BL160+'Sandhill Detail'!BL160</f>
        <v>0</v>
      </c>
      <c r="BM160" s="105">
        <f>'Hillpointe Detail'!BM160+'Sandhill Detail'!BM160</f>
        <v>0</v>
      </c>
      <c r="BN160" s="105">
        <f>'Hillpointe Detail'!BN160+'Sandhill Detail'!BN160</f>
        <v>0</v>
      </c>
      <c r="BO160" s="105">
        <f>'Hillpointe Detail'!BO160+'Sandhill Detail'!BO160</f>
        <v>0</v>
      </c>
      <c r="BP160" s="105">
        <f>'Hillpointe Detail'!BP160+'Sandhill Detail'!BP160</f>
        <v>0</v>
      </c>
      <c r="BQ160" s="105">
        <f>'Hillpointe Detail'!BQ160+'Sandhill Detail'!BQ160</f>
        <v>0</v>
      </c>
      <c r="BR160" s="105">
        <f>'Hillpointe Detail'!BR160+'Sandhill Detail'!BR160</f>
        <v>0</v>
      </c>
      <c r="BS160" s="105">
        <f>'Hillpointe Detail'!BS160+'Sandhill Detail'!BS160</f>
        <v>0</v>
      </c>
      <c r="BT160" s="105">
        <f>'Hillpointe Detail'!BT160+'Sandhill Detail'!BT160</f>
        <v>0</v>
      </c>
      <c r="BU160" s="105">
        <f>'Hillpointe Detail'!BU160+'Sandhill Detail'!BU160</f>
        <v>0</v>
      </c>
      <c r="BV160" s="105">
        <f>'Hillpointe Detail'!BV160+'Sandhill Detail'!BV160</f>
        <v>0</v>
      </c>
      <c r="BW160" s="105">
        <f>'Hillpointe Detail'!BW160+'Sandhill Detail'!BW160</f>
        <v>0</v>
      </c>
      <c r="BX160" s="105">
        <f>'Hillpointe Detail'!BX160+'Sandhill Detail'!BX160</f>
        <v>0</v>
      </c>
      <c r="BY160" s="8"/>
      <c r="BZ160" s="105">
        <f t="shared" si="69"/>
        <v>0</v>
      </c>
      <c r="CA160" s="105">
        <f t="shared" si="70"/>
        <v>0</v>
      </c>
      <c r="CC160" s="105">
        <f t="shared" si="59"/>
        <v>0</v>
      </c>
      <c r="CD160" s="105">
        <f t="shared" ref="CD160:CJ173" si="71">SUMIF($C$3:$BY$3,CD$3,$C160:$BY160)</f>
        <v>0</v>
      </c>
      <c r="CE160" s="105">
        <f t="shared" si="71"/>
        <v>0</v>
      </c>
      <c r="CF160" s="105">
        <f t="shared" si="71"/>
        <v>0</v>
      </c>
      <c r="CG160" s="105">
        <f t="shared" si="71"/>
        <v>0</v>
      </c>
      <c r="CH160" s="105">
        <f t="shared" si="71"/>
        <v>0</v>
      </c>
      <c r="CI160" s="105">
        <f t="shared" si="71"/>
        <v>0</v>
      </c>
      <c r="CJ160" s="105">
        <f t="shared" si="71"/>
        <v>0</v>
      </c>
      <c r="CL160" s="105"/>
      <c r="CM160" s="13"/>
    </row>
    <row r="161" spans="1:91" x14ac:dyDescent="0.3">
      <c r="A161" s="84" t="s">
        <v>368</v>
      </c>
      <c r="B161" s="10" t="s">
        <v>146</v>
      </c>
      <c r="C161" s="140">
        <v>0</v>
      </c>
      <c r="D161" s="140">
        <v>0</v>
      </c>
      <c r="E161" s="141">
        <f>'Hillpointe Detail'!E161+'Sandhill Detail'!E161</f>
        <v>0</v>
      </c>
      <c r="F161" s="141">
        <f>'Hillpointe Detail'!F161+'Sandhill Detail'!F161</f>
        <v>0</v>
      </c>
      <c r="G161" s="141">
        <f>'Hillpointe Detail'!G161+'Sandhill Detail'!G161</f>
        <v>0</v>
      </c>
      <c r="H161" s="141">
        <f>'Hillpointe Detail'!H161+'Sandhill Detail'!H161</f>
        <v>0</v>
      </c>
      <c r="I161" s="141">
        <f>'Hillpointe Detail'!I161+'Sandhill Detail'!I161</f>
        <v>0</v>
      </c>
      <c r="J161" s="141">
        <f>'Hillpointe Detail'!J161+'Sandhill Detail'!J161</f>
        <v>0</v>
      </c>
      <c r="K161" s="141">
        <f>'Hillpointe Detail'!K161+'Sandhill Detail'!K161</f>
        <v>0</v>
      </c>
      <c r="L161" s="141">
        <f>'Hillpointe Detail'!L161+'Sandhill Detail'!L161</f>
        <v>0</v>
      </c>
      <c r="M161" s="141">
        <f>'Hillpointe Detail'!M161+'Sandhill Detail'!M161</f>
        <v>0</v>
      </c>
      <c r="N161" s="141">
        <f>'Hillpointe Detail'!N161+'Sandhill Detail'!N161</f>
        <v>0</v>
      </c>
      <c r="O161" s="141">
        <f>'Hillpointe Detail'!O161+'Sandhill Detail'!O161</f>
        <v>0</v>
      </c>
      <c r="P161" s="141">
        <f>'Hillpointe Detail'!P161+'Sandhill Detail'!P161</f>
        <v>49606</v>
      </c>
      <c r="Q161" s="141">
        <f>'Hillpointe Detail'!Q161+'Sandhill Detail'!Q161</f>
        <v>0</v>
      </c>
      <c r="R161" s="141">
        <f>'Hillpointe Detail'!R161+'Sandhill Detail'!R161</f>
        <v>0</v>
      </c>
      <c r="S161" s="141">
        <f>'Hillpointe Detail'!S161+'Sandhill Detail'!S161</f>
        <v>0</v>
      </c>
      <c r="T161" s="141">
        <f>'Hillpointe Detail'!T161+'Sandhill Detail'!T161</f>
        <v>0</v>
      </c>
      <c r="U161" s="141">
        <f>'Hillpointe Detail'!U161+'Sandhill Detail'!U161</f>
        <v>0</v>
      </c>
      <c r="V161" s="141">
        <f>'Hillpointe Detail'!V161+'Sandhill Detail'!V161</f>
        <v>0</v>
      </c>
      <c r="W161" s="141">
        <f>'Hillpointe Detail'!W161+'Sandhill Detail'!W161</f>
        <v>0</v>
      </c>
      <c r="X161" s="141">
        <f>'Hillpointe Detail'!X161+'Sandhill Detail'!X161</f>
        <v>0</v>
      </c>
      <c r="Y161" s="141">
        <f>'Hillpointe Detail'!Y161+'Sandhill Detail'!Y161</f>
        <v>0</v>
      </c>
      <c r="Z161" s="141">
        <f>'Hillpointe Detail'!Z161+'Sandhill Detail'!Z161</f>
        <v>0</v>
      </c>
      <c r="AA161" s="141">
        <f>'Hillpointe Detail'!AA161+'Sandhill Detail'!AA161</f>
        <v>0</v>
      </c>
      <c r="AB161" s="141">
        <f>'Hillpointe Detail'!AB161+'Sandhill Detail'!AB161</f>
        <v>0</v>
      </c>
      <c r="AC161" s="141">
        <f>'Hillpointe Detail'!AC161+'Sandhill Detail'!AC161</f>
        <v>0</v>
      </c>
      <c r="AD161" s="141">
        <f>'Hillpointe Detail'!AD161+'Sandhill Detail'!AD161</f>
        <v>0</v>
      </c>
      <c r="AE161" s="141">
        <f>'Hillpointe Detail'!AE161+'Sandhill Detail'!AE161</f>
        <v>0</v>
      </c>
      <c r="AF161" s="141">
        <f>'Hillpointe Detail'!AF161+'Sandhill Detail'!AF161</f>
        <v>0</v>
      </c>
      <c r="AG161" s="141">
        <f>'Hillpointe Detail'!AG161+'Sandhill Detail'!AG161</f>
        <v>0</v>
      </c>
      <c r="AH161" s="141">
        <f>'Hillpointe Detail'!AH161+'Sandhill Detail'!AH161</f>
        <v>0</v>
      </c>
      <c r="AI161" s="141">
        <f>'Hillpointe Detail'!AI161+'Sandhill Detail'!AI161</f>
        <v>0</v>
      </c>
      <c r="AJ161" s="141">
        <f>'Hillpointe Detail'!AJ161+'Sandhill Detail'!AJ161</f>
        <v>0</v>
      </c>
      <c r="AK161" s="141">
        <f>'Hillpointe Detail'!AK161+'Sandhill Detail'!AK161</f>
        <v>0</v>
      </c>
      <c r="AL161" s="141">
        <f>'Hillpointe Detail'!AL161+'Sandhill Detail'!AL161</f>
        <v>0</v>
      </c>
      <c r="AM161" s="141">
        <f>'Hillpointe Detail'!AM161+'Sandhill Detail'!AM161</f>
        <v>0</v>
      </c>
      <c r="AN161" s="141">
        <f>'Hillpointe Detail'!AN161+'Sandhill Detail'!AN161</f>
        <v>0</v>
      </c>
      <c r="AO161" s="141">
        <f>'Hillpointe Detail'!AO161+'Sandhill Detail'!AO161</f>
        <v>0</v>
      </c>
      <c r="AP161" s="141">
        <f>'Hillpointe Detail'!AP161+'Sandhill Detail'!AP161</f>
        <v>0</v>
      </c>
      <c r="AQ161" s="141">
        <f>'Hillpointe Detail'!AQ161+'Sandhill Detail'!AQ161</f>
        <v>0</v>
      </c>
      <c r="AR161" s="141">
        <f>'Hillpointe Detail'!AR161+'Sandhill Detail'!AR161</f>
        <v>0</v>
      </c>
      <c r="AS161" s="141">
        <f>'Hillpointe Detail'!AS161+'Sandhill Detail'!AS161</f>
        <v>0</v>
      </c>
      <c r="AT161" s="141">
        <f>'Hillpointe Detail'!AT161+'Sandhill Detail'!AT161</f>
        <v>0</v>
      </c>
      <c r="AU161" s="141">
        <f>'Hillpointe Detail'!AU161+'Sandhill Detail'!AU161</f>
        <v>0</v>
      </c>
      <c r="AV161" s="141">
        <f>'Hillpointe Detail'!AV161+'Sandhill Detail'!AV161</f>
        <v>0</v>
      </c>
      <c r="AW161" s="141">
        <f>'Hillpointe Detail'!AW161+'Sandhill Detail'!AW161</f>
        <v>0</v>
      </c>
      <c r="AX161" s="141">
        <f>'Hillpointe Detail'!AX161+'Sandhill Detail'!AX161</f>
        <v>0</v>
      </c>
      <c r="AY161" s="141">
        <f>'Hillpointe Detail'!AY161+'Sandhill Detail'!AY161</f>
        <v>0</v>
      </c>
      <c r="AZ161" s="141">
        <f>'Hillpointe Detail'!AZ161+'Sandhill Detail'!AZ161</f>
        <v>0</v>
      </c>
      <c r="BA161" s="141">
        <f>'Hillpointe Detail'!BA161+'Sandhill Detail'!BA161</f>
        <v>0</v>
      </c>
      <c r="BB161" s="141">
        <f>'Hillpointe Detail'!BB161+'Sandhill Detail'!BB161</f>
        <v>0</v>
      </c>
      <c r="BC161" s="141">
        <f>'Hillpointe Detail'!BC161+'Sandhill Detail'!BC161</f>
        <v>0</v>
      </c>
      <c r="BD161" s="141">
        <f>'Hillpointe Detail'!BD161+'Sandhill Detail'!BD161</f>
        <v>0</v>
      </c>
      <c r="BE161" s="141">
        <f>'Hillpointe Detail'!BE161+'Sandhill Detail'!BE161</f>
        <v>0</v>
      </c>
      <c r="BF161" s="141">
        <f>'Hillpointe Detail'!BF161+'Sandhill Detail'!BF161</f>
        <v>0</v>
      </c>
      <c r="BG161" s="141">
        <f>'Hillpointe Detail'!BG161+'Sandhill Detail'!BG161</f>
        <v>0</v>
      </c>
      <c r="BH161" s="141">
        <f>'Hillpointe Detail'!BH161+'Sandhill Detail'!BH161</f>
        <v>0</v>
      </c>
      <c r="BI161" s="141">
        <f>'Hillpointe Detail'!BI161+'Sandhill Detail'!BI161</f>
        <v>0</v>
      </c>
      <c r="BJ161" s="141">
        <f>'Hillpointe Detail'!BJ161+'Sandhill Detail'!BJ161</f>
        <v>0</v>
      </c>
      <c r="BK161" s="141">
        <f>'Hillpointe Detail'!BK161+'Sandhill Detail'!BK161</f>
        <v>0</v>
      </c>
      <c r="BL161" s="141">
        <f>'Hillpointe Detail'!BL161+'Sandhill Detail'!BL161</f>
        <v>0</v>
      </c>
      <c r="BM161" s="141">
        <f>'Hillpointe Detail'!BM161+'Sandhill Detail'!BM161</f>
        <v>0</v>
      </c>
      <c r="BN161" s="141">
        <f>'Hillpointe Detail'!BN161+'Sandhill Detail'!BN161</f>
        <v>0</v>
      </c>
      <c r="BO161" s="141">
        <f>'Hillpointe Detail'!BO161+'Sandhill Detail'!BO161</f>
        <v>0</v>
      </c>
      <c r="BP161" s="141">
        <f>'Hillpointe Detail'!BP161+'Sandhill Detail'!BP161</f>
        <v>0</v>
      </c>
      <c r="BQ161" s="141">
        <f>'Hillpointe Detail'!BQ161+'Sandhill Detail'!BQ161</f>
        <v>0</v>
      </c>
      <c r="BR161" s="141">
        <f>'Hillpointe Detail'!BR161+'Sandhill Detail'!BR161</f>
        <v>0</v>
      </c>
      <c r="BS161" s="141">
        <f>'Hillpointe Detail'!BS161+'Sandhill Detail'!BS161</f>
        <v>0</v>
      </c>
      <c r="BT161" s="141">
        <f>'Hillpointe Detail'!BT161+'Sandhill Detail'!BT161</f>
        <v>0</v>
      </c>
      <c r="BU161" s="141">
        <f>'Hillpointe Detail'!BU161+'Sandhill Detail'!BU161</f>
        <v>0</v>
      </c>
      <c r="BV161" s="141">
        <f>'Hillpointe Detail'!BV161+'Sandhill Detail'!BV161</f>
        <v>0</v>
      </c>
      <c r="BW161" s="141">
        <f>'Hillpointe Detail'!BW161+'Sandhill Detail'!BW161</f>
        <v>0</v>
      </c>
      <c r="BX161" s="141">
        <f>'Hillpointe Detail'!BX161+'Sandhill Detail'!BX161</f>
        <v>0</v>
      </c>
      <c r="BY161" s="8"/>
      <c r="BZ161" s="141">
        <f t="shared" si="69"/>
        <v>0</v>
      </c>
      <c r="CA161" s="141">
        <f t="shared" si="70"/>
        <v>0</v>
      </c>
      <c r="CC161" s="141">
        <f t="shared" si="59"/>
        <v>0</v>
      </c>
      <c r="CD161" s="141">
        <f t="shared" si="71"/>
        <v>0</v>
      </c>
      <c r="CE161" s="141">
        <f t="shared" si="71"/>
        <v>49606</v>
      </c>
      <c r="CF161" s="141">
        <f t="shared" si="71"/>
        <v>0</v>
      </c>
      <c r="CG161" s="141">
        <f t="shared" si="71"/>
        <v>0</v>
      </c>
      <c r="CH161" s="141">
        <f t="shared" si="71"/>
        <v>0</v>
      </c>
      <c r="CI161" s="141">
        <f t="shared" si="71"/>
        <v>0</v>
      </c>
      <c r="CJ161" s="141">
        <f t="shared" si="71"/>
        <v>0</v>
      </c>
      <c r="CL161" s="105"/>
      <c r="CM161" s="13"/>
    </row>
    <row r="162" spans="1:91" x14ac:dyDescent="0.3">
      <c r="A162" s="84" t="s">
        <v>369</v>
      </c>
      <c r="B162" s="10"/>
      <c r="C162" s="103">
        <f>SUM(C160:C161)</f>
        <v>0</v>
      </c>
      <c r="D162" s="103">
        <f>SUM(D160:D161)</f>
        <v>0</v>
      </c>
      <c r="E162" s="105">
        <f>'Hillpointe Detail'!E162+'Sandhill Detail'!E162</f>
        <v>0</v>
      </c>
      <c r="F162" s="105">
        <f>'Hillpointe Detail'!F162+'Sandhill Detail'!F162</f>
        <v>0</v>
      </c>
      <c r="G162" s="105">
        <f>'Hillpointe Detail'!G162+'Sandhill Detail'!G162</f>
        <v>0</v>
      </c>
      <c r="H162" s="105">
        <f>'Hillpointe Detail'!H162+'Sandhill Detail'!H162</f>
        <v>0</v>
      </c>
      <c r="I162" s="105">
        <f>'Hillpointe Detail'!I162+'Sandhill Detail'!I162</f>
        <v>0</v>
      </c>
      <c r="J162" s="105">
        <f>'Hillpointe Detail'!J162+'Sandhill Detail'!J162</f>
        <v>0</v>
      </c>
      <c r="K162" s="105">
        <f>'Hillpointe Detail'!K162+'Sandhill Detail'!K162</f>
        <v>0</v>
      </c>
      <c r="L162" s="105">
        <f>'Hillpointe Detail'!L162+'Sandhill Detail'!L162</f>
        <v>0</v>
      </c>
      <c r="M162" s="105">
        <f>'Hillpointe Detail'!M162+'Sandhill Detail'!M162</f>
        <v>0</v>
      </c>
      <c r="N162" s="105">
        <f>'Hillpointe Detail'!N162+'Sandhill Detail'!N162</f>
        <v>0</v>
      </c>
      <c r="O162" s="105">
        <f>'Hillpointe Detail'!O162+'Sandhill Detail'!O162</f>
        <v>0</v>
      </c>
      <c r="P162" s="105">
        <f>'Hillpointe Detail'!P162+'Sandhill Detail'!P162</f>
        <v>49606</v>
      </c>
      <c r="Q162" s="105">
        <f>'Hillpointe Detail'!Q162+'Sandhill Detail'!Q162</f>
        <v>0</v>
      </c>
      <c r="R162" s="105">
        <f>'Hillpointe Detail'!R162+'Sandhill Detail'!R162</f>
        <v>0</v>
      </c>
      <c r="S162" s="105">
        <f>'Hillpointe Detail'!S162+'Sandhill Detail'!S162</f>
        <v>0</v>
      </c>
      <c r="T162" s="105">
        <f>'Hillpointe Detail'!T162+'Sandhill Detail'!T162</f>
        <v>0</v>
      </c>
      <c r="U162" s="105">
        <f>'Hillpointe Detail'!U162+'Sandhill Detail'!U162</f>
        <v>0</v>
      </c>
      <c r="V162" s="105">
        <f>'Hillpointe Detail'!V162+'Sandhill Detail'!V162</f>
        <v>0</v>
      </c>
      <c r="W162" s="105">
        <f>'Hillpointe Detail'!W162+'Sandhill Detail'!W162</f>
        <v>0</v>
      </c>
      <c r="X162" s="105">
        <f>'Hillpointe Detail'!X162+'Sandhill Detail'!X162</f>
        <v>0</v>
      </c>
      <c r="Y162" s="105">
        <f>'Hillpointe Detail'!Y162+'Sandhill Detail'!Y162</f>
        <v>0</v>
      </c>
      <c r="Z162" s="105">
        <f>'Hillpointe Detail'!Z162+'Sandhill Detail'!Z162</f>
        <v>0</v>
      </c>
      <c r="AA162" s="105">
        <f>'Hillpointe Detail'!AA162+'Sandhill Detail'!AA162</f>
        <v>0</v>
      </c>
      <c r="AB162" s="105">
        <f>'Hillpointe Detail'!AB162+'Sandhill Detail'!AB162</f>
        <v>0</v>
      </c>
      <c r="AC162" s="105">
        <f>'Hillpointe Detail'!AC162+'Sandhill Detail'!AC162</f>
        <v>0</v>
      </c>
      <c r="AD162" s="105">
        <f>'Hillpointe Detail'!AD162+'Sandhill Detail'!AD162</f>
        <v>0</v>
      </c>
      <c r="AE162" s="105">
        <f>'Hillpointe Detail'!AE162+'Sandhill Detail'!AE162</f>
        <v>0</v>
      </c>
      <c r="AF162" s="105">
        <f>'Hillpointe Detail'!AF162+'Sandhill Detail'!AF162</f>
        <v>0</v>
      </c>
      <c r="AG162" s="105">
        <f>'Hillpointe Detail'!AG162+'Sandhill Detail'!AG162</f>
        <v>0</v>
      </c>
      <c r="AH162" s="105">
        <f>'Hillpointe Detail'!AH162+'Sandhill Detail'!AH162</f>
        <v>0</v>
      </c>
      <c r="AI162" s="105">
        <f>'Hillpointe Detail'!AI162+'Sandhill Detail'!AI162</f>
        <v>0</v>
      </c>
      <c r="AJ162" s="105">
        <f>'Hillpointe Detail'!AJ162+'Sandhill Detail'!AJ162</f>
        <v>0</v>
      </c>
      <c r="AK162" s="105">
        <f>'Hillpointe Detail'!AK162+'Sandhill Detail'!AK162</f>
        <v>0</v>
      </c>
      <c r="AL162" s="105">
        <f>'Hillpointe Detail'!AL162+'Sandhill Detail'!AL162</f>
        <v>0</v>
      </c>
      <c r="AM162" s="105">
        <f>'Hillpointe Detail'!AM162+'Sandhill Detail'!AM162</f>
        <v>0</v>
      </c>
      <c r="AN162" s="105">
        <f>'Hillpointe Detail'!AN162+'Sandhill Detail'!AN162</f>
        <v>0</v>
      </c>
      <c r="AO162" s="105">
        <f>'Hillpointe Detail'!AO162+'Sandhill Detail'!AO162</f>
        <v>0</v>
      </c>
      <c r="AP162" s="105">
        <f>'Hillpointe Detail'!AP162+'Sandhill Detail'!AP162</f>
        <v>0</v>
      </c>
      <c r="AQ162" s="105">
        <f>'Hillpointe Detail'!AQ162+'Sandhill Detail'!AQ162</f>
        <v>0</v>
      </c>
      <c r="AR162" s="105">
        <f>'Hillpointe Detail'!AR162+'Sandhill Detail'!AR162</f>
        <v>0</v>
      </c>
      <c r="AS162" s="105">
        <f>'Hillpointe Detail'!AS162+'Sandhill Detail'!AS162</f>
        <v>0</v>
      </c>
      <c r="AT162" s="105">
        <f>'Hillpointe Detail'!AT162+'Sandhill Detail'!AT162</f>
        <v>0</v>
      </c>
      <c r="AU162" s="105">
        <f>'Hillpointe Detail'!AU162+'Sandhill Detail'!AU162</f>
        <v>0</v>
      </c>
      <c r="AV162" s="105">
        <f>'Hillpointe Detail'!AV162+'Sandhill Detail'!AV162</f>
        <v>0</v>
      </c>
      <c r="AW162" s="105">
        <f>'Hillpointe Detail'!AW162+'Sandhill Detail'!AW162</f>
        <v>0</v>
      </c>
      <c r="AX162" s="105">
        <f>'Hillpointe Detail'!AX162+'Sandhill Detail'!AX162</f>
        <v>0</v>
      </c>
      <c r="AY162" s="105">
        <f>'Hillpointe Detail'!AY162+'Sandhill Detail'!AY162</f>
        <v>0</v>
      </c>
      <c r="AZ162" s="105">
        <f>'Hillpointe Detail'!AZ162+'Sandhill Detail'!AZ162</f>
        <v>0</v>
      </c>
      <c r="BA162" s="105">
        <f>'Hillpointe Detail'!BA162+'Sandhill Detail'!BA162</f>
        <v>0</v>
      </c>
      <c r="BB162" s="105">
        <f>'Hillpointe Detail'!BB162+'Sandhill Detail'!BB162</f>
        <v>0</v>
      </c>
      <c r="BC162" s="105">
        <f>'Hillpointe Detail'!BC162+'Sandhill Detail'!BC162</f>
        <v>0</v>
      </c>
      <c r="BD162" s="105">
        <f>'Hillpointe Detail'!BD162+'Sandhill Detail'!BD162</f>
        <v>0</v>
      </c>
      <c r="BE162" s="105">
        <f>'Hillpointe Detail'!BE162+'Sandhill Detail'!BE162</f>
        <v>0</v>
      </c>
      <c r="BF162" s="105">
        <f>'Hillpointe Detail'!BF162+'Sandhill Detail'!BF162</f>
        <v>0</v>
      </c>
      <c r="BG162" s="105">
        <f>'Hillpointe Detail'!BG162+'Sandhill Detail'!BG162</f>
        <v>0</v>
      </c>
      <c r="BH162" s="105">
        <f>'Hillpointe Detail'!BH162+'Sandhill Detail'!BH162</f>
        <v>0</v>
      </c>
      <c r="BI162" s="105">
        <f>'Hillpointe Detail'!BI162+'Sandhill Detail'!BI162</f>
        <v>0</v>
      </c>
      <c r="BJ162" s="105">
        <f>'Hillpointe Detail'!BJ162+'Sandhill Detail'!BJ162</f>
        <v>0</v>
      </c>
      <c r="BK162" s="105">
        <f>'Hillpointe Detail'!BK162+'Sandhill Detail'!BK162</f>
        <v>0</v>
      </c>
      <c r="BL162" s="105">
        <f>'Hillpointe Detail'!BL162+'Sandhill Detail'!BL162</f>
        <v>0</v>
      </c>
      <c r="BM162" s="105">
        <f>'Hillpointe Detail'!BM162+'Sandhill Detail'!BM162</f>
        <v>0</v>
      </c>
      <c r="BN162" s="105">
        <f>'Hillpointe Detail'!BN162+'Sandhill Detail'!BN162</f>
        <v>0</v>
      </c>
      <c r="BO162" s="105">
        <f>'Hillpointe Detail'!BO162+'Sandhill Detail'!BO162</f>
        <v>0</v>
      </c>
      <c r="BP162" s="105">
        <f>'Hillpointe Detail'!BP162+'Sandhill Detail'!BP162</f>
        <v>0</v>
      </c>
      <c r="BQ162" s="105">
        <f>'Hillpointe Detail'!BQ162+'Sandhill Detail'!BQ162</f>
        <v>0</v>
      </c>
      <c r="BR162" s="105">
        <f>'Hillpointe Detail'!BR162+'Sandhill Detail'!BR162</f>
        <v>0</v>
      </c>
      <c r="BS162" s="105">
        <f>'Hillpointe Detail'!BS162+'Sandhill Detail'!BS162</f>
        <v>0</v>
      </c>
      <c r="BT162" s="105">
        <f>'Hillpointe Detail'!BT162+'Sandhill Detail'!BT162</f>
        <v>0</v>
      </c>
      <c r="BU162" s="105">
        <f>'Hillpointe Detail'!BU162+'Sandhill Detail'!BU162</f>
        <v>0</v>
      </c>
      <c r="BV162" s="105">
        <f>'Hillpointe Detail'!BV162+'Sandhill Detail'!BV162</f>
        <v>0</v>
      </c>
      <c r="BW162" s="105">
        <f>'Hillpointe Detail'!BW162+'Sandhill Detail'!BW162</f>
        <v>0</v>
      </c>
      <c r="BX162" s="105">
        <f>'Hillpointe Detail'!BX162+'Sandhill Detail'!BX162</f>
        <v>0</v>
      </c>
      <c r="BY162" s="8"/>
      <c r="BZ162" s="105">
        <f t="shared" si="69"/>
        <v>0</v>
      </c>
      <c r="CA162" s="105">
        <f t="shared" si="70"/>
        <v>0</v>
      </c>
      <c r="CC162" s="105">
        <f t="shared" si="59"/>
        <v>0</v>
      </c>
      <c r="CD162" s="105">
        <f t="shared" si="71"/>
        <v>0</v>
      </c>
      <c r="CE162" s="105">
        <f t="shared" si="71"/>
        <v>49606</v>
      </c>
      <c r="CF162" s="105">
        <f t="shared" si="71"/>
        <v>0</v>
      </c>
      <c r="CG162" s="105">
        <f t="shared" si="71"/>
        <v>0</v>
      </c>
      <c r="CH162" s="105">
        <f t="shared" si="71"/>
        <v>0</v>
      </c>
      <c r="CI162" s="105">
        <f t="shared" si="71"/>
        <v>0</v>
      </c>
      <c r="CJ162" s="105">
        <f t="shared" si="71"/>
        <v>0</v>
      </c>
      <c r="CL162" s="105"/>
      <c r="CM162" s="13"/>
    </row>
    <row r="163" spans="1:91" x14ac:dyDescent="0.3">
      <c r="A163" s="84" t="s">
        <v>115</v>
      </c>
      <c r="B163" s="10" t="s">
        <v>135</v>
      </c>
      <c r="C163" s="103">
        <v>144000</v>
      </c>
      <c r="D163" s="103">
        <v>0</v>
      </c>
      <c r="E163" s="105">
        <f>'Hillpointe Detail'!E163+'Sandhill Detail'!E163</f>
        <v>0</v>
      </c>
      <c r="F163" s="105">
        <f>'Hillpointe Detail'!F163+'Sandhill Detail'!F163</f>
        <v>0</v>
      </c>
      <c r="G163" s="105">
        <f>'Hillpointe Detail'!G163+'Sandhill Detail'!G163</f>
        <v>0</v>
      </c>
      <c r="H163" s="105">
        <f>'Hillpointe Detail'!H163+'Sandhill Detail'!H163</f>
        <v>0</v>
      </c>
      <c r="I163" s="105">
        <f>'Hillpointe Detail'!I163+'Sandhill Detail'!I163</f>
        <v>0</v>
      </c>
      <c r="J163" s="105">
        <f>'Hillpointe Detail'!J163+'Sandhill Detail'!J163</f>
        <v>-15000</v>
      </c>
      <c r="K163" s="105">
        <f>'Hillpointe Detail'!K163+'Sandhill Detail'!K163</f>
        <v>0</v>
      </c>
      <c r="L163" s="105">
        <f>'Hillpointe Detail'!L163+'Sandhill Detail'!L163</f>
        <v>0</v>
      </c>
      <c r="M163" s="105">
        <f>'Hillpointe Detail'!M163+'Sandhill Detail'!M163</f>
        <v>0</v>
      </c>
      <c r="N163" s="105">
        <f>'Hillpointe Detail'!N163+'Sandhill Detail'!N163</f>
        <v>0</v>
      </c>
      <c r="O163" s="105">
        <f>'Hillpointe Detail'!O163+'Sandhill Detail'!O163</f>
        <v>0</v>
      </c>
      <c r="P163" s="105">
        <f>'Hillpointe Detail'!P163+'Sandhill Detail'!P163</f>
        <v>0</v>
      </c>
      <c r="Q163" s="105">
        <f>'Hillpointe Detail'!Q163+'Sandhill Detail'!Q163</f>
        <v>0</v>
      </c>
      <c r="R163" s="105">
        <f>'Hillpointe Detail'!R163+'Sandhill Detail'!R163</f>
        <v>0</v>
      </c>
      <c r="S163" s="105">
        <f>'Hillpointe Detail'!S163+'Sandhill Detail'!S163</f>
        <v>0</v>
      </c>
      <c r="T163" s="105">
        <f>'Hillpointe Detail'!T163+'Sandhill Detail'!T163</f>
        <v>0</v>
      </c>
      <c r="U163" s="105">
        <f>'Hillpointe Detail'!U163+'Sandhill Detail'!U163</f>
        <v>0</v>
      </c>
      <c r="V163" s="105">
        <f>'Hillpointe Detail'!V163+'Sandhill Detail'!V163</f>
        <v>0</v>
      </c>
      <c r="W163" s="105">
        <f>'Hillpointe Detail'!W163+'Sandhill Detail'!W163</f>
        <v>0</v>
      </c>
      <c r="X163" s="105">
        <f>'Hillpointe Detail'!X163+'Sandhill Detail'!X163</f>
        <v>0</v>
      </c>
      <c r="Y163" s="105">
        <f>'Hillpointe Detail'!Y163+'Sandhill Detail'!Y163</f>
        <v>0</v>
      </c>
      <c r="Z163" s="105">
        <f>'Hillpointe Detail'!Z163+'Sandhill Detail'!Z163</f>
        <v>0</v>
      </c>
      <c r="AA163" s="105">
        <f>'Hillpointe Detail'!AA163+'Sandhill Detail'!AA163</f>
        <v>0</v>
      </c>
      <c r="AB163" s="105">
        <f>'Hillpointe Detail'!AB163+'Sandhill Detail'!AB163</f>
        <v>0</v>
      </c>
      <c r="AC163" s="105">
        <f>'Hillpointe Detail'!AC163+'Sandhill Detail'!AC163</f>
        <v>0</v>
      </c>
      <c r="AD163" s="105">
        <f>'Hillpointe Detail'!AD163+'Sandhill Detail'!AD163</f>
        <v>0</v>
      </c>
      <c r="AE163" s="105">
        <f>'Hillpointe Detail'!AE163+'Sandhill Detail'!AE163</f>
        <v>0</v>
      </c>
      <c r="AF163" s="105">
        <f>'Hillpointe Detail'!AF163+'Sandhill Detail'!AF163</f>
        <v>0</v>
      </c>
      <c r="AG163" s="105">
        <f>'Hillpointe Detail'!AG163+'Sandhill Detail'!AG163</f>
        <v>0</v>
      </c>
      <c r="AH163" s="105">
        <f>'Hillpointe Detail'!AH163+'Sandhill Detail'!AH163</f>
        <v>0</v>
      </c>
      <c r="AI163" s="105">
        <f>'Hillpointe Detail'!AI163+'Sandhill Detail'!AI163</f>
        <v>0</v>
      </c>
      <c r="AJ163" s="105">
        <f>'Hillpointe Detail'!AJ163+'Sandhill Detail'!AJ163</f>
        <v>0</v>
      </c>
      <c r="AK163" s="105">
        <f>'Hillpointe Detail'!AK163+'Sandhill Detail'!AK163</f>
        <v>0</v>
      </c>
      <c r="AL163" s="105">
        <f>'Hillpointe Detail'!AL163+'Sandhill Detail'!AL163</f>
        <v>0</v>
      </c>
      <c r="AM163" s="105">
        <f>'Hillpointe Detail'!AM163+'Sandhill Detail'!AM163</f>
        <v>0</v>
      </c>
      <c r="AN163" s="105">
        <f>'Hillpointe Detail'!AN163+'Sandhill Detail'!AN163</f>
        <v>0</v>
      </c>
      <c r="AO163" s="105">
        <f>'Hillpointe Detail'!AO163+'Sandhill Detail'!AO163</f>
        <v>0</v>
      </c>
      <c r="AP163" s="105">
        <f>'Hillpointe Detail'!AP163+'Sandhill Detail'!AP163</f>
        <v>0</v>
      </c>
      <c r="AQ163" s="105">
        <f>'Hillpointe Detail'!AQ163+'Sandhill Detail'!AQ163</f>
        <v>0</v>
      </c>
      <c r="AR163" s="105">
        <f>'Hillpointe Detail'!AR163+'Sandhill Detail'!AR163</f>
        <v>0</v>
      </c>
      <c r="AS163" s="105">
        <f>'Hillpointe Detail'!AS163+'Sandhill Detail'!AS163</f>
        <v>0</v>
      </c>
      <c r="AT163" s="105">
        <f>'Hillpointe Detail'!AT163+'Sandhill Detail'!AT163</f>
        <v>0</v>
      </c>
      <c r="AU163" s="105">
        <f>'Hillpointe Detail'!AU163+'Sandhill Detail'!AU163</f>
        <v>0</v>
      </c>
      <c r="AV163" s="105">
        <f>'Hillpointe Detail'!AV163+'Sandhill Detail'!AV163</f>
        <v>0</v>
      </c>
      <c r="AW163" s="105">
        <f>'Hillpointe Detail'!AW163+'Sandhill Detail'!AW163</f>
        <v>0</v>
      </c>
      <c r="AX163" s="105">
        <f>'Hillpointe Detail'!AX163+'Sandhill Detail'!AX163</f>
        <v>0</v>
      </c>
      <c r="AY163" s="105">
        <f>'Hillpointe Detail'!AY163+'Sandhill Detail'!AY163</f>
        <v>0</v>
      </c>
      <c r="AZ163" s="105">
        <f>'Hillpointe Detail'!AZ163+'Sandhill Detail'!AZ163</f>
        <v>0</v>
      </c>
      <c r="BA163" s="105">
        <f>'Hillpointe Detail'!BA163+'Sandhill Detail'!BA163</f>
        <v>0</v>
      </c>
      <c r="BB163" s="105">
        <f>'Hillpointe Detail'!BB163+'Sandhill Detail'!BB163</f>
        <v>0</v>
      </c>
      <c r="BC163" s="105">
        <f>'Hillpointe Detail'!BC163+'Sandhill Detail'!BC163</f>
        <v>0</v>
      </c>
      <c r="BD163" s="105">
        <f>'Hillpointe Detail'!BD163+'Sandhill Detail'!BD163</f>
        <v>0</v>
      </c>
      <c r="BE163" s="105">
        <f>'Hillpointe Detail'!BE163+'Sandhill Detail'!BE163</f>
        <v>0</v>
      </c>
      <c r="BF163" s="105">
        <f>'Hillpointe Detail'!BF163+'Sandhill Detail'!BF163</f>
        <v>0</v>
      </c>
      <c r="BG163" s="105">
        <f>'Hillpointe Detail'!BG163+'Sandhill Detail'!BG163</f>
        <v>0</v>
      </c>
      <c r="BH163" s="105">
        <f>'Hillpointe Detail'!BH163+'Sandhill Detail'!BH163</f>
        <v>0</v>
      </c>
      <c r="BI163" s="105">
        <f>'Hillpointe Detail'!BI163+'Sandhill Detail'!BI163</f>
        <v>0</v>
      </c>
      <c r="BJ163" s="105">
        <f>'Hillpointe Detail'!BJ163+'Sandhill Detail'!BJ163</f>
        <v>0</v>
      </c>
      <c r="BK163" s="105">
        <f>'Hillpointe Detail'!BK163+'Sandhill Detail'!BK163</f>
        <v>0</v>
      </c>
      <c r="BL163" s="105">
        <f>'Hillpointe Detail'!BL163+'Sandhill Detail'!BL163</f>
        <v>0</v>
      </c>
      <c r="BM163" s="105">
        <f>'Hillpointe Detail'!BM163+'Sandhill Detail'!BM163</f>
        <v>0</v>
      </c>
      <c r="BN163" s="105">
        <f>'Hillpointe Detail'!BN163+'Sandhill Detail'!BN163</f>
        <v>0</v>
      </c>
      <c r="BO163" s="105">
        <f>'Hillpointe Detail'!BO163+'Sandhill Detail'!BO163</f>
        <v>0</v>
      </c>
      <c r="BP163" s="105">
        <f>'Hillpointe Detail'!BP163+'Sandhill Detail'!BP163</f>
        <v>0</v>
      </c>
      <c r="BQ163" s="105">
        <f>'Hillpointe Detail'!BQ163+'Sandhill Detail'!BQ163</f>
        <v>0</v>
      </c>
      <c r="BR163" s="105">
        <f>'Hillpointe Detail'!BR163+'Sandhill Detail'!BR163</f>
        <v>0</v>
      </c>
      <c r="BS163" s="105">
        <f>'Hillpointe Detail'!BS163+'Sandhill Detail'!BS163</f>
        <v>0</v>
      </c>
      <c r="BT163" s="105">
        <f>'Hillpointe Detail'!BT163+'Sandhill Detail'!BT163</f>
        <v>0</v>
      </c>
      <c r="BU163" s="105">
        <f>'Hillpointe Detail'!BU163+'Sandhill Detail'!BU163</f>
        <v>0</v>
      </c>
      <c r="BV163" s="105">
        <f>'Hillpointe Detail'!BV163+'Sandhill Detail'!BV163</f>
        <v>0</v>
      </c>
      <c r="BW163" s="105">
        <f>'Hillpointe Detail'!BW163+'Sandhill Detail'!BW163</f>
        <v>0</v>
      </c>
      <c r="BX163" s="105">
        <f>'Hillpointe Detail'!BX163+'Sandhill Detail'!BX163</f>
        <v>0</v>
      </c>
      <c r="BY163" s="8"/>
      <c r="BZ163" s="105">
        <f t="shared" si="69"/>
        <v>0</v>
      </c>
      <c r="CA163" s="105">
        <f t="shared" si="70"/>
        <v>0</v>
      </c>
      <c r="CC163" s="105">
        <f t="shared" si="59"/>
        <v>144000</v>
      </c>
      <c r="CD163" s="105">
        <f t="shared" si="71"/>
        <v>0</v>
      </c>
      <c r="CE163" s="105">
        <f t="shared" si="71"/>
        <v>-15000</v>
      </c>
      <c r="CF163" s="105">
        <f t="shared" si="71"/>
        <v>0</v>
      </c>
      <c r="CG163" s="105">
        <f t="shared" si="71"/>
        <v>0</v>
      </c>
      <c r="CH163" s="105">
        <f t="shared" si="71"/>
        <v>0</v>
      </c>
      <c r="CI163" s="105">
        <f t="shared" si="71"/>
        <v>0</v>
      </c>
      <c r="CJ163" s="105">
        <f t="shared" si="71"/>
        <v>0</v>
      </c>
      <c r="CL163" s="105"/>
      <c r="CM163" s="13"/>
    </row>
    <row r="164" spans="1:91" x14ac:dyDescent="0.3">
      <c r="A164" s="84" t="s">
        <v>330</v>
      </c>
      <c r="B164" s="10" t="s">
        <v>141</v>
      </c>
      <c r="C164" s="103">
        <v>0</v>
      </c>
      <c r="D164" s="103">
        <v>0</v>
      </c>
      <c r="E164" s="105">
        <f>'Hillpointe Detail'!E164+'Sandhill Detail'!E164</f>
        <v>0</v>
      </c>
      <c r="F164" s="105">
        <f>'Hillpointe Detail'!F164+'Sandhill Detail'!F164</f>
        <v>0</v>
      </c>
      <c r="G164" s="105">
        <f>'Hillpointe Detail'!G164+'Sandhill Detail'!G164</f>
        <v>0</v>
      </c>
      <c r="H164" s="105">
        <f>'Hillpointe Detail'!H164+'Sandhill Detail'!H164</f>
        <v>0</v>
      </c>
      <c r="I164" s="105">
        <f>'Hillpointe Detail'!I164+'Sandhill Detail'!I164</f>
        <v>0</v>
      </c>
      <c r="J164" s="105">
        <f>'Hillpointe Detail'!J164+'Sandhill Detail'!J164</f>
        <v>0</v>
      </c>
      <c r="K164" s="105">
        <f>'Hillpointe Detail'!K164+'Sandhill Detail'!K164</f>
        <v>0</v>
      </c>
      <c r="L164" s="105">
        <f>'Hillpointe Detail'!L164+'Sandhill Detail'!L164</f>
        <v>0</v>
      </c>
      <c r="M164" s="105">
        <f>'Hillpointe Detail'!M164+'Sandhill Detail'!M164</f>
        <v>0</v>
      </c>
      <c r="N164" s="105">
        <f>'Hillpointe Detail'!N164+'Sandhill Detail'!N164</f>
        <v>0</v>
      </c>
      <c r="O164" s="105">
        <f>'Hillpointe Detail'!O164+'Sandhill Detail'!O164</f>
        <v>588.69000000000005</v>
      </c>
      <c r="P164" s="105">
        <f>'Hillpointe Detail'!P164+'Sandhill Detail'!P164</f>
        <v>0</v>
      </c>
      <c r="Q164" s="105">
        <f>'Hillpointe Detail'!Q164+'Sandhill Detail'!Q164</f>
        <v>0</v>
      </c>
      <c r="R164" s="105">
        <f>'Hillpointe Detail'!R164+'Sandhill Detail'!R164</f>
        <v>472.42</v>
      </c>
      <c r="S164" s="105">
        <f>'Hillpointe Detail'!S164+'Sandhill Detail'!S164</f>
        <v>0</v>
      </c>
      <c r="T164" s="105">
        <f>'Hillpointe Detail'!T164+'Sandhill Detail'!T164</f>
        <v>0</v>
      </c>
      <c r="U164" s="105">
        <f>'Hillpointe Detail'!U164+'Sandhill Detail'!U164</f>
        <v>-16</v>
      </c>
      <c r="V164" s="105">
        <f>'Hillpointe Detail'!V164+'Sandhill Detail'!V164</f>
        <v>0</v>
      </c>
      <c r="W164" s="105">
        <f>'Hillpointe Detail'!W164+'Sandhill Detail'!W164</f>
        <v>0</v>
      </c>
      <c r="X164" s="105">
        <f>'Hillpointe Detail'!X164+'Sandhill Detail'!X164</f>
        <v>0</v>
      </c>
      <c r="Y164" s="105">
        <f>'Hillpointe Detail'!Y164+'Sandhill Detail'!Y164</f>
        <v>0</v>
      </c>
      <c r="Z164" s="105">
        <f>'Hillpointe Detail'!Z164+'Sandhill Detail'!Z164</f>
        <v>70.399999999999991</v>
      </c>
      <c r="AA164" s="105">
        <f>'Hillpointe Detail'!AA164+'Sandhill Detail'!AA164</f>
        <v>50</v>
      </c>
      <c r="AB164" s="105">
        <f>'Hillpointe Detail'!AB164+'Sandhill Detail'!AB164</f>
        <v>0</v>
      </c>
      <c r="AC164" s="105">
        <f>'Hillpointe Detail'!AC164+'Sandhill Detail'!AC164</f>
        <v>0</v>
      </c>
      <c r="AD164" s="105">
        <f>'Hillpointe Detail'!AD164+'Sandhill Detail'!AD164</f>
        <v>0</v>
      </c>
      <c r="AE164" s="105">
        <f>'Hillpointe Detail'!AE164+'Sandhill Detail'!AE164</f>
        <v>0</v>
      </c>
      <c r="AF164" s="105">
        <f>'Hillpointe Detail'!AF164+'Sandhill Detail'!AF164</f>
        <v>0</v>
      </c>
      <c r="AG164" s="105">
        <f>'Hillpointe Detail'!AG164+'Sandhill Detail'!AG164</f>
        <v>0</v>
      </c>
      <c r="AH164" s="105">
        <f>'Hillpointe Detail'!AH164+'Sandhill Detail'!AH164</f>
        <v>0</v>
      </c>
      <c r="AI164" s="105">
        <f>'Hillpointe Detail'!AI164+'Sandhill Detail'!AI164</f>
        <v>0</v>
      </c>
      <c r="AJ164" s="105">
        <f>'Hillpointe Detail'!AJ164+'Sandhill Detail'!AJ164</f>
        <v>0</v>
      </c>
      <c r="AK164" s="105">
        <f>'Hillpointe Detail'!AK164+'Sandhill Detail'!AK164</f>
        <v>0</v>
      </c>
      <c r="AL164" s="105">
        <f>'Hillpointe Detail'!AL164+'Sandhill Detail'!AL164</f>
        <v>0</v>
      </c>
      <c r="AM164" s="105">
        <f>'Hillpointe Detail'!AM164+'Sandhill Detail'!AM164</f>
        <v>0</v>
      </c>
      <c r="AN164" s="105">
        <f>'Hillpointe Detail'!AN164+'Sandhill Detail'!AN164</f>
        <v>0</v>
      </c>
      <c r="AO164" s="105">
        <f>'Hillpointe Detail'!AO164+'Sandhill Detail'!AO164</f>
        <v>0</v>
      </c>
      <c r="AP164" s="105">
        <f>'Hillpointe Detail'!AP164+'Sandhill Detail'!AP164</f>
        <v>0</v>
      </c>
      <c r="AQ164" s="105">
        <f>'Hillpointe Detail'!AQ164+'Sandhill Detail'!AQ164</f>
        <v>0</v>
      </c>
      <c r="AR164" s="105">
        <f>'Hillpointe Detail'!AR164+'Sandhill Detail'!AR164</f>
        <v>0</v>
      </c>
      <c r="AS164" s="105">
        <f>'Hillpointe Detail'!AS164+'Sandhill Detail'!AS164</f>
        <v>0</v>
      </c>
      <c r="AT164" s="105">
        <f>'Hillpointe Detail'!AT164+'Sandhill Detail'!AT164</f>
        <v>0</v>
      </c>
      <c r="AU164" s="105">
        <f>'Hillpointe Detail'!AU164+'Sandhill Detail'!AU164</f>
        <v>0</v>
      </c>
      <c r="AV164" s="105">
        <f>'Hillpointe Detail'!AV164+'Sandhill Detail'!AV164</f>
        <v>0</v>
      </c>
      <c r="AW164" s="105">
        <f>'Hillpointe Detail'!AW164+'Sandhill Detail'!AW164</f>
        <v>0</v>
      </c>
      <c r="AX164" s="105">
        <f>'Hillpointe Detail'!AX164+'Sandhill Detail'!AX164</f>
        <v>0</v>
      </c>
      <c r="AY164" s="105">
        <f>'Hillpointe Detail'!AY164+'Sandhill Detail'!AY164</f>
        <v>0</v>
      </c>
      <c r="AZ164" s="105">
        <f>'Hillpointe Detail'!AZ164+'Sandhill Detail'!AZ164</f>
        <v>0</v>
      </c>
      <c r="BA164" s="105">
        <f>'Hillpointe Detail'!BA164+'Sandhill Detail'!BA164</f>
        <v>0</v>
      </c>
      <c r="BB164" s="105">
        <f>'Hillpointe Detail'!BB164+'Sandhill Detail'!BB164</f>
        <v>0</v>
      </c>
      <c r="BC164" s="105">
        <f>'Hillpointe Detail'!BC164+'Sandhill Detail'!BC164</f>
        <v>0</v>
      </c>
      <c r="BD164" s="105">
        <f>'Hillpointe Detail'!BD164+'Sandhill Detail'!BD164</f>
        <v>0</v>
      </c>
      <c r="BE164" s="105">
        <f>'Hillpointe Detail'!BE164+'Sandhill Detail'!BE164</f>
        <v>0</v>
      </c>
      <c r="BF164" s="105">
        <f>'Hillpointe Detail'!BF164+'Sandhill Detail'!BF164</f>
        <v>0</v>
      </c>
      <c r="BG164" s="105">
        <f>'Hillpointe Detail'!BG164+'Sandhill Detail'!BG164</f>
        <v>0</v>
      </c>
      <c r="BH164" s="105">
        <f>'Hillpointe Detail'!BH164+'Sandhill Detail'!BH164</f>
        <v>0</v>
      </c>
      <c r="BI164" s="105">
        <f>'Hillpointe Detail'!BI164+'Sandhill Detail'!BI164</f>
        <v>0</v>
      </c>
      <c r="BJ164" s="105">
        <f>'Hillpointe Detail'!BJ164+'Sandhill Detail'!BJ164</f>
        <v>0</v>
      </c>
      <c r="BK164" s="105">
        <f>'Hillpointe Detail'!BK164+'Sandhill Detail'!BK164</f>
        <v>0</v>
      </c>
      <c r="BL164" s="105">
        <f>'Hillpointe Detail'!BL164+'Sandhill Detail'!BL164</f>
        <v>0</v>
      </c>
      <c r="BM164" s="105">
        <f>'Hillpointe Detail'!BM164+'Sandhill Detail'!BM164</f>
        <v>0</v>
      </c>
      <c r="BN164" s="105">
        <f>'Hillpointe Detail'!BN164+'Sandhill Detail'!BN164</f>
        <v>0</v>
      </c>
      <c r="BO164" s="105">
        <f>'Hillpointe Detail'!BO164+'Sandhill Detail'!BO164</f>
        <v>0</v>
      </c>
      <c r="BP164" s="105">
        <f>'Hillpointe Detail'!BP164+'Sandhill Detail'!BP164</f>
        <v>0</v>
      </c>
      <c r="BQ164" s="105">
        <f>'Hillpointe Detail'!BQ164+'Sandhill Detail'!BQ164</f>
        <v>0</v>
      </c>
      <c r="BR164" s="105">
        <f>'Hillpointe Detail'!BR164+'Sandhill Detail'!BR164</f>
        <v>0</v>
      </c>
      <c r="BS164" s="105">
        <f>'Hillpointe Detail'!BS164+'Sandhill Detail'!BS164</f>
        <v>0</v>
      </c>
      <c r="BT164" s="105">
        <f>'Hillpointe Detail'!BT164+'Sandhill Detail'!BT164</f>
        <v>0</v>
      </c>
      <c r="BU164" s="105">
        <f>'Hillpointe Detail'!BU164+'Sandhill Detail'!BU164</f>
        <v>0</v>
      </c>
      <c r="BV164" s="105">
        <f>'Hillpointe Detail'!BV164+'Sandhill Detail'!BV164</f>
        <v>0</v>
      </c>
      <c r="BW164" s="105">
        <f>'Hillpointe Detail'!BW164+'Sandhill Detail'!BW164</f>
        <v>0</v>
      </c>
      <c r="BX164" s="105">
        <f>'Hillpointe Detail'!BX164+'Sandhill Detail'!BX164</f>
        <v>0</v>
      </c>
      <c r="BY164" s="8"/>
      <c r="BZ164" s="105">
        <f t="shared" si="69"/>
        <v>50</v>
      </c>
      <c r="CA164" s="105">
        <f t="shared" si="70"/>
        <v>576.82000000000005</v>
      </c>
      <c r="CC164" s="105">
        <f t="shared" ref="CC164:CC173" si="72">SUMIF($C$3:$BY$3,CC$3,$C164:$BY164)</f>
        <v>0</v>
      </c>
      <c r="CD164" s="105">
        <f t="shared" si="71"/>
        <v>0</v>
      </c>
      <c r="CE164" s="105">
        <f t="shared" si="71"/>
        <v>588.69000000000005</v>
      </c>
      <c r="CF164" s="105">
        <f t="shared" si="71"/>
        <v>576.82000000000005</v>
      </c>
      <c r="CG164" s="105">
        <f t="shared" si="71"/>
        <v>0</v>
      </c>
      <c r="CH164" s="105">
        <f t="shared" si="71"/>
        <v>0</v>
      </c>
      <c r="CI164" s="105">
        <f t="shared" si="71"/>
        <v>0</v>
      </c>
      <c r="CJ164" s="105">
        <f t="shared" si="71"/>
        <v>0</v>
      </c>
      <c r="CL164" s="105"/>
      <c r="CM164" s="13"/>
    </row>
    <row r="165" spans="1:91" x14ac:dyDescent="0.3">
      <c r="A165" s="84" t="s">
        <v>331</v>
      </c>
      <c r="B165" s="10" t="s">
        <v>258</v>
      </c>
      <c r="C165" s="140">
        <v>0</v>
      </c>
      <c r="D165" s="140">
        <v>0</v>
      </c>
      <c r="E165" s="141">
        <f>'Hillpointe Detail'!E165+'Sandhill Detail'!E165</f>
        <v>0</v>
      </c>
      <c r="F165" s="141">
        <f>'Hillpointe Detail'!F165+'Sandhill Detail'!F165</f>
        <v>0</v>
      </c>
      <c r="G165" s="141">
        <f>'Hillpointe Detail'!G165+'Sandhill Detail'!G165</f>
        <v>0</v>
      </c>
      <c r="H165" s="141">
        <f>'Hillpointe Detail'!H165+'Sandhill Detail'!H165</f>
        <v>0</v>
      </c>
      <c r="I165" s="141">
        <f>'Hillpointe Detail'!I165+'Sandhill Detail'!I165</f>
        <v>0</v>
      </c>
      <c r="J165" s="141">
        <f>'Hillpointe Detail'!J165+'Sandhill Detail'!J165</f>
        <v>0</v>
      </c>
      <c r="K165" s="141">
        <f>'Hillpointe Detail'!K165+'Sandhill Detail'!K165</f>
        <v>0</v>
      </c>
      <c r="L165" s="141">
        <f>'Hillpointe Detail'!L165+'Sandhill Detail'!L165</f>
        <v>0</v>
      </c>
      <c r="M165" s="141">
        <f>'Hillpointe Detail'!M165+'Sandhill Detail'!M165</f>
        <v>0</v>
      </c>
      <c r="N165" s="141">
        <f>'Hillpointe Detail'!N165+'Sandhill Detail'!N165</f>
        <v>0</v>
      </c>
      <c r="O165" s="141">
        <f>'Hillpointe Detail'!O165+'Sandhill Detail'!O165</f>
        <v>25</v>
      </c>
      <c r="P165" s="141">
        <f>'Hillpointe Detail'!P165+'Sandhill Detail'!P165</f>
        <v>24.98</v>
      </c>
      <c r="Q165" s="141">
        <f>'Hillpointe Detail'!Q165+'Sandhill Detail'!Q165</f>
        <v>0</v>
      </c>
      <c r="R165" s="141">
        <f>'Hillpointe Detail'!R165+'Sandhill Detail'!R165</f>
        <v>0</v>
      </c>
      <c r="S165" s="141">
        <f>'Hillpointe Detail'!S165+'Sandhill Detail'!S165</f>
        <v>0</v>
      </c>
      <c r="T165" s="141">
        <f>'Hillpointe Detail'!T165+'Sandhill Detail'!T165</f>
        <v>0</v>
      </c>
      <c r="U165" s="141">
        <f>'Hillpointe Detail'!U165+'Sandhill Detail'!U165</f>
        <v>0</v>
      </c>
      <c r="V165" s="141">
        <f>'Hillpointe Detail'!V165+'Sandhill Detail'!V165</f>
        <v>0</v>
      </c>
      <c r="W165" s="141">
        <f>'Hillpointe Detail'!W165+'Sandhill Detail'!W165</f>
        <v>14</v>
      </c>
      <c r="X165" s="141">
        <f>'Hillpointe Detail'!X165+'Sandhill Detail'!X165</f>
        <v>0</v>
      </c>
      <c r="Y165" s="141">
        <f>'Hillpointe Detail'!Y165+'Sandhill Detail'!Y165</f>
        <v>25</v>
      </c>
      <c r="Z165" s="141">
        <f>'Hillpointe Detail'!Z165+'Sandhill Detail'!Z165</f>
        <v>0</v>
      </c>
      <c r="AA165" s="141">
        <f>'Hillpointe Detail'!AA165+'Sandhill Detail'!AA165</f>
        <v>0</v>
      </c>
      <c r="AB165" s="141">
        <f>'Hillpointe Detail'!AB165+'Sandhill Detail'!AB165</f>
        <v>0</v>
      </c>
      <c r="AC165" s="141">
        <f>'Hillpointe Detail'!AC165+'Sandhill Detail'!AC165</f>
        <v>0</v>
      </c>
      <c r="AD165" s="141">
        <f>'Hillpointe Detail'!AD165+'Sandhill Detail'!AD165</f>
        <v>0</v>
      </c>
      <c r="AE165" s="141">
        <f>'Hillpointe Detail'!AE165+'Sandhill Detail'!AE165</f>
        <v>0</v>
      </c>
      <c r="AF165" s="141">
        <f>'Hillpointe Detail'!AF165+'Sandhill Detail'!AF165</f>
        <v>0</v>
      </c>
      <c r="AG165" s="141">
        <f>'Hillpointe Detail'!AG165+'Sandhill Detail'!AG165</f>
        <v>0</v>
      </c>
      <c r="AH165" s="141">
        <f>'Hillpointe Detail'!AH165+'Sandhill Detail'!AH165</f>
        <v>0</v>
      </c>
      <c r="AI165" s="141">
        <f>'Hillpointe Detail'!AI165+'Sandhill Detail'!AI165</f>
        <v>0</v>
      </c>
      <c r="AJ165" s="141">
        <f>'Hillpointe Detail'!AJ165+'Sandhill Detail'!AJ165</f>
        <v>0</v>
      </c>
      <c r="AK165" s="141">
        <f>'Hillpointe Detail'!AK165+'Sandhill Detail'!AK165</f>
        <v>0</v>
      </c>
      <c r="AL165" s="141">
        <f>'Hillpointe Detail'!AL165+'Sandhill Detail'!AL165</f>
        <v>0</v>
      </c>
      <c r="AM165" s="141">
        <f>'Hillpointe Detail'!AM165+'Sandhill Detail'!AM165</f>
        <v>0</v>
      </c>
      <c r="AN165" s="141">
        <f>'Hillpointe Detail'!AN165+'Sandhill Detail'!AN165</f>
        <v>0</v>
      </c>
      <c r="AO165" s="141">
        <f>'Hillpointe Detail'!AO165+'Sandhill Detail'!AO165</f>
        <v>0</v>
      </c>
      <c r="AP165" s="141">
        <f>'Hillpointe Detail'!AP165+'Sandhill Detail'!AP165</f>
        <v>0</v>
      </c>
      <c r="AQ165" s="141">
        <f>'Hillpointe Detail'!AQ165+'Sandhill Detail'!AQ165</f>
        <v>0</v>
      </c>
      <c r="AR165" s="141">
        <f>'Hillpointe Detail'!AR165+'Sandhill Detail'!AR165</f>
        <v>0</v>
      </c>
      <c r="AS165" s="141">
        <f>'Hillpointe Detail'!AS165+'Sandhill Detail'!AS165</f>
        <v>0</v>
      </c>
      <c r="AT165" s="141">
        <f>'Hillpointe Detail'!AT165+'Sandhill Detail'!AT165</f>
        <v>0</v>
      </c>
      <c r="AU165" s="141">
        <f>'Hillpointe Detail'!AU165+'Sandhill Detail'!AU165</f>
        <v>0</v>
      </c>
      <c r="AV165" s="141">
        <f>'Hillpointe Detail'!AV165+'Sandhill Detail'!AV165</f>
        <v>0</v>
      </c>
      <c r="AW165" s="141">
        <f>'Hillpointe Detail'!AW165+'Sandhill Detail'!AW165</f>
        <v>0</v>
      </c>
      <c r="AX165" s="141">
        <f>'Hillpointe Detail'!AX165+'Sandhill Detail'!AX165</f>
        <v>0</v>
      </c>
      <c r="AY165" s="141">
        <f>'Hillpointe Detail'!AY165+'Sandhill Detail'!AY165</f>
        <v>0</v>
      </c>
      <c r="AZ165" s="141">
        <f>'Hillpointe Detail'!AZ165+'Sandhill Detail'!AZ165</f>
        <v>0</v>
      </c>
      <c r="BA165" s="141">
        <f>'Hillpointe Detail'!BA165+'Sandhill Detail'!BA165</f>
        <v>0</v>
      </c>
      <c r="BB165" s="141">
        <f>'Hillpointe Detail'!BB165+'Sandhill Detail'!BB165</f>
        <v>0</v>
      </c>
      <c r="BC165" s="141">
        <f>'Hillpointe Detail'!BC165+'Sandhill Detail'!BC165</f>
        <v>0</v>
      </c>
      <c r="BD165" s="141">
        <f>'Hillpointe Detail'!BD165+'Sandhill Detail'!BD165</f>
        <v>0</v>
      </c>
      <c r="BE165" s="141">
        <f>'Hillpointe Detail'!BE165+'Sandhill Detail'!BE165</f>
        <v>0</v>
      </c>
      <c r="BF165" s="141">
        <f>'Hillpointe Detail'!BF165+'Sandhill Detail'!BF165</f>
        <v>0</v>
      </c>
      <c r="BG165" s="141">
        <f>'Hillpointe Detail'!BG165+'Sandhill Detail'!BG165</f>
        <v>0</v>
      </c>
      <c r="BH165" s="141">
        <f>'Hillpointe Detail'!BH165+'Sandhill Detail'!BH165</f>
        <v>0</v>
      </c>
      <c r="BI165" s="141">
        <f>'Hillpointe Detail'!BI165+'Sandhill Detail'!BI165</f>
        <v>0</v>
      </c>
      <c r="BJ165" s="141">
        <f>'Hillpointe Detail'!BJ165+'Sandhill Detail'!BJ165</f>
        <v>0</v>
      </c>
      <c r="BK165" s="141">
        <f>'Hillpointe Detail'!BK165+'Sandhill Detail'!BK165</f>
        <v>0</v>
      </c>
      <c r="BL165" s="141">
        <f>'Hillpointe Detail'!BL165+'Sandhill Detail'!BL165</f>
        <v>0</v>
      </c>
      <c r="BM165" s="141">
        <f>'Hillpointe Detail'!BM165+'Sandhill Detail'!BM165</f>
        <v>0</v>
      </c>
      <c r="BN165" s="141">
        <f>'Hillpointe Detail'!BN165+'Sandhill Detail'!BN165</f>
        <v>0</v>
      </c>
      <c r="BO165" s="141">
        <f>'Hillpointe Detail'!BO165+'Sandhill Detail'!BO165</f>
        <v>0</v>
      </c>
      <c r="BP165" s="141">
        <f>'Hillpointe Detail'!BP165+'Sandhill Detail'!BP165</f>
        <v>0</v>
      </c>
      <c r="BQ165" s="141">
        <f>'Hillpointe Detail'!BQ165+'Sandhill Detail'!BQ165</f>
        <v>0</v>
      </c>
      <c r="BR165" s="141">
        <f>'Hillpointe Detail'!BR165+'Sandhill Detail'!BR165</f>
        <v>0</v>
      </c>
      <c r="BS165" s="141">
        <f>'Hillpointe Detail'!BS165+'Sandhill Detail'!BS165</f>
        <v>0</v>
      </c>
      <c r="BT165" s="141">
        <f>'Hillpointe Detail'!BT165+'Sandhill Detail'!BT165</f>
        <v>0</v>
      </c>
      <c r="BU165" s="141">
        <f>'Hillpointe Detail'!BU165+'Sandhill Detail'!BU165</f>
        <v>0</v>
      </c>
      <c r="BV165" s="141">
        <f>'Hillpointe Detail'!BV165+'Sandhill Detail'!BV165</f>
        <v>0</v>
      </c>
      <c r="BW165" s="141">
        <f>'Hillpointe Detail'!BW165+'Sandhill Detail'!BW165</f>
        <v>0</v>
      </c>
      <c r="BX165" s="141">
        <f>'Hillpointe Detail'!BX165+'Sandhill Detail'!BX165</f>
        <v>0</v>
      </c>
      <c r="BY165" s="8"/>
      <c r="BZ165" s="141">
        <f t="shared" si="69"/>
        <v>0</v>
      </c>
      <c r="CA165" s="141">
        <f t="shared" si="70"/>
        <v>39</v>
      </c>
      <c r="CC165" s="141">
        <f t="shared" si="72"/>
        <v>0</v>
      </c>
      <c r="CD165" s="141">
        <f t="shared" si="71"/>
        <v>0</v>
      </c>
      <c r="CE165" s="141">
        <f t="shared" si="71"/>
        <v>49.980000000000004</v>
      </c>
      <c r="CF165" s="141">
        <f t="shared" si="71"/>
        <v>39</v>
      </c>
      <c r="CG165" s="141">
        <f t="shared" si="71"/>
        <v>0</v>
      </c>
      <c r="CH165" s="141">
        <f t="shared" si="71"/>
        <v>0</v>
      </c>
      <c r="CI165" s="141">
        <f t="shared" si="71"/>
        <v>0</v>
      </c>
      <c r="CJ165" s="141">
        <f t="shared" si="71"/>
        <v>0</v>
      </c>
      <c r="CL165" s="105"/>
      <c r="CM165" s="13"/>
    </row>
    <row r="166" spans="1:91" x14ac:dyDescent="0.3">
      <c r="A166" s="84" t="s">
        <v>116</v>
      </c>
      <c r="B166" s="10"/>
      <c r="C166" s="18">
        <f>C163+C159+C158+C141+C164+C165</f>
        <v>3222654.2699999996</v>
      </c>
      <c r="D166" s="18">
        <f>D163+D159+D158+D141+D164+D165</f>
        <v>3165168.9400000009</v>
      </c>
      <c r="E166" s="105">
        <f>'Hillpointe Detail'!E166+'Sandhill Detail'!E166</f>
        <v>-76817.03</v>
      </c>
      <c r="F166" s="105">
        <f>'Hillpointe Detail'!F166+'Sandhill Detail'!F166</f>
        <v>228899.32</v>
      </c>
      <c r="G166" s="105">
        <f>'Hillpointe Detail'!G166+'Sandhill Detail'!G166</f>
        <v>338646.1</v>
      </c>
      <c r="H166" s="105">
        <f>'Hillpointe Detail'!H166+'Sandhill Detail'!H166</f>
        <v>300893.71000000002</v>
      </c>
      <c r="I166" s="105">
        <f>'Hillpointe Detail'!I166+'Sandhill Detail'!I166</f>
        <v>280589.95</v>
      </c>
      <c r="J166" s="105">
        <f>'Hillpointe Detail'!J166+'Sandhill Detail'!J166</f>
        <v>220048.30000000002</v>
      </c>
      <c r="K166" s="105">
        <f>'Hillpointe Detail'!K166+'Sandhill Detail'!K166</f>
        <v>271534.17</v>
      </c>
      <c r="L166" s="105">
        <f>'Hillpointe Detail'!L166+'Sandhill Detail'!L166</f>
        <v>294685.82</v>
      </c>
      <c r="M166" s="105">
        <f>'Hillpointe Detail'!M166+'Sandhill Detail'!M166</f>
        <v>300283.64999999997</v>
      </c>
      <c r="N166" s="105">
        <f>'Hillpointe Detail'!N166+'Sandhill Detail'!N166</f>
        <v>309464.17</v>
      </c>
      <c r="O166" s="105">
        <f>'Hillpointe Detail'!O166+'Sandhill Detail'!O166</f>
        <v>287932.95</v>
      </c>
      <c r="P166" s="105">
        <f>'Hillpointe Detail'!P166+'Sandhill Detail'!P166</f>
        <v>404062.18000000005</v>
      </c>
      <c r="Q166" s="105">
        <f>'Hillpointe Detail'!Q166+'Sandhill Detail'!Q166</f>
        <v>117494.29000000001</v>
      </c>
      <c r="R166" s="105">
        <f>'Hillpointe Detail'!R166+'Sandhill Detail'!R166</f>
        <v>308135.27</v>
      </c>
      <c r="S166" s="105">
        <f>'Hillpointe Detail'!S166+'Sandhill Detail'!S166</f>
        <v>413664.3</v>
      </c>
      <c r="T166" s="105">
        <f>'Hillpointe Detail'!T166+'Sandhill Detail'!T166</f>
        <v>307510.84000000003</v>
      </c>
      <c r="U166" s="105">
        <f>'Hillpointe Detail'!U166+'Sandhill Detail'!U166</f>
        <v>411556.6999999999</v>
      </c>
      <c r="V166" s="105">
        <f>'Hillpointe Detail'!V166+'Sandhill Detail'!V166</f>
        <v>302376.09000000003</v>
      </c>
      <c r="W166" s="105">
        <f>'Hillpointe Detail'!W166+'Sandhill Detail'!W166</f>
        <v>311414.06</v>
      </c>
      <c r="X166" s="105">
        <f>'Hillpointe Detail'!X166+'Sandhill Detail'!X166</f>
        <v>346486.67000000004</v>
      </c>
      <c r="Y166" s="105">
        <f>'Hillpointe Detail'!Y166+'Sandhill Detail'!Y166</f>
        <v>181554.92000000004</v>
      </c>
      <c r="Z166" s="105">
        <f>'Hillpointe Detail'!Z166+'Sandhill Detail'!Z166</f>
        <v>354304.24</v>
      </c>
      <c r="AA166" s="105">
        <f>'Hillpointe Detail'!AA166+'Sandhill Detail'!AA166</f>
        <v>343886.11</v>
      </c>
      <c r="AB166" s="105">
        <f>'Hillpointe Detail'!AB166+'Sandhill Detail'!AB166</f>
        <v>477327.71358383109</v>
      </c>
      <c r="AC166" s="105">
        <f>'Hillpointe Detail'!AC166+'Sandhill Detail'!AC166</f>
        <v>76253.483009523814</v>
      </c>
      <c r="AD166" s="105">
        <f>'Hillpointe Detail'!AD166+'Sandhill Detail'!AD166</f>
        <v>303595.09052993101</v>
      </c>
      <c r="AE166" s="105">
        <f>'Hillpointe Detail'!AE166+'Sandhill Detail'!AE166</f>
        <v>417048.23684207082</v>
      </c>
      <c r="AF166" s="105">
        <f>'Hillpointe Detail'!AF166+'Sandhill Detail'!AF166</f>
        <v>315152.93354999193</v>
      </c>
      <c r="AG166" s="105">
        <f>'Hillpointe Detail'!AG166+'Sandhill Detail'!AG166</f>
        <v>338299.41422421439</v>
      </c>
      <c r="AH166" s="105">
        <f>'Hillpointe Detail'!AH166+'Sandhill Detail'!AH166</f>
        <v>283305.04056977271</v>
      </c>
      <c r="AI166" s="105">
        <f>'Hillpointe Detail'!AI166+'Sandhill Detail'!AI166</f>
        <v>319161.72516938933</v>
      </c>
      <c r="AJ166" s="105">
        <f>'Hillpointe Detail'!AJ166+'Sandhill Detail'!AJ166</f>
        <v>294549.26040409948</v>
      </c>
      <c r="AK166" s="105">
        <f>'Hillpointe Detail'!AK166+'Sandhill Detail'!AK166</f>
        <v>318941.13923052413</v>
      </c>
      <c r="AL166" s="105">
        <f>'Hillpointe Detail'!AL166+'Sandhill Detail'!AL166</f>
        <v>292162.3873813895</v>
      </c>
      <c r="AM166" s="105">
        <f>'Hillpointe Detail'!AM166+'Sandhill Detail'!AM166</f>
        <v>309417.90931156313</v>
      </c>
      <c r="AN166" s="105">
        <f>'Hillpointe Detail'!AN166+'Sandhill Detail'!AN166</f>
        <v>490870.31053755386</v>
      </c>
      <c r="AO166" s="105">
        <f>'Hillpointe Detail'!AO166+'Sandhill Detail'!AO166</f>
        <v>97628.807645380191</v>
      </c>
      <c r="AP166" s="105">
        <f>'Hillpointe Detail'!AP166+'Sandhill Detail'!AP166</f>
        <v>350805.94860368094</v>
      </c>
      <c r="AQ166" s="105">
        <f>'Hillpointe Detail'!AQ166+'Sandhill Detail'!AQ166</f>
        <v>450199.09178278304</v>
      </c>
      <c r="AR166" s="105">
        <f>'Hillpointe Detail'!AR166+'Sandhill Detail'!AR166</f>
        <v>367013.06195148616</v>
      </c>
      <c r="AS166" s="105">
        <f>'Hillpointe Detail'!AS166+'Sandhill Detail'!AS166</f>
        <v>389404.03463711287</v>
      </c>
      <c r="AT166" s="105">
        <f>'Hillpointe Detail'!AT166+'Sandhill Detail'!AT166</f>
        <v>329038.91961982986</v>
      </c>
      <c r="AU166" s="105">
        <f>'Hillpointe Detail'!AU166+'Sandhill Detail'!AU166</f>
        <v>366523.33116777614</v>
      </c>
      <c r="AV166" s="105">
        <f>'Hillpointe Detail'!AV166+'Sandhill Detail'!AV166</f>
        <v>337261.39498860727</v>
      </c>
      <c r="AW166" s="105">
        <f>'Hillpointe Detail'!AW166+'Sandhill Detail'!AW166</f>
        <v>362342.81640788331</v>
      </c>
      <c r="AX166" s="105">
        <f>'Hillpointe Detail'!AX166+'Sandhill Detail'!AX166</f>
        <v>329818.8456238021</v>
      </c>
      <c r="AY166" s="105">
        <f>'Hillpointe Detail'!AY166+'Sandhill Detail'!AY166</f>
        <v>346756.08491488959</v>
      </c>
      <c r="AZ166" s="105">
        <f>'Hillpointe Detail'!AZ166+'Sandhill Detail'!AZ166</f>
        <v>544995.34348236804</v>
      </c>
      <c r="BA166" s="105">
        <f>'Hillpointe Detail'!BA166+'Sandhill Detail'!BA166</f>
        <v>105278.91886456456</v>
      </c>
      <c r="BB166" s="105">
        <f>'Hillpointe Detail'!BB166+'Sandhill Detail'!BB166</f>
        <v>367791.79400592478</v>
      </c>
      <c r="BC166" s="105">
        <f>'Hillpointe Detail'!BC166+'Sandhill Detail'!BC166</f>
        <v>467457.48809605825</v>
      </c>
      <c r="BD166" s="105">
        <f>'Hillpointe Detail'!BD166+'Sandhill Detail'!BD166</f>
        <v>380566.86726806371</v>
      </c>
      <c r="BE166" s="105">
        <f>'Hillpointe Detail'!BE166+'Sandhill Detail'!BE166</f>
        <v>403631.42731545068</v>
      </c>
      <c r="BF166" s="105">
        <f>'Hillpointe Detail'!BF166+'Sandhill Detail'!BF166</f>
        <v>341453.75549902569</v>
      </c>
      <c r="BG166" s="105">
        <f>'Hillpointe Detail'!BG166+'Sandhill Detail'!BG166</f>
        <v>380060.06654695602</v>
      </c>
      <c r="BH166" s="105">
        <f>'Hillpointe Detail'!BH166+'Sandhill Detail'!BH166</f>
        <v>349919.78142297379</v>
      </c>
      <c r="BI166" s="105">
        <f>'Hillpointe Detail'!BI166+'Sandhill Detail'!BI166</f>
        <v>375753.05024673289</v>
      </c>
      <c r="BJ166" s="105">
        <f>'Hillpointe Detail'!BJ166+'Sandhill Detail'!BJ166</f>
        <v>342253.27799926262</v>
      </c>
      <c r="BK166" s="105">
        <f>'Hillpointe Detail'!BK166+'Sandhill Detail'!BK166</f>
        <v>359698.35076282284</v>
      </c>
      <c r="BL166" s="105">
        <f>'Hillpointe Detail'!BL166+'Sandhill Detail'!BL166</f>
        <v>567590.28851398942</v>
      </c>
      <c r="BM166" s="105">
        <f>'Hillpointe Detail'!BM166+'Sandhill Detail'!BM166</f>
        <v>107269.67873550148</v>
      </c>
      <c r="BN166" s="105">
        <f>'Hillpointe Detail'!BN166+'Sandhill Detail'!BN166</f>
        <v>377657.15134703589</v>
      </c>
      <c r="BO166" s="105">
        <f>'Hillpointe Detail'!BO166+'Sandhill Detail'!BO166</f>
        <v>479562.30001764913</v>
      </c>
      <c r="BP166" s="105">
        <f>'Hillpointe Detail'!BP166+'Sandhill Detail'!BP166</f>
        <v>390814.44000948966</v>
      </c>
      <c r="BQ166" s="105">
        <f>'Hillpointe Detail'!BQ166+'Sandhill Detail'!BQ166</f>
        <v>414570.4260095217</v>
      </c>
      <c r="BR166" s="105">
        <f>'Hillpointe Detail'!BR166+'Sandhill Detail'!BR166</f>
        <v>350526.84881593863</v>
      </c>
      <c r="BS166" s="105">
        <f>'Hillpointe Detail'!BS166+'Sandhill Detail'!BS166</f>
        <v>390290.73141720676</v>
      </c>
      <c r="BT166" s="105">
        <f>'Hillpointe Detail'!BT166+'Sandhill Detail'!BT166</f>
        <v>359245.56768623274</v>
      </c>
      <c r="BU166" s="105">
        <f>'Hillpointe Detail'!BU166+'Sandhill Detail'!BU166</f>
        <v>385853.23933660926</v>
      </c>
      <c r="BV166" s="105">
        <f>'Hillpointe Detail'!BV166+'Sandhill Detail'!BV166</f>
        <v>351347.90164479217</v>
      </c>
      <c r="BW166" s="105">
        <f>'Hillpointe Detail'!BW166+'Sandhill Detail'!BW166</f>
        <v>369315.7463093797</v>
      </c>
      <c r="BX166" s="105">
        <f>'Hillpointe Detail'!BX166+'Sandhill Detail'!BX166</f>
        <v>583443.86490231194</v>
      </c>
      <c r="BY166" s="8"/>
      <c r="BZ166" s="105">
        <f t="shared" si="69"/>
        <v>343886.11</v>
      </c>
      <c r="CA166" s="105">
        <f t="shared" si="70"/>
        <v>3398383.4899999998</v>
      </c>
      <c r="CC166" s="105">
        <f t="shared" si="72"/>
        <v>3222654.2699999996</v>
      </c>
      <c r="CD166" s="105">
        <f t="shared" si="71"/>
        <v>3165168.9400000009</v>
      </c>
      <c r="CE166" s="105">
        <f t="shared" si="71"/>
        <v>3160223.2900000005</v>
      </c>
      <c r="CF166" s="105">
        <f t="shared" si="71"/>
        <v>3875711.203583831</v>
      </c>
      <c r="CG166" s="105">
        <f t="shared" si="71"/>
        <v>3758756.9307600241</v>
      </c>
      <c r="CH166" s="105">
        <f t="shared" si="71"/>
        <v>4271787.6808255985</v>
      </c>
      <c r="CI166" s="105">
        <f t="shared" si="71"/>
        <v>4441455.0665418254</v>
      </c>
      <c r="CJ166" s="105">
        <f t="shared" si="71"/>
        <v>4559897.8962316681</v>
      </c>
      <c r="CL166" s="105"/>
      <c r="CM166" s="13"/>
    </row>
    <row r="167" spans="1:91" x14ac:dyDescent="0.3">
      <c r="A167" s="84" t="s">
        <v>117</v>
      </c>
      <c r="B167" s="10"/>
      <c r="C167" s="142">
        <f>C53-C166</f>
        <v>-368134.56999999937</v>
      </c>
      <c r="D167" s="142">
        <f>D53-D166</f>
        <v>-29425.170000000857</v>
      </c>
      <c r="E167" s="143">
        <f>'Hillpointe Detail'!E167+'Sandhill Detail'!E167</f>
        <v>512568.47000000003</v>
      </c>
      <c r="F167" s="143">
        <f>'Hillpointe Detail'!F167+'Sandhill Detail'!F167</f>
        <v>274638.63999999996</v>
      </c>
      <c r="G167" s="143">
        <f>'Hillpointe Detail'!G167+'Sandhill Detail'!G167</f>
        <v>-96935.879999999961</v>
      </c>
      <c r="H167" s="143">
        <f>'Hillpointe Detail'!H167+'Sandhill Detail'!H167</f>
        <v>337801.8</v>
      </c>
      <c r="I167" s="143">
        <f>'Hillpointe Detail'!I167+'Sandhill Detail'!I167</f>
        <v>-259198.16</v>
      </c>
      <c r="J167" s="143">
        <f>'Hillpointe Detail'!J167+'Sandhill Detail'!J167</f>
        <v>317500.71000000002</v>
      </c>
      <c r="K167" s="143">
        <f>'Hillpointe Detail'!K167+'Sandhill Detail'!K167</f>
        <v>-269389.24</v>
      </c>
      <c r="L167" s="143">
        <f>'Hillpointe Detail'!L167+'Sandhill Detail'!L167</f>
        <v>41196.93</v>
      </c>
      <c r="M167" s="143">
        <f>'Hillpointe Detail'!M167+'Sandhill Detail'!M167</f>
        <v>-18044.419999999984</v>
      </c>
      <c r="N167" s="143">
        <f>'Hillpointe Detail'!N167+'Sandhill Detail'!N167</f>
        <v>277215.01</v>
      </c>
      <c r="O167" s="143">
        <f>'Hillpointe Detail'!O167+'Sandhill Detail'!O167</f>
        <v>-277270.71999999997</v>
      </c>
      <c r="P167" s="143">
        <f>'Hillpointe Detail'!P167+'Sandhill Detail'!P167</f>
        <v>-8035.1999999999534</v>
      </c>
      <c r="Q167" s="143">
        <f>'Hillpointe Detail'!Q167+'Sandhill Detail'!Q167</f>
        <v>96923.420000000013</v>
      </c>
      <c r="R167" s="143">
        <f>'Hillpointe Detail'!R167+'Sandhill Detail'!R167</f>
        <v>-18366.470000000008</v>
      </c>
      <c r="S167" s="143">
        <f>'Hillpointe Detail'!S167+'Sandhill Detail'!S167</f>
        <v>358592.23000000004</v>
      </c>
      <c r="T167" s="143">
        <f>'Hillpointe Detail'!T167+'Sandhill Detail'!T167</f>
        <v>3624.6399999999558</v>
      </c>
      <c r="U167" s="143">
        <f>'Hillpointe Detail'!U167+'Sandhill Detail'!U167</f>
        <v>-66855.389999999898</v>
      </c>
      <c r="V167" s="143">
        <f>'Hillpointe Detail'!V167+'Sandhill Detail'!V167</f>
        <v>-22131.72000000003</v>
      </c>
      <c r="W167" s="143">
        <f>'Hillpointe Detail'!W167+'Sandhill Detail'!W167</f>
        <v>-8965.4699999999866</v>
      </c>
      <c r="X167" s="143">
        <f>'Hillpointe Detail'!X167+'Sandhill Detail'!X167</f>
        <v>-63379.350000000049</v>
      </c>
      <c r="Y167" s="143">
        <f>'Hillpointe Detail'!Y167+'Sandhill Detail'!Y167</f>
        <v>99933.909999999974</v>
      </c>
      <c r="Z167" s="143">
        <f>'Hillpointe Detail'!Z167+'Sandhill Detail'!Z167</f>
        <v>258375.84999999998</v>
      </c>
      <c r="AA167" s="143">
        <f>'Hillpointe Detail'!AA167+'Sandhill Detail'!AA167</f>
        <v>-43185.629999999917</v>
      </c>
      <c r="AB167" s="143">
        <f>'Hillpointe Detail'!AB167+'Sandhill Detail'!AB167</f>
        <v>-87224.404417164376</v>
      </c>
      <c r="AC167" s="143">
        <f>'Hillpointe Detail'!AC167+'Sandhill Detail'!AC167</f>
        <v>864855.47949047608</v>
      </c>
      <c r="AD167" s="143">
        <f>'Hillpointe Detail'!AD167+'Sandhill Detail'!AD167</f>
        <v>59951.592679985755</v>
      </c>
      <c r="AE167" s="143">
        <f>'Hillpointe Detail'!AE167+'Sandhill Detail'!AE167</f>
        <v>426107.36582742922</v>
      </c>
      <c r="AF167" s="143">
        <f>'Hillpointe Detail'!AF167+'Sandhill Detail'!AF167</f>
        <v>32150.738308758038</v>
      </c>
      <c r="AG167" s="143">
        <f>'Hillpointe Detail'!AG167+'Sandhill Detail'!AG167</f>
        <v>23544.328355619029</v>
      </c>
      <c r="AH167" s="143">
        <f>'Hillpointe Detail'!AH167+'Sandhill Detail'!AH167</f>
        <v>55093.842280394005</v>
      </c>
      <c r="AI167" s="143">
        <f>'Hillpointe Detail'!AI167+'Sandhill Detail'!AI167</f>
        <v>32832.311734527335</v>
      </c>
      <c r="AJ167" s="143">
        <f>'Hillpointe Detail'!AJ167+'Sandhill Detail'!AJ167</f>
        <v>139690.83298648387</v>
      </c>
      <c r="AK167" s="143">
        <f>'Hillpointe Detail'!AK167+'Sandhill Detail'!AK167</f>
        <v>93946.420195975908</v>
      </c>
      <c r="AL167" s="143">
        <f>'Hillpointe Detail'!AL167+'Sandhill Detail'!AL167</f>
        <v>111490.7170902772</v>
      </c>
      <c r="AM167" s="143">
        <f>'Hillpointe Detail'!AM167+'Sandhill Detail'!AM167</f>
        <v>115865.87164677019</v>
      </c>
      <c r="AN167" s="143">
        <f>'Hillpointe Detail'!AN167+'Sandhill Detail'!AN167</f>
        <v>-144556.8681142205</v>
      </c>
      <c r="AO167" s="143">
        <f>'Hillpointe Detail'!AO167+'Sandhill Detail'!AO167</f>
        <v>240330.7501596199</v>
      </c>
      <c r="AP167" s="143">
        <f>'Hillpointe Detail'!AP167+'Sandhill Detail'!AP167</f>
        <v>100461.60706920408</v>
      </c>
      <c r="AQ167" s="143">
        <f>'Hillpointe Detail'!AQ167+'Sandhill Detail'!AQ167</f>
        <v>479661.77136506699</v>
      </c>
      <c r="AR167" s="143">
        <f>'Hillpointe Detail'!AR167+'Sandhill Detail'!AR167</f>
        <v>61761.644389407171</v>
      </c>
      <c r="AS167" s="143">
        <f>'Hillpointe Detail'!AS167+'Sandhill Detail'!AS167</f>
        <v>53954.611413162987</v>
      </c>
      <c r="AT167" s="143">
        <f>'Hillpointe Detail'!AT167+'Sandhill Detail'!AT167</f>
        <v>90474.592308889347</v>
      </c>
      <c r="AU167" s="143">
        <f>'Hillpointe Detail'!AU167+'Sandhill Detail'!AU167</f>
        <v>66204.427567899693</v>
      </c>
      <c r="AV167" s="143">
        <f>'Hillpointe Detail'!AV167+'Sandhill Detail'!AV167</f>
        <v>116375.26185992942</v>
      </c>
      <c r="AW167" s="143">
        <f>'Hillpointe Detail'!AW167+'Sandhill Detail'!AW167</f>
        <v>100346.62232779253</v>
      </c>
      <c r="AX167" s="143">
        <f>'Hillpointe Detail'!AX167+'Sandhill Detail'!AX167</f>
        <v>91613.025506656239</v>
      </c>
      <c r="AY167" s="143">
        <f>'Hillpointe Detail'!AY167+'Sandhill Detail'!AY167</f>
        <v>97257.833530168718</v>
      </c>
      <c r="AZ167" s="143">
        <f>'Hillpointe Detail'!AZ167+'Sandhill Detail'!AZ167</f>
        <v>-118573.14072835961</v>
      </c>
      <c r="BA167" s="143">
        <f>'Hillpointe Detail'!BA167+'Sandhill Detail'!BA167</f>
        <v>312333.20226589381</v>
      </c>
      <c r="BB167" s="143">
        <f>'Hillpointe Detail'!BB167+'Sandhill Detail'!BB167</f>
        <v>110834.40699932387</v>
      </c>
      <c r="BC167" s="143">
        <f>'Hillpointe Detail'!BC167+'Sandhill Detail'!BC167</f>
        <v>488776.57165219763</v>
      </c>
      <c r="BD167" s="143">
        <f>'Hillpointe Detail'!BD167+'Sandhill Detail'!BD167</f>
        <v>75811.907954652968</v>
      </c>
      <c r="BE167" s="143">
        <f>'Hillpointe Detail'!BE167+'Sandhill Detail'!BE167</f>
        <v>67516.835536562721</v>
      </c>
      <c r="BF167" s="143">
        <f>'Hillpointe Detail'!BF167+'Sandhill Detail'!BF167</f>
        <v>106160.67334707342</v>
      </c>
      <c r="BG167" s="143">
        <f>'Hillpointe Detail'!BG167+'Sandhill Detail'!BG167</f>
        <v>81502.885112991047</v>
      </c>
      <c r="BH167" s="143">
        <f>'Hillpointe Detail'!BH167+'Sandhill Detail'!BH167</f>
        <v>132625.79142903961</v>
      </c>
      <c r="BI167" s="143">
        <f>'Hillpointe Detail'!BI167+'Sandhill Detail'!BI167</f>
        <v>115298.11228767499</v>
      </c>
      <c r="BJ167" s="143">
        <f>'Hillpointe Detail'!BJ167+'Sandhill Detail'!BJ167</f>
        <v>107218.20140960613</v>
      </c>
      <c r="BK167" s="143">
        <f>'Hillpointe Detail'!BK167+'Sandhill Detail'!BK167</f>
        <v>112829.57296365136</v>
      </c>
      <c r="BL167" s="143">
        <f>'Hillpointe Detail'!BL167+'Sandhill Detail'!BL167</f>
        <v>-113090.39350315857</v>
      </c>
      <c r="BM167" s="143">
        <f>'Hillpointe Detail'!BM167+'Sandhill Detail'!BM167</f>
        <v>338314.26467336726</v>
      </c>
      <c r="BN167" s="143">
        <f>'Hillpointe Detail'!BN167+'Sandhill Detail'!BN167</f>
        <v>113032.75968651637</v>
      </c>
      <c r="BO167" s="143">
        <f>'Hillpointe Detail'!BO167+'Sandhill Detail'!BO167</f>
        <v>489161.29908800218</v>
      </c>
      <c r="BP167" s="143">
        <f>'Hillpointe Detail'!BP167+'Sandhill Detail'!BP167</f>
        <v>78026.816189053192</v>
      </c>
      <c r="BQ167" s="143">
        <f>'Hillpointe Detail'!BQ167+'Sandhill Detail'!BQ167</f>
        <v>68473.33064387989</v>
      </c>
      <c r="BR167" s="143">
        <f>'Hillpointe Detail'!BR167+'Sandhill Detail'!BR167</f>
        <v>108129.09797417047</v>
      </c>
      <c r="BS167" s="143">
        <f>'Hillpointe Detail'!BS167+'Sandhill Detail'!BS167</f>
        <v>81753.317352119222</v>
      </c>
      <c r="BT167" s="143">
        <f>'Hillpointe Detail'!BT167+'Sandhill Detail'!BT167</f>
        <v>136358.2722744731</v>
      </c>
      <c r="BU167" s="143">
        <f>'Hillpointe Detail'!BU167+'Sandhill Detail'!BU167</f>
        <v>118296.96924002092</v>
      </c>
      <c r="BV167" s="143">
        <f>'Hillpointe Detail'!BV167+'Sandhill Detail'!BV167</f>
        <v>110398.21161722959</v>
      </c>
      <c r="BW167" s="143">
        <f>'Hillpointe Detail'!BW167+'Sandhill Detail'!BW167</f>
        <v>115862.93153671763</v>
      </c>
      <c r="BX167" s="143">
        <f>'Hillpointe Detail'!BX167+'Sandhill Detail'!BX167</f>
        <v>-116686.85575580347</v>
      </c>
      <c r="BY167" s="8"/>
      <c r="BZ167" s="143">
        <f t="shared" si="69"/>
        <v>-43185.629999999917</v>
      </c>
      <c r="CA167" s="143">
        <f t="shared" si="70"/>
        <v>594566.02000000014</v>
      </c>
      <c r="CC167" s="143">
        <f t="shared" si="72"/>
        <v>-368134.56999999937</v>
      </c>
      <c r="CD167" s="143">
        <f t="shared" si="71"/>
        <v>-29425.170000000857</v>
      </c>
      <c r="CE167" s="143">
        <f t="shared" si="71"/>
        <v>832047.94000000018</v>
      </c>
      <c r="CF167" s="143">
        <f t="shared" si="71"/>
        <v>507341.61558283574</v>
      </c>
      <c r="CG167" s="143">
        <f t="shared" si="71"/>
        <v>1810972.6324824761</v>
      </c>
      <c r="CH167" s="143">
        <f t="shared" si="71"/>
        <v>1379869.0067694373</v>
      </c>
      <c r="CI167" s="143">
        <f t="shared" si="71"/>
        <v>1597817.7674555087</v>
      </c>
      <c r="CJ167" s="143">
        <f t="shared" si="71"/>
        <v>1641120.4145197463</v>
      </c>
      <c r="CL167" s="105"/>
      <c r="CM167" s="13"/>
    </row>
    <row r="168" spans="1:91" x14ac:dyDescent="0.3">
      <c r="A168" s="84" t="s">
        <v>342</v>
      </c>
      <c r="B168" s="10"/>
      <c r="C168" s="18">
        <v>0</v>
      </c>
      <c r="D168" s="18">
        <v>0</v>
      </c>
      <c r="E168" s="105">
        <f>'Hillpointe Detail'!E168+'Sandhill Detail'!E168</f>
        <v>0</v>
      </c>
      <c r="F168" s="105">
        <f>'Hillpointe Detail'!F168+'Sandhill Detail'!F168</f>
        <v>0</v>
      </c>
      <c r="G168" s="105">
        <f>'Hillpointe Detail'!G168+'Sandhill Detail'!G168</f>
        <v>0</v>
      </c>
      <c r="H168" s="105">
        <f>'Hillpointe Detail'!H168+'Sandhill Detail'!H168</f>
        <v>0</v>
      </c>
      <c r="I168" s="105">
        <f>'Hillpointe Detail'!I168+'Sandhill Detail'!I168</f>
        <v>0</v>
      </c>
      <c r="J168" s="105">
        <f>'Hillpointe Detail'!J168+'Sandhill Detail'!J168</f>
        <v>0</v>
      </c>
      <c r="K168" s="105">
        <f>'Hillpointe Detail'!K168+'Sandhill Detail'!K168</f>
        <v>0</v>
      </c>
      <c r="L168" s="105">
        <f>'Hillpointe Detail'!L168+'Sandhill Detail'!L168</f>
        <v>0</v>
      </c>
      <c r="M168" s="105">
        <f>'Hillpointe Detail'!M168+'Sandhill Detail'!M168</f>
        <v>0</v>
      </c>
      <c r="N168" s="105">
        <f>'Hillpointe Detail'!N168+'Sandhill Detail'!N168</f>
        <v>0</v>
      </c>
      <c r="O168" s="105">
        <f>'Hillpointe Detail'!O168+'Sandhill Detail'!O168</f>
        <v>0</v>
      </c>
      <c r="P168" s="105">
        <f>'Hillpointe Detail'!P168+'Sandhill Detail'!P168</f>
        <v>0</v>
      </c>
      <c r="Q168" s="105">
        <f>'Hillpointe Detail'!Q168+'Sandhill Detail'!Q168</f>
        <v>0</v>
      </c>
      <c r="R168" s="105">
        <f>'Hillpointe Detail'!R168+'Sandhill Detail'!R168</f>
        <v>0</v>
      </c>
      <c r="S168" s="105">
        <f>'Hillpointe Detail'!S168+'Sandhill Detail'!S168</f>
        <v>0</v>
      </c>
      <c r="T168" s="105">
        <f>'Hillpointe Detail'!T168+'Sandhill Detail'!T168</f>
        <v>0</v>
      </c>
      <c r="U168" s="105">
        <f>'Hillpointe Detail'!U168+'Sandhill Detail'!U168</f>
        <v>0</v>
      </c>
      <c r="V168" s="105">
        <f>'Hillpointe Detail'!V168+'Sandhill Detail'!V168</f>
        <v>0</v>
      </c>
      <c r="W168" s="105">
        <f>'Hillpointe Detail'!W168+'Sandhill Detail'!W168</f>
        <v>0</v>
      </c>
      <c r="X168" s="105">
        <f>'Hillpointe Detail'!X168+'Sandhill Detail'!X168</f>
        <v>0</v>
      </c>
      <c r="Y168" s="105">
        <f>'Hillpointe Detail'!Y168+'Sandhill Detail'!Y168</f>
        <v>0</v>
      </c>
      <c r="Z168" s="105">
        <f>'Hillpointe Detail'!Z168+'Sandhill Detail'!Z168</f>
        <v>0</v>
      </c>
      <c r="AA168" s="105">
        <f>'Hillpointe Detail'!AA168+'Sandhill Detail'!AA168</f>
        <v>0</v>
      </c>
      <c r="AB168" s="105">
        <f>'Hillpointe Detail'!AB168+'Sandhill Detail'!AB168</f>
        <v>0</v>
      </c>
      <c r="AC168" s="105">
        <f>'Hillpointe Detail'!AC168+'Sandhill Detail'!AC168</f>
        <v>0</v>
      </c>
      <c r="AD168" s="105">
        <f>'Hillpointe Detail'!AD168+'Sandhill Detail'!AD168</f>
        <v>0</v>
      </c>
      <c r="AE168" s="105">
        <f>'Hillpointe Detail'!AE168+'Sandhill Detail'!AE168</f>
        <v>0</v>
      </c>
      <c r="AF168" s="105">
        <f>'Hillpointe Detail'!AF168+'Sandhill Detail'!AF168</f>
        <v>0</v>
      </c>
      <c r="AG168" s="105">
        <f>'Hillpointe Detail'!AG168+'Sandhill Detail'!AG168</f>
        <v>0</v>
      </c>
      <c r="AH168" s="105">
        <f>'Hillpointe Detail'!AH168+'Sandhill Detail'!AH168</f>
        <v>0</v>
      </c>
      <c r="AI168" s="105">
        <f>'Hillpointe Detail'!AI168+'Sandhill Detail'!AI168</f>
        <v>0</v>
      </c>
      <c r="AJ168" s="105">
        <f>'Hillpointe Detail'!AJ168+'Sandhill Detail'!AJ168</f>
        <v>0</v>
      </c>
      <c r="AK168" s="105">
        <f>'Hillpointe Detail'!AK168+'Sandhill Detail'!AK168</f>
        <v>0</v>
      </c>
      <c r="AL168" s="105">
        <f>'Hillpointe Detail'!AL168+'Sandhill Detail'!AL168</f>
        <v>0</v>
      </c>
      <c r="AM168" s="105">
        <f>'Hillpointe Detail'!AM168+'Sandhill Detail'!AM168</f>
        <v>0</v>
      </c>
      <c r="AN168" s="105">
        <f>'Hillpointe Detail'!AN168+'Sandhill Detail'!AN168</f>
        <v>0</v>
      </c>
      <c r="AO168" s="105">
        <f>'Hillpointe Detail'!AO168+'Sandhill Detail'!AO168</f>
        <v>0</v>
      </c>
      <c r="AP168" s="105">
        <f>'Hillpointe Detail'!AP168+'Sandhill Detail'!AP168</f>
        <v>0</v>
      </c>
      <c r="AQ168" s="105">
        <f>'Hillpointe Detail'!AQ168+'Sandhill Detail'!AQ168</f>
        <v>0</v>
      </c>
      <c r="AR168" s="105">
        <f>'Hillpointe Detail'!AR168+'Sandhill Detail'!AR168</f>
        <v>0</v>
      </c>
      <c r="AS168" s="105">
        <f>'Hillpointe Detail'!AS168+'Sandhill Detail'!AS168</f>
        <v>0</v>
      </c>
      <c r="AT168" s="105">
        <f>'Hillpointe Detail'!AT168+'Sandhill Detail'!AT168</f>
        <v>0</v>
      </c>
      <c r="AU168" s="105">
        <f>'Hillpointe Detail'!AU168+'Sandhill Detail'!AU168</f>
        <v>0</v>
      </c>
      <c r="AV168" s="105">
        <f>'Hillpointe Detail'!AV168+'Sandhill Detail'!AV168</f>
        <v>0</v>
      </c>
      <c r="AW168" s="105">
        <f>'Hillpointe Detail'!AW168+'Sandhill Detail'!AW168</f>
        <v>0</v>
      </c>
      <c r="AX168" s="105">
        <f>'Hillpointe Detail'!AX168+'Sandhill Detail'!AX168</f>
        <v>0</v>
      </c>
      <c r="AY168" s="105">
        <f>'Hillpointe Detail'!AY168+'Sandhill Detail'!AY168</f>
        <v>0</v>
      </c>
      <c r="AZ168" s="105">
        <f>'Hillpointe Detail'!AZ168+'Sandhill Detail'!AZ168</f>
        <v>0</v>
      </c>
      <c r="BA168" s="105">
        <f>'Hillpointe Detail'!BA168+'Sandhill Detail'!BA168</f>
        <v>0</v>
      </c>
      <c r="BB168" s="105">
        <f>'Hillpointe Detail'!BB168+'Sandhill Detail'!BB168</f>
        <v>0</v>
      </c>
      <c r="BC168" s="105">
        <f>'Hillpointe Detail'!BC168+'Sandhill Detail'!BC168</f>
        <v>0</v>
      </c>
      <c r="BD168" s="105">
        <f>'Hillpointe Detail'!BD168+'Sandhill Detail'!BD168</f>
        <v>0</v>
      </c>
      <c r="BE168" s="105">
        <f>'Hillpointe Detail'!BE168+'Sandhill Detail'!BE168</f>
        <v>0</v>
      </c>
      <c r="BF168" s="105">
        <f>'Hillpointe Detail'!BF168+'Sandhill Detail'!BF168</f>
        <v>0</v>
      </c>
      <c r="BG168" s="105">
        <f>'Hillpointe Detail'!BG168+'Sandhill Detail'!BG168</f>
        <v>0</v>
      </c>
      <c r="BH168" s="105">
        <f>'Hillpointe Detail'!BH168+'Sandhill Detail'!BH168</f>
        <v>0</v>
      </c>
      <c r="BI168" s="105">
        <f>'Hillpointe Detail'!BI168+'Sandhill Detail'!BI168</f>
        <v>0</v>
      </c>
      <c r="BJ168" s="105">
        <f>'Hillpointe Detail'!BJ168+'Sandhill Detail'!BJ168</f>
        <v>0</v>
      </c>
      <c r="BK168" s="105">
        <f>'Hillpointe Detail'!BK168+'Sandhill Detail'!BK168</f>
        <v>0</v>
      </c>
      <c r="BL168" s="105">
        <f>'Hillpointe Detail'!BL168+'Sandhill Detail'!BL168</f>
        <v>0</v>
      </c>
      <c r="BM168" s="105">
        <f>'Hillpointe Detail'!BM168+'Sandhill Detail'!BM168</f>
        <v>0</v>
      </c>
      <c r="BN168" s="105">
        <f>'Hillpointe Detail'!BN168+'Sandhill Detail'!BN168</f>
        <v>0</v>
      </c>
      <c r="BO168" s="105">
        <f>'Hillpointe Detail'!BO168+'Sandhill Detail'!BO168</f>
        <v>0</v>
      </c>
      <c r="BP168" s="105">
        <f>'Hillpointe Detail'!BP168+'Sandhill Detail'!BP168</f>
        <v>0</v>
      </c>
      <c r="BQ168" s="105">
        <f>'Hillpointe Detail'!BQ168+'Sandhill Detail'!BQ168</f>
        <v>0</v>
      </c>
      <c r="BR168" s="105">
        <f>'Hillpointe Detail'!BR168+'Sandhill Detail'!BR168</f>
        <v>0</v>
      </c>
      <c r="BS168" s="105">
        <f>'Hillpointe Detail'!BS168+'Sandhill Detail'!BS168</f>
        <v>0</v>
      </c>
      <c r="BT168" s="105">
        <f>'Hillpointe Detail'!BT168+'Sandhill Detail'!BT168</f>
        <v>0</v>
      </c>
      <c r="BU168" s="105">
        <f>'Hillpointe Detail'!BU168+'Sandhill Detail'!BU168</f>
        <v>0</v>
      </c>
      <c r="BV168" s="105">
        <f>'Hillpointe Detail'!BV168+'Sandhill Detail'!BV168</f>
        <v>0</v>
      </c>
      <c r="BW168" s="105">
        <f>'Hillpointe Detail'!BW168+'Sandhill Detail'!BW168</f>
        <v>0</v>
      </c>
      <c r="BX168" s="105">
        <f>'Hillpointe Detail'!BX168+'Sandhill Detail'!BX168</f>
        <v>0</v>
      </c>
      <c r="BY168" s="8"/>
      <c r="BZ168" s="105">
        <f t="shared" si="69"/>
        <v>0</v>
      </c>
      <c r="CA168" s="105">
        <f t="shared" si="70"/>
        <v>0</v>
      </c>
      <c r="CC168" s="105">
        <f t="shared" si="72"/>
        <v>0</v>
      </c>
      <c r="CD168" s="105">
        <f t="shared" si="71"/>
        <v>0</v>
      </c>
      <c r="CE168" s="105">
        <f t="shared" si="71"/>
        <v>0</v>
      </c>
      <c r="CF168" s="105">
        <f t="shared" si="71"/>
        <v>0</v>
      </c>
      <c r="CG168" s="105">
        <f t="shared" si="71"/>
        <v>0</v>
      </c>
      <c r="CH168" s="105">
        <f t="shared" si="71"/>
        <v>0</v>
      </c>
      <c r="CI168" s="105">
        <f t="shared" si="71"/>
        <v>0</v>
      </c>
      <c r="CJ168" s="105">
        <f t="shared" si="71"/>
        <v>0</v>
      </c>
      <c r="CL168" s="105"/>
      <c r="CM168" s="13"/>
    </row>
    <row r="169" spans="1:91" x14ac:dyDescent="0.3">
      <c r="A169" s="84" t="s">
        <v>343</v>
      </c>
      <c r="B169" s="10" t="s">
        <v>346</v>
      </c>
      <c r="C169" s="121">
        <v>0</v>
      </c>
      <c r="D169" s="121">
        <v>0</v>
      </c>
      <c r="E169" s="141">
        <f>'Hillpointe Detail'!E169+'Sandhill Detail'!E169</f>
        <v>0</v>
      </c>
      <c r="F169" s="141">
        <f>'Hillpointe Detail'!F169+'Sandhill Detail'!F169</f>
        <v>0</v>
      </c>
      <c r="G169" s="141">
        <f>'Hillpointe Detail'!G169+'Sandhill Detail'!G169</f>
        <v>0</v>
      </c>
      <c r="H169" s="141">
        <f>'Hillpointe Detail'!H169+'Sandhill Detail'!H169</f>
        <v>0</v>
      </c>
      <c r="I169" s="141">
        <f>'Hillpointe Detail'!I169+'Sandhill Detail'!I169</f>
        <v>0</v>
      </c>
      <c r="J169" s="141">
        <f>'Hillpointe Detail'!J169+'Sandhill Detail'!J169</f>
        <v>0</v>
      </c>
      <c r="K169" s="141">
        <f>'Hillpointe Detail'!K169+'Sandhill Detail'!K169</f>
        <v>0</v>
      </c>
      <c r="L169" s="141">
        <f>'Hillpointe Detail'!L169+'Sandhill Detail'!L169</f>
        <v>0</v>
      </c>
      <c r="M169" s="141">
        <f>'Hillpointe Detail'!M169+'Sandhill Detail'!M169</f>
        <v>0</v>
      </c>
      <c r="N169" s="141">
        <f>'Hillpointe Detail'!N169+'Sandhill Detail'!N169</f>
        <v>0</v>
      </c>
      <c r="O169" s="141">
        <f>'Hillpointe Detail'!O169+'Sandhill Detail'!O169</f>
        <v>0</v>
      </c>
      <c r="P169" s="141">
        <f>'Hillpointe Detail'!P169+'Sandhill Detail'!P169</f>
        <v>267350</v>
      </c>
      <c r="Q169" s="141">
        <f>'Hillpointe Detail'!Q169+'Sandhill Detail'!Q169</f>
        <v>53924.19</v>
      </c>
      <c r="R169" s="141">
        <f>'Hillpointe Detail'!R169+'Sandhill Detail'!R169</f>
        <v>54078.66</v>
      </c>
      <c r="S169" s="141">
        <f>'Hillpointe Detail'!S169+'Sandhill Detail'!S169</f>
        <v>54234.44</v>
      </c>
      <c r="T169" s="141">
        <f>'Hillpointe Detail'!T169+'Sandhill Detail'!T169</f>
        <v>54391.57</v>
      </c>
      <c r="U169" s="141">
        <f>'Hillpointe Detail'!U169+'Sandhill Detail'!U169</f>
        <v>54550.04</v>
      </c>
      <c r="V169" s="141">
        <f>'Hillpointe Detail'!V169+'Sandhill Detail'!V169</f>
        <v>54709.88</v>
      </c>
      <c r="W169" s="141">
        <f>'Hillpointe Detail'!W169+'Sandhill Detail'!W169</f>
        <v>54871.08</v>
      </c>
      <c r="X169" s="141">
        <f>'Hillpointe Detail'!X169+'Sandhill Detail'!X169</f>
        <v>54989.11</v>
      </c>
      <c r="Y169" s="141">
        <f>'Hillpointe Detail'!Y169+'Sandhill Detail'!Y169</f>
        <v>55108.15</v>
      </c>
      <c r="Z169" s="141">
        <f>'Hillpointe Detail'!Z169+'Sandhill Detail'!Z169</f>
        <v>55228.22</v>
      </c>
      <c r="AA169" s="141">
        <f>'Hillpointe Detail'!AA169+'Sandhill Detail'!AA169</f>
        <v>55349.31</v>
      </c>
      <c r="AB169" s="141">
        <f>'Hillpointe Detail'!AB169+'Sandhill Detail'!AB169</f>
        <v>55471.45</v>
      </c>
      <c r="AC169" s="141">
        <f>'Hillpointe Detail'!AC169+'Sandhill Detail'!AC169</f>
        <v>50687.869999999995</v>
      </c>
      <c r="AD169" s="141">
        <f>'Hillpointe Detail'!AD169+'Sandhill Detail'!AD169</f>
        <v>50687.869999999995</v>
      </c>
      <c r="AE169" s="141">
        <f>'Hillpointe Detail'!AE169+'Sandhill Detail'!AE169</f>
        <v>50687.869999999995</v>
      </c>
      <c r="AF169" s="141">
        <f>'Hillpointe Detail'!AF169+'Sandhill Detail'!AF169</f>
        <v>50687.869999999995</v>
      </c>
      <c r="AG169" s="141">
        <f>'Hillpointe Detail'!AG169+'Sandhill Detail'!AG169</f>
        <v>50687.869999999995</v>
      </c>
      <c r="AH169" s="141">
        <f>'Hillpointe Detail'!AH169+'Sandhill Detail'!AH169</f>
        <v>50687.869999999995</v>
      </c>
      <c r="AI169" s="141">
        <f>'Hillpointe Detail'!AI169+'Sandhill Detail'!AI169</f>
        <v>50687.869999999995</v>
      </c>
      <c r="AJ169" s="141">
        <f>'Hillpointe Detail'!AJ169+'Sandhill Detail'!AJ169</f>
        <v>50687.869999999995</v>
      </c>
      <c r="AK169" s="141">
        <f>'Hillpointe Detail'!AK169+'Sandhill Detail'!AK169</f>
        <v>50687.869999999995</v>
      </c>
      <c r="AL169" s="141">
        <f>'Hillpointe Detail'!AL169+'Sandhill Detail'!AL169</f>
        <v>50687.869999999995</v>
      </c>
      <c r="AM169" s="141">
        <f>'Hillpointe Detail'!AM169+'Sandhill Detail'!AM169</f>
        <v>50687.869999999995</v>
      </c>
      <c r="AN169" s="141">
        <f>'Hillpointe Detail'!AN169+'Sandhill Detail'!AN169</f>
        <v>50687.869999999995</v>
      </c>
      <c r="AO169" s="141">
        <f>'Hillpointe Detail'!AO169+'Sandhill Detail'!AO169</f>
        <v>83354.672500000001</v>
      </c>
      <c r="AP169" s="141">
        <f>'Hillpointe Detail'!AP169+'Sandhill Detail'!AP169</f>
        <v>83354.672500000001</v>
      </c>
      <c r="AQ169" s="141">
        <f>'Hillpointe Detail'!AQ169+'Sandhill Detail'!AQ169</f>
        <v>83354.672500000001</v>
      </c>
      <c r="AR169" s="141">
        <f>'Hillpointe Detail'!AR169+'Sandhill Detail'!AR169</f>
        <v>83354.672500000001</v>
      </c>
      <c r="AS169" s="141">
        <f>'Hillpointe Detail'!AS169+'Sandhill Detail'!AS169</f>
        <v>83354.672500000001</v>
      </c>
      <c r="AT169" s="141">
        <f>'Hillpointe Detail'!AT169+'Sandhill Detail'!AT169</f>
        <v>83354.672500000001</v>
      </c>
      <c r="AU169" s="141">
        <f>'Hillpointe Detail'!AU169+'Sandhill Detail'!AU169</f>
        <v>83354.672500000001</v>
      </c>
      <c r="AV169" s="141">
        <f>'Hillpointe Detail'!AV169+'Sandhill Detail'!AV169</f>
        <v>83354.672500000001</v>
      </c>
      <c r="AW169" s="141">
        <f>'Hillpointe Detail'!AW169+'Sandhill Detail'!AW169</f>
        <v>83354.672500000001</v>
      </c>
      <c r="AX169" s="141">
        <f>'Hillpointe Detail'!AX169+'Sandhill Detail'!AX169</f>
        <v>83354.672500000001</v>
      </c>
      <c r="AY169" s="141">
        <f>'Hillpointe Detail'!AY169+'Sandhill Detail'!AY169</f>
        <v>83354.672500000001</v>
      </c>
      <c r="AZ169" s="141">
        <f>'Hillpointe Detail'!AZ169+'Sandhill Detail'!AZ169</f>
        <v>83354.672500000001</v>
      </c>
      <c r="BA169" s="141">
        <f>'Hillpointe Detail'!BA169+'Sandhill Detail'!BA169</f>
        <v>109145.83333333333</v>
      </c>
      <c r="BB169" s="141">
        <f>'Hillpointe Detail'!BB169+'Sandhill Detail'!BB169</f>
        <v>109145.83333333333</v>
      </c>
      <c r="BC169" s="141">
        <f>'Hillpointe Detail'!BC169+'Sandhill Detail'!BC169</f>
        <v>109145.83333333333</v>
      </c>
      <c r="BD169" s="141">
        <f>'Hillpointe Detail'!BD169+'Sandhill Detail'!BD169</f>
        <v>109145.83333333333</v>
      </c>
      <c r="BE169" s="141">
        <f>'Hillpointe Detail'!BE169+'Sandhill Detail'!BE169</f>
        <v>109145.83333333333</v>
      </c>
      <c r="BF169" s="141">
        <f>'Hillpointe Detail'!BF169+'Sandhill Detail'!BF169</f>
        <v>109145.83333333333</v>
      </c>
      <c r="BG169" s="141">
        <f>'Hillpointe Detail'!BG169+'Sandhill Detail'!BG169</f>
        <v>109145.83333333333</v>
      </c>
      <c r="BH169" s="141">
        <f>'Hillpointe Detail'!BH169+'Sandhill Detail'!BH169</f>
        <v>109145.83333333333</v>
      </c>
      <c r="BI169" s="141">
        <f>'Hillpointe Detail'!BI169+'Sandhill Detail'!BI169</f>
        <v>109145.83333333333</v>
      </c>
      <c r="BJ169" s="141">
        <f>'Hillpointe Detail'!BJ169+'Sandhill Detail'!BJ169</f>
        <v>109145.83333333333</v>
      </c>
      <c r="BK169" s="141">
        <f>'Hillpointe Detail'!BK169+'Sandhill Detail'!BK169</f>
        <v>109145.83333333333</v>
      </c>
      <c r="BL169" s="141">
        <f>'Hillpointe Detail'!BL169+'Sandhill Detail'!BL169</f>
        <v>109145.83333333333</v>
      </c>
      <c r="BM169" s="141">
        <f>'Hillpointe Detail'!BM169+'Sandhill Detail'!BM169</f>
        <v>108414.58333333333</v>
      </c>
      <c r="BN169" s="141">
        <f>'Hillpointe Detail'!BN169+'Sandhill Detail'!BN169</f>
        <v>108414.58333333333</v>
      </c>
      <c r="BO169" s="141">
        <f>'Hillpointe Detail'!BO169+'Sandhill Detail'!BO169</f>
        <v>108414.58333333333</v>
      </c>
      <c r="BP169" s="141">
        <f>'Hillpointe Detail'!BP169+'Sandhill Detail'!BP169</f>
        <v>108414.58333333333</v>
      </c>
      <c r="BQ169" s="141">
        <f>'Hillpointe Detail'!BQ169+'Sandhill Detail'!BQ169</f>
        <v>108414.58333333333</v>
      </c>
      <c r="BR169" s="141">
        <f>'Hillpointe Detail'!BR169+'Sandhill Detail'!BR169</f>
        <v>108414.58333333333</v>
      </c>
      <c r="BS169" s="141">
        <f>'Hillpointe Detail'!BS169+'Sandhill Detail'!BS169</f>
        <v>108414.58333333333</v>
      </c>
      <c r="BT169" s="141">
        <f>'Hillpointe Detail'!BT169+'Sandhill Detail'!BT169</f>
        <v>108414.58333333333</v>
      </c>
      <c r="BU169" s="141">
        <f>'Hillpointe Detail'!BU169+'Sandhill Detail'!BU169</f>
        <v>108414.58333333333</v>
      </c>
      <c r="BV169" s="141">
        <f>'Hillpointe Detail'!BV169+'Sandhill Detail'!BV169</f>
        <v>108414.58333333333</v>
      </c>
      <c r="BW169" s="141">
        <f>'Hillpointe Detail'!BW169+'Sandhill Detail'!BW169</f>
        <v>108414.58333333333</v>
      </c>
      <c r="BX169" s="141">
        <f>'Hillpointe Detail'!BX169+'Sandhill Detail'!BX169</f>
        <v>108414.58333333333</v>
      </c>
      <c r="BY169" s="8"/>
      <c r="BZ169" s="141">
        <f t="shared" si="69"/>
        <v>55349.31</v>
      </c>
      <c r="CA169" s="141">
        <f t="shared" si="70"/>
        <v>601434.65000000014</v>
      </c>
      <c r="CC169" s="141">
        <f t="shared" si="72"/>
        <v>0</v>
      </c>
      <c r="CD169" s="141">
        <f t="shared" si="71"/>
        <v>0</v>
      </c>
      <c r="CE169" s="141">
        <f t="shared" si="71"/>
        <v>267350</v>
      </c>
      <c r="CF169" s="141">
        <f t="shared" si="71"/>
        <v>656906.10000000009</v>
      </c>
      <c r="CG169" s="141">
        <f t="shared" si="71"/>
        <v>608254.43999999994</v>
      </c>
      <c r="CH169" s="141">
        <f t="shared" si="71"/>
        <v>1000256.07</v>
      </c>
      <c r="CI169" s="141">
        <f t="shared" si="71"/>
        <v>1309750</v>
      </c>
      <c r="CJ169" s="141">
        <f t="shared" si="71"/>
        <v>1300975</v>
      </c>
      <c r="CL169" s="105"/>
      <c r="CM169" s="13"/>
    </row>
    <row r="170" spans="1:91" x14ac:dyDescent="0.3">
      <c r="A170" s="84" t="s">
        <v>344</v>
      </c>
      <c r="B170" s="10"/>
      <c r="C170" s="18">
        <f>SUM(C168:C169)</f>
        <v>0</v>
      </c>
      <c r="D170" s="18">
        <f>SUM(D168:D169)</f>
        <v>0</v>
      </c>
      <c r="E170" s="105">
        <f>'Hillpointe Detail'!E170+'Sandhill Detail'!E170</f>
        <v>0</v>
      </c>
      <c r="F170" s="105">
        <f>'Hillpointe Detail'!F170+'Sandhill Detail'!F170</f>
        <v>0</v>
      </c>
      <c r="G170" s="105">
        <f>'Hillpointe Detail'!G170+'Sandhill Detail'!G170</f>
        <v>0</v>
      </c>
      <c r="H170" s="105">
        <f>'Hillpointe Detail'!H170+'Sandhill Detail'!H170</f>
        <v>0</v>
      </c>
      <c r="I170" s="105">
        <f>'Hillpointe Detail'!I170+'Sandhill Detail'!I170</f>
        <v>0</v>
      </c>
      <c r="J170" s="105">
        <f>'Hillpointe Detail'!J170+'Sandhill Detail'!J170</f>
        <v>0</v>
      </c>
      <c r="K170" s="105">
        <f>'Hillpointe Detail'!K170+'Sandhill Detail'!K170</f>
        <v>0</v>
      </c>
      <c r="L170" s="105">
        <f>'Hillpointe Detail'!L170+'Sandhill Detail'!L170</f>
        <v>0</v>
      </c>
      <c r="M170" s="105">
        <f>'Hillpointe Detail'!M170+'Sandhill Detail'!M170</f>
        <v>0</v>
      </c>
      <c r="N170" s="105">
        <f>'Hillpointe Detail'!N170+'Sandhill Detail'!N170</f>
        <v>0</v>
      </c>
      <c r="O170" s="105">
        <f>'Hillpointe Detail'!O170+'Sandhill Detail'!O170</f>
        <v>0</v>
      </c>
      <c r="P170" s="105">
        <f>'Hillpointe Detail'!P170+'Sandhill Detail'!P170</f>
        <v>267350</v>
      </c>
      <c r="Q170" s="105">
        <f>'Hillpointe Detail'!Q170+'Sandhill Detail'!Q170</f>
        <v>53924.19</v>
      </c>
      <c r="R170" s="105">
        <f>'Hillpointe Detail'!R170+'Sandhill Detail'!R170</f>
        <v>54078.66</v>
      </c>
      <c r="S170" s="105">
        <f>'Hillpointe Detail'!S170+'Sandhill Detail'!S170</f>
        <v>54234.44</v>
      </c>
      <c r="T170" s="105">
        <f>'Hillpointe Detail'!T170+'Sandhill Detail'!T170</f>
        <v>54391.57</v>
      </c>
      <c r="U170" s="105">
        <f>'Hillpointe Detail'!U170+'Sandhill Detail'!U170</f>
        <v>54550.04</v>
      </c>
      <c r="V170" s="105">
        <f>'Hillpointe Detail'!V170+'Sandhill Detail'!V170</f>
        <v>54709.88</v>
      </c>
      <c r="W170" s="105">
        <f>'Hillpointe Detail'!W170+'Sandhill Detail'!W170</f>
        <v>54871.08</v>
      </c>
      <c r="X170" s="105">
        <f>'Hillpointe Detail'!X170+'Sandhill Detail'!X170</f>
        <v>54989.11</v>
      </c>
      <c r="Y170" s="105">
        <f>'Hillpointe Detail'!Y170+'Sandhill Detail'!Y170</f>
        <v>55108.15</v>
      </c>
      <c r="Z170" s="105">
        <f>'Hillpointe Detail'!Z170+'Sandhill Detail'!Z170</f>
        <v>55228.22</v>
      </c>
      <c r="AA170" s="105">
        <f>'Hillpointe Detail'!AA170+'Sandhill Detail'!AA170</f>
        <v>55349.31</v>
      </c>
      <c r="AB170" s="105">
        <f>'Hillpointe Detail'!AB170+'Sandhill Detail'!AB170</f>
        <v>55471.45</v>
      </c>
      <c r="AC170" s="105">
        <f>'Hillpointe Detail'!AC170+'Sandhill Detail'!AC170</f>
        <v>50687.869999999995</v>
      </c>
      <c r="AD170" s="105">
        <f>'Hillpointe Detail'!AD170+'Sandhill Detail'!AD170</f>
        <v>50687.869999999995</v>
      </c>
      <c r="AE170" s="105">
        <f>'Hillpointe Detail'!AE170+'Sandhill Detail'!AE170</f>
        <v>50687.869999999995</v>
      </c>
      <c r="AF170" s="105">
        <f>'Hillpointe Detail'!AF170+'Sandhill Detail'!AF170</f>
        <v>50687.869999999995</v>
      </c>
      <c r="AG170" s="105">
        <f>'Hillpointe Detail'!AG170+'Sandhill Detail'!AG170</f>
        <v>50687.869999999995</v>
      </c>
      <c r="AH170" s="105">
        <f>'Hillpointe Detail'!AH170+'Sandhill Detail'!AH170</f>
        <v>50687.869999999995</v>
      </c>
      <c r="AI170" s="105">
        <f>'Hillpointe Detail'!AI170+'Sandhill Detail'!AI170</f>
        <v>50687.869999999995</v>
      </c>
      <c r="AJ170" s="105">
        <f>'Hillpointe Detail'!AJ170+'Sandhill Detail'!AJ170</f>
        <v>50687.869999999995</v>
      </c>
      <c r="AK170" s="105">
        <f>'Hillpointe Detail'!AK170+'Sandhill Detail'!AK170</f>
        <v>50687.869999999995</v>
      </c>
      <c r="AL170" s="105">
        <f>'Hillpointe Detail'!AL170+'Sandhill Detail'!AL170</f>
        <v>50687.869999999995</v>
      </c>
      <c r="AM170" s="105">
        <f>'Hillpointe Detail'!AM170+'Sandhill Detail'!AM170</f>
        <v>50687.869999999995</v>
      </c>
      <c r="AN170" s="105">
        <f>'Hillpointe Detail'!AN170+'Sandhill Detail'!AN170</f>
        <v>50687.869999999995</v>
      </c>
      <c r="AO170" s="105">
        <f>'Hillpointe Detail'!AO170+'Sandhill Detail'!AO170</f>
        <v>83354.672500000001</v>
      </c>
      <c r="AP170" s="105">
        <f>'Hillpointe Detail'!AP170+'Sandhill Detail'!AP170</f>
        <v>83354.672500000001</v>
      </c>
      <c r="AQ170" s="105">
        <f>'Hillpointe Detail'!AQ170+'Sandhill Detail'!AQ170</f>
        <v>83354.672500000001</v>
      </c>
      <c r="AR170" s="105">
        <f>'Hillpointe Detail'!AR170+'Sandhill Detail'!AR170</f>
        <v>83354.672500000001</v>
      </c>
      <c r="AS170" s="105">
        <f>'Hillpointe Detail'!AS170+'Sandhill Detail'!AS170</f>
        <v>83354.672500000001</v>
      </c>
      <c r="AT170" s="105">
        <f>'Hillpointe Detail'!AT170+'Sandhill Detail'!AT170</f>
        <v>83354.672500000001</v>
      </c>
      <c r="AU170" s="105">
        <f>'Hillpointe Detail'!AU170+'Sandhill Detail'!AU170</f>
        <v>83354.672500000001</v>
      </c>
      <c r="AV170" s="105">
        <f>'Hillpointe Detail'!AV170+'Sandhill Detail'!AV170</f>
        <v>83354.672500000001</v>
      </c>
      <c r="AW170" s="105">
        <f>'Hillpointe Detail'!AW170+'Sandhill Detail'!AW170</f>
        <v>83354.672500000001</v>
      </c>
      <c r="AX170" s="105">
        <f>'Hillpointe Detail'!AX170+'Sandhill Detail'!AX170</f>
        <v>83354.672500000001</v>
      </c>
      <c r="AY170" s="105">
        <f>'Hillpointe Detail'!AY170+'Sandhill Detail'!AY170</f>
        <v>83354.672500000001</v>
      </c>
      <c r="AZ170" s="105">
        <f>'Hillpointe Detail'!AZ170+'Sandhill Detail'!AZ170</f>
        <v>83354.672500000001</v>
      </c>
      <c r="BA170" s="105">
        <f>'Hillpointe Detail'!BA170+'Sandhill Detail'!BA170</f>
        <v>109145.83333333333</v>
      </c>
      <c r="BB170" s="105">
        <f>'Hillpointe Detail'!BB170+'Sandhill Detail'!BB170</f>
        <v>109145.83333333333</v>
      </c>
      <c r="BC170" s="105">
        <f>'Hillpointe Detail'!BC170+'Sandhill Detail'!BC170</f>
        <v>109145.83333333333</v>
      </c>
      <c r="BD170" s="105">
        <f>'Hillpointe Detail'!BD170+'Sandhill Detail'!BD170</f>
        <v>109145.83333333333</v>
      </c>
      <c r="BE170" s="105">
        <f>'Hillpointe Detail'!BE170+'Sandhill Detail'!BE170</f>
        <v>109145.83333333333</v>
      </c>
      <c r="BF170" s="105">
        <f>'Hillpointe Detail'!BF170+'Sandhill Detail'!BF170</f>
        <v>109145.83333333333</v>
      </c>
      <c r="BG170" s="105">
        <f>'Hillpointe Detail'!BG170+'Sandhill Detail'!BG170</f>
        <v>109145.83333333333</v>
      </c>
      <c r="BH170" s="105">
        <f>'Hillpointe Detail'!BH170+'Sandhill Detail'!BH170</f>
        <v>109145.83333333333</v>
      </c>
      <c r="BI170" s="105">
        <f>'Hillpointe Detail'!BI170+'Sandhill Detail'!BI170</f>
        <v>109145.83333333333</v>
      </c>
      <c r="BJ170" s="105">
        <f>'Hillpointe Detail'!BJ170+'Sandhill Detail'!BJ170</f>
        <v>109145.83333333333</v>
      </c>
      <c r="BK170" s="105">
        <f>'Hillpointe Detail'!BK170+'Sandhill Detail'!BK170</f>
        <v>109145.83333333333</v>
      </c>
      <c r="BL170" s="105">
        <f>'Hillpointe Detail'!BL170+'Sandhill Detail'!BL170</f>
        <v>109145.83333333333</v>
      </c>
      <c r="BM170" s="105">
        <f>'Hillpointe Detail'!BM170+'Sandhill Detail'!BM170</f>
        <v>108414.58333333333</v>
      </c>
      <c r="BN170" s="105">
        <f>'Hillpointe Detail'!BN170+'Sandhill Detail'!BN170</f>
        <v>108414.58333333333</v>
      </c>
      <c r="BO170" s="105">
        <f>'Hillpointe Detail'!BO170+'Sandhill Detail'!BO170</f>
        <v>108414.58333333333</v>
      </c>
      <c r="BP170" s="105">
        <f>'Hillpointe Detail'!BP170+'Sandhill Detail'!BP170</f>
        <v>108414.58333333333</v>
      </c>
      <c r="BQ170" s="105">
        <f>'Hillpointe Detail'!BQ170+'Sandhill Detail'!BQ170</f>
        <v>108414.58333333333</v>
      </c>
      <c r="BR170" s="105">
        <f>'Hillpointe Detail'!BR170+'Sandhill Detail'!BR170</f>
        <v>108414.58333333333</v>
      </c>
      <c r="BS170" s="105">
        <f>'Hillpointe Detail'!BS170+'Sandhill Detail'!BS170</f>
        <v>108414.58333333333</v>
      </c>
      <c r="BT170" s="105">
        <f>'Hillpointe Detail'!BT170+'Sandhill Detail'!BT170</f>
        <v>108414.58333333333</v>
      </c>
      <c r="BU170" s="105">
        <f>'Hillpointe Detail'!BU170+'Sandhill Detail'!BU170</f>
        <v>108414.58333333333</v>
      </c>
      <c r="BV170" s="105">
        <f>'Hillpointe Detail'!BV170+'Sandhill Detail'!BV170</f>
        <v>108414.58333333333</v>
      </c>
      <c r="BW170" s="105">
        <f>'Hillpointe Detail'!BW170+'Sandhill Detail'!BW170</f>
        <v>108414.58333333333</v>
      </c>
      <c r="BX170" s="105">
        <f>'Hillpointe Detail'!BX170+'Sandhill Detail'!BX170</f>
        <v>108414.58333333333</v>
      </c>
      <c r="BY170" s="8"/>
      <c r="BZ170" s="105">
        <f t="shared" si="69"/>
        <v>55349.31</v>
      </c>
      <c r="CA170" s="105">
        <f t="shared" si="70"/>
        <v>601434.65000000014</v>
      </c>
      <c r="CC170" s="105">
        <f t="shared" si="72"/>
        <v>0</v>
      </c>
      <c r="CD170" s="105">
        <f t="shared" si="71"/>
        <v>0</v>
      </c>
      <c r="CE170" s="105">
        <f t="shared" si="71"/>
        <v>267350</v>
      </c>
      <c r="CF170" s="105">
        <f t="shared" si="71"/>
        <v>656906.10000000009</v>
      </c>
      <c r="CG170" s="105">
        <f t="shared" si="71"/>
        <v>608254.43999999994</v>
      </c>
      <c r="CH170" s="105">
        <f t="shared" si="71"/>
        <v>1000256.07</v>
      </c>
      <c r="CI170" s="105">
        <f t="shared" si="71"/>
        <v>1309750</v>
      </c>
      <c r="CJ170" s="105">
        <f t="shared" si="71"/>
        <v>1300975</v>
      </c>
      <c r="CL170" s="105"/>
      <c r="CM170" s="13"/>
    </row>
    <row r="171" spans="1:91" x14ac:dyDescent="0.3">
      <c r="A171" s="84" t="s">
        <v>345</v>
      </c>
      <c r="B171" s="10"/>
      <c r="C171" s="142">
        <f>-C170</f>
        <v>0</v>
      </c>
      <c r="D171" s="142">
        <f>-D170</f>
        <v>0</v>
      </c>
      <c r="E171" s="143">
        <f>'Hillpointe Detail'!E171+'Sandhill Detail'!E171</f>
        <v>0</v>
      </c>
      <c r="F171" s="143">
        <f>'Hillpointe Detail'!F171+'Sandhill Detail'!F171</f>
        <v>0</v>
      </c>
      <c r="G171" s="143">
        <f>'Hillpointe Detail'!G171+'Sandhill Detail'!G171</f>
        <v>0</v>
      </c>
      <c r="H171" s="143">
        <f>'Hillpointe Detail'!H171+'Sandhill Detail'!H171</f>
        <v>0</v>
      </c>
      <c r="I171" s="143">
        <f>'Hillpointe Detail'!I171+'Sandhill Detail'!I171</f>
        <v>0</v>
      </c>
      <c r="J171" s="143">
        <f>'Hillpointe Detail'!J171+'Sandhill Detail'!J171</f>
        <v>0</v>
      </c>
      <c r="K171" s="143">
        <f>'Hillpointe Detail'!K171+'Sandhill Detail'!K171</f>
        <v>0</v>
      </c>
      <c r="L171" s="143">
        <f>'Hillpointe Detail'!L171+'Sandhill Detail'!L171</f>
        <v>0</v>
      </c>
      <c r="M171" s="143">
        <f>'Hillpointe Detail'!M171+'Sandhill Detail'!M171</f>
        <v>0</v>
      </c>
      <c r="N171" s="143">
        <f>'Hillpointe Detail'!N171+'Sandhill Detail'!N171</f>
        <v>0</v>
      </c>
      <c r="O171" s="143">
        <f>'Hillpointe Detail'!O171+'Sandhill Detail'!O171</f>
        <v>0</v>
      </c>
      <c r="P171" s="143">
        <f>'Hillpointe Detail'!P171+'Sandhill Detail'!P171</f>
        <v>-267350</v>
      </c>
      <c r="Q171" s="143">
        <f>'Hillpointe Detail'!Q171+'Sandhill Detail'!Q171</f>
        <v>-53924.19</v>
      </c>
      <c r="R171" s="143">
        <f>'Hillpointe Detail'!R171+'Sandhill Detail'!R171</f>
        <v>-54078.66</v>
      </c>
      <c r="S171" s="143">
        <f>'Hillpointe Detail'!S171+'Sandhill Detail'!S171</f>
        <v>-54234.44</v>
      </c>
      <c r="T171" s="143">
        <f>'Hillpointe Detail'!T171+'Sandhill Detail'!T171</f>
        <v>-54391.57</v>
      </c>
      <c r="U171" s="143">
        <f>'Hillpointe Detail'!U171+'Sandhill Detail'!U171</f>
        <v>-54550.04</v>
      </c>
      <c r="V171" s="143">
        <f>'Hillpointe Detail'!V171+'Sandhill Detail'!V171</f>
        <v>-54709.88</v>
      </c>
      <c r="W171" s="143">
        <f>'Hillpointe Detail'!W171+'Sandhill Detail'!W171</f>
        <v>-54871.08</v>
      </c>
      <c r="X171" s="143">
        <f>'Hillpointe Detail'!X171+'Sandhill Detail'!X171</f>
        <v>-54989.11</v>
      </c>
      <c r="Y171" s="143">
        <f>'Hillpointe Detail'!Y171+'Sandhill Detail'!Y171</f>
        <v>-55108.15</v>
      </c>
      <c r="Z171" s="143">
        <f>'Hillpointe Detail'!Z171+'Sandhill Detail'!Z171</f>
        <v>-55228.22</v>
      </c>
      <c r="AA171" s="143">
        <f>'Hillpointe Detail'!AA171+'Sandhill Detail'!AA171</f>
        <v>-55349.31</v>
      </c>
      <c r="AB171" s="143">
        <f>'Hillpointe Detail'!AB171+'Sandhill Detail'!AB171</f>
        <v>-55471.45</v>
      </c>
      <c r="AC171" s="143">
        <f>'Hillpointe Detail'!AC171+'Sandhill Detail'!AC171</f>
        <v>-50687.869999999995</v>
      </c>
      <c r="AD171" s="143">
        <f>'Hillpointe Detail'!AD171+'Sandhill Detail'!AD171</f>
        <v>-50687.869999999995</v>
      </c>
      <c r="AE171" s="143">
        <f>'Hillpointe Detail'!AE171+'Sandhill Detail'!AE171</f>
        <v>-50687.869999999995</v>
      </c>
      <c r="AF171" s="143">
        <f>'Hillpointe Detail'!AF171+'Sandhill Detail'!AF171</f>
        <v>-50687.869999999995</v>
      </c>
      <c r="AG171" s="143">
        <f>'Hillpointe Detail'!AG171+'Sandhill Detail'!AG171</f>
        <v>-50687.869999999995</v>
      </c>
      <c r="AH171" s="143">
        <f>'Hillpointe Detail'!AH171+'Sandhill Detail'!AH171</f>
        <v>-50687.869999999995</v>
      </c>
      <c r="AI171" s="143">
        <f>'Hillpointe Detail'!AI171+'Sandhill Detail'!AI171</f>
        <v>-50687.869999999995</v>
      </c>
      <c r="AJ171" s="143">
        <f>'Hillpointe Detail'!AJ171+'Sandhill Detail'!AJ171</f>
        <v>-50687.869999999995</v>
      </c>
      <c r="AK171" s="143">
        <f>'Hillpointe Detail'!AK171+'Sandhill Detail'!AK171</f>
        <v>-50687.869999999995</v>
      </c>
      <c r="AL171" s="143">
        <f>'Hillpointe Detail'!AL171+'Sandhill Detail'!AL171</f>
        <v>-50687.869999999995</v>
      </c>
      <c r="AM171" s="143">
        <f>'Hillpointe Detail'!AM171+'Sandhill Detail'!AM171</f>
        <v>-50687.869999999995</v>
      </c>
      <c r="AN171" s="143">
        <f>'Hillpointe Detail'!AN171+'Sandhill Detail'!AN171</f>
        <v>-50687.869999999995</v>
      </c>
      <c r="AO171" s="143">
        <f>'Hillpointe Detail'!AO171+'Sandhill Detail'!AO171</f>
        <v>-83354.672500000001</v>
      </c>
      <c r="AP171" s="143">
        <f>'Hillpointe Detail'!AP171+'Sandhill Detail'!AP171</f>
        <v>-83354.672500000001</v>
      </c>
      <c r="AQ171" s="143">
        <f>'Hillpointe Detail'!AQ171+'Sandhill Detail'!AQ171</f>
        <v>-83354.672500000001</v>
      </c>
      <c r="AR171" s="143">
        <f>'Hillpointe Detail'!AR171+'Sandhill Detail'!AR171</f>
        <v>-83354.672500000001</v>
      </c>
      <c r="AS171" s="143">
        <f>'Hillpointe Detail'!AS171+'Sandhill Detail'!AS171</f>
        <v>-83354.672500000001</v>
      </c>
      <c r="AT171" s="143">
        <f>'Hillpointe Detail'!AT171+'Sandhill Detail'!AT171</f>
        <v>-83354.672500000001</v>
      </c>
      <c r="AU171" s="143">
        <f>'Hillpointe Detail'!AU171+'Sandhill Detail'!AU171</f>
        <v>-83354.672500000001</v>
      </c>
      <c r="AV171" s="143">
        <f>'Hillpointe Detail'!AV171+'Sandhill Detail'!AV171</f>
        <v>-83354.672500000001</v>
      </c>
      <c r="AW171" s="143">
        <f>'Hillpointe Detail'!AW171+'Sandhill Detail'!AW171</f>
        <v>-83354.672500000001</v>
      </c>
      <c r="AX171" s="143">
        <f>'Hillpointe Detail'!AX171+'Sandhill Detail'!AX171</f>
        <v>-83354.672500000001</v>
      </c>
      <c r="AY171" s="143">
        <f>'Hillpointe Detail'!AY171+'Sandhill Detail'!AY171</f>
        <v>-83354.672500000001</v>
      </c>
      <c r="AZ171" s="143">
        <f>'Hillpointe Detail'!AZ171+'Sandhill Detail'!AZ171</f>
        <v>-83354.672500000001</v>
      </c>
      <c r="BA171" s="143">
        <f>'Hillpointe Detail'!BA171+'Sandhill Detail'!BA171</f>
        <v>-109145.83333333333</v>
      </c>
      <c r="BB171" s="143">
        <f>'Hillpointe Detail'!BB171+'Sandhill Detail'!BB171</f>
        <v>-109145.83333333333</v>
      </c>
      <c r="BC171" s="143">
        <f>'Hillpointe Detail'!BC171+'Sandhill Detail'!BC171</f>
        <v>-109145.83333333333</v>
      </c>
      <c r="BD171" s="143">
        <f>'Hillpointe Detail'!BD171+'Sandhill Detail'!BD171</f>
        <v>-109145.83333333333</v>
      </c>
      <c r="BE171" s="143">
        <f>'Hillpointe Detail'!BE171+'Sandhill Detail'!BE171</f>
        <v>-109145.83333333333</v>
      </c>
      <c r="BF171" s="143">
        <f>'Hillpointe Detail'!BF171+'Sandhill Detail'!BF171</f>
        <v>-109145.83333333333</v>
      </c>
      <c r="BG171" s="143">
        <f>'Hillpointe Detail'!BG171+'Sandhill Detail'!BG171</f>
        <v>-109145.83333333333</v>
      </c>
      <c r="BH171" s="143">
        <f>'Hillpointe Detail'!BH171+'Sandhill Detail'!BH171</f>
        <v>-109145.83333333333</v>
      </c>
      <c r="BI171" s="143">
        <f>'Hillpointe Detail'!BI171+'Sandhill Detail'!BI171</f>
        <v>-109145.83333333333</v>
      </c>
      <c r="BJ171" s="143">
        <f>'Hillpointe Detail'!BJ171+'Sandhill Detail'!BJ171</f>
        <v>-109145.83333333333</v>
      </c>
      <c r="BK171" s="143">
        <f>'Hillpointe Detail'!BK171+'Sandhill Detail'!BK171</f>
        <v>-109145.83333333333</v>
      </c>
      <c r="BL171" s="143">
        <f>'Hillpointe Detail'!BL171+'Sandhill Detail'!BL171</f>
        <v>-109145.83333333333</v>
      </c>
      <c r="BM171" s="143">
        <f>'Hillpointe Detail'!BM171+'Sandhill Detail'!BM171</f>
        <v>-108414.58333333333</v>
      </c>
      <c r="BN171" s="143">
        <f>'Hillpointe Detail'!BN171+'Sandhill Detail'!BN171</f>
        <v>-108414.58333333333</v>
      </c>
      <c r="BO171" s="143">
        <f>'Hillpointe Detail'!BO171+'Sandhill Detail'!BO171</f>
        <v>-108414.58333333333</v>
      </c>
      <c r="BP171" s="143">
        <f>'Hillpointe Detail'!BP171+'Sandhill Detail'!BP171</f>
        <v>-108414.58333333333</v>
      </c>
      <c r="BQ171" s="143">
        <f>'Hillpointe Detail'!BQ171+'Sandhill Detail'!BQ171</f>
        <v>-108414.58333333333</v>
      </c>
      <c r="BR171" s="143">
        <f>'Hillpointe Detail'!BR171+'Sandhill Detail'!BR171</f>
        <v>-108414.58333333333</v>
      </c>
      <c r="BS171" s="143">
        <f>'Hillpointe Detail'!BS171+'Sandhill Detail'!BS171</f>
        <v>-108414.58333333333</v>
      </c>
      <c r="BT171" s="143">
        <f>'Hillpointe Detail'!BT171+'Sandhill Detail'!BT171</f>
        <v>-108414.58333333333</v>
      </c>
      <c r="BU171" s="143">
        <f>'Hillpointe Detail'!BU171+'Sandhill Detail'!BU171</f>
        <v>-108414.58333333333</v>
      </c>
      <c r="BV171" s="143">
        <f>'Hillpointe Detail'!BV171+'Sandhill Detail'!BV171</f>
        <v>-108414.58333333333</v>
      </c>
      <c r="BW171" s="143">
        <f>'Hillpointe Detail'!BW171+'Sandhill Detail'!BW171</f>
        <v>-108414.58333333333</v>
      </c>
      <c r="BX171" s="143">
        <f>'Hillpointe Detail'!BX171+'Sandhill Detail'!BX171</f>
        <v>-108414.58333333333</v>
      </c>
      <c r="BY171" s="8"/>
      <c r="BZ171" s="143">
        <f t="shared" si="69"/>
        <v>-55349.31</v>
      </c>
      <c r="CA171" s="143">
        <f t="shared" si="70"/>
        <v>-601434.65000000014</v>
      </c>
      <c r="CC171" s="143">
        <f t="shared" si="72"/>
        <v>0</v>
      </c>
      <c r="CD171" s="143">
        <f t="shared" si="71"/>
        <v>0</v>
      </c>
      <c r="CE171" s="143">
        <f t="shared" si="71"/>
        <v>-267350</v>
      </c>
      <c r="CF171" s="143">
        <f t="shared" si="71"/>
        <v>-656906.10000000009</v>
      </c>
      <c r="CG171" s="143">
        <f t="shared" si="71"/>
        <v>-608254.43999999994</v>
      </c>
      <c r="CH171" s="143">
        <f t="shared" si="71"/>
        <v>-1000256.07</v>
      </c>
      <c r="CI171" s="143">
        <f t="shared" si="71"/>
        <v>-1309750</v>
      </c>
      <c r="CJ171" s="143">
        <f t="shared" si="71"/>
        <v>-1300975</v>
      </c>
      <c r="CL171" s="105"/>
      <c r="CM171" s="13"/>
    </row>
    <row r="172" spans="1:91" x14ac:dyDescent="0.3">
      <c r="B172" s="10"/>
      <c r="C172" s="106"/>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8"/>
      <c r="BZ172" s="18"/>
      <c r="CA172" s="18"/>
      <c r="CC172" s="18">
        <f t="shared" si="72"/>
        <v>0</v>
      </c>
      <c r="CD172" s="18">
        <f t="shared" si="71"/>
        <v>0</v>
      </c>
      <c r="CE172" s="18">
        <f t="shared" si="71"/>
        <v>0</v>
      </c>
      <c r="CF172" s="18">
        <f t="shared" si="71"/>
        <v>0</v>
      </c>
      <c r="CG172" s="18">
        <f t="shared" si="71"/>
        <v>0</v>
      </c>
      <c r="CH172" s="18">
        <f t="shared" si="71"/>
        <v>0</v>
      </c>
      <c r="CI172" s="18">
        <f t="shared" si="71"/>
        <v>0</v>
      </c>
      <c r="CJ172" s="18">
        <f t="shared" si="71"/>
        <v>0</v>
      </c>
      <c r="CL172" s="105"/>
    </row>
    <row r="173" spans="1:91" ht="15" thickBot="1" x14ac:dyDescent="0.35">
      <c r="A173" t="s">
        <v>118</v>
      </c>
      <c r="B173" s="10"/>
      <c r="C173" s="111">
        <f>SUM(C23:C31,C33:C51)-SUM(C54:C73,C75:C84,C86:C95,C97:C98,C100:C112,C114:C122,C124:C139,C142:C156,C159:C161,C163:C165,C168:C169)</f>
        <v>-368134.5699999989</v>
      </c>
      <c r="D173" s="111">
        <f t="shared" ref="D173:O173" si="73">SUM(D23:D31,D33:D51)-SUM(D54:D73,D75:D84,D86:D95,D97:D98,D100:D112,D114:D122,D124:D139,D142:D156,D159:D161,D163:D165,D168:D169)</f>
        <v>-29425.170000000857</v>
      </c>
      <c r="E173" s="111">
        <f t="shared" si="73"/>
        <v>512568.47</v>
      </c>
      <c r="F173" s="111">
        <f t="shared" si="73"/>
        <v>274638.64000000007</v>
      </c>
      <c r="G173" s="111">
        <f t="shared" si="73"/>
        <v>-96935.880000000034</v>
      </c>
      <c r="H173" s="111">
        <f t="shared" si="73"/>
        <v>337801.79999999987</v>
      </c>
      <c r="I173" s="111">
        <f t="shared" si="73"/>
        <v>-259198.16000000018</v>
      </c>
      <c r="J173" s="111">
        <f t="shared" si="73"/>
        <v>317500.70999999996</v>
      </c>
      <c r="K173" s="111">
        <f t="shared" si="73"/>
        <v>-269389.24000000017</v>
      </c>
      <c r="L173" s="111">
        <f t="shared" si="73"/>
        <v>41196.929999999935</v>
      </c>
      <c r="M173" s="111">
        <f t="shared" si="73"/>
        <v>-18044.420000000042</v>
      </c>
      <c r="N173" s="111">
        <f t="shared" si="73"/>
        <v>277215.00999999995</v>
      </c>
      <c r="O173" s="111">
        <f t="shared" si="73"/>
        <v>-277270.71999999997</v>
      </c>
      <c r="P173" s="111">
        <f>SUM(P23:P31,P33:P51)-SUM(P54:P73,P75:P84,P86:P95,P97:P98,P100:P112,P114:P122,P124:P139,P142:P156,P159:P161,P163:P165,P168:P169)</f>
        <v>-275385.20000000019</v>
      </c>
      <c r="Q173" s="111">
        <f t="shared" ref="Q173:CA173" si="74">SUM(Q23:Q31,Q33:Q51)-SUM(Q54:Q73,Q75:Q84,Q86:Q95,Q97:Q98,Q100:Q112,Q114:Q122,Q124:Q139,Q142:Q156,Q159:Q161,Q163:Q165,Q168:Q169)</f>
        <v>42999.229999999952</v>
      </c>
      <c r="R173" s="111">
        <f t="shared" si="74"/>
        <v>-72445.129999999946</v>
      </c>
      <c r="S173" s="111">
        <f t="shared" si="74"/>
        <v>304357.7900000001</v>
      </c>
      <c r="T173" s="111">
        <f t="shared" si="74"/>
        <v>-50766.930000000109</v>
      </c>
      <c r="U173" s="111">
        <f t="shared" si="74"/>
        <v>-121405.42999999993</v>
      </c>
      <c r="V173" s="111">
        <f t="shared" si="74"/>
        <v>-76841.600000000268</v>
      </c>
      <c r="W173" s="111">
        <f t="shared" si="74"/>
        <v>-63836.549999999988</v>
      </c>
      <c r="X173" s="111">
        <f t="shared" si="74"/>
        <v>-118368.46000000014</v>
      </c>
      <c r="Y173" s="111">
        <f t="shared" si="74"/>
        <v>44825.759999999835</v>
      </c>
      <c r="Z173" s="111">
        <f t="shared" si="74"/>
        <v>203147.63</v>
      </c>
      <c r="AA173" s="111">
        <f t="shared" si="74"/>
        <v>-98534.94</v>
      </c>
      <c r="AB173" s="111">
        <f t="shared" si="74"/>
        <v>-142695.85441716458</v>
      </c>
      <c r="AC173" s="111">
        <f t="shared" si="74"/>
        <v>814167.6094904762</v>
      </c>
      <c r="AD173" s="111">
        <f t="shared" si="74"/>
        <v>9263.7226799857453</v>
      </c>
      <c r="AE173" s="111">
        <f t="shared" si="74"/>
        <v>375419.49582742946</v>
      </c>
      <c r="AF173" s="111">
        <f t="shared" si="74"/>
        <v>-18537.131691241811</v>
      </c>
      <c r="AG173" s="111">
        <f t="shared" si="74"/>
        <v>-27143.541644380835</v>
      </c>
      <c r="AH173" s="111">
        <f t="shared" si="74"/>
        <v>4405.9722803940531</v>
      </c>
      <c r="AI173" s="111">
        <f t="shared" si="74"/>
        <v>-17855.558265472588</v>
      </c>
      <c r="AJ173" s="111">
        <f t="shared" si="74"/>
        <v>89002.962986483995</v>
      </c>
      <c r="AK173" s="111">
        <f t="shared" si="74"/>
        <v>43258.550195976044</v>
      </c>
      <c r="AL173" s="111">
        <f t="shared" si="74"/>
        <v>60802.847090277181</v>
      </c>
      <c r="AM173" s="111">
        <f t="shared" si="74"/>
        <v>65178.001646770339</v>
      </c>
      <c r="AN173" s="111">
        <f t="shared" si="74"/>
        <v>-195244.73811422061</v>
      </c>
      <c r="AO173" s="111">
        <f t="shared" ref="AO173:AZ173" si="75">SUM(AO23:AO31,AO33:AO51)-SUM(AO54:AO73,AO75:AO84,AO86:AO95,AO97:AO98,AO100:AO112,AO114:AO122,AO124:AO139,AO142:AO156,AO159:AO161,AO163:AO165,AO168:AO169)</f>
        <v>156976.07765961988</v>
      </c>
      <c r="AP173" s="111">
        <f t="shared" si="75"/>
        <v>17106.934569204052</v>
      </c>
      <c r="AQ173" s="111">
        <f t="shared" si="75"/>
        <v>396307.09886506712</v>
      </c>
      <c r="AR173" s="111">
        <f t="shared" si="75"/>
        <v>-21593.028110592684</v>
      </c>
      <c r="AS173" s="111">
        <f t="shared" si="75"/>
        <v>-29400.061086836853</v>
      </c>
      <c r="AT173" s="111">
        <f t="shared" si="75"/>
        <v>7119.9198088892736</v>
      </c>
      <c r="AU173" s="111">
        <f t="shared" si="75"/>
        <v>-17150.244932100235</v>
      </c>
      <c r="AV173" s="111">
        <f t="shared" si="75"/>
        <v>33020.589359929436</v>
      </c>
      <c r="AW173" s="111">
        <f t="shared" si="75"/>
        <v>16991.94982779253</v>
      </c>
      <c r="AX173" s="111">
        <f t="shared" si="75"/>
        <v>8258.3530066562234</v>
      </c>
      <c r="AY173" s="111">
        <f t="shared" si="75"/>
        <v>13903.16103016882</v>
      </c>
      <c r="AZ173" s="111">
        <f t="shared" si="75"/>
        <v>-201927.8132283598</v>
      </c>
      <c r="BA173" s="111">
        <f t="shared" ref="BA173:BX173" si="76">SUM(BA23:BA31,BA33:BA51)-SUM(BA54:BA73,BA75:BA84,BA86:BA95,BA97:BA98,BA100:BA112,BA114:BA122,BA124:BA139,BA142:BA156,BA159:BA161,BA163:BA165,BA168:BA169)</f>
        <v>203187.36893256049</v>
      </c>
      <c r="BB173" s="111">
        <f t="shared" si="76"/>
        <v>1688.5736659906688</v>
      </c>
      <c r="BC173" s="111">
        <f t="shared" si="76"/>
        <v>379630.73831886437</v>
      </c>
      <c r="BD173" s="111">
        <f t="shared" si="76"/>
        <v>-33333.925378680346</v>
      </c>
      <c r="BE173" s="111">
        <f t="shared" si="76"/>
        <v>-41628.997796770476</v>
      </c>
      <c r="BF173" s="111">
        <f t="shared" si="76"/>
        <v>-2985.1599862598232</v>
      </c>
      <c r="BG173" s="111">
        <f t="shared" si="76"/>
        <v>-27642.948220342456</v>
      </c>
      <c r="BH173" s="111">
        <f t="shared" si="76"/>
        <v>23479.958095706359</v>
      </c>
      <c r="BI173" s="111">
        <f t="shared" si="76"/>
        <v>6152.2789543417748</v>
      </c>
      <c r="BJ173" s="111">
        <f t="shared" si="76"/>
        <v>-1927.6319237273419</v>
      </c>
      <c r="BK173" s="111">
        <f t="shared" si="76"/>
        <v>3683.739630318014</v>
      </c>
      <c r="BL173" s="111">
        <f t="shared" si="76"/>
        <v>-222236.22683649202</v>
      </c>
      <c r="BM173" s="111">
        <f t="shared" si="76"/>
        <v>229899.68134003383</v>
      </c>
      <c r="BN173" s="111">
        <f t="shared" si="76"/>
        <v>4618.1763531830511</v>
      </c>
      <c r="BO173" s="111">
        <f t="shared" si="76"/>
        <v>380746.71575466881</v>
      </c>
      <c r="BP173" s="111">
        <f t="shared" si="76"/>
        <v>-30387.767144279904</v>
      </c>
      <c r="BQ173" s="111">
        <f t="shared" si="76"/>
        <v>-39941.252689453191</v>
      </c>
      <c r="BR173" s="111">
        <f t="shared" si="76"/>
        <v>-285.48535916290712</v>
      </c>
      <c r="BS173" s="111">
        <f t="shared" si="76"/>
        <v>-26661.265981214005</v>
      </c>
      <c r="BT173" s="111">
        <f t="shared" si="76"/>
        <v>27943.688941139902</v>
      </c>
      <c r="BU173" s="111">
        <f t="shared" si="76"/>
        <v>9882.3859066877048</v>
      </c>
      <c r="BV173" s="111">
        <f t="shared" si="76"/>
        <v>1983.6282838964253</v>
      </c>
      <c r="BW173" s="111">
        <f t="shared" si="76"/>
        <v>7448.3482033844339</v>
      </c>
      <c r="BX173" s="111">
        <f t="shared" si="76"/>
        <v>-225101.43908913672</v>
      </c>
      <c r="BY173" s="8"/>
      <c r="BZ173" s="111">
        <f t="shared" si="74"/>
        <v>-98534.94</v>
      </c>
      <c r="CA173" s="111">
        <f t="shared" si="74"/>
        <v>-6868.6300000008196</v>
      </c>
      <c r="CC173" s="111">
        <f t="shared" si="72"/>
        <v>-368134.5699999989</v>
      </c>
      <c r="CD173" s="111">
        <f t="shared" si="71"/>
        <v>-29425.170000000857</v>
      </c>
      <c r="CE173" s="111">
        <f t="shared" si="71"/>
        <v>564697.93999999925</v>
      </c>
      <c r="CF173" s="111">
        <f t="shared" si="71"/>
        <v>-149564.48441716505</v>
      </c>
      <c r="CG173" s="111">
        <f t="shared" si="71"/>
        <v>1202718.1924824771</v>
      </c>
      <c r="CH173" s="111">
        <f t="shared" si="71"/>
        <v>379612.93676943809</v>
      </c>
      <c r="CI173" s="111">
        <f t="shared" si="71"/>
        <v>288067.76745550922</v>
      </c>
      <c r="CJ173" s="111">
        <f t="shared" si="71"/>
        <v>340145.41451974754</v>
      </c>
      <c r="CL173" s="105"/>
      <c r="CM173" s="13"/>
    </row>
    <row r="174" spans="1:91" ht="15" thickTop="1" x14ac:dyDescent="0.3">
      <c r="A174" s="2" t="s">
        <v>246</v>
      </c>
      <c r="B174" s="10"/>
      <c r="C174" s="57">
        <f>C167-C170-C173</f>
        <v>-4.6566128730773926E-10</v>
      </c>
      <c r="D174" s="57">
        <f t="shared" ref="D174:CA174" si="77">D167-D170-D173</f>
        <v>0</v>
      </c>
      <c r="E174" s="57">
        <f t="shared" si="77"/>
        <v>0</v>
      </c>
      <c r="F174" s="57">
        <f t="shared" si="77"/>
        <v>0</v>
      </c>
      <c r="G174" s="57">
        <f t="shared" si="77"/>
        <v>0</v>
      </c>
      <c r="H174" s="57">
        <f t="shared" si="77"/>
        <v>0</v>
      </c>
      <c r="I174" s="57">
        <f t="shared" si="77"/>
        <v>0</v>
      </c>
      <c r="J174" s="57">
        <f t="shared" si="77"/>
        <v>0</v>
      </c>
      <c r="K174" s="57">
        <f t="shared" si="77"/>
        <v>0</v>
      </c>
      <c r="L174" s="57">
        <f t="shared" si="77"/>
        <v>6.5483618527650833E-11</v>
      </c>
      <c r="M174" s="57">
        <f t="shared" si="77"/>
        <v>5.8207660913467407E-11</v>
      </c>
      <c r="N174" s="57">
        <f t="shared" si="77"/>
        <v>0</v>
      </c>
      <c r="O174" s="57">
        <f t="shared" si="77"/>
        <v>0</v>
      </c>
      <c r="P174" s="57">
        <f t="shared" si="77"/>
        <v>0</v>
      </c>
      <c r="Q174" s="57">
        <f t="shared" si="77"/>
        <v>5.8207660913467407E-11</v>
      </c>
      <c r="R174" s="57">
        <f t="shared" si="77"/>
        <v>0</v>
      </c>
      <c r="S174" s="57">
        <f t="shared" si="77"/>
        <v>0</v>
      </c>
      <c r="T174" s="57">
        <f t="shared" si="77"/>
        <v>6.5483618527650833E-11</v>
      </c>
      <c r="U174" s="57">
        <f t="shared" si="77"/>
        <v>0</v>
      </c>
      <c r="V174" s="57">
        <f t="shared" si="77"/>
        <v>2.3283064365386963E-10</v>
      </c>
      <c r="W174" s="57">
        <f t="shared" si="77"/>
        <v>0</v>
      </c>
      <c r="X174" s="57">
        <f t="shared" si="77"/>
        <v>0</v>
      </c>
      <c r="Y174" s="57">
        <f t="shared" si="77"/>
        <v>1.3824319466948509E-10</v>
      </c>
      <c r="Z174" s="57">
        <f t="shared" si="77"/>
        <v>0</v>
      </c>
      <c r="AA174" s="57">
        <f t="shared" si="77"/>
        <v>0</v>
      </c>
      <c r="AB174" s="57">
        <f t="shared" si="77"/>
        <v>0</v>
      </c>
      <c r="AC174" s="57">
        <f t="shared" si="77"/>
        <v>0</v>
      </c>
      <c r="AD174" s="57">
        <f t="shared" si="77"/>
        <v>1.4551915228366852E-11</v>
      </c>
      <c r="AE174" s="57">
        <f t="shared" si="77"/>
        <v>0</v>
      </c>
      <c r="AF174" s="57">
        <f t="shared" si="77"/>
        <v>-1.4551915228366852E-10</v>
      </c>
      <c r="AG174" s="57">
        <f t="shared" si="77"/>
        <v>-1.3096723705530167E-10</v>
      </c>
      <c r="AH174" s="57">
        <f t="shared" si="77"/>
        <v>-4.3655745685100555E-11</v>
      </c>
      <c r="AI174" s="57">
        <f t="shared" si="77"/>
        <v>-7.2759576141834259E-11</v>
      </c>
      <c r="AJ174" s="57">
        <f t="shared" si="77"/>
        <v>-1.1641532182693481E-10</v>
      </c>
      <c r="AK174" s="57">
        <f t="shared" si="77"/>
        <v>-1.3096723705530167E-10</v>
      </c>
      <c r="AL174" s="57">
        <f t="shared" si="77"/>
        <v>0</v>
      </c>
      <c r="AM174" s="57">
        <f t="shared" si="77"/>
        <v>-1.4551915228366852E-10</v>
      </c>
      <c r="AN174" s="57">
        <f t="shared" si="77"/>
        <v>0</v>
      </c>
      <c r="AO174" s="57">
        <f t="shared" ref="AO174:AZ174" si="78">AO167-AO170-AO173</f>
        <v>0</v>
      </c>
      <c r="AP174" s="57">
        <f t="shared" si="78"/>
        <v>2.9103830456733704E-11</v>
      </c>
      <c r="AQ174" s="57">
        <f t="shared" si="78"/>
        <v>0</v>
      </c>
      <c r="AR174" s="57">
        <f t="shared" si="78"/>
        <v>-1.4551915228366852E-10</v>
      </c>
      <c r="AS174" s="57">
        <f t="shared" si="78"/>
        <v>-1.6007106751203537E-10</v>
      </c>
      <c r="AT174" s="57">
        <f t="shared" si="78"/>
        <v>7.2759576141834259E-11</v>
      </c>
      <c r="AU174" s="57">
        <f t="shared" si="78"/>
        <v>-7.2759576141834259E-11</v>
      </c>
      <c r="AV174" s="57">
        <f t="shared" si="78"/>
        <v>0</v>
      </c>
      <c r="AW174" s="57">
        <f t="shared" si="78"/>
        <v>0</v>
      </c>
      <c r="AX174" s="57">
        <f t="shared" si="78"/>
        <v>1.4551915228366852E-11</v>
      </c>
      <c r="AY174" s="57">
        <f t="shared" si="78"/>
        <v>-1.0186340659856796E-10</v>
      </c>
      <c r="AZ174" s="57">
        <f t="shared" si="78"/>
        <v>0</v>
      </c>
      <c r="BA174" s="57">
        <f t="shared" ref="BA174:BX174" si="79">BA167-BA170-BA173</f>
        <v>0</v>
      </c>
      <c r="BB174" s="57">
        <f t="shared" si="79"/>
        <v>-1.3096723705530167E-10</v>
      </c>
      <c r="BC174" s="57">
        <f t="shared" si="79"/>
        <v>0</v>
      </c>
      <c r="BD174" s="57">
        <f t="shared" si="79"/>
        <v>0</v>
      </c>
      <c r="BE174" s="57">
        <f t="shared" si="79"/>
        <v>-1.3096723705530167E-10</v>
      </c>
      <c r="BF174" s="57">
        <f t="shared" si="79"/>
        <v>-8.7311491370201111E-11</v>
      </c>
      <c r="BG174" s="57">
        <f t="shared" si="79"/>
        <v>1.7462298274040222E-10</v>
      </c>
      <c r="BH174" s="57">
        <f t="shared" si="79"/>
        <v>-7.2759576141834259E-11</v>
      </c>
      <c r="BI174" s="57">
        <f t="shared" si="79"/>
        <v>-1.1641532182693481E-10</v>
      </c>
      <c r="BJ174" s="57">
        <f t="shared" si="79"/>
        <v>1.4551915228366852E-10</v>
      </c>
      <c r="BK174" s="57">
        <f t="shared" si="79"/>
        <v>1.4551915228366852E-11</v>
      </c>
      <c r="BL174" s="57">
        <f t="shared" si="79"/>
        <v>0</v>
      </c>
      <c r="BM174" s="57">
        <f t="shared" si="79"/>
        <v>0</v>
      </c>
      <c r="BN174" s="57">
        <f t="shared" si="79"/>
        <v>-1.4551915228366852E-11</v>
      </c>
      <c r="BO174" s="57">
        <f t="shared" si="79"/>
        <v>0</v>
      </c>
      <c r="BP174" s="57">
        <f t="shared" si="79"/>
        <v>-2.3283064365386963E-10</v>
      </c>
      <c r="BQ174" s="57">
        <f t="shared" si="79"/>
        <v>-2.4738255888223648E-10</v>
      </c>
      <c r="BR174" s="57">
        <f t="shared" si="79"/>
        <v>4.3655745685100555E-11</v>
      </c>
      <c r="BS174" s="57">
        <f t="shared" si="79"/>
        <v>-1.0186340659856796E-10</v>
      </c>
      <c r="BT174" s="57">
        <f t="shared" si="79"/>
        <v>-1.3096723705530167E-10</v>
      </c>
      <c r="BU174" s="57">
        <f t="shared" si="79"/>
        <v>-1.1641532182693481E-10</v>
      </c>
      <c r="BV174" s="57">
        <f t="shared" si="79"/>
        <v>-1.6007106751203537E-10</v>
      </c>
      <c r="BW174" s="57">
        <f t="shared" si="79"/>
        <v>-1.3096723705530167E-10</v>
      </c>
      <c r="BX174" s="57">
        <f t="shared" si="79"/>
        <v>0</v>
      </c>
      <c r="BY174" s="2"/>
      <c r="BZ174" s="57">
        <f t="shared" si="77"/>
        <v>0</v>
      </c>
      <c r="CA174" s="57">
        <f t="shared" si="77"/>
        <v>8.149072527885437E-10</v>
      </c>
      <c r="CC174" s="57">
        <f t="shared" ref="CC174:CJ174" si="80">CC167-CC170-CC173</f>
        <v>-4.6566128730773926E-10</v>
      </c>
      <c r="CD174" s="57">
        <f t="shared" si="80"/>
        <v>0</v>
      </c>
      <c r="CE174" s="57">
        <f t="shared" si="80"/>
        <v>9.3132257461547852E-10</v>
      </c>
      <c r="CF174" s="57">
        <f t="shared" si="80"/>
        <v>6.9849193096160889E-10</v>
      </c>
      <c r="CG174" s="57">
        <f t="shared" si="80"/>
        <v>0</v>
      </c>
      <c r="CH174" s="57">
        <f t="shared" si="80"/>
        <v>-6.9849193096160889E-10</v>
      </c>
      <c r="CI174" s="57">
        <f t="shared" si="80"/>
        <v>-5.2386894822120667E-10</v>
      </c>
      <c r="CJ174" s="57">
        <f t="shared" si="80"/>
        <v>-1.2223608791828156E-9</v>
      </c>
    </row>
    <row r="175" spans="1:91" x14ac:dyDescent="0.3">
      <c r="A175" s="23" t="s">
        <v>384</v>
      </c>
      <c r="B175" s="87"/>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row>
    <row r="176" spans="1:91" x14ac:dyDescent="0.3">
      <c r="A176" t="s">
        <v>118</v>
      </c>
      <c r="B176" s="10"/>
      <c r="C176" s="368">
        <f>C173</f>
        <v>-368134.5699999989</v>
      </c>
      <c r="D176" s="368">
        <f t="shared" ref="D176:BO176" si="81">D173</f>
        <v>-29425.170000000857</v>
      </c>
      <c r="E176" s="368">
        <f t="shared" si="81"/>
        <v>512568.47</v>
      </c>
      <c r="F176" s="368">
        <f t="shared" si="81"/>
        <v>274638.64000000007</v>
      </c>
      <c r="G176" s="368">
        <f t="shared" si="81"/>
        <v>-96935.880000000034</v>
      </c>
      <c r="H176" s="368">
        <f t="shared" si="81"/>
        <v>337801.79999999987</v>
      </c>
      <c r="I176" s="368">
        <f t="shared" si="81"/>
        <v>-259198.16000000018</v>
      </c>
      <c r="J176" s="368">
        <f t="shared" si="81"/>
        <v>317500.70999999996</v>
      </c>
      <c r="K176" s="368">
        <f t="shared" si="81"/>
        <v>-269389.24000000017</v>
      </c>
      <c r="L176" s="368">
        <f t="shared" si="81"/>
        <v>41196.929999999935</v>
      </c>
      <c r="M176" s="368">
        <f t="shared" si="81"/>
        <v>-18044.420000000042</v>
      </c>
      <c r="N176" s="368">
        <f t="shared" si="81"/>
        <v>277215.00999999995</v>
      </c>
      <c r="O176" s="368">
        <f t="shared" si="81"/>
        <v>-277270.71999999997</v>
      </c>
      <c r="P176" s="368">
        <f t="shared" si="81"/>
        <v>-275385.20000000019</v>
      </c>
      <c r="Q176" s="368">
        <f t="shared" si="81"/>
        <v>42999.229999999952</v>
      </c>
      <c r="R176" s="368">
        <f t="shared" si="81"/>
        <v>-72445.129999999946</v>
      </c>
      <c r="S176" s="368">
        <f t="shared" si="81"/>
        <v>304357.7900000001</v>
      </c>
      <c r="T176" s="368">
        <f t="shared" si="81"/>
        <v>-50766.930000000109</v>
      </c>
      <c r="U176" s="368">
        <f t="shared" si="81"/>
        <v>-121405.42999999993</v>
      </c>
      <c r="V176" s="368">
        <f t="shared" si="81"/>
        <v>-76841.600000000268</v>
      </c>
      <c r="W176" s="368">
        <f t="shared" si="81"/>
        <v>-63836.549999999988</v>
      </c>
      <c r="X176" s="368">
        <f t="shared" si="81"/>
        <v>-118368.46000000014</v>
      </c>
      <c r="Y176" s="368">
        <f t="shared" si="81"/>
        <v>44825.759999999835</v>
      </c>
      <c r="Z176" s="368">
        <f t="shared" si="81"/>
        <v>203147.63</v>
      </c>
      <c r="AA176" s="368">
        <f t="shared" si="81"/>
        <v>-98534.94</v>
      </c>
      <c r="AB176" s="368">
        <f t="shared" si="81"/>
        <v>-142695.85441716458</v>
      </c>
      <c r="AC176" s="368">
        <f t="shared" si="81"/>
        <v>814167.6094904762</v>
      </c>
      <c r="AD176" s="368">
        <f t="shared" si="81"/>
        <v>9263.7226799857453</v>
      </c>
      <c r="AE176" s="368">
        <f t="shared" si="81"/>
        <v>375419.49582742946</v>
      </c>
      <c r="AF176" s="368">
        <f t="shared" si="81"/>
        <v>-18537.131691241811</v>
      </c>
      <c r="AG176" s="368">
        <f t="shared" si="81"/>
        <v>-27143.541644380835</v>
      </c>
      <c r="AH176" s="368">
        <f t="shared" si="81"/>
        <v>4405.9722803940531</v>
      </c>
      <c r="AI176" s="368">
        <f t="shared" si="81"/>
        <v>-17855.558265472588</v>
      </c>
      <c r="AJ176" s="368">
        <f t="shared" si="81"/>
        <v>89002.962986483995</v>
      </c>
      <c r="AK176" s="368">
        <f t="shared" si="81"/>
        <v>43258.550195976044</v>
      </c>
      <c r="AL176" s="368">
        <f t="shared" si="81"/>
        <v>60802.847090277181</v>
      </c>
      <c r="AM176" s="368">
        <f t="shared" si="81"/>
        <v>65178.001646770339</v>
      </c>
      <c r="AN176" s="368">
        <f t="shared" si="81"/>
        <v>-195244.73811422061</v>
      </c>
      <c r="AO176" s="368">
        <f t="shared" si="81"/>
        <v>156976.07765961988</v>
      </c>
      <c r="AP176" s="368">
        <f t="shared" si="81"/>
        <v>17106.934569204052</v>
      </c>
      <c r="AQ176" s="368">
        <f t="shared" si="81"/>
        <v>396307.09886506712</v>
      </c>
      <c r="AR176" s="368">
        <f t="shared" si="81"/>
        <v>-21593.028110592684</v>
      </c>
      <c r="AS176" s="368">
        <f t="shared" si="81"/>
        <v>-29400.061086836853</v>
      </c>
      <c r="AT176" s="368">
        <f t="shared" si="81"/>
        <v>7119.9198088892736</v>
      </c>
      <c r="AU176" s="368">
        <f t="shared" si="81"/>
        <v>-17150.244932100235</v>
      </c>
      <c r="AV176" s="368">
        <f t="shared" si="81"/>
        <v>33020.589359929436</v>
      </c>
      <c r="AW176" s="368">
        <f t="shared" si="81"/>
        <v>16991.94982779253</v>
      </c>
      <c r="AX176" s="368">
        <f t="shared" si="81"/>
        <v>8258.3530066562234</v>
      </c>
      <c r="AY176" s="368">
        <f t="shared" si="81"/>
        <v>13903.16103016882</v>
      </c>
      <c r="AZ176" s="368">
        <f t="shared" si="81"/>
        <v>-201927.8132283598</v>
      </c>
      <c r="BA176" s="368">
        <f t="shared" si="81"/>
        <v>203187.36893256049</v>
      </c>
      <c r="BB176" s="368">
        <f t="shared" si="81"/>
        <v>1688.5736659906688</v>
      </c>
      <c r="BC176" s="368">
        <f t="shared" si="81"/>
        <v>379630.73831886437</v>
      </c>
      <c r="BD176" s="368">
        <f t="shared" si="81"/>
        <v>-33333.925378680346</v>
      </c>
      <c r="BE176" s="368">
        <f t="shared" si="81"/>
        <v>-41628.997796770476</v>
      </c>
      <c r="BF176" s="368">
        <f t="shared" si="81"/>
        <v>-2985.1599862598232</v>
      </c>
      <c r="BG176" s="368">
        <f t="shared" si="81"/>
        <v>-27642.948220342456</v>
      </c>
      <c r="BH176" s="368">
        <f t="shared" si="81"/>
        <v>23479.958095706359</v>
      </c>
      <c r="BI176" s="368">
        <f t="shared" si="81"/>
        <v>6152.2789543417748</v>
      </c>
      <c r="BJ176" s="368">
        <f t="shared" si="81"/>
        <v>-1927.6319237273419</v>
      </c>
      <c r="BK176" s="368">
        <f t="shared" si="81"/>
        <v>3683.739630318014</v>
      </c>
      <c r="BL176" s="368">
        <f t="shared" si="81"/>
        <v>-222236.22683649202</v>
      </c>
      <c r="BM176" s="368">
        <f t="shared" si="81"/>
        <v>229899.68134003383</v>
      </c>
      <c r="BN176" s="368">
        <f t="shared" si="81"/>
        <v>4618.1763531830511</v>
      </c>
      <c r="BO176" s="368">
        <f t="shared" si="81"/>
        <v>380746.71575466881</v>
      </c>
      <c r="BP176" s="368">
        <f t="shared" ref="BP176:CJ176" si="82">BP173</f>
        <v>-30387.767144279904</v>
      </c>
      <c r="BQ176" s="368">
        <f t="shared" si="82"/>
        <v>-39941.252689453191</v>
      </c>
      <c r="BR176" s="368">
        <f t="shared" si="82"/>
        <v>-285.48535916290712</v>
      </c>
      <c r="BS176" s="368">
        <f t="shared" si="82"/>
        <v>-26661.265981214005</v>
      </c>
      <c r="BT176" s="368">
        <f t="shared" si="82"/>
        <v>27943.688941139902</v>
      </c>
      <c r="BU176" s="368">
        <f t="shared" si="82"/>
        <v>9882.3859066877048</v>
      </c>
      <c r="BV176" s="368">
        <f t="shared" si="82"/>
        <v>1983.6282838964253</v>
      </c>
      <c r="BW176" s="368">
        <f t="shared" si="82"/>
        <v>7448.3482033844339</v>
      </c>
      <c r="BX176" s="368">
        <f t="shared" si="82"/>
        <v>-225101.43908913672</v>
      </c>
      <c r="BY176" s="2"/>
      <c r="BZ176" s="368">
        <f t="shared" si="82"/>
        <v>-98534.94</v>
      </c>
      <c r="CA176" s="368">
        <f t="shared" si="82"/>
        <v>-6868.6300000008196</v>
      </c>
      <c r="CC176" s="368">
        <f t="shared" si="82"/>
        <v>-368134.5699999989</v>
      </c>
      <c r="CD176" s="368">
        <f t="shared" si="82"/>
        <v>-29425.170000000857</v>
      </c>
      <c r="CE176" s="368">
        <f t="shared" si="82"/>
        <v>564697.93999999925</v>
      </c>
      <c r="CF176" s="368">
        <f t="shared" si="82"/>
        <v>-149564.48441716505</v>
      </c>
      <c r="CG176" s="368">
        <f t="shared" si="82"/>
        <v>1202718.1924824771</v>
      </c>
      <c r="CH176" s="368">
        <f t="shared" si="82"/>
        <v>379612.93676943809</v>
      </c>
      <c r="CI176" s="368">
        <f t="shared" si="82"/>
        <v>288067.76745550922</v>
      </c>
      <c r="CJ176" s="368">
        <f t="shared" si="82"/>
        <v>340145.41451974754</v>
      </c>
    </row>
    <row r="177" spans="1:88" x14ac:dyDescent="0.3">
      <c r="A177" s="84" t="s">
        <v>343</v>
      </c>
      <c r="B177" s="10" t="s">
        <v>346</v>
      </c>
      <c r="C177" s="368">
        <f t="shared" ref="C177:D180" si="83">SUMIF($A$21:$A$174,$A177,C$21:C$174)</f>
        <v>0</v>
      </c>
      <c r="D177" s="368">
        <f t="shared" si="83"/>
        <v>0</v>
      </c>
      <c r="E177" s="105">
        <f>'Hillpointe Detail'!E177+'Sandhill Detail'!E177</f>
        <v>0</v>
      </c>
      <c r="F177" s="105">
        <f>'Hillpointe Detail'!F177+'Sandhill Detail'!F177</f>
        <v>0</v>
      </c>
      <c r="G177" s="105">
        <f>'Hillpointe Detail'!G177+'Sandhill Detail'!G177</f>
        <v>0</v>
      </c>
      <c r="H177" s="105">
        <f>'Hillpointe Detail'!H177+'Sandhill Detail'!H177</f>
        <v>0</v>
      </c>
      <c r="I177" s="105">
        <f>'Hillpointe Detail'!I177+'Sandhill Detail'!I177</f>
        <v>0</v>
      </c>
      <c r="J177" s="105">
        <f>'Hillpointe Detail'!J177+'Sandhill Detail'!J177</f>
        <v>0</v>
      </c>
      <c r="K177" s="105">
        <f>'Hillpointe Detail'!K177+'Sandhill Detail'!K177</f>
        <v>0</v>
      </c>
      <c r="L177" s="105">
        <f>'Hillpointe Detail'!L177+'Sandhill Detail'!L177</f>
        <v>0</v>
      </c>
      <c r="M177" s="105">
        <f>'Hillpointe Detail'!M177+'Sandhill Detail'!M177</f>
        <v>0</v>
      </c>
      <c r="N177" s="105">
        <f>'Hillpointe Detail'!N177+'Sandhill Detail'!N177</f>
        <v>0</v>
      </c>
      <c r="O177" s="105">
        <f>'Hillpointe Detail'!O177+'Sandhill Detail'!O177</f>
        <v>0</v>
      </c>
      <c r="P177" s="105">
        <f>'Hillpointe Detail'!P177+'Sandhill Detail'!P177</f>
        <v>267350</v>
      </c>
      <c r="Q177" s="105">
        <f>'Hillpointe Detail'!Q177+'Sandhill Detail'!Q177</f>
        <v>53924.19</v>
      </c>
      <c r="R177" s="105">
        <f>'Hillpointe Detail'!R177+'Sandhill Detail'!R177</f>
        <v>54078.66</v>
      </c>
      <c r="S177" s="105">
        <f>'Hillpointe Detail'!S177+'Sandhill Detail'!S177</f>
        <v>54234.44</v>
      </c>
      <c r="T177" s="105">
        <f>'Hillpointe Detail'!T177+'Sandhill Detail'!T177</f>
        <v>54391.57</v>
      </c>
      <c r="U177" s="105">
        <f>'Hillpointe Detail'!U177+'Sandhill Detail'!U177</f>
        <v>54550.04</v>
      </c>
      <c r="V177" s="105">
        <f>'Hillpointe Detail'!V177+'Sandhill Detail'!V177</f>
        <v>54709.88</v>
      </c>
      <c r="W177" s="105">
        <f>'Hillpointe Detail'!W177+'Sandhill Detail'!W177</f>
        <v>54871.08</v>
      </c>
      <c r="X177" s="105">
        <f>'Hillpointe Detail'!X177+'Sandhill Detail'!X177</f>
        <v>54989.11</v>
      </c>
      <c r="Y177" s="105">
        <f>'Hillpointe Detail'!Y177+'Sandhill Detail'!Y177</f>
        <v>55108.15</v>
      </c>
      <c r="Z177" s="105">
        <f>'Hillpointe Detail'!Z177+'Sandhill Detail'!Z177</f>
        <v>55228.22</v>
      </c>
      <c r="AA177" s="105">
        <f>'Hillpointe Detail'!AA177+'Sandhill Detail'!AA177</f>
        <v>55349.31</v>
      </c>
      <c r="AB177" s="105">
        <f>'Hillpointe Detail'!AB177+'Sandhill Detail'!AB177</f>
        <v>55471.45</v>
      </c>
      <c r="AC177" s="105">
        <f>'Hillpointe Detail'!AC177+'Sandhill Detail'!AC177</f>
        <v>50687.869999999995</v>
      </c>
      <c r="AD177" s="105">
        <f>'Hillpointe Detail'!AD177+'Sandhill Detail'!AD177</f>
        <v>50687.869999999995</v>
      </c>
      <c r="AE177" s="105">
        <f>'Hillpointe Detail'!AE177+'Sandhill Detail'!AE177</f>
        <v>50687.869999999995</v>
      </c>
      <c r="AF177" s="105">
        <f>'Hillpointe Detail'!AF177+'Sandhill Detail'!AF177</f>
        <v>50687.869999999995</v>
      </c>
      <c r="AG177" s="105">
        <f>'Hillpointe Detail'!AG177+'Sandhill Detail'!AG177</f>
        <v>50687.869999999995</v>
      </c>
      <c r="AH177" s="105">
        <f>'Hillpointe Detail'!AH177+'Sandhill Detail'!AH177</f>
        <v>50687.869999999995</v>
      </c>
      <c r="AI177" s="105">
        <f>'Hillpointe Detail'!AI177+'Sandhill Detail'!AI177</f>
        <v>50687.869999999995</v>
      </c>
      <c r="AJ177" s="105">
        <f>'Hillpointe Detail'!AJ177+'Sandhill Detail'!AJ177</f>
        <v>50687.869999999995</v>
      </c>
      <c r="AK177" s="105">
        <f>'Hillpointe Detail'!AK177+'Sandhill Detail'!AK177</f>
        <v>50687.869999999995</v>
      </c>
      <c r="AL177" s="105">
        <f>'Hillpointe Detail'!AL177+'Sandhill Detail'!AL177</f>
        <v>50687.869999999995</v>
      </c>
      <c r="AM177" s="105">
        <f>'Hillpointe Detail'!AM177+'Sandhill Detail'!AM177</f>
        <v>50687.869999999995</v>
      </c>
      <c r="AN177" s="105">
        <f>'Hillpointe Detail'!AN177+'Sandhill Detail'!AN177</f>
        <v>50687.869999999995</v>
      </c>
      <c r="AO177" s="105">
        <f>'Hillpointe Detail'!AO177+'Sandhill Detail'!AO177</f>
        <v>83354.672500000001</v>
      </c>
      <c r="AP177" s="105">
        <f>'Hillpointe Detail'!AP177+'Sandhill Detail'!AP177</f>
        <v>83354.672500000001</v>
      </c>
      <c r="AQ177" s="105">
        <f>'Hillpointe Detail'!AQ177+'Sandhill Detail'!AQ177</f>
        <v>83354.672500000001</v>
      </c>
      <c r="AR177" s="105">
        <f>'Hillpointe Detail'!AR177+'Sandhill Detail'!AR177</f>
        <v>83354.672500000001</v>
      </c>
      <c r="AS177" s="105">
        <f>'Hillpointe Detail'!AS177+'Sandhill Detail'!AS177</f>
        <v>83354.672500000001</v>
      </c>
      <c r="AT177" s="105">
        <f>'Hillpointe Detail'!AT177+'Sandhill Detail'!AT177</f>
        <v>83354.672500000001</v>
      </c>
      <c r="AU177" s="105">
        <f>'Hillpointe Detail'!AU177+'Sandhill Detail'!AU177</f>
        <v>83354.672500000001</v>
      </c>
      <c r="AV177" s="105">
        <f>'Hillpointe Detail'!AV177+'Sandhill Detail'!AV177</f>
        <v>83354.672500000001</v>
      </c>
      <c r="AW177" s="105">
        <f>'Hillpointe Detail'!AW177+'Sandhill Detail'!AW177</f>
        <v>83354.672500000001</v>
      </c>
      <c r="AX177" s="105">
        <f>'Hillpointe Detail'!AX177+'Sandhill Detail'!AX177</f>
        <v>83354.672500000001</v>
      </c>
      <c r="AY177" s="105">
        <f>'Hillpointe Detail'!AY177+'Sandhill Detail'!AY177</f>
        <v>83354.672500000001</v>
      </c>
      <c r="AZ177" s="105">
        <f>'Hillpointe Detail'!AZ177+'Sandhill Detail'!AZ177</f>
        <v>83354.672500000001</v>
      </c>
      <c r="BA177" s="105">
        <f>'Hillpointe Detail'!BA177+'Sandhill Detail'!BA177</f>
        <v>109145.83333333333</v>
      </c>
      <c r="BB177" s="105">
        <f>'Hillpointe Detail'!BB177+'Sandhill Detail'!BB177</f>
        <v>109145.83333333333</v>
      </c>
      <c r="BC177" s="105">
        <f>'Hillpointe Detail'!BC177+'Sandhill Detail'!BC177</f>
        <v>109145.83333333333</v>
      </c>
      <c r="BD177" s="105">
        <f>'Hillpointe Detail'!BD177+'Sandhill Detail'!BD177</f>
        <v>109145.83333333333</v>
      </c>
      <c r="BE177" s="105">
        <f>'Hillpointe Detail'!BE177+'Sandhill Detail'!BE177</f>
        <v>109145.83333333333</v>
      </c>
      <c r="BF177" s="105">
        <f>'Hillpointe Detail'!BF177+'Sandhill Detail'!BF177</f>
        <v>109145.83333333333</v>
      </c>
      <c r="BG177" s="105">
        <f>'Hillpointe Detail'!BG177+'Sandhill Detail'!BG177</f>
        <v>109145.83333333333</v>
      </c>
      <c r="BH177" s="105">
        <f>'Hillpointe Detail'!BH177+'Sandhill Detail'!BH177</f>
        <v>109145.83333333333</v>
      </c>
      <c r="BI177" s="105">
        <f>'Hillpointe Detail'!BI177+'Sandhill Detail'!BI177</f>
        <v>109145.83333333333</v>
      </c>
      <c r="BJ177" s="105">
        <f>'Hillpointe Detail'!BJ177+'Sandhill Detail'!BJ177</f>
        <v>109145.83333333333</v>
      </c>
      <c r="BK177" s="105">
        <f>'Hillpointe Detail'!BK177+'Sandhill Detail'!BK177</f>
        <v>109145.83333333333</v>
      </c>
      <c r="BL177" s="105">
        <f>'Hillpointe Detail'!BL177+'Sandhill Detail'!BL177</f>
        <v>109145.83333333333</v>
      </c>
      <c r="BM177" s="105">
        <f>'Hillpointe Detail'!BM177+'Sandhill Detail'!BM177</f>
        <v>108414.58333333333</v>
      </c>
      <c r="BN177" s="105">
        <f>'Hillpointe Detail'!BN177+'Sandhill Detail'!BN177</f>
        <v>108414.58333333333</v>
      </c>
      <c r="BO177" s="105">
        <f>'Hillpointe Detail'!BO177+'Sandhill Detail'!BO177</f>
        <v>108414.58333333333</v>
      </c>
      <c r="BP177" s="105">
        <f>'Hillpointe Detail'!BP177+'Sandhill Detail'!BP177</f>
        <v>108414.58333333333</v>
      </c>
      <c r="BQ177" s="105">
        <f>'Hillpointe Detail'!BQ177+'Sandhill Detail'!BQ177</f>
        <v>108414.58333333333</v>
      </c>
      <c r="BR177" s="105">
        <f>'Hillpointe Detail'!BR177+'Sandhill Detail'!BR177</f>
        <v>108414.58333333333</v>
      </c>
      <c r="BS177" s="105">
        <f>'Hillpointe Detail'!BS177+'Sandhill Detail'!BS177</f>
        <v>108414.58333333333</v>
      </c>
      <c r="BT177" s="105">
        <f>'Hillpointe Detail'!BT177+'Sandhill Detail'!BT177</f>
        <v>108414.58333333333</v>
      </c>
      <c r="BU177" s="105">
        <f>'Hillpointe Detail'!BU177+'Sandhill Detail'!BU177</f>
        <v>108414.58333333333</v>
      </c>
      <c r="BV177" s="105">
        <f>'Hillpointe Detail'!BV177+'Sandhill Detail'!BV177</f>
        <v>108414.58333333333</v>
      </c>
      <c r="BW177" s="105">
        <f>'Hillpointe Detail'!BW177+'Sandhill Detail'!BW177</f>
        <v>108414.58333333333</v>
      </c>
      <c r="BX177" s="105">
        <f>'Hillpointe Detail'!BX177+'Sandhill Detail'!BX177</f>
        <v>108414.58333333333</v>
      </c>
      <c r="BY177" s="8"/>
      <c r="BZ177" s="105">
        <f>SUMIF($B$252:$BY$252,1,$B177:$BY177)</f>
        <v>55349.31</v>
      </c>
      <c r="CA177" s="105">
        <f>SUMIF($B$253:$BY$253,1,$B177:$BY177)</f>
        <v>601434.65000000014</v>
      </c>
      <c r="CC177" s="105">
        <f t="shared" ref="CC177:CC181" si="84">SUMIF($C$3:$BY$3,CC$3,$C177:$BY177)</f>
        <v>0</v>
      </c>
      <c r="CD177" s="105">
        <f t="shared" ref="CD177:CJ181" si="85">SUMIF($C$3:$BY$3,CD$3,$C177:$BY177)</f>
        <v>0</v>
      </c>
      <c r="CE177" s="105">
        <f t="shared" si="85"/>
        <v>267350</v>
      </c>
      <c r="CF177" s="105">
        <f t="shared" si="85"/>
        <v>656906.10000000009</v>
      </c>
      <c r="CG177" s="105">
        <f t="shared" si="85"/>
        <v>608254.43999999994</v>
      </c>
      <c r="CH177" s="105">
        <f t="shared" si="85"/>
        <v>1000256.07</v>
      </c>
      <c r="CI177" s="105">
        <f t="shared" si="85"/>
        <v>1309750</v>
      </c>
      <c r="CJ177" s="105">
        <f t="shared" si="85"/>
        <v>1300975</v>
      </c>
    </row>
    <row r="178" spans="1:88" x14ac:dyDescent="0.3">
      <c r="A178" s="84" t="s">
        <v>95</v>
      </c>
      <c r="B178" s="10" t="s">
        <v>159</v>
      </c>
      <c r="C178" s="368">
        <f t="shared" si="83"/>
        <v>2267</v>
      </c>
      <c r="D178" s="368">
        <f t="shared" si="83"/>
        <v>5535</v>
      </c>
      <c r="E178" s="105">
        <f>'Hillpointe Detail'!E178+'Sandhill Detail'!E178</f>
        <v>283.33999999999997</v>
      </c>
      <c r="F178" s="105">
        <f>'Hillpointe Detail'!F178+'Sandhill Detail'!F178</f>
        <v>283.33999999999997</v>
      </c>
      <c r="G178" s="105">
        <f>'Hillpointe Detail'!G178+'Sandhill Detail'!G178</f>
        <v>283.33999999999997</v>
      </c>
      <c r="H178" s="105">
        <f>'Hillpointe Detail'!H178+'Sandhill Detail'!H178</f>
        <v>283.33999999999997</v>
      </c>
      <c r="I178" s="105">
        <f>'Hillpointe Detail'!I178+'Sandhill Detail'!I178</f>
        <v>283.33999999999997</v>
      </c>
      <c r="J178" s="105">
        <f>'Hillpointe Detail'!J178+'Sandhill Detail'!J178</f>
        <v>283.33999999999997</v>
      </c>
      <c r="K178" s="105">
        <f>'Hillpointe Detail'!K178+'Sandhill Detail'!K178</f>
        <v>283.33999999999997</v>
      </c>
      <c r="L178" s="105">
        <f>'Hillpointe Detail'!L178+'Sandhill Detail'!L178</f>
        <v>283.34000000000003</v>
      </c>
      <c r="M178" s="105">
        <f>'Hillpointe Detail'!M178+'Sandhill Detail'!M178</f>
        <v>9317.0300000000007</v>
      </c>
      <c r="N178" s="105">
        <f>'Hillpointe Detail'!N178+'Sandhill Detail'!N178</f>
        <v>2643.08</v>
      </c>
      <c r="O178" s="105">
        <f>'Hillpointe Detail'!O178+'Sandhill Detail'!O178</f>
        <v>2728.06</v>
      </c>
      <c r="P178" s="105">
        <f>'Hillpointe Detail'!P178+'Sandhill Detail'!P178</f>
        <v>129454.54000000001</v>
      </c>
      <c r="Q178" s="105">
        <f>'Hillpointe Detail'!Q178+'Sandhill Detail'!Q178</f>
        <v>23791.88</v>
      </c>
      <c r="R178" s="105">
        <f>'Hillpointe Detail'!R178+'Sandhill Detail'!R178</f>
        <v>23847.31</v>
      </c>
      <c r="S178" s="105">
        <f>'Hillpointe Detail'!S178+'Sandhill Detail'!S178</f>
        <v>23847.31</v>
      </c>
      <c r="T178" s="105">
        <f>'Hillpointe Detail'!T178+'Sandhill Detail'!T178</f>
        <v>23847.31</v>
      </c>
      <c r="U178" s="105">
        <f>'Hillpointe Detail'!U178+'Sandhill Detail'!U178</f>
        <v>23847.31</v>
      </c>
      <c r="V178" s="105">
        <f>'Hillpointe Detail'!V178+'Sandhill Detail'!V178</f>
        <v>23847.31</v>
      </c>
      <c r="W178" s="105">
        <f>'Hillpointe Detail'!W178+'Sandhill Detail'!W178</f>
        <v>23847.31</v>
      </c>
      <c r="X178" s="105">
        <f>'Hillpointe Detail'!X178+'Sandhill Detail'!X178</f>
        <v>23847.31</v>
      </c>
      <c r="Y178" s="105">
        <f>'Hillpointe Detail'!Y178+'Sandhill Detail'!Y178</f>
        <v>23847.31</v>
      </c>
      <c r="Z178" s="105">
        <f>'Hillpointe Detail'!Z178+'Sandhill Detail'!Z178</f>
        <v>23957.93</v>
      </c>
      <c r="AA178" s="105">
        <f>'Hillpointe Detail'!AA178+'Sandhill Detail'!AA178</f>
        <v>21831.32</v>
      </c>
      <c r="AB178" s="105">
        <f>'Hillpointe Detail'!AB178+'Sandhill Detail'!AB178</f>
        <v>23847.31</v>
      </c>
      <c r="AC178" s="105">
        <f>'Hillpointe Detail'!AC178+'Sandhill Detail'!AC178</f>
        <v>25452.287142857149</v>
      </c>
      <c r="AD178" s="105">
        <f>'Hillpointe Detail'!AD178+'Sandhill Detail'!AD178</f>
        <v>25452.287142857149</v>
      </c>
      <c r="AE178" s="105">
        <f>'Hillpointe Detail'!AE178+'Sandhill Detail'!AE178</f>
        <v>25461.810952380962</v>
      </c>
      <c r="AF178" s="105">
        <f>'Hillpointe Detail'!AF178+'Sandhill Detail'!AF178</f>
        <v>25471.334761904767</v>
      </c>
      <c r="AG178" s="105">
        <f>'Hillpointe Detail'!AG178+'Sandhill Detail'!AG178</f>
        <v>25509.430000000008</v>
      </c>
      <c r="AH178" s="105">
        <f>'Hillpointe Detail'!AH178+'Sandhill Detail'!AH178</f>
        <v>27434.505926424648</v>
      </c>
      <c r="AI178" s="105">
        <f>'Hillpointe Detail'!AI178+'Sandhill Detail'!AI178</f>
        <v>29359.581852849293</v>
      </c>
      <c r="AJ178" s="105">
        <f>'Hillpointe Detail'!AJ178+'Sandhill Detail'!AJ178</f>
        <v>31284.657779273937</v>
      </c>
      <c r="AK178" s="105">
        <f>'Hillpointe Detail'!AK178+'Sandhill Detail'!AK178</f>
        <v>33209.733705698571</v>
      </c>
      <c r="AL178" s="105">
        <f>'Hillpointe Detail'!AL178+'Sandhill Detail'!AL178</f>
        <v>35134.809632123215</v>
      </c>
      <c r="AM178" s="105">
        <f>'Hillpointe Detail'!AM178+'Sandhill Detail'!AM178</f>
        <v>37059.88555854786</v>
      </c>
      <c r="AN178" s="105">
        <f>'Hillpointe Detail'!AN178+'Sandhill Detail'!AN178</f>
        <v>38984.961484972504</v>
      </c>
      <c r="AO178" s="105">
        <f>'Hillpointe Detail'!AO178+'Sandhill Detail'!AO178</f>
        <v>40908.269365713495</v>
      </c>
      <c r="AP178" s="105">
        <f>'Hillpointe Detail'!AP178+'Sandhill Detail'!AP178</f>
        <v>42831.577246454501</v>
      </c>
      <c r="AQ178" s="105">
        <f>'Hillpointe Detail'!AQ178+'Sandhill Detail'!AQ178</f>
        <v>44754.885127195506</v>
      </c>
      <c r="AR178" s="105">
        <f>'Hillpointe Detail'!AR178+'Sandhill Detail'!AR178</f>
        <v>46678.193007936505</v>
      </c>
      <c r="AS178" s="105">
        <f>'Hillpointe Detail'!AS178+'Sandhill Detail'!AS178</f>
        <v>46698.034277777777</v>
      </c>
      <c r="AT178" s="105">
        <f>'Hillpointe Detail'!AT178+'Sandhill Detail'!AT178</f>
        <v>46717.875547619042</v>
      </c>
      <c r="AU178" s="105">
        <f>'Hillpointe Detail'!AU178+'Sandhill Detail'!AU178</f>
        <v>46737.716817460314</v>
      </c>
      <c r="AV178" s="105">
        <f>'Hillpointe Detail'!AV178+'Sandhill Detail'!AV178</f>
        <v>46757.558087301572</v>
      </c>
      <c r="AW178" s="105">
        <f>'Hillpointe Detail'!AW178+'Sandhill Detail'!AW178</f>
        <v>46777.399357142836</v>
      </c>
      <c r="AX178" s="105">
        <f>'Hillpointe Detail'!AX178+'Sandhill Detail'!AX178</f>
        <v>46797.240626984109</v>
      </c>
      <c r="AY178" s="105">
        <f>'Hillpointe Detail'!AY178+'Sandhill Detail'!AY178</f>
        <v>46817.081896825373</v>
      </c>
      <c r="AZ178" s="105">
        <f>'Hillpointe Detail'!AZ178+'Sandhill Detail'!AZ178</f>
        <v>46836.923166666646</v>
      </c>
      <c r="BA178" s="105">
        <f>'Hillpointe Detail'!BA178+'Sandhill Detail'!BA178</f>
        <v>46856.764436507903</v>
      </c>
      <c r="BB178" s="105">
        <f>'Hillpointe Detail'!BB178+'Sandhill Detail'!BB178</f>
        <v>46876.605706349175</v>
      </c>
      <c r="BC178" s="105">
        <f>'Hillpointe Detail'!BC178+'Sandhill Detail'!BC178</f>
        <v>46896.44697619044</v>
      </c>
      <c r="BD178" s="105">
        <f>'Hillpointe Detail'!BD178+'Sandhill Detail'!BD178</f>
        <v>46916.288246031712</v>
      </c>
      <c r="BE178" s="105">
        <f>'Hillpointe Detail'!BE178+'Sandhill Detail'!BE178</f>
        <v>46936.129515872977</v>
      </c>
      <c r="BF178" s="105">
        <f>'Hillpointe Detail'!BF178+'Sandhill Detail'!BF178</f>
        <v>46955.970785714249</v>
      </c>
      <c r="BG178" s="105">
        <f>'Hillpointe Detail'!BG178+'Sandhill Detail'!BG178</f>
        <v>46975.812055555507</v>
      </c>
      <c r="BH178" s="105">
        <f>'Hillpointe Detail'!BH178+'Sandhill Detail'!BH178</f>
        <v>46995.653325396772</v>
      </c>
      <c r="BI178" s="105">
        <f>'Hillpointe Detail'!BI178+'Sandhill Detail'!BI178</f>
        <v>47015.494595238044</v>
      </c>
      <c r="BJ178" s="105">
        <f>'Hillpointe Detail'!BJ178+'Sandhill Detail'!BJ178</f>
        <v>47035.335865079309</v>
      </c>
      <c r="BK178" s="105">
        <f>'Hillpointe Detail'!BK178+'Sandhill Detail'!BK178</f>
        <v>47055.177134920581</v>
      </c>
      <c r="BL178" s="105">
        <f>'Hillpointe Detail'!BL178+'Sandhill Detail'!BL178</f>
        <v>47075.018404761839</v>
      </c>
      <c r="BM178" s="105">
        <f>'Hillpointe Detail'!BM178+'Sandhill Detail'!BM178</f>
        <v>47094.859674603111</v>
      </c>
      <c r="BN178" s="105">
        <f>'Hillpointe Detail'!BN178+'Sandhill Detail'!BN178</f>
        <v>47114.700944444376</v>
      </c>
      <c r="BO178" s="105">
        <f>'Hillpointe Detail'!BO178+'Sandhill Detail'!BO178</f>
        <v>47134.542214285648</v>
      </c>
      <c r="BP178" s="105">
        <f>'Hillpointe Detail'!BP178+'Sandhill Detail'!BP178</f>
        <v>47154.383484126913</v>
      </c>
      <c r="BQ178" s="105">
        <f>'Hillpointe Detail'!BQ178+'Sandhill Detail'!BQ178</f>
        <v>47174.224753968185</v>
      </c>
      <c r="BR178" s="105">
        <f>'Hillpointe Detail'!BR178+'Sandhill Detail'!BR178</f>
        <v>47194.066023809442</v>
      </c>
      <c r="BS178" s="105">
        <f>'Hillpointe Detail'!BS178+'Sandhill Detail'!BS178</f>
        <v>47213.907293650715</v>
      </c>
      <c r="BT178" s="105">
        <f>'Hillpointe Detail'!BT178+'Sandhill Detail'!BT178</f>
        <v>47233.748563491979</v>
      </c>
      <c r="BU178" s="105">
        <f>'Hillpointe Detail'!BU178+'Sandhill Detail'!BU178</f>
        <v>47253.589833333244</v>
      </c>
      <c r="BV178" s="105">
        <f>'Hillpointe Detail'!BV178+'Sandhill Detail'!BV178</f>
        <v>47273.431103174516</v>
      </c>
      <c r="BW178" s="105">
        <f>'Hillpointe Detail'!BW178+'Sandhill Detail'!BW178</f>
        <v>47293.272373015774</v>
      </c>
      <c r="BX178" s="105">
        <f>'Hillpointe Detail'!BX178+'Sandhill Detail'!BX178</f>
        <v>47313.113642857046</v>
      </c>
      <c r="BY178" s="8"/>
      <c r="BZ178" s="105">
        <f>SUMIF($B$252:$BY$252,1,$B178:$BY178)</f>
        <v>21831.32</v>
      </c>
      <c r="CA178" s="105">
        <f>SUMIF($B$253:$BY$253,1,$B178:$BY178)</f>
        <v>260359.61</v>
      </c>
      <c r="CC178" s="105">
        <f t="shared" si="84"/>
        <v>2267</v>
      </c>
      <c r="CD178" s="105">
        <f t="shared" si="85"/>
        <v>5535</v>
      </c>
      <c r="CE178" s="105">
        <f t="shared" si="85"/>
        <v>146409.43</v>
      </c>
      <c r="CF178" s="105">
        <f t="shared" si="85"/>
        <v>284206.92</v>
      </c>
      <c r="CG178" s="105">
        <f t="shared" si="85"/>
        <v>359815.28593989002</v>
      </c>
      <c r="CH178" s="105">
        <f t="shared" si="85"/>
        <v>549312.75452507765</v>
      </c>
      <c r="CI178" s="105">
        <f t="shared" si="85"/>
        <v>563590.69704761845</v>
      </c>
      <c r="CJ178" s="105">
        <f t="shared" si="85"/>
        <v>566447.83990476094</v>
      </c>
    </row>
    <row r="179" spans="1:88" x14ac:dyDescent="0.3">
      <c r="A179" s="84" t="s">
        <v>368</v>
      </c>
      <c r="B179" s="10" t="s">
        <v>388</v>
      </c>
      <c r="C179" s="368">
        <f t="shared" si="83"/>
        <v>0</v>
      </c>
      <c r="D179" s="368">
        <f t="shared" si="83"/>
        <v>0</v>
      </c>
      <c r="E179" s="105">
        <f>'Hillpointe Detail'!E179+'Sandhill Detail'!E179</f>
        <v>0</v>
      </c>
      <c r="F179" s="105">
        <f>'Hillpointe Detail'!F179+'Sandhill Detail'!F179</f>
        <v>0</v>
      </c>
      <c r="G179" s="105">
        <f>'Hillpointe Detail'!G179+'Sandhill Detail'!G179</f>
        <v>0</v>
      </c>
      <c r="H179" s="105">
        <f>'Hillpointe Detail'!H179+'Sandhill Detail'!H179</f>
        <v>0</v>
      </c>
      <c r="I179" s="105">
        <f>'Hillpointe Detail'!I179+'Sandhill Detail'!I179</f>
        <v>0</v>
      </c>
      <c r="J179" s="105">
        <f>'Hillpointe Detail'!J179+'Sandhill Detail'!J179</f>
        <v>0</v>
      </c>
      <c r="K179" s="105">
        <f>'Hillpointe Detail'!K179+'Sandhill Detail'!K179</f>
        <v>0</v>
      </c>
      <c r="L179" s="105">
        <f>'Hillpointe Detail'!L179+'Sandhill Detail'!L179</f>
        <v>0</v>
      </c>
      <c r="M179" s="105">
        <f>'Hillpointe Detail'!M179+'Sandhill Detail'!M179</f>
        <v>0</v>
      </c>
      <c r="N179" s="105">
        <f>'Hillpointe Detail'!N179+'Sandhill Detail'!N179</f>
        <v>0</v>
      </c>
      <c r="O179" s="105">
        <f>'Hillpointe Detail'!O179+'Sandhill Detail'!O179</f>
        <v>0</v>
      </c>
      <c r="P179" s="105">
        <f>'Hillpointe Detail'!P179+'Sandhill Detail'!P179</f>
        <v>49606</v>
      </c>
      <c r="Q179" s="105">
        <f>'Hillpointe Detail'!Q179+'Sandhill Detail'!Q179</f>
        <v>0</v>
      </c>
      <c r="R179" s="105">
        <f>'Hillpointe Detail'!R179+'Sandhill Detail'!R179</f>
        <v>0</v>
      </c>
      <c r="S179" s="105">
        <f>'Hillpointe Detail'!S179+'Sandhill Detail'!S179</f>
        <v>0</v>
      </c>
      <c r="T179" s="105">
        <f>'Hillpointe Detail'!T179+'Sandhill Detail'!T179</f>
        <v>0</v>
      </c>
      <c r="U179" s="105">
        <f>'Hillpointe Detail'!U179+'Sandhill Detail'!U179</f>
        <v>0</v>
      </c>
      <c r="V179" s="105">
        <f>'Hillpointe Detail'!V179+'Sandhill Detail'!V179</f>
        <v>0</v>
      </c>
      <c r="W179" s="105">
        <f>'Hillpointe Detail'!W179+'Sandhill Detail'!W179</f>
        <v>0</v>
      </c>
      <c r="X179" s="105">
        <f>'Hillpointe Detail'!X179+'Sandhill Detail'!X179</f>
        <v>0</v>
      </c>
      <c r="Y179" s="105">
        <f>'Hillpointe Detail'!Y179+'Sandhill Detail'!Y179</f>
        <v>0</v>
      </c>
      <c r="Z179" s="105">
        <f>'Hillpointe Detail'!Z179+'Sandhill Detail'!Z179</f>
        <v>0</v>
      </c>
      <c r="AA179" s="105">
        <f>'Hillpointe Detail'!AA179+'Sandhill Detail'!AA179</f>
        <v>0</v>
      </c>
      <c r="AB179" s="105">
        <f>'Hillpointe Detail'!AB179+'Sandhill Detail'!AB179</f>
        <v>0</v>
      </c>
      <c r="AC179" s="105">
        <f>'Hillpointe Detail'!AC179+'Sandhill Detail'!AC179</f>
        <v>0</v>
      </c>
      <c r="AD179" s="105">
        <f>'Hillpointe Detail'!AD179+'Sandhill Detail'!AD179</f>
        <v>0</v>
      </c>
      <c r="AE179" s="105">
        <f>'Hillpointe Detail'!AE179+'Sandhill Detail'!AE179</f>
        <v>0</v>
      </c>
      <c r="AF179" s="105">
        <f>'Hillpointe Detail'!AF179+'Sandhill Detail'!AF179</f>
        <v>0</v>
      </c>
      <c r="AG179" s="105">
        <f>'Hillpointe Detail'!AG179+'Sandhill Detail'!AG179</f>
        <v>0</v>
      </c>
      <c r="AH179" s="105">
        <f>'Hillpointe Detail'!AH179+'Sandhill Detail'!AH179</f>
        <v>0</v>
      </c>
      <c r="AI179" s="105">
        <f>'Hillpointe Detail'!AI179+'Sandhill Detail'!AI179</f>
        <v>0</v>
      </c>
      <c r="AJ179" s="105">
        <f>'Hillpointe Detail'!AJ179+'Sandhill Detail'!AJ179</f>
        <v>0</v>
      </c>
      <c r="AK179" s="105">
        <f>'Hillpointe Detail'!AK179+'Sandhill Detail'!AK179</f>
        <v>0</v>
      </c>
      <c r="AL179" s="105">
        <f>'Hillpointe Detail'!AL179+'Sandhill Detail'!AL179</f>
        <v>0</v>
      </c>
      <c r="AM179" s="105">
        <f>'Hillpointe Detail'!AM179+'Sandhill Detail'!AM179</f>
        <v>0</v>
      </c>
      <c r="AN179" s="105">
        <f>'Hillpointe Detail'!AN179+'Sandhill Detail'!AN179</f>
        <v>0</v>
      </c>
      <c r="AO179" s="105">
        <f>'Hillpointe Detail'!AO179+'Sandhill Detail'!AO179</f>
        <v>0</v>
      </c>
      <c r="AP179" s="105">
        <f>'Hillpointe Detail'!AP179+'Sandhill Detail'!AP179</f>
        <v>0</v>
      </c>
      <c r="AQ179" s="105">
        <f>'Hillpointe Detail'!AQ179+'Sandhill Detail'!AQ179</f>
        <v>0</v>
      </c>
      <c r="AR179" s="105">
        <f>'Hillpointe Detail'!AR179+'Sandhill Detail'!AR179</f>
        <v>0</v>
      </c>
      <c r="AS179" s="105">
        <f>'Hillpointe Detail'!AS179+'Sandhill Detail'!AS179</f>
        <v>0</v>
      </c>
      <c r="AT179" s="105">
        <f>'Hillpointe Detail'!AT179+'Sandhill Detail'!AT179</f>
        <v>0</v>
      </c>
      <c r="AU179" s="105">
        <f>'Hillpointe Detail'!AU179+'Sandhill Detail'!AU179</f>
        <v>0</v>
      </c>
      <c r="AV179" s="105">
        <f>'Hillpointe Detail'!AV179+'Sandhill Detail'!AV179</f>
        <v>0</v>
      </c>
      <c r="AW179" s="105">
        <f>'Hillpointe Detail'!AW179+'Sandhill Detail'!AW179</f>
        <v>0</v>
      </c>
      <c r="AX179" s="105">
        <f>'Hillpointe Detail'!AX179+'Sandhill Detail'!AX179</f>
        <v>0</v>
      </c>
      <c r="AY179" s="105">
        <f>'Hillpointe Detail'!AY179+'Sandhill Detail'!AY179</f>
        <v>0</v>
      </c>
      <c r="AZ179" s="105">
        <f>'Hillpointe Detail'!AZ179+'Sandhill Detail'!AZ179</f>
        <v>0</v>
      </c>
      <c r="BA179" s="105">
        <f>'Hillpointe Detail'!BA179+'Sandhill Detail'!BA179</f>
        <v>0</v>
      </c>
      <c r="BB179" s="105">
        <f>'Hillpointe Detail'!BB179+'Sandhill Detail'!BB179</f>
        <v>0</v>
      </c>
      <c r="BC179" s="105">
        <f>'Hillpointe Detail'!BC179+'Sandhill Detail'!BC179</f>
        <v>0</v>
      </c>
      <c r="BD179" s="105">
        <f>'Hillpointe Detail'!BD179+'Sandhill Detail'!BD179</f>
        <v>0</v>
      </c>
      <c r="BE179" s="105">
        <f>'Hillpointe Detail'!BE179+'Sandhill Detail'!BE179</f>
        <v>0</v>
      </c>
      <c r="BF179" s="105">
        <f>'Hillpointe Detail'!BF179+'Sandhill Detail'!BF179</f>
        <v>0</v>
      </c>
      <c r="BG179" s="105">
        <f>'Hillpointe Detail'!BG179+'Sandhill Detail'!BG179</f>
        <v>0</v>
      </c>
      <c r="BH179" s="105">
        <f>'Hillpointe Detail'!BH179+'Sandhill Detail'!BH179</f>
        <v>0</v>
      </c>
      <c r="BI179" s="105">
        <f>'Hillpointe Detail'!BI179+'Sandhill Detail'!BI179</f>
        <v>0</v>
      </c>
      <c r="BJ179" s="105">
        <f>'Hillpointe Detail'!BJ179+'Sandhill Detail'!BJ179</f>
        <v>0</v>
      </c>
      <c r="BK179" s="105">
        <f>'Hillpointe Detail'!BK179+'Sandhill Detail'!BK179</f>
        <v>0</v>
      </c>
      <c r="BL179" s="105">
        <f>'Hillpointe Detail'!BL179+'Sandhill Detail'!BL179</f>
        <v>0</v>
      </c>
      <c r="BM179" s="105">
        <f>'Hillpointe Detail'!BM179+'Sandhill Detail'!BM179</f>
        <v>0</v>
      </c>
      <c r="BN179" s="105">
        <f>'Hillpointe Detail'!BN179+'Sandhill Detail'!BN179</f>
        <v>0</v>
      </c>
      <c r="BO179" s="105">
        <f>'Hillpointe Detail'!BO179+'Sandhill Detail'!BO179</f>
        <v>0</v>
      </c>
      <c r="BP179" s="105">
        <f>'Hillpointe Detail'!BP179+'Sandhill Detail'!BP179</f>
        <v>0</v>
      </c>
      <c r="BQ179" s="105">
        <f>'Hillpointe Detail'!BQ179+'Sandhill Detail'!BQ179</f>
        <v>0</v>
      </c>
      <c r="BR179" s="105">
        <f>'Hillpointe Detail'!BR179+'Sandhill Detail'!BR179</f>
        <v>0</v>
      </c>
      <c r="BS179" s="105">
        <f>'Hillpointe Detail'!BS179+'Sandhill Detail'!BS179</f>
        <v>0</v>
      </c>
      <c r="BT179" s="105">
        <f>'Hillpointe Detail'!BT179+'Sandhill Detail'!BT179</f>
        <v>0</v>
      </c>
      <c r="BU179" s="105">
        <f>'Hillpointe Detail'!BU179+'Sandhill Detail'!BU179</f>
        <v>0</v>
      </c>
      <c r="BV179" s="105">
        <f>'Hillpointe Detail'!BV179+'Sandhill Detail'!BV179</f>
        <v>0</v>
      </c>
      <c r="BW179" s="105">
        <f>'Hillpointe Detail'!BW179+'Sandhill Detail'!BW179</f>
        <v>0</v>
      </c>
      <c r="BX179" s="105">
        <f>'Hillpointe Detail'!BX179+'Sandhill Detail'!BX179</f>
        <v>0</v>
      </c>
      <c r="BY179" s="8"/>
      <c r="BZ179" s="105">
        <f>SUMIF($B$252:$BY$252,1,$B179:$BY179)</f>
        <v>0</v>
      </c>
      <c r="CA179" s="105">
        <f>SUMIF($B$253:$BY$253,1,$B179:$BY179)</f>
        <v>0</v>
      </c>
      <c r="CC179" s="105">
        <f t="shared" si="84"/>
        <v>0</v>
      </c>
      <c r="CD179" s="105">
        <f t="shared" si="85"/>
        <v>0</v>
      </c>
      <c r="CE179" s="105">
        <f t="shared" si="85"/>
        <v>49606</v>
      </c>
      <c r="CF179" s="105">
        <f t="shared" si="85"/>
        <v>0</v>
      </c>
      <c r="CG179" s="105">
        <f t="shared" si="85"/>
        <v>0</v>
      </c>
      <c r="CH179" s="105">
        <f t="shared" si="85"/>
        <v>0</v>
      </c>
      <c r="CI179" s="105">
        <f t="shared" si="85"/>
        <v>0</v>
      </c>
      <c r="CJ179" s="105">
        <f t="shared" si="85"/>
        <v>0</v>
      </c>
    </row>
    <row r="180" spans="1:88" x14ac:dyDescent="0.3">
      <c r="A180" s="84" t="s">
        <v>115</v>
      </c>
      <c r="B180" s="10" t="s">
        <v>388</v>
      </c>
      <c r="C180" s="368">
        <f t="shared" si="83"/>
        <v>144000</v>
      </c>
      <c r="D180" s="368">
        <f t="shared" si="83"/>
        <v>0</v>
      </c>
      <c r="E180" s="105">
        <f>'Hillpointe Detail'!E180+'Sandhill Detail'!E180</f>
        <v>0</v>
      </c>
      <c r="F180" s="105">
        <f>'Hillpointe Detail'!F180+'Sandhill Detail'!F180</f>
        <v>0</v>
      </c>
      <c r="G180" s="105">
        <f>'Hillpointe Detail'!G180+'Sandhill Detail'!G180</f>
        <v>0</v>
      </c>
      <c r="H180" s="105">
        <f>'Hillpointe Detail'!H180+'Sandhill Detail'!H180</f>
        <v>0</v>
      </c>
      <c r="I180" s="105">
        <f>'Hillpointe Detail'!I180+'Sandhill Detail'!I180</f>
        <v>0</v>
      </c>
      <c r="J180" s="105">
        <f>'Hillpointe Detail'!J180+'Sandhill Detail'!J180</f>
        <v>-15000</v>
      </c>
      <c r="K180" s="105">
        <f>'Hillpointe Detail'!K180+'Sandhill Detail'!K180</f>
        <v>0</v>
      </c>
      <c r="L180" s="105">
        <f>'Hillpointe Detail'!L180+'Sandhill Detail'!L180</f>
        <v>0</v>
      </c>
      <c r="M180" s="105">
        <f>'Hillpointe Detail'!M180+'Sandhill Detail'!M180</f>
        <v>0</v>
      </c>
      <c r="N180" s="105">
        <f>'Hillpointe Detail'!N180+'Sandhill Detail'!N180</f>
        <v>0</v>
      </c>
      <c r="O180" s="105">
        <f>'Hillpointe Detail'!O180+'Sandhill Detail'!O180</f>
        <v>0</v>
      </c>
      <c r="P180" s="105">
        <f>'Hillpointe Detail'!P180+'Sandhill Detail'!P180</f>
        <v>0</v>
      </c>
      <c r="Q180" s="105">
        <f>'Hillpointe Detail'!Q180+'Sandhill Detail'!Q180</f>
        <v>0</v>
      </c>
      <c r="R180" s="105">
        <f>'Hillpointe Detail'!R180+'Sandhill Detail'!R180</f>
        <v>0</v>
      </c>
      <c r="S180" s="105">
        <f>'Hillpointe Detail'!S180+'Sandhill Detail'!S180</f>
        <v>0</v>
      </c>
      <c r="T180" s="105">
        <f>'Hillpointe Detail'!T180+'Sandhill Detail'!T180</f>
        <v>0</v>
      </c>
      <c r="U180" s="105">
        <f>'Hillpointe Detail'!U180+'Sandhill Detail'!U180</f>
        <v>0</v>
      </c>
      <c r="V180" s="105">
        <f>'Hillpointe Detail'!V180+'Sandhill Detail'!V180</f>
        <v>0</v>
      </c>
      <c r="W180" s="105">
        <f>'Hillpointe Detail'!W180+'Sandhill Detail'!W180</f>
        <v>0</v>
      </c>
      <c r="X180" s="105">
        <f>'Hillpointe Detail'!X180+'Sandhill Detail'!X180</f>
        <v>0</v>
      </c>
      <c r="Y180" s="105">
        <f>'Hillpointe Detail'!Y180+'Sandhill Detail'!Y180</f>
        <v>0</v>
      </c>
      <c r="Z180" s="105">
        <f>'Hillpointe Detail'!Z180+'Sandhill Detail'!Z180</f>
        <v>0</v>
      </c>
      <c r="AA180" s="105">
        <f>'Hillpointe Detail'!AA180+'Sandhill Detail'!AA180</f>
        <v>0</v>
      </c>
      <c r="AB180" s="105">
        <f>'Hillpointe Detail'!AB180+'Sandhill Detail'!AB180</f>
        <v>0</v>
      </c>
      <c r="AC180" s="105">
        <f>'Hillpointe Detail'!AC180+'Sandhill Detail'!AC180</f>
        <v>0</v>
      </c>
      <c r="AD180" s="105">
        <f>'Hillpointe Detail'!AD180+'Sandhill Detail'!AD180</f>
        <v>0</v>
      </c>
      <c r="AE180" s="105">
        <f>'Hillpointe Detail'!AE180+'Sandhill Detail'!AE180</f>
        <v>0</v>
      </c>
      <c r="AF180" s="105">
        <f>'Hillpointe Detail'!AF180+'Sandhill Detail'!AF180</f>
        <v>0</v>
      </c>
      <c r="AG180" s="105">
        <f>'Hillpointe Detail'!AG180+'Sandhill Detail'!AG180</f>
        <v>0</v>
      </c>
      <c r="AH180" s="105">
        <f>'Hillpointe Detail'!AH180+'Sandhill Detail'!AH180</f>
        <v>0</v>
      </c>
      <c r="AI180" s="105">
        <f>'Hillpointe Detail'!AI180+'Sandhill Detail'!AI180</f>
        <v>0</v>
      </c>
      <c r="AJ180" s="105">
        <f>'Hillpointe Detail'!AJ180+'Sandhill Detail'!AJ180</f>
        <v>0</v>
      </c>
      <c r="AK180" s="105">
        <f>'Hillpointe Detail'!AK180+'Sandhill Detail'!AK180</f>
        <v>0</v>
      </c>
      <c r="AL180" s="105">
        <f>'Hillpointe Detail'!AL180+'Sandhill Detail'!AL180</f>
        <v>0</v>
      </c>
      <c r="AM180" s="105">
        <f>'Hillpointe Detail'!AM180+'Sandhill Detail'!AM180</f>
        <v>0</v>
      </c>
      <c r="AN180" s="105">
        <f>'Hillpointe Detail'!AN180+'Sandhill Detail'!AN180</f>
        <v>0</v>
      </c>
      <c r="AO180" s="105">
        <f>'Hillpointe Detail'!AO180+'Sandhill Detail'!AO180</f>
        <v>0</v>
      </c>
      <c r="AP180" s="105">
        <f>'Hillpointe Detail'!AP180+'Sandhill Detail'!AP180</f>
        <v>0</v>
      </c>
      <c r="AQ180" s="105">
        <f>'Hillpointe Detail'!AQ180+'Sandhill Detail'!AQ180</f>
        <v>0</v>
      </c>
      <c r="AR180" s="105">
        <f>'Hillpointe Detail'!AR180+'Sandhill Detail'!AR180</f>
        <v>0</v>
      </c>
      <c r="AS180" s="105">
        <f>'Hillpointe Detail'!AS180+'Sandhill Detail'!AS180</f>
        <v>0</v>
      </c>
      <c r="AT180" s="105">
        <f>'Hillpointe Detail'!AT180+'Sandhill Detail'!AT180</f>
        <v>0</v>
      </c>
      <c r="AU180" s="105">
        <f>'Hillpointe Detail'!AU180+'Sandhill Detail'!AU180</f>
        <v>0</v>
      </c>
      <c r="AV180" s="105">
        <f>'Hillpointe Detail'!AV180+'Sandhill Detail'!AV180</f>
        <v>0</v>
      </c>
      <c r="AW180" s="105">
        <f>'Hillpointe Detail'!AW180+'Sandhill Detail'!AW180</f>
        <v>0</v>
      </c>
      <c r="AX180" s="105">
        <f>'Hillpointe Detail'!AX180+'Sandhill Detail'!AX180</f>
        <v>0</v>
      </c>
      <c r="AY180" s="105">
        <f>'Hillpointe Detail'!AY180+'Sandhill Detail'!AY180</f>
        <v>0</v>
      </c>
      <c r="AZ180" s="105">
        <f>'Hillpointe Detail'!AZ180+'Sandhill Detail'!AZ180</f>
        <v>0</v>
      </c>
      <c r="BA180" s="105">
        <f>'Hillpointe Detail'!BA180+'Sandhill Detail'!BA180</f>
        <v>0</v>
      </c>
      <c r="BB180" s="105">
        <f>'Hillpointe Detail'!BB180+'Sandhill Detail'!BB180</f>
        <v>0</v>
      </c>
      <c r="BC180" s="105">
        <f>'Hillpointe Detail'!BC180+'Sandhill Detail'!BC180</f>
        <v>0</v>
      </c>
      <c r="BD180" s="105">
        <f>'Hillpointe Detail'!BD180+'Sandhill Detail'!BD180</f>
        <v>0</v>
      </c>
      <c r="BE180" s="105">
        <f>'Hillpointe Detail'!BE180+'Sandhill Detail'!BE180</f>
        <v>0</v>
      </c>
      <c r="BF180" s="105">
        <f>'Hillpointe Detail'!BF180+'Sandhill Detail'!BF180</f>
        <v>0</v>
      </c>
      <c r="BG180" s="105">
        <f>'Hillpointe Detail'!BG180+'Sandhill Detail'!BG180</f>
        <v>0</v>
      </c>
      <c r="BH180" s="105">
        <f>'Hillpointe Detail'!BH180+'Sandhill Detail'!BH180</f>
        <v>0</v>
      </c>
      <c r="BI180" s="105">
        <f>'Hillpointe Detail'!BI180+'Sandhill Detail'!BI180</f>
        <v>0</v>
      </c>
      <c r="BJ180" s="105">
        <f>'Hillpointe Detail'!BJ180+'Sandhill Detail'!BJ180</f>
        <v>0</v>
      </c>
      <c r="BK180" s="105">
        <f>'Hillpointe Detail'!BK180+'Sandhill Detail'!BK180</f>
        <v>0</v>
      </c>
      <c r="BL180" s="105">
        <f>'Hillpointe Detail'!BL180+'Sandhill Detail'!BL180</f>
        <v>0</v>
      </c>
      <c r="BM180" s="105">
        <f>'Hillpointe Detail'!BM180+'Sandhill Detail'!BM180</f>
        <v>0</v>
      </c>
      <c r="BN180" s="105">
        <f>'Hillpointe Detail'!BN180+'Sandhill Detail'!BN180</f>
        <v>0</v>
      </c>
      <c r="BO180" s="105">
        <f>'Hillpointe Detail'!BO180+'Sandhill Detail'!BO180</f>
        <v>0</v>
      </c>
      <c r="BP180" s="105">
        <f>'Hillpointe Detail'!BP180+'Sandhill Detail'!BP180</f>
        <v>0</v>
      </c>
      <c r="BQ180" s="105">
        <f>'Hillpointe Detail'!BQ180+'Sandhill Detail'!BQ180</f>
        <v>0</v>
      </c>
      <c r="BR180" s="105">
        <f>'Hillpointe Detail'!BR180+'Sandhill Detail'!BR180</f>
        <v>0</v>
      </c>
      <c r="BS180" s="105">
        <f>'Hillpointe Detail'!BS180+'Sandhill Detail'!BS180</f>
        <v>0</v>
      </c>
      <c r="BT180" s="105">
        <f>'Hillpointe Detail'!BT180+'Sandhill Detail'!BT180</f>
        <v>0</v>
      </c>
      <c r="BU180" s="105">
        <f>'Hillpointe Detail'!BU180+'Sandhill Detail'!BU180</f>
        <v>0</v>
      </c>
      <c r="BV180" s="105">
        <f>'Hillpointe Detail'!BV180+'Sandhill Detail'!BV180</f>
        <v>0</v>
      </c>
      <c r="BW180" s="105">
        <f>'Hillpointe Detail'!BW180+'Sandhill Detail'!BW180</f>
        <v>0</v>
      </c>
      <c r="BX180" s="105">
        <f>'Hillpointe Detail'!BX180+'Sandhill Detail'!BX180</f>
        <v>0</v>
      </c>
      <c r="BY180" s="8"/>
      <c r="BZ180" s="105">
        <f>SUMIF($B$252:$BY$252,1,$B180:$BY180)</f>
        <v>0</v>
      </c>
      <c r="CA180" s="105">
        <f>SUMIF($B$253:$BY$253,1,$B180:$BY180)</f>
        <v>0</v>
      </c>
      <c r="CC180" s="105">
        <f t="shared" si="84"/>
        <v>144000</v>
      </c>
      <c r="CD180" s="105">
        <f t="shared" si="85"/>
        <v>0</v>
      </c>
      <c r="CE180" s="105">
        <f t="shared" si="85"/>
        <v>-15000</v>
      </c>
      <c r="CF180" s="105">
        <f t="shared" si="85"/>
        <v>0</v>
      </c>
      <c r="CG180" s="105">
        <f t="shared" si="85"/>
        <v>0</v>
      </c>
      <c r="CH180" s="105">
        <f t="shared" si="85"/>
        <v>0</v>
      </c>
      <c r="CI180" s="105">
        <f t="shared" si="85"/>
        <v>0</v>
      </c>
      <c r="CJ180" s="105">
        <f t="shared" si="85"/>
        <v>0</v>
      </c>
    </row>
    <row r="181" spans="1:88" x14ac:dyDescent="0.3">
      <c r="A181" s="84" t="s">
        <v>435</v>
      </c>
      <c r="B181" s="10" t="s">
        <v>388</v>
      </c>
      <c r="C181" s="103">
        <v>0</v>
      </c>
      <c r="D181" s="103">
        <v>0</v>
      </c>
      <c r="E181" s="105">
        <f>'Hillpointe Detail'!E181+'Sandhill Detail'!E181</f>
        <v>0</v>
      </c>
      <c r="F181" s="105">
        <f>'Hillpointe Detail'!F181+'Sandhill Detail'!F181</f>
        <v>0</v>
      </c>
      <c r="G181" s="105">
        <f>'Hillpointe Detail'!G181+'Sandhill Detail'!G181</f>
        <v>0</v>
      </c>
      <c r="H181" s="105">
        <f>'Hillpointe Detail'!H181+'Sandhill Detail'!H181</f>
        <v>0</v>
      </c>
      <c r="I181" s="105">
        <f>'Hillpointe Detail'!I181+'Sandhill Detail'!I181</f>
        <v>0</v>
      </c>
      <c r="J181" s="105">
        <f>'Hillpointe Detail'!J181+'Sandhill Detail'!J181</f>
        <v>0</v>
      </c>
      <c r="K181" s="105">
        <f>'Hillpointe Detail'!K181+'Sandhill Detail'!K181</f>
        <v>0</v>
      </c>
      <c r="L181" s="105">
        <f>'Hillpointe Detail'!L181+'Sandhill Detail'!L181</f>
        <v>0</v>
      </c>
      <c r="M181" s="105">
        <f>'Hillpointe Detail'!M181+'Sandhill Detail'!M181</f>
        <v>0</v>
      </c>
      <c r="N181" s="105">
        <f>'Hillpointe Detail'!N181+'Sandhill Detail'!N181</f>
        <v>0</v>
      </c>
      <c r="O181" s="105">
        <f>'Hillpointe Detail'!O181+'Sandhill Detail'!O181</f>
        <v>0</v>
      </c>
      <c r="P181" s="105">
        <f>'Hillpointe Detail'!P181+'Sandhill Detail'!P181</f>
        <v>0</v>
      </c>
      <c r="Q181" s="105">
        <f>'Hillpointe Detail'!Q181+'Sandhill Detail'!Q181</f>
        <v>0</v>
      </c>
      <c r="R181" s="105">
        <f>'Hillpointe Detail'!R181+'Sandhill Detail'!R181</f>
        <v>0</v>
      </c>
      <c r="S181" s="105">
        <f>'Hillpointe Detail'!S181+'Sandhill Detail'!S181</f>
        <v>0</v>
      </c>
      <c r="T181" s="105">
        <f>'Hillpointe Detail'!T181+'Sandhill Detail'!T181</f>
        <v>0</v>
      </c>
      <c r="U181" s="105">
        <f>'Hillpointe Detail'!U181+'Sandhill Detail'!U181</f>
        <v>0</v>
      </c>
      <c r="V181" s="105">
        <f>'Hillpointe Detail'!V181+'Sandhill Detail'!V181</f>
        <v>0</v>
      </c>
      <c r="W181" s="105">
        <f>'Hillpointe Detail'!W181+'Sandhill Detail'!W181</f>
        <v>0</v>
      </c>
      <c r="X181" s="105">
        <f>'Hillpointe Detail'!X181+'Sandhill Detail'!X181</f>
        <v>0</v>
      </c>
      <c r="Y181" s="105">
        <f>'Hillpointe Detail'!Y181+'Sandhill Detail'!Y181</f>
        <v>0</v>
      </c>
      <c r="Z181" s="105">
        <f>'Hillpointe Detail'!Z181+'Sandhill Detail'!Z181</f>
        <v>0</v>
      </c>
      <c r="AA181" s="105">
        <f>'Hillpointe Detail'!AA181+'Sandhill Detail'!AA181</f>
        <v>0</v>
      </c>
      <c r="AB181" s="105">
        <f>'Hillpointe Detail'!AB181+'Sandhill Detail'!AB181</f>
        <v>0</v>
      </c>
      <c r="AC181" s="105">
        <f>'Hillpointe Detail'!AC181+'Sandhill Detail'!AC181</f>
        <v>-670098.30999999994</v>
      </c>
      <c r="AD181" s="105">
        <f>'Hillpointe Detail'!AD181+'Sandhill Detail'!AD181</f>
        <v>0</v>
      </c>
      <c r="AE181" s="105">
        <f>'Hillpointe Detail'!AE181+'Sandhill Detail'!AE181</f>
        <v>0</v>
      </c>
      <c r="AF181" s="105">
        <f>'Hillpointe Detail'!AF181+'Sandhill Detail'!AF181</f>
        <v>0</v>
      </c>
      <c r="AG181" s="105">
        <f>'Hillpointe Detail'!AG181+'Sandhill Detail'!AG181</f>
        <v>0</v>
      </c>
      <c r="AH181" s="105">
        <f>'Hillpointe Detail'!AH181+'Sandhill Detail'!AH181</f>
        <v>0</v>
      </c>
      <c r="AI181" s="105">
        <f>'Hillpointe Detail'!AI181+'Sandhill Detail'!AI181</f>
        <v>0</v>
      </c>
      <c r="AJ181" s="105">
        <f>'Hillpointe Detail'!AJ181+'Sandhill Detail'!AJ181</f>
        <v>0</v>
      </c>
      <c r="AK181" s="105">
        <f>'Hillpointe Detail'!AK181+'Sandhill Detail'!AK181</f>
        <v>0</v>
      </c>
      <c r="AL181" s="105">
        <f>'Hillpointe Detail'!AL181+'Sandhill Detail'!AL181</f>
        <v>0</v>
      </c>
      <c r="AM181" s="105">
        <f>'Hillpointe Detail'!AM181+'Sandhill Detail'!AM181</f>
        <v>0</v>
      </c>
      <c r="AN181" s="105">
        <f>'Hillpointe Detail'!AN181+'Sandhill Detail'!AN181</f>
        <v>0</v>
      </c>
      <c r="AO181" s="105">
        <f>'Hillpointe Detail'!AO181+'Sandhill Detail'!AO181</f>
        <v>0</v>
      </c>
      <c r="AP181" s="105">
        <f>'Hillpointe Detail'!AP181+'Sandhill Detail'!AP181</f>
        <v>0</v>
      </c>
      <c r="AQ181" s="105">
        <f>'Hillpointe Detail'!AQ181+'Sandhill Detail'!AQ181</f>
        <v>0</v>
      </c>
      <c r="AR181" s="105">
        <f>'Hillpointe Detail'!AR181+'Sandhill Detail'!AR181</f>
        <v>0</v>
      </c>
      <c r="AS181" s="105">
        <f>'Hillpointe Detail'!AS181+'Sandhill Detail'!AS181</f>
        <v>0</v>
      </c>
      <c r="AT181" s="105">
        <f>'Hillpointe Detail'!AT181+'Sandhill Detail'!AT181</f>
        <v>0</v>
      </c>
      <c r="AU181" s="105">
        <f>'Hillpointe Detail'!AU181+'Sandhill Detail'!AU181</f>
        <v>0</v>
      </c>
      <c r="AV181" s="105">
        <f>'Hillpointe Detail'!AV181+'Sandhill Detail'!AV181</f>
        <v>0</v>
      </c>
      <c r="AW181" s="105">
        <f>'Hillpointe Detail'!AW181+'Sandhill Detail'!AW181</f>
        <v>0</v>
      </c>
      <c r="AX181" s="105">
        <f>'Hillpointe Detail'!AX181+'Sandhill Detail'!AX181</f>
        <v>0</v>
      </c>
      <c r="AY181" s="105">
        <f>'Hillpointe Detail'!AY181+'Sandhill Detail'!AY181</f>
        <v>0</v>
      </c>
      <c r="AZ181" s="105">
        <f>'Hillpointe Detail'!AZ181+'Sandhill Detail'!AZ181</f>
        <v>0</v>
      </c>
      <c r="BA181" s="105">
        <f>'Hillpointe Detail'!BA181+'Sandhill Detail'!BA181</f>
        <v>0</v>
      </c>
      <c r="BB181" s="105">
        <f>'Hillpointe Detail'!BB181+'Sandhill Detail'!BB181</f>
        <v>0</v>
      </c>
      <c r="BC181" s="105">
        <f>'Hillpointe Detail'!BC181+'Sandhill Detail'!BC181</f>
        <v>0</v>
      </c>
      <c r="BD181" s="105">
        <f>'Hillpointe Detail'!BD181+'Sandhill Detail'!BD181</f>
        <v>0</v>
      </c>
      <c r="BE181" s="105">
        <f>'Hillpointe Detail'!BE181+'Sandhill Detail'!BE181</f>
        <v>0</v>
      </c>
      <c r="BF181" s="105">
        <f>'Hillpointe Detail'!BF181+'Sandhill Detail'!BF181</f>
        <v>0</v>
      </c>
      <c r="BG181" s="105">
        <f>'Hillpointe Detail'!BG181+'Sandhill Detail'!BG181</f>
        <v>0</v>
      </c>
      <c r="BH181" s="105">
        <f>'Hillpointe Detail'!BH181+'Sandhill Detail'!BH181</f>
        <v>0</v>
      </c>
      <c r="BI181" s="105">
        <f>'Hillpointe Detail'!BI181+'Sandhill Detail'!BI181</f>
        <v>0</v>
      </c>
      <c r="BJ181" s="105">
        <f>'Hillpointe Detail'!BJ181+'Sandhill Detail'!BJ181</f>
        <v>0</v>
      </c>
      <c r="BK181" s="105">
        <f>'Hillpointe Detail'!BK181+'Sandhill Detail'!BK181</f>
        <v>0</v>
      </c>
      <c r="BL181" s="105">
        <f>'Hillpointe Detail'!BL181+'Sandhill Detail'!BL181</f>
        <v>0</v>
      </c>
      <c r="BM181" s="105">
        <f>'Hillpointe Detail'!BM181+'Sandhill Detail'!BM181</f>
        <v>0</v>
      </c>
      <c r="BN181" s="105">
        <f>'Hillpointe Detail'!BN181+'Sandhill Detail'!BN181</f>
        <v>0</v>
      </c>
      <c r="BO181" s="105">
        <f>'Hillpointe Detail'!BO181+'Sandhill Detail'!BO181</f>
        <v>0</v>
      </c>
      <c r="BP181" s="105">
        <f>'Hillpointe Detail'!BP181+'Sandhill Detail'!BP181</f>
        <v>0</v>
      </c>
      <c r="BQ181" s="105">
        <f>'Hillpointe Detail'!BQ181+'Sandhill Detail'!BQ181</f>
        <v>0</v>
      </c>
      <c r="BR181" s="105">
        <f>'Hillpointe Detail'!BR181+'Sandhill Detail'!BR181</f>
        <v>0</v>
      </c>
      <c r="BS181" s="105">
        <f>'Hillpointe Detail'!BS181+'Sandhill Detail'!BS181</f>
        <v>0</v>
      </c>
      <c r="BT181" s="105">
        <f>'Hillpointe Detail'!BT181+'Sandhill Detail'!BT181</f>
        <v>0</v>
      </c>
      <c r="BU181" s="105">
        <f>'Hillpointe Detail'!BU181+'Sandhill Detail'!BU181</f>
        <v>0</v>
      </c>
      <c r="BV181" s="105">
        <f>'Hillpointe Detail'!BV181+'Sandhill Detail'!BV181</f>
        <v>0</v>
      </c>
      <c r="BW181" s="105">
        <f>'Hillpointe Detail'!BW181+'Sandhill Detail'!BW181</f>
        <v>0</v>
      </c>
      <c r="BX181" s="105">
        <f>'Hillpointe Detail'!BX181+'Sandhill Detail'!BX181</f>
        <v>0</v>
      </c>
      <c r="BY181" s="8"/>
      <c r="BZ181" s="105">
        <f>SUMIF($B$252:$BY$252,1,$B181:$BY181)</f>
        <v>0</v>
      </c>
      <c r="CA181" s="105">
        <f>SUMIF($B$253:$BY$253,1,$B181:$BY181)</f>
        <v>0</v>
      </c>
      <c r="CC181" s="105">
        <f t="shared" si="84"/>
        <v>0</v>
      </c>
      <c r="CD181" s="105">
        <f t="shared" si="85"/>
        <v>0</v>
      </c>
      <c r="CE181" s="105">
        <f t="shared" si="85"/>
        <v>0</v>
      </c>
      <c r="CF181" s="105">
        <f t="shared" si="85"/>
        <v>0</v>
      </c>
      <c r="CG181" s="105">
        <f t="shared" si="85"/>
        <v>-670098.30999999994</v>
      </c>
      <c r="CH181" s="105">
        <f t="shared" si="85"/>
        <v>0</v>
      </c>
      <c r="CI181" s="105">
        <f t="shared" si="85"/>
        <v>0</v>
      </c>
      <c r="CJ181" s="105">
        <f t="shared" si="85"/>
        <v>0</v>
      </c>
    </row>
    <row r="182" spans="1:88" x14ac:dyDescent="0.3">
      <c r="A182" s="84"/>
      <c r="B182" s="10"/>
      <c r="C182" s="368"/>
      <c r="D182" s="368"/>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8"/>
      <c r="BZ182" s="105"/>
      <c r="CA182" s="105"/>
      <c r="CC182" s="105"/>
      <c r="CD182" s="105"/>
      <c r="CE182" s="105"/>
      <c r="CF182" s="105"/>
      <c r="CG182" s="105"/>
      <c r="CH182" s="105"/>
      <c r="CI182" s="105"/>
      <c r="CJ182" s="105"/>
    </row>
    <row r="183" spans="1:88" x14ac:dyDescent="0.3">
      <c r="A183" s="108" t="s">
        <v>384</v>
      </c>
      <c r="B183" s="10"/>
      <c r="C183" s="371">
        <f t="shared" ref="C183:AH183" si="86">SUM(C176:C182)</f>
        <v>-221867.5699999989</v>
      </c>
      <c r="D183" s="371">
        <f t="shared" si="86"/>
        <v>-23890.170000000857</v>
      </c>
      <c r="E183" s="371">
        <f t="shared" si="86"/>
        <v>512851.81</v>
      </c>
      <c r="F183" s="371">
        <f t="shared" si="86"/>
        <v>274921.9800000001</v>
      </c>
      <c r="G183" s="371">
        <f t="shared" si="86"/>
        <v>-96652.540000000037</v>
      </c>
      <c r="H183" s="371">
        <f t="shared" si="86"/>
        <v>338085.1399999999</v>
      </c>
      <c r="I183" s="371">
        <f t="shared" si="86"/>
        <v>-258914.82000000018</v>
      </c>
      <c r="J183" s="371">
        <f t="shared" si="86"/>
        <v>302784.05</v>
      </c>
      <c r="K183" s="371">
        <f t="shared" si="86"/>
        <v>-269105.90000000014</v>
      </c>
      <c r="L183" s="371">
        <f t="shared" si="86"/>
        <v>41480.269999999931</v>
      </c>
      <c r="M183" s="371">
        <f t="shared" si="86"/>
        <v>-8727.3900000000413</v>
      </c>
      <c r="N183" s="371">
        <f t="shared" si="86"/>
        <v>279858.08999999997</v>
      </c>
      <c r="O183" s="371">
        <f t="shared" si="86"/>
        <v>-274542.65999999997</v>
      </c>
      <c r="P183" s="371">
        <f t="shared" si="86"/>
        <v>171025.33999999982</v>
      </c>
      <c r="Q183" s="371">
        <f t="shared" si="86"/>
        <v>120715.29999999996</v>
      </c>
      <c r="R183" s="371">
        <f t="shared" si="86"/>
        <v>5480.8400000000584</v>
      </c>
      <c r="S183" s="371">
        <f t="shared" si="86"/>
        <v>382439.5400000001</v>
      </c>
      <c r="T183" s="371">
        <f t="shared" si="86"/>
        <v>27471.949999999892</v>
      </c>
      <c r="U183" s="371">
        <f t="shared" si="86"/>
        <v>-43008.079999999929</v>
      </c>
      <c r="V183" s="371">
        <f t="shared" si="86"/>
        <v>1715.5899999997309</v>
      </c>
      <c r="W183" s="371">
        <f t="shared" si="86"/>
        <v>14881.840000000015</v>
      </c>
      <c r="X183" s="371">
        <f t="shared" si="86"/>
        <v>-39532.040000000139</v>
      </c>
      <c r="Y183" s="371">
        <f t="shared" si="86"/>
        <v>123781.21999999983</v>
      </c>
      <c r="Z183" s="371">
        <f t="shared" si="86"/>
        <v>282333.78000000003</v>
      </c>
      <c r="AA183" s="371">
        <f t="shared" si="86"/>
        <v>-21354.310000000005</v>
      </c>
      <c r="AB183" s="371">
        <f t="shared" si="86"/>
        <v>-63377.094417164582</v>
      </c>
      <c r="AC183" s="371">
        <f t="shared" si="86"/>
        <v>220209.45663333335</v>
      </c>
      <c r="AD183" s="371">
        <f t="shared" si="86"/>
        <v>85403.879822842893</v>
      </c>
      <c r="AE183" s="371">
        <f t="shared" si="86"/>
        <v>451569.1767798104</v>
      </c>
      <c r="AF183" s="371">
        <f t="shared" si="86"/>
        <v>57622.073070662955</v>
      </c>
      <c r="AG183" s="371">
        <f t="shared" si="86"/>
        <v>49053.758355619168</v>
      </c>
      <c r="AH183" s="371">
        <f t="shared" si="86"/>
        <v>82528.3482068187</v>
      </c>
      <c r="AI183" s="371">
        <f t="shared" ref="AI183:BN183" si="87">SUM(AI176:AI182)</f>
        <v>62191.893587376704</v>
      </c>
      <c r="AJ183" s="371">
        <f t="shared" si="87"/>
        <v>170975.49076575792</v>
      </c>
      <c r="AK183" s="371">
        <f t="shared" si="87"/>
        <v>127156.15390167461</v>
      </c>
      <c r="AL183" s="371">
        <f t="shared" si="87"/>
        <v>146625.52672240039</v>
      </c>
      <c r="AM183" s="371">
        <f t="shared" si="87"/>
        <v>152925.75720531819</v>
      </c>
      <c r="AN183" s="371">
        <f t="shared" si="87"/>
        <v>-105571.90662924811</v>
      </c>
      <c r="AO183" s="371">
        <f t="shared" si="87"/>
        <v>281239.01952533342</v>
      </c>
      <c r="AP183" s="371">
        <f t="shared" si="87"/>
        <v>143293.18431565855</v>
      </c>
      <c r="AQ183" s="371">
        <f t="shared" si="87"/>
        <v>524416.65649226261</v>
      </c>
      <c r="AR183" s="371">
        <f t="shared" si="87"/>
        <v>108439.83739734383</v>
      </c>
      <c r="AS183" s="371">
        <f t="shared" si="87"/>
        <v>100652.64569094093</v>
      </c>
      <c r="AT183" s="371">
        <f t="shared" si="87"/>
        <v>137192.46785650833</v>
      </c>
      <c r="AU183" s="371">
        <f t="shared" si="87"/>
        <v>112942.14438536008</v>
      </c>
      <c r="AV183" s="371">
        <f t="shared" si="87"/>
        <v>163132.81994723101</v>
      </c>
      <c r="AW183" s="371">
        <f t="shared" si="87"/>
        <v>147124.02168493537</v>
      </c>
      <c r="AX183" s="371">
        <f t="shared" si="87"/>
        <v>138410.26613364034</v>
      </c>
      <c r="AY183" s="371">
        <f t="shared" si="87"/>
        <v>144074.91542699421</v>
      </c>
      <c r="AZ183" s="371">
        <f t="shared" si="87"/>
        <v>-71736.217561693149</v>
      </c>
      <c r="BA183" s="371">
        <f t="shared" si="87"/>
        <v>359189.9667024017</v>
      </c>
      <c r="BB183" s="371">
        <f t="shared" si="87"/>
        <v>157711.01270567317</v>
      </c>
      <c r="BC183" s="371">
        <f t="shared" si="87"/>
        <v>535673.01862838818</v>
      </c>
      <c r="BD183" s="371">
        <f t="shared" si="87"/>
        <v>122728.1962006847</v>
      </c>
      <c r="BE183" s="371">
        <f t="shared" si="87"/>
        <v>114452.96505243583</v>
      </c>
      <c r="BF183" s="371">
        <f t="shared" si="87"/>
        <v>153116.64413278777</v>
      </c>
      <c r="BG183" s="371">
        <f t="shared" si="87"/>
        <v>128478.69716854638</v>
      </c>
      <c r="BH183" s="371">
        <f t="shared" si="87"/>
        <v>179621.44475443644</v>
      </c>
      <c r="BI183" s="371">
        <f t="shared" si="87"/>
        <v>162313.60688291315</v>
      </c>
      <c r="BJ183" s="371">
        <f t="shared" si="87"/>
        <v>154253.53727468528</v>
      </c>
      <c r="BK183" s="371">
        <f t="shared" si="87"/>
        <v>159884.75009857194</v>
      </c>
      <c r="BL183" s="371">
        <f t="shared" si="87"/>
        <v>-66015.375098396849</v>
      </c>
      <c r="BM183" s="371">
        <f t="shared" si="87"/>
        <v>385409.12434797024</v>
      </c>
      <c r="BN183" s="371">
        <f t="shared" si="87"/>
        <v>160147.46063096076</v>
      </c>
      <c r="BO183" s="371">
        <f t="shared" ref="BO183:BX183" si="88">SUM(BO176:BO182)</f>
        <v>536295.84130228776</v>
      </c>
      <c r="BP183" s="371">
        <f t="shared" si="88"/>
        <v>125181.19967318034</v>
      </c>
      <c r="BQ183" s="371">
        <f t="shared" si="88"/>
        <v>115647.55539784832</v>
      </c>
      <c r="BR183" s="371">
        <f t="shared" si="88"/>
        <v>155323.16399797986</v>
      </c>
      <c r="BS183" s="371">
        <f t="shared" si="88"/>
        <v>128967.22464577004</v>
      </c>
      <c r="BT183" s="371">
        <f t="shared" si="88"/>
        <v>183592.02083796519</v>
      </c>
      <c r="BU183" s="371">
        <f t="shared" si="88"/>
        <v>165550.55907335429</v>
      </c>
      <c r="BV183" s="371">
        <f t="shared" si="88"/>
        <v>157671.64272040426</v>
      </c>
      <c r="BW183" s="371">
        <f t="shared" si="88"/>
        <v>163156.20390973354</v>
      </c>
      <c r="BX183" s="371">
        <f t="shared" si="88"/>
        <v>-69373.742112946347</v>
      </c>
      <c r="BY183" s="2"/>
      <c r="BZ183" s="371">
        <f>SUM(BZ176:BZ182)</f>
        <v>-21354.310000000005</v>
      </c>
      <c r="CA183" s="371">
        <f>SUM(CA176:CA182)</f>
        <v>854925.62999999931</v>
      </c>
      <c r="CC183" s="371">
        <f t="shared" ref="CC183:CJ183" si="89">SUM(CC176:CC182)</f>
        <v>-221867.5699999989</v>
      </c>
      <c r="CD183" s="371">
        <f t="shared" si="89"/>
        <v>-23890.170000000857</v>
      </c>
      <c r="CE183" s="371">
        <f t="shared" si="89"/>
        <v>1013063.3699999992</v>
      </c>
      <c r="CF183" s="371">
        <f t="shared" si="89"/>
        <v>791548.53558283509</v>
      </c>
      <c r="CG183" s="371">
        <f t="shared" si="89"/>
        <v>1500689.6084223669</v>
      </c>
      <c r="CH183" s="371">
        <f t="shared" si="89"/>
        <v>1929181.7612945158</v>
      </c>
      <c r="CI183" s="371">
        <f t="shared" si="89"/>
        <v>2161408.4645031276</v>
      </c>
      <c r="CJ183" s="371">
        <f t="shared" si="89"/>
        <v>2207568.2544245087</v>
      </c>
    </row>
    <row r="184" spans="1:88" x14ac:dyDescent="0.3">
      <c r="A184" s="2"/>
      <c r="B184" s="10"/>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2"/>
      <c r="BZ184" s="57"/>
      <c r="CA184" s="57"/>
      <c r="CC184" s="57"/>
      <c r="CD184" s="57"/>
      <c r="CE184" s="57"/>
      <c r="CF184" s="57"/>
      <c r="CG184" s="57"/>
      <c r="CH184" s="57"/>
      <c r="CI184" s="57"/>
      <c r="CJ184" s="57"/>
    </row>
    <row r="185" spans="1:88" x14ac:dyDescent="0.3">
      <c r="A185" s="23" t="s">
        <v>151</v>
      </c>
      <c r="B185" s="87"/>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row>
    <row r="186" spans="1:88" x14ac:dyDescent="0.3">
      <c r="A186" s="1" t="s">
        <v>131</v>
      </c>
      <c r="B186" s="10"/>
      <c r="O186" s="13"/>
      <c r="P186" s="13"/>
      <c r="Q186" s="13"/>
      <c r="R186" s="13"/>
    </row>
    <row r="187" spans="1:88" x14ac:dyDescent="0.3">
      <c r="A187" s="25" t="s">
        <v>127</v>
      </c>
      <c r="B187" s="10"/>
      <c r="C187" s="36">
        <f t="shared" ref="C187:L191" si="90">SUMIF($B$4:$B$174,$A187,C$4:C$174)</f>
        <v>7185.52</v>
      </c>
      <c r="D187" s="36">
        <f t="shared" si="90"/>
        <v>46496.81</v>
      </c>
      <c r="E187" s="36">
        <f t="shared" si="90"/>
        <v>0</v>
      </c>
      <c r="F187" s="36">
        <f t="shared" si="90"/>
        <v>494</v>
      </c>
      <c r="G187" s="36">
        <f t="shared" si="90"/>
        <v>3097</v>
      </c>
      <c r="H187" s="36">
        <f t="shared" si="90"/>
        <v>5098</v>
      </c>
      <c r="I187" s="36">
        <f t="shared" si="90"/>
        <v>1780</v>
      </c>
      <c r="J187" s="36">
        <f t="shared" si="90"/>
        <v>1708</v>
      </c>
      <c r="K187" s="36">
        <f t="shared" si="90"/>
        <v>1947</v>
      </c>
      <c r="L187" s="36">
        <f t="shared" si="90"/>
        <v>3682</v>
      </c>
      <c r="M187" s="36">
        <f t="shared" ref="M187:V191" si="91">SUMIF($B$4:$B$174,$A187,M$4:M$174)</f>
        <v>3257</v>
      </c>
      <c r="N187" s="36">
        <f t="shared" si="91"/>
        <v>3125</v>
      </c>
      <c r="O187" s="36">
        <f t="shared" si="91"/>
        <v>5052</v>
      </c>
      <c r="P187" s="36">
        <f t="shared" si="91"/>
        <v>960.5</v>
      </c>
      <c r="Q187" s="36">
        <f t="shared" si="91"/>
        <v>1601</v>
      </c>
      <c r="R187" s="36">
        <f t="shared" si="91"/>
        <v>2874.5</v>
      </c>
      <c r="S187" s="36">
        <f t="shared" si="91"/>
        <v>3882.51</v>
      </c>
      <c r="T187" s="36">
        <f t="shared" si="91"/>
        <v>3765.49</v>
      </c>
      <c r="U187" s="36">
        <f t="shared" si="91"/>
        <v>2178</v>
      </c>
      <c r="V187" s="36">
        <f t="shared" si="91"/>
        <v>3082.5</v>
      </c>
      <c r="W187" s="36">
        <f t="shared" ref="W187:AF191" si="92">SUMIF($B$4:$B$174,$A187,W$4:W$174)</f>
        <v>3558.25</v>
      </c>
      <c r="X187" s="36">
        <f t="shared" si="92"/>
        <v>7056.5</v>
      </c>
      <c r="Y187" s="36">
        <f t="shared" si="92"/>
        <v>6423.55</v>
      </c>
      <c r="Z187" s="36">
        <f t="shared" si="92"/>
        <v>2358.91</v>
      </c>
      <c r="AA187" s="36">
        <f t="shared" si="92"/>
        <v>3328.3999999999996</v>
      </c>
      <c r="AB187" s="36">
        <f t="shared" si="92"/>
        <v>960.5</v>
      </c>
      <c r="AC187" s="36">
        <f t="shared" si="92"/>
        <v>2668.3333333333335</v>
      </c>
      <c r="AD187" s="36">
        <f t="shared" si="92"/>
        <v>4790.8333333333339</v>
      </c>
      <c r="AE187" s="36">
        <f t="shared" si="92"/>
        <v>6470.85</v>
      </c>
      <c r="AF187" s="36">
        <f t="shared" si="92"/>
        <v>6275.8166666666657</v>
      </c>
      <c r="AG187" s="36">
        <f t="shared" ref="AG187:AP191" si="93">SUMIF($B$4:$B$174,$A187,AG$4:AG$174)</f>
        <v>3630</v>
      </c>
      <c r="AH187" s="36">
        <f t="shared" si="93"/>
        <v>5137.5000000000009</v>
      </c>
      <c r="AI187" s="36">
        <f t="shared" si="93"/>
        <v>5930.416666666667</v>
      </c>
      <c r="AJ187" s="36">
        <f t="shared" si="93"/>
        <v>11760.833333333332</v>
      </c>
      <c r="AK187" s="36">
        <f t="shared" si="93"/>
        <v>10705.916666666668</v>
      </c>
      <c r="AL187" s="36">
        <f t="shared" si="93"/>
        <v>3931.5166666666664</v>
      </c>
      <c r="AM187" s="36">
        <f t="shared" si="93"/>
        <v>5547.333333333333</v>
      </c>
      <c r="AN187" s="36">
        <f t="shared" si="93"/>
        <v>1600.8333333333335</v>
      </c>
      <c r="AO187" s="36">
        <f t="shared" si="93"/>
        <v>3202</v>
      </c>
      <c r="AP187" s="36">
        <f t="shared" si="93"/>
        <v>5749</v>
      </c>
      <c r="AQ187" s="36">
        <f t="shared" ref="AQ187:AZ191" si="94">SUMIF($B$4:$B$174,$A187,AQ$4:AQ$174)</f>
        <v>7765.02</v>
      </c>
      <c r="AR187" s="36">
        <f t="shared" si="94"/>
        <v>7530.98</v>
      </c>
      <c r="AS187" s="36">
        <f t="shared" si="94"/>
        <v>4356</v>
      </c>
      <c r="AT187" s="36">
        <f t="shared" si="94"/>
        <v>6165.0000000000009</v>
      </c>
      <c r="AU187" s="36">
        <f t="shared" si="94"/>
        <v>7116.5</v>
      </c>
      <c r="AV187" s="36">
        <f t="shared" si="94"/>
        <v>14113</v>
      </c>
      <c r="AW187" s="36">
        <f t="shared" si="94"/>
        <v>12847.1</v>
      </c>
      <c r="AX187" s="36">
        <f t="shared" si="94"/>
        <v>4717.82</v>
      </c>
      <c r="AY187" s="36">
        <f t="shared" si="94"/>
        <v>6656.7999999999993</v>
      </c>
      <c r="AZ187" s="36">
        <f t="shared" si="94"/>
        <v>1921</v>
      </c>
      <c r="BA187" s="36">
        <f t="shared" ref="BA187:BJ191" si="95">SUMIF($B$4:$B$174,$A187,BA$4:BA$174)</f>
        <v>3362.1</v>
      </c>
      <c r="BB187" s="36">
        <f t="shared" si="95"/>
        <v>6036.4500000000007</v>
      </c>
      <c r="BC187" s="36">
        <f t="shared" si="95"/>
        <v>8153.2710000000006</v>
      </c>
      <c r="BD187" s="36">
        <f t="shared" si="95"/>
        <v>7907.5289999999995</v>
      </c>
      <c r="BE187" s="36">
        <f t="shared" si="95"/>
        <v>4573.8</v>
      </c>
      <c r="BF187" s="36">
        <f t="shared" si="95"/>
        <v>6473.2500000000018</v>
      </c>
      <c r="BG187" s="36">
        <f t="shared" si="95"/>
        <v>7472.3249999999998</v>
      </c>
      <c r="BH187" s="36">
        <f t="shared" si="95"/>
        <v>14818.65</v>
      </c>
      <c r="BI187" s="36">
        <f t="shared" si="95"/>
        <v>13489.455</v>
      </c>
      <c r="BJ187" s="36">
        <f t="shared" si="95"/>
        <v>4953.7110000000002</v>
      </c>
      <c r="BK187" s="36">
        <f t="shared" ref="BK187:BX191" si="96">SUMIF($B$4:$B$174,$A187,BK$4:BK$174)</f>
        <v>6989.6399999999994</v>
      </c>
      <c r="BL187" s="36">
        <f t="shared" si="96"/>
        <v>2017.0500000000002</v>
      </c>
      <c r="BM187" s="36">
        <f t="shared" si="96"/>
        <v>3530.2050000000004</v>
      </c>
      <c r="BN187" s="36">
        <f t="shared" si="96"/>
        <v>6338.2725000000009</v>
      </c>
      <c r="BO187" s="36">
        <f t="shared" si="96"/>
        <v>8560.9345500000018</v>
      </c>
      <c r="BP187" s="36">
        <f t="shared" si="96"/>
        <v>8302.9054500000002</v>
      </c>
      <c r="BQ187" s="36">
        <f t="shared" si="96"/>
        <v>4802.4900000000007</v>
      </c>
      <c r="BR187" s="36">
        <f t="shared" si="96"/>
        <v>6796.9125000000022</v>
      </c>
      <c r="BS187" s="36">
        <f t="shared" si="96"/>
        <v>7845.9412499999999</v>
      </c>
      <c r="BT187" s="36">
        <f t="shared" si="96"/>
        <v>15559.5825</v>
      </c>
      <c r="BU187" s="36">
        <f t="shared" si="96"/>
        <v>14163.927750000001</v>
      </c>
      <c r="BV187" s="36">
        <f t="shared" si="96"/>
        <v>5201.3965500000004</v>
      </c>
      <c r="BW187" s="36">
        <f t="shared" si="96"/>
        <v>7339.1219999999994</v>
      </c>
      <c r="BX187" s="36">
        <f t="shared" si="96"/>
        <v>2117.9025000000001</v>
      </c>
      <c r="BZ187" s="8">
        <f>SUMIF($B$252:$BY$252,1,$B187:$BY187)</f>
        <v>3328.3999999999996</v>
      </c>
      <c r="CA187" s="8">
        <f>SUMIF($B$253:$BY$253,1,$B187:$BY187)</f>
        <v>40109.610000000008</v>
      </c>
      <c r="CC187" s="8">
        <f t="shared" ref="CC187:CJ196" si="97">SUMIF($C$3:$BY$3,CC$3,$C187:$BY187)</f>
        <v>7185.52</v>
      </c>
      <c r="CD187" s="8">
        <f t="shared" si="97"/>
        <v>46496.81</v>
      </c>
      <c r="CE187" s="8">
        <f t="shared" si="97"/>
        <v>30200.5</v>
      </c>
      <c r="CF187" s="8">
        <f t="shared" si="97"/>
        <v>41070.110000000008</v>
      </c>
      <c r="CG187" s="8">
        <f t="shared" si="97"/>
        <v>68450.18333333332</v>
      </c>
      <c r="CH187" s="8">
        <f t="shared" si="97"/>
        <v>82140.220000000016</v>
      </c>
      <c r="CI187" s="8">
        <f t="shared" si="97"/>
        <v>86247.231</v>
      </c>
      <c r="CJ187" s="8">
        <f t="shared" si="97"/>
        <v>90559.592550000016</v>
      </c>
    </row>
    <row r="188" spans="1:88" x14ac:dyDescent="0.3">
      <c r="A188" s="25" t="s">
        <v>125</v>
      </c>
      <c r="B188" s="10"/>
      <c r="C188" s="36">
        <f t="shared" si="90"/>
        <v>2560359.09</v>
      </c>
      <c r="D188" s="36">
        <f t="shared" si="90"/>
        <v>2941675.29</v>
      </c>
      <c r="E188" s="36">
        <f t="shared" si="90"/>
        <v>446665.5</v>
      </c>
      <c r="F188" s="36">
        <f t="shared" si="90"/>
        <v>0</v>
      </c>
      <c r="G188" s="36">
        <f t="shared" si="90"/>
        <v>216575.82</v>
      </c>
      <c r="H188" s="36">
        <f t="shared" si="90"/>
        <v>618861.75</v>
      </c>
      <c r="I188" s="36">
        <f t="shared" si="90"/>
        <v>0</v>
      </c>
      <c r="J188" s="36">
        <f t="shared" si="90"/>
        <v>535724.38</v>
      </c>
      <c r="K188" s="36">
        <f t="shared" si="90"/>
        <v>0</v>
      </c>
      <c r="L188" s="36">
        <f t="shared" si="90"/>
        <v>301629.08</v>
      </c>
      <c r="M188" s="36">
        <f t="shared" si="91"/>
        <v>276303.90999999997</v>
      </c>
      <c r="N188" s="36">
        <f t="shared" si="91"/>
        <v>583398.67000000004</v>
      </c>
      <c r="O188" s="36">
        <f t="shared" si="91"/>
        <v>4382.2700000000004</v>
      </c>
      <c r="P188" s="36">
        <f t="shared" si="91"/>
        <v>347870.21</v>
      </c>
      <c r="Q188" s="36">
        <f t="shared" si="91"/>
        <v>212494.19</v>
      </c>
      <c r="R188" s="36">
        <f t="shared" si="91"/>
        <v>266207.96999999997</v>
      </c>
      <c r="S188" s="36">
        <f t="shared" si="91"/>
        <v>266418.64999999997</v>
      </c>
      <c r="T188" s="36">
        <f t="shared" si="91"/>
        <v>256314.23999999999</v>
      </c>
      <c r="U188" s="36">
        <f t="shared" si="91"/>
        <v>320245.57</v>
      </c>
      <c r="V188" s="36">
        <f t="shared" si="91"/>
        <v>277109.40999999997</v>
      </c>
      <c r="W188" s="36">
        <f t="shared" si="92"/>
        <v>277109.40999999997</v>
      </c>
      <c r="X188" s="36">
        <f t="shared" si="92"/>
        <v>252620.62</v>
      </c>
      <c r="Y188" s="36">
        <f t="shared" si="92"/>
        <v>271044.78999999998</v>
      </c>
      <c r="Z188" s="36">
        <f t="shared" si="92"/>
        <v>264242.63</v>
      </c>
      <c r="AA188" s="36">
        <f t="shared" si="92"/>
        <v>274845.52</v>
      </c>
      <c r="AB188" s="36">
        <f t="shared" si="92"/>
        <v>268019.79916666669</v>
      </c>
      <c r="AC188" s="36">
        <f t="shared" si="92"/>
        <v>268019.79916666669</v>
      </c>
      <c r="AD188" s="36">
        <f t="shared" si="92"/>
        <v>337794.67005658342</v>
      </c>
      <c r="AE188" s="36">
        <f t="shared" si="92"/>
        <v>334729.38266950002</v>
      </c>
      <c r="AF188" s="36">
        <f t="shared" si="92"/>
        <v>334116.32519208337</v>
      </c>
      <c r="AG188" s="36">
        <f t="shared" si="93"/>
        <v>332277.15275983338</v>
      </c>
      <c r="AH188" s="36">
        <f t="shared" si="93"/>
        <v>329824.92285016668</v>
      </c>
      <c r="AI188" s="36">
        <f t="shared" si="93"/>
        <v>332890.21023725002</v>
      </c>
      <c r="AJ188" s="36">
        <f t="shared" si="93"/>
        <v>332890.21023725002</v>
      </c>
      <c r="AK188" s="36">
        <f t="shared" si="93"/>
        <v>332277.15275983338</v>
      </c>
      <c r="AL188" s="36">
        <f t="shared" si="93"/>
        <v>331051.03780500003</v>
      </c>
      <c r="AM188" s="36">
        <f t="shared" si="93"/>
        <v>331051.03780500003</v>
      </c>
      <c r="AN188" s="36">
        <f t="shared" si="93"/>
        <v>331051.03780500003</v>
      </c>
      <c r="AO188" s="36">
        <f t="shared" si="93"/>
        <v>331051.03780500003</v>
      </c>
      <c r="AP188" s="36">
        <f t="shared" si="93"/>
        <v>420545.16835828504</v>
      </c>
      <c r="AQ188" s="36">
        <f t="shared" si="94"/>
        <v>416756.47314785002</v>
      </c>
      <c r="AR188" s="36">
        <f t="shared" si="94"/>
        <v>414230.67634089338</v>
      </c>
      <c r="AS188" s="36">
        <f t="shared" si="94"/>
        <v>412336.32873567584</v>
      </c>
      <c r="AT188" s="36">
        <f t="shared" si="94"/>
        <v>409810.5319287192</v>
      </c>
      <c r="AU188" s="36">
        <f t="shared" si="94"/>
        <v>412336.32873567584</v>
      </c>
      <c r="AV188" s="36">
        <f t="shared" si="94"/>
        <v>411704.87953393668</v>
      </c>
      <c r="AW188" s="36">
        <f t="shared" si="94"/>
        <v>412336.32873567584</v>
      </c>
      <c r="AX188" s="36">
        <f t="shared" si="94"/>
        <v>410441.98113045836</v>
      </c>
      <c r="AY188" s="36">
        <f t="shared" si="94"/>
        <v>410441.98113045836</v>
      </c>
      <c r="AZ188" s="36">
        <f t="shared" si="94"/>
        <v>410441.98113045836</v>
      </c>
      <c r="BA188" s="36">
        <f t="shared" si="95"/>
        <v>410441.98113045836</v>
      </c>
      <c r="BB188" s="36">
        <f t="shared" si="95"/>
        <v>447179.69568764314</v>
      </c>
      <c r="BC188" s="36">
        <f t="shared" si="95"/>
        <v>442682.19874825591</v>
      </c>
      <c r="BD188" s="36">
        <f t="shared" si="95"/>
        <v>441397.1996227167</v>
      </c>
      <c r="BE188" s="36">
        <f t="shared" si="95"/>
        <v>439469.70093440788</v>
      </c>
      <c r="BF188" s="36">
        <f t="shared" si="95"/>
        <v>437542.20224609913</v>
      </c>
      <c r="BG188" s="36">
        <f t="shared" si="95"/>
        <v>440754.70005994709</v>
      </c>
      <c r="BH188" s="36">
        <f t="shared" si="95"/>
        <v>439469.70093440788</v>
      </c>
      <c r="BI188" s="36">
        <f t="shared" si="95"/>
        <v>439469.70093440788</v>
      </c>
      <c r="BJ188" s="36">
        <f t="shared" si="95"/>
        <v>438184.70180886867</v>
      </c>
      <c r="BK188" s="36">
        <f t="shared" si="96"/>
        <v>438184.70180886867</v>
      </c>
      <c r="BL188" s="36">
        <f t="shared" si="96"/>
        <v>438184.70180886867</v>
      </c>
      <c r="BM188" s="36">
        <f t="shared" si="96"/>
        <v>438184.70180886867</v>
      </c>
      <c r="BN188" s="36">
        <f t="shared" si="96"/>
        <v>458624.21914947667</v>
      </c>
      <c r="BO188" s="36">
        <f t="shared" si="96"/>
        <v>454721.03430565132</v>
      </c>
      <c r="BP188" s="36">
        <f t="shared" si="96"/>
        <v>453419.97269104287</v>
      </c>
      <c r="BQ188" s="36">
        <f t="shared" si="96"/>
        <v>450817.84946182597</v>
      </c>
      <c r="BR188" s="36">
        <f t="shared" si="96"/>
        <v>448215.72623260907</v>
      </c>
      <c r="BS188" s="36">
        <f t="shared" si="96"/>
        <v>450817.84946182597</v>
      </c>
      <c r="BT188" s="36">
        <f t="shared" si="96"/>
        <v>451468.38026913023</v>
      </c>
      <c r="BU188" s="36">
        <f t="shared" si="96"/>
        <v>451468.38026913023</v>
      </c>
      <c r="BV188" s="36">
        <f t="shared" si="96"/>
        <v>450167.31865452178</v>
      </c>
      <c r="BW188" s="36">
        <f t="shared" si="96"/>
        <v>450167.31865452178</v>
      </c>
      <c r="BX188" s="36">
        <f t="shared" si="96"/>
        <v>450167.31865452178</v>
      </c>
      <c r="BZ188" s="8">
        <f>SUMIF($B$252:$BY$252,1,$B188:$BY188)</f>
        <v>274845.52</v>
      </c>
      <c r="CA188" s="8">
        <f>SUMIF($B$253:$BY$253,1,$B188:$BY188)</f>
        <v>2938652.9999999995</v>
      </c>
      <c r="CC188" s="8">
        <f t="shared" si="97"/>
        <v>2560359.09</v>
      </c>
      <c r="CD188" s="8">
        <f t="shared" si="97"/>
        <v>2941675.29</v>
      </c>
      <c r="CE188" s="8">
        <f t="shared" si="97"/>
        <v>3331411.5900000003</v>
      </c>
      <c r="CF188" s="8">
        <f t="shared" si="97"/>
        <v>3206672.7991666663</v>
      </c>
      <c r="CG188" s="8">
        <f t="shared" si="97"/>
        <v>3927972.9393441668</v>
      </c>
      <c r="CH188" s="8">
        <f t="shared" si="97"/>
        <v>4872433.6967130862</v>
      </c>
      <c r="CI188" s="8">
        <f t="shared" si="97"/>
        <v>5252961.1857249504</v>
      </c>
      <c r="CJ188" s="8">
        <f t="shared" si="97"/>
        <v>5408240.0696131252</v>
      </c>
    </row>
    <row r="189" spans="1:88" x14ac:dyDescent="0.3">
      <c r="A189" s="25" t="s">
        <v>256</v>
      </c>
      <c r="B189" s="10"/>
      <c r="C189" s="36">
        <f t="shared" si="90"/>
        <v>75954.34</v>
      </c>
      <c r="D189" s="36">
        <f t="shared" si="90"/>
        <v>1891.79</v>
      </c>
      <c r="E189" s="36">
        <f t="shared" si="90"/>
        <v>0</v>
      </c>
      <c r="F189" s="36">
        <f t="shared" si="90"/>
        <v>0</v>
      </c>
      <c r="G189" s="36">
        <f t="shared" si="90"/>
        <v>18846.02</v>
      </c>
      <c r="H189" s="36">
        <f t="shared" si="90"/>
        <v>0</v>
      </c>
      <c r="I189" s="36">
        <f t="shared" si="90"/>
        <v>19377.690000000002</v>
      </c>
      <c r="J189" s="36">
        <f t="shared" si="90"/>
        <v>0</v>
      </c>
      <c r="K189" s="36">
        <f t="shared" si="90"/>
        <v>0</v>
      </c>
      <c r="L189" s="36">
        <f t="shared" si="90"/>
        <v>19377.689999999995</v>
      </c>
      <c r="M189" s="36">
        <f t="shared" si="91"/>
        <v>0</v>
      </c>
      <c r="N189" s="36">
        <f t="shared" si="91"/>
        <v>0</v>
      </c>
      <c r="O189" s="36">
        <f t="shared" si="91"/>
        <v>0</v>
      </c>
      <c r="P189" s="36">
        <f t="shared" si="91"/>
        <v>30406.85</v>
      </c>
      <c r="Q189" s="36">
        <f t="shared" si="91"/>
        <v>0</v>
      </c>
      <c r="R189" s="36">
        <f t="shared" si="91"/>
        <v>20665.400000000001</v>
      </c>
      <c r="S189" s="36">
        <f t="shared" si="91"/>
        <v>0</v>
      </c>
      <c r="T189" s="36">
        <f t="shared" si="91"/>
        <v>0</v>
      </c>
      <c r="U189" s="36">
        <f t="shared" si="91"/>
        <v>20665.400000000001</v>
      </c>
      <c r="V189" s="36">
        <f t="shared" si="91"/>
        <v>0</v>
      </c>
      <c r="W189" s="36">
        <f t="shared" si="92"/>
        <v>0</v>
      </c>
      <c r="X189" s="36">
        <f t="shared" si="92"/>
        <v>20665.400000000001</v>
      </c>
      <c r="Y189" s="36">
        <f t="shared" si="92"/>
        <v>0</v>
      </c>
      <c r="Z189" s="36">
        <f t="shared" si="92"/>
        <v>0</v>
      </c>
      <c r="AA189" s="36">
        <f t="shared" si="92"/>
        <v>20665.400000000001</v>
      </c>
      <c r="AB189" s="36">
        <f t="shared" si="92"/>
        <v>9741.4500000000007</v>
      </c>
      <c r="AC189" s="36">
        <f t="shared" si="92"/>
        <v>0</v>
      </c>
      <c r="AD189" s="36">
        <f t="shared" si="92"/>
        <v>20940.249820000005</v>
      </c>
      <c r="AE189" s="36">
        <f t="shared" si="92"/>
        <v>0</v>
      </c>
      <c r="AF189" s="36">
        <f t="shared" si="92"/>
        <v>0</v>
      </c>
      <c r="AG189" s="36">
        <f t="shared" si="93"/>
        <v>20940.249820000005</v>
      </c>
      <c r="AH189" s="36">
        <f t="shared" si="93"/>
        <v>0</v>
      </c>
      <c r="AI189" s="36">
        <f t="shared" si="93"/>
        <v>0</v>
      </c>
      <c r="AJ189" s="36">
        <f t="shared" si="93"/>
        <v>20940.249820000005</v>
      </c>
      <c r="AK189" s="36">
        <f t="shared" si="93"/>
        <v>0</v>
      </c>
      <c r="AL189" s="36">
        <f t="shared" si="93"/>
        <v>0</v>
      </c>
      <c r="AM189" s="36">
        <f t="shared" si="93"/>
        <v>20940.249820000005</v>
      </c>
      <c r="AN189" s="36">
        <f t="shared" si="93"/>
        <v>9871.0112850000005</v>
      </c>
      <c r="AO189" s="36">
        <f t="shared" si="93"/>
        <v>0</v>
      </c>
      <c r="AP189" s="36">
        <f t="shared" si="93"/>
        <v>21568.457314600004</v>
      </c>
      <c r="AQ189" s="36">
        <f t="shared" si="94"/>
        <v>0</v>
      </c>
      <c r="AR189" s="36">
        <f t="shared" si="94"/>
        <v>0</v>
      </c>
      <c r="AS189" s="36">
        <f t="shared" si="94"/>
        <v>21568.457314600004</v>
      </c>
      <c r="AT189" s="36">
        <f t="shared" si="94"/>
        <v>0</v>
      </c>
      <c r="AU189" s="36">
        <f t="shared" si="94"/>
        <v>0</v>
      </c>
      <c r="AV189" s="36">
        <f t="shared" si="94"/>
        <v>21568.457314600004</v>
      </c>
      <c r="AW189" s="36">
        <f t="shared" si="94"/>
        <v>0</v>
      </c>
      <c r="AX189" s="36">
        <f t="shared" si="94"/>
        <v>0</v>
      </c>
      <c r="AY189" s="36">
        <f t="shared" si="94"/>
        <v>21568.457314600004</v>
      </c>
      <c r="AZ189" s="36">
        <f t="shared" si="94"/>
        <v>10167.14162355</v>
      </c>
      <c r="BA189" s="36">
        <f t="shared" si="95"/>
        <v>0</v>
      </c>
      <c r="BB189" s="36">
        <f t="shared" si="95"/>
        <v>21945.905317605502</v>
      </c>
      <c r="BC189" s="36">
        <f t="shared" si="95"/>
        <v>0</v>
      </c>
      <c r="BD189" s="36">
        <f t="shared" si="95"/>
        <v>0</v>
      </c>
      <c r="BE189" s="36">
        <f t="shared" si="95"/>
        <v>21945.905317605502</v>
      </c>
      <c r="BF189" s="36">
        <f t="shared" si="95"/>
        <v>0</v>
      </c>
      <c r="BG189" s="36">
        <f t="shared" si="95"/>
        <v>0</v>
      </c>
      <c r="BH189" s="36">
        <f t="shared" si="95"/>
        <v>21945.905317605502</v>
      </c>
      <c r="BI189" s="36">
        <f t="shared" si="95"/>
        <v>0</v>
      </c>
      <c r="BJ189" s="36">
        <f t="shared" si="95"/>
        <v>0</v>
      </c>
      <c r="BK189" s="36">
        <f t="shared" si="96"/>
        <v>21945.905317605502</v>
      </c>
      <c r="BL189" s="36">
        <f t="shared" si="96"/>
        <v>10345.066601962128</v>
      </c>
      <c r="BM189" s="36">
        <f t="shared" si="96"/>
        <v>0</v>
      </c>
      <c r="BN189" s="36">
        <f t="shared" si="96"/>
        <v>22220.229134075569</v>
      </c>
      <c r="BO189" s="36">
        <f t="shared" si="96"/>
        <v>0</v>
      </c>
      <c r="BP189" s="36">
        <f t="shared" si="96"/>
        <v>0</v>
      </c>
      <c r="BQ189" s="36">
        <f t="shared" si="96"/>
        <v>22220.229134075569</v>
      </c>
      <c r="BR189" s="36">
        <f t="shared" si="96"/>
        <v>0</v>
      </c>
      <c r="BS189" s="36">
        <f t="shared" si="96"/>
        <v>0</v>
      </c>
      <c r="BT189" s="36">
        <f t="shared" si="96"/>
        <v>22220.229134075569</v>
      </c>
      <c r="BU189" s="36">
        <f t="shared" si="96"/>
        <v>0</v>
      </c>
      <c r="BV189" s="36">
        <f t="shared" si="96"/>
        <v>0</v>
      </c>
      <c r="BW189" s="36">
        <f t="shared" si="96"/>
        <v>22220.229134075569</v>
      </c>
      <c r="BX189" s="36">
        <f t="shared" si="96"/>
        <v>10474.379934486653</v>
      </c>
      <c r="BZ189" s="8">
        <f>SUMIF($B$252:$BY$252,1,$B189:$BY189)</f>
        <v>20665.400000000001</v>
      </c>
      <c r="CA189" s="8">
        <f>SUMIF($B$253:$BY$253,1,$B189:$BY189)</f>
        <v>82661.600000000006</v>
      </c>
      <c r="CC189" s="8">
        <f t="shared" si="97"/>
        <v>75954.34</v>
      </c>
      <c r="CD189" s="8">
        <f t="shared" si="97"/>
        <v>1891.79</v>
      </c>
      <c r="CE189" s="8">
        <f t="shared" si="97"/>
        <v>88008.25</v>
      </c>
      <c r="CF189" s="8">
        <f t="shared" si="97"/>
        <v>92403.05</v>
      </c>
      <c r="CG189" s="8">
        <f t="shared" si="97"/>
        <v>93632.010565000019</v>
      </c>
      <c r="CH189" s="8">
        <f t="shared" si="97"/>
        <v>96440.970881950023</v>
      </c>
      <c r="CI189" s="8">
        <f t="shared" si="97"/>
        <v>98128.687872384136</v>
      </c>
      <c r="CJ189" s="8">
        <f t="shared" si="97"/>
        <v>99355.296470788933</v>
      </c>
    </row>
    <row r="190" spans="1:88" x14ac:dyDescent="0.3">
      <c r="A190" s="25" t="s">
        <v>126</v>
      </c>
      <c r="B190" s="10"/>
      <c r="C190" s="36">
        <f t="shared" si="90"/>
        <v>133124.29</v>
      </c>
      <c r="D190" s="36">
        <f t="shared" si="90"/>
        <v>43481.36</v>
      </c>
      <c r="E190" s="36">
        <f t="shared" si="90"/>
        <v>0</v>
      </c>
      <c r="F190" s="36">
        <f t="shared" si="90"/>
        <v>500034</v>
      </c>
      <c r="G190" s="36">
        <f t="shared" si="90"/>
        <v>2000</v>
      </c>
      <c r="H190" s="36">
        <f t="shared" si="90"/>
        <v>14545.23</v>
      </c>
      <c r="I190" s="36">
        <f t="shared" si="90"/>
        <v>0</v>
      </c>
      <c r="J190" s="36">
        <f t="shared" si="90"/>
        <v>15.5</v>
      </c>
      <c r="K190" s="36">
        <f t="shared" si="90"/>
        <v>0</v>
      </c>
      <c r="L190" s="36">
        <f t="shared" si="90"/>
        <v>11070.400000000016</v>
      </c>
      <c r="M190" s="36">
        <f t="shared" si="91"/>
        <v>-11545.230000000003</v>
      </c>
      <c r="N190" s="36">
        <f t="shared" si="91"/>
        <v>0</v>
      </c>
      <c r="O190" s="36">
        <f t="shared" si="91"/>
        <v>0</v>
      </c>
      <c r="P190" s="36">
        <f t="shared" si="91"/>
        <v>16382.859999999999</v>
      </c>
      <c r="Q190" s="36">
        <f t="shared" si="91"/>
        <v>0</v>
      </c>
      <c r="R190" s="36">
        <f t="shared" si="91"/>
        <v>0</v>
      </c>
      <c r="S190" s="36">
        <f t="shared" si="91"/>
        <v>500000</v>
      </c>
      <c r="T190" s="36">
        <f t="shared" si="91"/>
        <v>47528.22</v>
      </c>
      <c r="U190" s="36">
        <f t="shared" si="91"/>
        <v>260</v>
      </c>
      <c r="V190" s="36">
        <f t="shared" si="91"/>
        <v>40</v>
      </c>
      <c r="W190" s="36">
        <f t="shared" si="92"/>
        <v>11991.52</v>
      </c>
      <c r="X190" s="36">
        <f t="shared" si="92"/>
        <v>0</v>
      </c>
      <c r="Y190" s="36">
        <f t="shared" si="92"/>
        <v>0</v>
      </c>
      <c r="Z190" s="36">
        <f t="shared" si="92"/>
        <v>343292</v>
      </c>
      <c r="AA190" s="36">
        <f t="shared" si="92"/>
        <v>520.07000000000005</v>
      </c>
      <c r="AB190" s="36">
        <f t="shared" si="92"/>
        <v>110975.00000000001</v>
      </c>
      <c r="AC190" s="36">
        <f t="shared" si="92"/>
        <v>0</v>
      </c>
      <c r="AD190" s="36">
        <f t="shared" si="92"/>
        <v>0</v>
      </c>
      <c r="AE190" s="36">
        <f t="shared" si="92"/>
        <v>500000</v>
      </c>
      <c r="AF190" s="36">
        <f t="shared" si="92"/>
        <v>3384</v>
      </c>
      <c r="AG190" s="36">
        <f t="shared" si="93"/>
        <v>3644</v>
      </c>
      <c r="AH190" s="36">
        <f t="shared" si="93"/>
        <v>3424</v>
      </c>
      <c r="AI190" s="36">
        <f t="shared" si="93"/>
        <v>3384</v>
      </c>
      <c r="AJ190" s="36">
        <f t="shared" si="93"/>
        <v>65884</v>
      </c>
      <c r="AK190" s="36">
        <f t="shared" si="93"/>
        <v>65884</v>
      </c>
      <c r="AL190" s="36">
        <f t="shared" si="93"/>
        <v>65884</v>
      </c>
      <c r="AM190" s="36">
        <f t="shared" si="93"/>
        <v>66404.070000000007</v>
      </c>
      <c r="AN190" s="36">
        <f t="shared" si="93"/>
        <v>3384</v>
      </c>
      <c r="AO190" s="36">
        <f t="shared" si="93"/>
        <v>3384</v>
      </c>
      <c r="AP190" s="36">
        <f t="shared" si="93"/>
        <v>3384</v>
      </c>
      <c r="AQ190" s="36">
        <f t="shared" si="94"/>
        <v>503384</v>
      </c>
      <c r="AR190" s="36">
        <f t="shared" si="94"/>
        <v>3485.5200000000004</v>
      </c>
      <c r="AS190" s="36">
        <f t="shared" si="94"/>
        <v>3745.5200000000004</v>
      </c>
      <c r="AT190" s="36">
        <f t="shared" si="94"/>
        <v>3525.5200000000004</v>
      </c>
      <c r="AU190" s="36">
        <f t="shared" si="94"/>
        <v>3485.5200000000004</v>
      </c>
      <c r="AV190" s="36">
        <f t="shared" si="94"/>
        <v>3485.5200000000004</v>
      </c>
      <c r="AW190" s="36">
        <f t="shared" si="94"/>
        <v>33485.520000000004</v>
      </c>
      <c r="AX190" s="36">
        <f t="shared" si="94"/>
        <v>3485.5200000000004</v>
      </c>
      <c r="AY190" s="36">
        <f t="shared" si="94"/>
        <v>4005.5900000000006</v>
      </c>
      <c r="AZ190" s="36">
        <f t="shared" si="94"/>
        <v>3485.5200000000004</v>
      </c>
      <c r="BA190" s="36">
        <f t="shared" si="95"/>
        <v>3485.5200000000004</v>
      </c>
      <c r="BB190" s="36">
        <f t="shared" si="95"/>
        <v>3443.2200000000003</v>
      </c>
      <c r="BC190" s="36">
        <f t="shared" si="95"/>
        <v>503443.22</v>
      </c>
      <c r="BD190" s="36">
        <f t="shared" si="95"/>
        <v>3546.5166000000004</v>
      </c>
      <c r="BE190" s="36">
        <f t="shared" si="95"/>
        <v>3806.5166000000004</v>
      </c>
      <c r="BF190" s="36">
        <f t="shared" si="95"/>
        <v>3586.5166000000004</v>
      </c>
      <c r="BG190" s="36">
        <f t="shared" si="95"/>
        <v>3546.5166000000004</v>
      </c>
      <c r="BH190" s="36">
        <f t="shared" si="95"/>
        <v>3546.5166000000004</v>
      </c>
      <c r="BI190" s="36">
        <f t="shared" si="95"/>
        <v>34071.516600000003</v>
      </c>
      <c r="BJ190" s="36">
        <f t="shared" si="95"/>
        <v>3546.5166000000004</v>
      </c>
      <c r="BK190" s="36">
        <f t="shared" si="96"/>
        <v>4066.5866000000005</v>
      </c>
      <c r="BL190" s="36">
        <f t="shared" si="96"/>
        <v>3546.5166000000004</v>
      </c>
      <c r="BM190" s="36">
        <f t="shared" si="96"/>
        <v>3546.5166000000004</v>
      </c>
      <c r="BN190" s="36">
        <f t="shared" si="96"/>
        <v>3486.2602500000003</v>
      </c>
      <c r="BO190" s="36">
        <f t="shared" si="96"/>
        <v>503486.26024999999</v>
      </c>
      <c r="BP190" s="36">
        <f t="shared" si="96"/>
        <v>3590.8480575000003</v>
      </c>
      <c r="BQ190" s="36">
        <f t="shared" si="96"/>
        <v>3850.8480575000003</v>
      </c>
      <c r="BR190" s="36">
        <f t="shared" si="96"/>
        <v>3630.8480575000003</v>
      </c>
      <c r="BS190" s="36">
        <f t="shared" si="96"/>
        <v>3590.8480575000003</v>
      </c>
      <c r="BT190" s="36">
        <f t="shared" si="96"/>
        <v>3590.8480575000003</v>
      </c>
      <c r="BU190" s="36">
        <f t="shared" si="96"/>
        <v>34497.410557499999</v>
      </c>
      <c r="BV190" s="36">
        <f t="shared" si="96"/>
        <v>3590.8480575000003</v>
      </c>
      <c r="BW190" s="36">
        <f t="shared" si="96"/>
        <v>4110.9180575</v>
      </c>
      <c r="BX190" s="36">
        <f t="shared" si="96"/>
        <v>3590.8480575000003</v>
      </c>
      <c r="BZ190" s="8">
        <f>SUMIF($B$252:$BY$252,1,$B190:$BY190)</f>
        <v>520.07000000000005</v>
      </c>
      <c r="CA190" s="8">
        <f>SUMIF($B$253:$BY$253,1,$B190:$BY190)</f>
        <v>903631.80999999994</v>
      </c>
      <c r="CC190" s="8">
        <f t="shared" si="97"/>
        <v>133124.29</v>
      </c>
      <c r="CD190" s="8">
        <f t="shared" si="97"/>
        <v>43481.36</v>
      </c>
      <c r="CE190" s="8">
        <f t="shared" si="97"/>
        <v>532502.76</v>
      </c>
      <c r="CF190" s="8">
        <f t="shared" si="97"/>
        <v>1014606.8099999999</v>
      </c>
      <c r="CG190" s="8">
        <f t="shared" si="97"/>
        <v>781276.07000000007</v>
      </c>
      <c r="CH190" s="8">
        <f t="shared" si="97"/>
        <v>572341.75000000012</v>
      </c>
      <c r="CI190" s="8">
        <f t="shared" si="97"/>
        <v>573635.67939999979</v>
      </c>
      <c r="CJ190" s="8">
        <f t="shared" si="97"/>
        <v>574563.30211749999</v>
      </c>
    </row>
    <row r="191" spans="1:88" x14ac:dyDescent="0.3">
      <c r="A191" s="25" t="s">
        <v>124</v>
      </c>
      <c r="B191" s="10"/>
      <c r="C191" s="36">
        <f t="shared" si="90"/>
        <v>77896.460000000006</v>
      </c>
      <c r="D191" s="36">
        <f t="shared" si="90"/>
        <v>102198.52</v>
      </c>
      <c r="E191" s="36">
        <f t="shared" si="90"/>
        <v>-10914.060000000001</v>
      </c>
      <c r="F191" s="36">
        <f t="shared" si="90"/>
        <v>3009.96</v>
      </c>
      <c r="G191" s="36">
        <f t="shared" si="90"/>
        <v>1191.3800000000001</v>
      </c>
      <c r="H191" s="36">
        <f t="shared" si="90"/>
        <v>190.53</v>
      </c>
      <c r="I191" s="36">
        <f t="shared" si="90"/>
        <v>234.1</v>
      </c>
      <c r="J191" s="36">
        <f t="shared" si="90"/>
        <v>101.13</v>
      </c>
      <c r="K191" s="36">
        <f t="shared" si="90"/>
        <v>197.93</v>
      </c>
      <c r="L191" s="36">
        <f t="shared" si="90"/>
        <v>123.58000000000008</v>
      </c>
      <c r="M191" s="36">
        <f t="shared" si="91"/>
        <v>14223.55</v>
      </c>
      <c r="N191" s="36">
        <f t="shared" si="91"/>
        <v>155.51</v>
      </c>
      <c r="O191" s="36">
        <f t="shared" si="91"/>
        <v>1227.96</v>
      </c>
      <c r="P191" s="36">
        <f t="shared" si="91"/>
        <v>406.56</v>
      </c>
      <c r="Q191" s="36">
        <f t="shared" si="91"/>
        <v>322.52</v>
      </c>
      <c r="R191" s="36">
        <f t="shared" si="91"/>
        <v>20.93</v>
      </c>
      <c r="S191" s="36">
        <f t="shared" si="91"/>
        <v>1955.37</v>
      </c>
      <c r="T191" s="36">
        <f t="shared" si="91"/>
        <v>3527.5299999999997</v>
      </c>
      <c r="U191" s="36">
        <f t="shared" si="91"/>
        <v>1352.3400000000001</v>
      </c>
      <c r="V191" s="36">
        <f t="shared" si="91"/>
        <v>12.46</v>
      </c>
      <c r="W191" s="36">
        <f t="shared" si="92"/>
        <v>9789.41</v>
      </c>
      <c r="X191" s="36">
        <f t="shared" si="92"/>
        <v>2764.8</v>
      </c>
      <c r="Y191" s="36">
        <f t="shared" si="92"/>
        <v>4020.49</v>
      </c>
      <c r="Z191" s="36">
        <f t="shared" si="92"/>
        <v>2786.55</v>
      </c>
      <c r="AA191" s="36">
        <f t="shared" si="92"/>
        <v>1341.0900000000001</v>
      </c>
      <c r="AB191" s="36">
        <f t="shared" si="92"/>
        <v>406.56</v>
      </c>
      <c r="AC191" s="36">
        <f t="shared" si="92"/>
        <v>670420.82999999996</v>
      </c>
      <c r="AD191" s="36">
        <f t="shared" si="92"/>
        <v>20.93</v>
      </c>
      <c r="AE191" s="36">
        <f t="shared" si="92"/>
        <v>1955.37</v>
      </c>
      <c r="AF191" s="36">
        <f t="shared" si="92"/>
        <v>3527.5299999999997</v>
      </c>
      <c r="AG191" s="36">
        <f t="shared" si="93"/>
        <v>1352.3400000000001</v>
      </c>
      <c r="AH191" s="36">
        <f t="shared" si="93"/>
        <v>12.46</v>
      </c>
      <c r="AI191" s="36">
        <f t="shared" si="93"/>
        <v>9789.41</v>
      </c>
      <c r="AJ191" s="36">
        <f t="shared" si="93"/>
        <v>2764.8</v>
      </c>
      <c r="AK191" s="36">
        <f t="shared" si="93"/>
        <v>4020.49</v>
      </c>
      <c r="AL191" s="36">
        <f t="shared" si="93"/>
        <v>2786.55</v>
      </c>
      <c r="AM191" s="36">
        <f t="shared" si="93"/>
        <v>1341.0900000000001</v>
      </c>
      <c r="AN191" s="36">
        <f t="shared" si="93"/>
        <v>406.56</v>
      </c>
      <c r="AO191" s="36">
        <f t="shared" si="93"/>
        <v>322.52</v>
      </c>
      <c r="AP191" s="36">
        <f t="shared" si="93"/>
        <v>20.93</v>
      </c>
      <c r="AQ191" s="36">
        <f t="shared" si="94"/>
        <v>1955.37</v>
      </c>
      <c r="AR191" s="36">
        <f t="shared" si="94"/>
        <v>3527.5299999999997</v>
      </c>
      <c r="AS191" s="36">
        <f t="shared" si="94"/>
        <v>1352.3400000000001</v>
      </c>
      <c r="AT191" s="36">
        <f t="shared" si="94"/>
        <v>12.46</v>
      </c>
      <c r="AU191" s="36">
        <f t="shared" si="94"/>
        <v>9789.41</v>
      </c>
      <c r="AV191" s="36">
        <f t="shared" si="94"/>
        <v>2764.8</v>
      </c>
      <c r="AW191" s="36">
        <f t="shared" si="94"/>
        <v>4020.49</v>
      </c>
      <c r="AX191" s="36">
        <f t="shared" si="94"/>
        <v>2786.55</v>
      </c>
      <c r="AY191" s="36">
        <f t="shared" si="94"/>
        <v>1341.0900000000001</v>
      </c>
      <c r="AZ191" s="36">
        <f t="shared" si="94"/>
        <v>406.56</v>
      </c>
      <c r="BA191" s="36">
        <f t="shared" si="95"/>
        <v>322.52</v>
      </c>
      <c r="BB191" s="36">
        <f t="shared" si="95"/>
        <v>20.93</v>
      </c>
      <c r="BC191" s="36">
        <f t="shared" si="95"/>
        <v>1955.37</v>
      </c>
      <c r="BD191" s="36">
        <f t="shared" si="95"/>
        <v>3527.5299999999997</v>
      </c>
      <c r="BE191" s="36">
        <f t="shared" si="95"/>
        <v>1352.3400000000001</v>
      </c>
      <c r="BF191" s="36">
        <f t="shared" si="95"/>
        <v>12.46</v>
      </c>
      <c r="BG191" s="36">
        <f t="shared" si="95"/>
        <v>9789.41</v>
      </c>
      <c r="BH191" s="36">
        <f t="shared" si="95"/>
        <v>2764.8</v>
      </c>
      <c r="BI191" s="36">
        <f t="shared" si="95"/>
        <v>4020.49</v>
      </c>
      <c r="BJ191" s="36">
        <f t="shared" si="95"/>
        <v>2786.55</v>
      </c>
      <c r="BK191" s="36">
        <f t="shared" si="96"/>
        <v>1341.0900000000001</v>
      </c>
      <c r="BL191" s="36">
        <f t="shared" si="96"/>
        <v>406.56</v>
      </c>
      <c r="BM191" s="36">
        <f t="shared" si="96"/>
        <v>322.52</v>
      </c>
      <c r="BN191" s="36">
        <f t="shared" si="96"/>
        <v>20.93</v>
      </c>
      <c r="BO191" s="36">
        <f t="shared" si="96"/>
        <v>1955.37</v>
      </c>
      <c r="BP191" s="36">
        <f t="shared" si="96"/>
        <v>3527.5299999999997</v>
      </c>
      <c r="BQ191" s="36">
        <f t="shared" si="96"/>
        <v>1352.3400000000001</v>
      </c>
      <c r="BR191" s="36">
        <f t="shared" si="96"/>
        <v>12.46</v>
      </c>
      <c r="BS191" s="36">
        <f t="shared" si="96"/>
        <v>9789.41</v>
      </c>
      <c r="BT191" s="36">
        <f t="shared" si="96"/>
        <v>2764.8</v>
      </c>
      <c r="BU191" s="36">
        <f t="shared" si="96"/>
        <v>4020.49</v>
      </c>
      <c r="BV191" s="36">
        <f t="shared" si="96"/>
        <v>2786.55</v>
      </c>
      <c r="BW191" s="36">
        <f t="shared" si="96"/>
        <v>1341.0900000000001</v>
      </c>
      <c r="BX191" s="36">
        <f t="shared" si="96"/>
        <v>406.56</v>
      </c>
      <c r="BZ191" s="8">
        <f>SUMIF($B$252:$BY$252,1,$B191:$BY191)</f>
        <v>1341.0900000000001</v>
      </c>
      <c r="CA191" s="8">
        <f>SUMIF($B$253:$BY$253,1,$B191:$BY191)</f>
        <v>27893.489999999998</v>
      </c>
      <c r="CC191" s="8">
        <f t="shared" si="97"/>
        <v>77896.460000000006</v>
      </c>
      <c r="CD191" s="8">
        <f t="shared" si="97"/>
        <v>102198.52</v>
      </c>
      <c r="CE191" s="8">
        <f t="shared" si="97"/>
        <v>10148.129999999999</v>
      </c>
      <c r="CF191" s="8">
        <f t="shared" si="97"/>
        <v>28300.05</v>
      </c>
      <c r="CG191" s="8">
        <f t="shared" si="97"/>
        <v>698398.3600000001</v>
      </c>
      <c r="CH191" s="8">
        <f t="shared" si="97"/>
        <v>28300.05</v>
      </c>
      <c r="CI191" s="8">
        <f t="shared" si="97"/>
        <v>28300.05</v>
      </c>
      <c r="CJ191" s="8">
        <f t="shared" si="97"/>
        <v>28300.05</v>
      </c>
    </row>
    <row r="192" spans="1:88" ht="3" customHeight="1" x14ac:dyDescent="0.3">
      <c r="B192" s="10"/>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Z192" s="7"/>
      <c r="CA192" s="7"/>
      <c r="CC192" s="7">
        <f t="shared" si="97"/>
        <v>0</v>
      </c>
      <c r="CD192" s="7">
        <f t="shared" si="97"/>
        <v>0</v>
      </c>
      <c r="CE192" s="7">
        <f t="shared" si="97"/>
        <v>0</v>
      </c>
      <c r="CF192" s="7">
        <f t="shared" si="97"/>
        <v>0</v>
      </c>
      <c r="CG192" s="7">
        <f t="shared" si="97"/>
        <v>0</v>
      </c>
      <c r="CH192" s="7">
        <f t="shared" si="97"/>
        <v>0</v>
      </c>
      <c r="CI192" s="7">
        <f t="shared" si="97"/>
        <v>0</v>
      </c>
      <c r="CJ192" s="7">
        <f t="shared" si="97"/>
        <v>0</v>
      </c>
    </row>
    <row r="193" spans="1:88" x14ac:dyDescent="0.3">
      <c r="A193" s="1" t="s">
        <v>16</v>
      </c>
      <c r="B193" s="10"/>
      <c r="C193" s="8">
        <f>SUM(C187:C192)</f>
        <v>2854519.6999999997</v>
      </c>
      <c r="D193" s="8">
        <f>SUM(D187:D192)</f>
        <v>3135743.77</v>
      </c>
      <c r="E193" s="8">
        <f>SUM(E187:E192)</f>
        <v>435751.44</v>
      </c>
      <c r="F193" s="8">
        <f t="shared" ref="F193:CA193" si="98">SUM(F187:F192)</f>
        <v>503537.96</v>
      </c>
      <c r="G193" s="8">
        <f t="shared" si="98"/>
        <v>241710.22</v>
      </c>
      <c r="H193" s="8">
        <f t="shared" si="98"/>
        <v>638695.51</v>
      </c>
      <c r="I193" s="8">
        <f t="shared" si="98"/>
        <v>21391.79</v>
      </c>
      <c r="J193" s="8">
        <f t="shared" si="98"/>
        <v>537549.01</v>
      </c>
      <c r="K193" s="8">
        <f t="shared" si="98"/>
        <v>2144.9299999999998</v>
      </c>
      <c r="L193" s="8">
        <f t="shared" si="98"/>
        <v>335882.75000000006</v>
      </c>
      <c r="M193" s="8">
        <f t="shared" si="98"/>
        <v>282239.23</v>
      </c>
      <c r="N193" s="8">
        <f t="shared" si="98"/>
        <v>586679.18000000005</v>
      </c>
      <c r="O193" s="8">
        <f t="shared" si="98"/>
        <v>10662.23</v>
      </c>
      <c r="P193" s="8">
        <f t="shared" si="98"/>
        <v>396026.98</v>
      </c>
      <c r="Q193" s="8">
        <f t="shared" si="98"/>
        <v>214417.71</v>
      </c>
      <c r="R193" s="8">
        <f t="shared" si="98"/>
        <v>289768.8</v>
      </c>
      <c r="S193" s="8">
        <f t="shared" si="98"/>
        <v>772256.52999999991</v>
      </c>
      <c r="T193" s="8">
        <f t="shared" si="98"/>
        <v>311135.48</v>
      </c>
      <c r="U193" s="8">
        <f t="shared" si="98"/>
        <v>344701.31000000006</v>
      </c>
      <c r="V193" s="8">
        <f t="shared" si="98"/>
        <v>280244.37</v>
      </c>
      <c r="W193" s="8">
        <f t="shared" si="98"/>
        <v>302448.58999999997</v>
      </c>
      <c r="X193" s="8">
        <f t="shared" si="98"/>
        <v>283107.32</v>
      </c>
      <c r="Y193" s="8">
        <f t="shared" si="98"/>
        <v>281488.82999999996</v>
      </c>
      <c r="Z193" s="8">
        <f t="shared" si="98"/>
        <v>612680.09000000008</v>
      </c>
      <c r="AA193" s="8">
        <f t="shared" si="98"/>
        <v>300700.4800000001</v>
      </c>
      <c r="AB193" s="8">
        <f t="shared" si="98"/>
        <v>390103.3091666667</v>
      </c>
      <c r="AC193" s="8">
        <f t="shared" si="98"/>
        <v>941108.96249999991</v>
      </c>
      <c r="AD193" s="8">
        <f t="shared" si="98"/>
        <v>363546.68320991675</v>
      </c>
      <c r="AE193" s="8">
        <f t="shared" si="98"/>
        <v>843155.60266949993</v>
      </c>
      <c r="AF193" s="8">
        <f t="shared" si="98"/>
        <v>347303.67185875005</v>
      </c>
      <c r="AG193" s="8">
        <f t="shared" si="98"/>
        <v>361843.74257983343</v>
      </c>
      <c r="AH193" s="8">
        <f t="shared" si="98"/>
        <v>338398.8828501667</v>
      </c>
      <c r="AI193" s="8">
        <f t="shared" si="98"/>
        <v>351994.03690391668</v>
      </c>
      <c r="AJ193" s="8">
        <f t="shared" si="98"/>
        <v>434240.09339058335</v>
      </c>
      <c r="AK193" s="8">
        <f t="shared" si="98"/>
        <v>412887.55942650005</v>
      </c>
      <c r="AL193" s="8">
        <f t="shared" si="98"/>
        <v>403653.10447166668</v>
      </c>
      <c r="AM193" s="8">
        <f t="shared" si="98"/>
        <v>425283.7809583334</v>
      </c>
      <c r="AN193" s="8">
        <f t="shared" si="98"/>
        <v>346313.44242333336</v>
      </c>
      <c r="AO193" s="8">
        <f t="shared" ref="AO193:AZ193" si="99">SUM(AO187:AO192)</f>
        <v>337959.55780500005</v>
      </c>
      <c r="AP193" s="8">
        <f t="shared" si="99"/>
        <v>451267.55567288504</v>
      </c>
      <c r="AQ193" s="8">
        <f t="shared" si="99"/>
        <v>929860.86314785003</v>
      </c>
      <c r="AR193" s="8">
        <f t="shared" si="99"/>
        <v>428774.7063408934</v>
      </c>
      <c r="AS193" s="8">
        <f t="shared" si="99"/>
        <v>443358.64605027589</v>
      </c>
      <c r="AT193" s="8">
        <f t="shared" si="99"/>
        <v>419513.51192871924</v>
      </c>
      <c r="AU193" s="8">
        <f t="shared" si="99"/>
        <v>432727.75873567583</v>
      </c>
      <c r="AV193" s="8">
        <f t="shared" si="99"/>
        <v>453636.65684853669</v>
      </c>
      <c r="AW193" s="8">
        <f t="shared" si="99"/>
        <v>462689.43873567582</v>
      </c>
      <c r="AX193" s="8">
        <f t="shared" si="99"/>
        <v>421431.87113045837</v>
      </c>
      <c r="AY193" s="8">
        <f t="shared" si="99"/>
        <v>444013.9184450584</v>
      </c>
      <c r="AZ193" s="8">
        <f t="shared" si="99"/>
        <v>426422.20275400835</v>
      </c>
      <c r="BA193" s="8">
        <f t="shared" ref="BA193:BX193" si="100">SUM(BA187:BA192)</f>
        <v>417612.12113045837</v>
      </c>
      <c r="BB193" s="8">
        <f t="shared" si="100"/>
        <v>478626.20100524864</v>
      </c>
      <c r="BC193" s="8">
        <f t="shared" si="100"/>
        <v>956234.05974825588</v>
      </c>
      <c r="BD193" s="8">
        <f t="shared" si="100"/>
        <v>456378.77522271668</v>
      </c>
      <c r="BE193" s="8">
        <f t="shared" si="100"/>
        <v>471148.2628520134</v>
      </c>
      <c r="BF193" s="8">
        <f t="shared" si="100"/>
        <v>447614.42884609912</v>
      </c>
      <c r="BG193" s="8">
        <f t="shared" si="100"/>
        <v>461562.95165994705</v>
      </c>
      <c r="BH193" s="8">
        <f t="shared" si="100"/>
        <v>482545.57285201334</v>
      </c>
      <c r="BI193" s="8">
        <f t="shared" si="100"/>
        <v>491051.16253440792</v>
      </c>
      <c r="BJ193" s="8">
        <f t="shared" si="100"/>
        <v>449471.47940886865</v>
      </c>
      <c r="BK193" s="8">
        <f t="shared" si="100"/>
        <v>472527.92372647417</v>
      </c>
      <c r="BL193" s="8">
        <f t="shared" si="100"/>
        <v>454499.89501083078</v>
      </c>
      <c r="BM193" s="8">
        <f t="shared" si="100"/>
        <v>445583.94340886868</v>
      </c>
      <c r="BN193" s="8">
        <f t="shared" si="100"/>
        <v>490689.91103355226</v>
      </c>
      <c r="BO193" s="8">
        <f t="shared" si="100"/>
        <v>968723.59910565137</v>
      </c>
      <c r="BP193" s="8">
        <f t="shared" si="100"/>
        <v>468841.25619854295</v>
      </c>
      <c r="BQ193" s="8">
        <f t="shared" si="100"/>
        <v>483043.75665340159</v>
      </c>
      <c r="BR193" s="8">
        <f t="shared" si="100"/>
        <v>458655.9467901091</v>
      </c>
      <c r="BS193" s="8">
        <f t="shared" si="100"/>
        <v>472044.04876932595</v>
      </c>
      <c r="BT193" s="8">
        <f t="shared" si="100"/>
        <v>495603.83996070584</v>
      </c>
      <c r="BU193" s="8">
        <f t="shared" si="100"/>
        <v>504150.20857663022</v>
      </c>
      <c r="BV193" s="8">
        <f t="shared" si="100"/>
        <v>461746.1132620218</v>
      </c>
      <c r="BW193" s="8">
        <f t="shared" si="100"/>
        <v>485178.67784609733</v>
      </c>
      <c r="BX193" s="8">
        <f t="shared" si="100"/>
        <v>466757.00914650847</v>
      </c>
      <c r="BZ193" s="8">
        <f t="shared" si="98"/>
        <v>300700.4800000001</v>
      </c>
      <c r="CA193" s="8">
        <f t="shared" si="98"/>
        <v>3992949.51</v>
      </c>
      <c r="CC193" s="8">
        <f t="shared" si="97"/>
        <v>2854519.6999999997</v>
      </c>
      <c r="CD193" s="8">
        <f t="shared" si="97"/>
        <v>3135743.77</v>
      </c>
      <c r="CE193" s="8">
        <f t="shared" si="97"/>
        <v>3992271.2300000004</v>
      </c>
      <c r="CF193" s="8">
        <f t="shared" si="97"/>
        <v>4383052.8191666668</v>
      </c>
      <c r="CG193" s="8">
        <f t="shared" si="97"/>
        <v>5569729.5632425016</v>
      </c>
      <c r="CH193" s="8">
        <f t="shared" si="97"/>
        <v>5651656.6875950359</v>
      </c>
      <c r="CI193" s="8">
        <f t="shared" si="97"/>
        <v>6039272.8339973344</v>
      </c>
      <c r="CJ193" s="8">
        <f t="shared" si="97"/>
        <v>6201018.3107514158</v>
      </c>
    </row>
    <row r="194" spans="1:88" x14ac:dyDescent="0.3">
      <c r="A194" s="25" t="s">
        <v>135</v>
      </c>
      <c r="B194" s="10"/>
      <c r="C194" s="36">
        <f t="shared" ref="C194:L208" si="101">SUMIF($B$4:$B$174,$A194,C$4:C$174)</f>
        <v>1521585.5199999998</v>
      </c>
      <c r="D194" s="36">
        <f t="shared" si="101"/>
        <v>1529255.1900000004</v>
      </c>
      <c r="E194" s="36">
        <f t="shared" si="101"/>
        <v>-117285.92000000001</v>
      </c>
      <c r="F194" s="36">
        <f t="shared" si="101"/>
        <v>115474.08</v>
      </c>
      <c r="G194" s="36">
        <f t="shared" si="101"/>
        <v>125733.33999999998</v>
      </c>
      <c r="H194" s="36">
        <f t="shared" si="101"/>
        <v>138194.09</v>
      </c>
      <c r="I194" s="36">
        <f t="shared" si="101"/>
        <v>138882.51</v>
      </c>
      <c r="J194" s="36">
        <f t="shared" si="101"/>
        <v>121942.70000000001</v>
      </c>
      <c r="K194" s="36">
        <f t="shared" si="101"/>
        <v>132399.56</v>
      </c>
      <c r="L194" s="36">
        <f t="shared" si="101"/>
        <v>136887.84</v>
      </c>
      <c r="M194" s="36">
        <f t="shared" ref="M194:V208" si="102">SUMIF($B$4:$B$174,$A194,M$4:M$174)</f>
        <v>136128.71000000002</v>
      </c>
      <c r="N194" s="36">
        <f t="shared" si="102"/>
        <v>139244.70000000001</v>
      </c>
      <c r="O194" s="36">
        <f t="shared" si="102"/>
        <v>139528.57</v>
      </c>
      <c r="P194" s="36">
        <f t="shared" si="102"/>
        <v>330973.58000000007</v>
      </c>
      <c r="Q194" s="36">
        <f t="shared" si="102"/>
        <v>930.15</v>
      </c>
      <c r="R194" s="36">
        <f t="shared" si="102"/>
        <v>151459.23000000001</v>
      </c>
      <c r="S194" s="36">
        <f t="shared" si="102"/>
        <v>157887.77000000002</v>
      </c>
      <c r="T194" s="36">
        <f t="shared" si="102"/>
        <v>151846.77000000002</v>
      </c>
      <c r="U194" s="36">
        <f t="shared" si="102"/>
        <v>153361.33000000002</v>
      </c>
      <c r="V194" s="36">
        <f t="shared" si="102"/>
        <v>162902.47000000003</v>
      </c>
      <c r="W194" s="36">
        <f t="shared" ref="W194:AF208" si="103">SUMIF($B$4:$B$174,$A194,W$4:W$174)</f>
        <v>152033.19</v>
      </c>
      <c r="X194" s="36">
        <f t="shared" si="103"/>
        <v>159275.26</v>
      </c>
      <c r="Y194" s="36">
        <f t="shared" si="103"/>
        <v>156536.77000000002</v>
      </c>
      <c r="Z194" s="36">
        <f t="shared" si="103"/>
        <v>156648.07999999999</v>
      </c>
      <c r="AA194" s="36">
        <f t="shared" si="103"/>
        <v>174902.58000000002</v>
      </c>
      <c r="AB194" s="36">
        <f t="shared" si="103"/>
        <v>315540.61333333328</v>
      </c>
      <c r="AC194" s="36">
        <f t="shared" si="103"/>
        <v>0</v>
      </c>
      <c r="AD194" s="36">
        <f t="shared" si="103"/>
        <v>160128.57055555558</v>
      </c>
      <c r="AE194" s="36">
        <f t="shared" si="103"/>
        <v>159819.57055555558</v>
      </c>
      <c r="AF194" s="36">
        <f t="shared" si="103"/>
        <v>159819.57055555558</v>
      </c>
      <c r="AG194" s="36">
        <f t="shared" ref="AG194:AP208" si="104">SUMIF($B$4:$B$174,$A194,AG$4:AG$174)</f>
        <v>161210.07055555558</v>
      </c>
      <c r="AH194" s="36">
        <f t="shared" si="104"/>
        <v>159819.57055555558</v>
      </c>
      <c r="AI194" s="36">
        <f t="shared" si="104"/>
        <v>160746.57055555558</v>
      </c>
      <c r="AJ194" s="36">
        <f t="shared" si="104"/>
        <v>159819.57055555558</v>
      </c>
      <c r="AK194" s="36">
        <f t="shared" si="104"/>
        <v>159819.57055555558</v>
      </c>
      <c r="AL194" s="36">
        <f t="shared" si="104"/>
        <v>160901.07055555558</v>
      </c>
      <c r="AM194" s="36">
        <f t="shared" si="104"/>
        <v>159922.57055555558</v>
      </c>
      <c r="AN194" s="36">
        <f t="shared" si="104"/>
        <v>319639.14111111115</v>
      </c>
      <c r="AO194" s="36">
        <f t="shared" si="104"/>
        <v>0</v>
      </c>
      <c r="AP194" s="36">
        <f t="shared" si="104"/>
        <v>176377.43240206718</v>
      </c>
      <c r="AQ194" s="36">
        <f t="shared" ref="AQ194:AZ208" si="105">SUMIF($B$4:$B$174,$A194,AQ$4:AQ$174)</f>
        <v>176059.16240206719</v>
      </c>
      <c r="AR194" s="36">
        <f t="shared" si="105"/>
        <v>176059.16240206719</v>
      </c>
      <c r="AS194" s="36">
        <f t="shared" si="105"/>
        <v>177491.37740206718</v>
      </c>
      <c r="AT194" s="36">
        <f t="shared" si="105"/>
        <v>176059.16240206719</v>
      </c>
      <c r="AU194" s="36">
        <f t="shared" si="105"/>
        <v>177013.97240206719</v>
      </c>
      <c r="AV194" s="36">
        <f t="shared" si="105"/>
        <v>176059.16240206719</v>
      </c>
      <c r="AW194" s="36">
        <f t="shared" si="105"/>
        <v>176059.16240206719</v>
      </c>
      <c r="AX194" s="36">
        <f t="shared" si="105"/>
        <v>177173.10740206719</v>
      </c>
      <c r="AY194" s="36">
        <f t="shared" si="105"/>
        <v>176165.25240206718</v>
      </c>
      <c r="AZ194" s="36">
        <f t="shared" si="105"/>
        <v>352118.32480413438</v>
      </c>
      <c r="BA194" s="36">
        <f t="shared" ref="BA194:BJ208" si="106">SUMIF($B$4:$B$174,$A194,BA$4:BA$174)</f>
        <v>0</v>
      </c>
      <c r="BB194" s="36">
        <f t="shared" si="106"/>
        <v>184669.11849112922</v>
      </c>
      <c r="BC194" s="36">
        <f t="shared" si="106"/>
        <v>184341.30039112922</v>
      </c>
      <c r="BD194" s="36">
        <f t="shared" si="106"/>
        <v>184341.30039112922</v>
      </c>
      <c r="BE194" s="36">
        <f t="shared" si="106"/>
        <v>185816.48184112922</v>
      </c>
      <c r="BF194" s="36">
        <f t="shared" si="106"/>
        <v>184341.30039112922</v>
      </c>
      <c r="BG194" s="36">
        <f t="shared" si="106"/>
        <v>185324.75469112923</v>
      </c>
      <c r="BH194" s="36">
        <f t="shared" si="106"/>
        <v>184341.30039112922</v>
      </c>
      <c r="BI194" s="36">
        <f t="shared" si="106"/>
        <v>184341.30039112922</v>
      </c>
      <c r="BJ194" s="36">
        <f t="shared" si="106"/>
        <v>185488.66374112922</v>
      </c>
      <c r="BK194" s="36">
        <f t="shared" ref="BK194:BX208" si="107">SUMIF($B$4:$B$174,$A194,BK$4:BK$174)</f>
        <v>184450.57309112922</v>
      </c>
      <c r="BL194" s="36">
        <f t="shared" si="107"/>
        <v>368682.60078225844</v>
      </c>
      <c r="BM194" s="36">
        <f t="shared" si="107"/>
        <v>0</v>
      </c>
      <c r="BN194" s="36">
        <f t="shared" si="107"/>
        <v>190209.19204586314</v>
      </c>
      <c r="BO194" s="36">
        <f t="shared" si="107"/>
        <v>189871.53940286313</v>
      </c>
      <c r="BP194" s="36">
        <f t="shared" si="107"/>
        <v>189871.53940286313</v>
      </c>
      <c r="BQ194" s="36">
        <f t="shared" si="107"/>
        <v>191390.97629636314</v>
      </c>
      <c r="BR194" s="36">
        <f t="shared" si="107"/>
        <v>189871.53940286313</v>
      </c>
      <c r="BS194" s="36">
        <f t="shared" si="107"/>
        <v>190884.49733186312</v>
      </c>
      <c r="BT194" s="36">
        <f t="shared" si="107"/>
        <v>189871.53940286313</v>
      </c>
      <c r="BU194" s="36">
        <f t="shared" si="107"/>
        <v>189871.53940286313</v>
      </c>
      <c r="BV194" s="36">
        <f t="shared" si="107"/>
        <v>191053.32365336313</v>
      </c>
      <c r="BW194" s="36">
        <f t="shared" si="107"/>
        <v>189984.09028386313</v>
      </c>
      <c r="BX194" s="36">
        <f t="shared" si="107"/>
        <v>379743.07880572625</v>
      </c>
      <c r="BZ194" s="8">
        <f t="shared" ref="BZ194:BZ208" si="108">SUMIF($B$252:$BY$252,1,$B194:$BY194)</f>
        <v>174902.58000000002</v>
      </c>
      <c r="CA194" s="8">
        <f t="shared" ref="CA194:CA208" si="109">SUMIF($B$253:$BY$253,1,$B194:$BY194)</f>
        <v>1577783.6</v>
      </c>
      <c r="CC194" s="8">
        <f t="shared" si="97"/>
        <v>1521585.5199999998</v>
      </c>
      <c r="CD194" s="8">
        <f t="shared" si="97"/>
        <v>1529255.1900000004</v>
      </c>
      <c r="CE194" s="8">
        <f t="shared" si="97"/>
        <v>1538103.76</v>
      </c>
      <c r="CF194" s="8">
        <f t="shared" si="97"/>
        <v>1893324.2133333334</v>
      </c>
      <c r="CG194" s="8">
        <f t="shared" si="97"/>
        <v>1921645.8466666671</v>
      </c>
      <c r="CH194" s="8">
        <f t="shared" si="97"/>
        <v>2116635.2788248062</v>
      </c>
      <c r="CI194" s="8">
        <f t="shared" si="97"/>
        <v>2216138.6945935506</v>
      </c>
      <c r="CJ194" s="8">
        <f t="shared" si="97"/>
        <v>2282622.8554313574</v>
      </c>
    </row>
    <row r="195" spans="1:88" x14ac:dyDescent="0.3">
      <c r="A195" s="25" t="s">
        <v>136</v>
      </c>
      <c r="B195" s="10"/>
      <c r="C195" s="36">
        <f t="shared" si="101"/>
        <v>611042.65</v>
      </c>
      <c r="D195" s="36">
        <f t="shared" si="101"/>
        <v>695179.38</v>
      </c>
      <c r="E195" s="36">
        <f t="shared" si="101"/>
        <v>-27332.289999999994</v>
      </c>
      <c r="F195" s="36">
        <f t="shared" si="101"/>
        <v>31332.700000000008</v>
      </c>
      <c r="G195" s="36">
        <f t="shared" si="101"/>
        <v>34044.950000000004</v>
      </c>
      <c r="H195" s="36">
        <f t="shared" si="101"/>
        <v>37774.269999999997</v>
      </c>
      <c r="I195" s="36">
        <f t="shared" si="101"/>
        <v>33849.499999999993</v>
      </c>
      <c r="J195" s="36">
        <f t="shared" si="101"/>
        <v>54840.290000000008</v>
      </c>
      <c r="K195" s="36">
        <f t="shared" si="101"/>
        <v>39981.48000000001</v>
      </c>
      <c r="L195" s="36">
        <f t="shared" si="101"/>
        <v>46237.259999999995</v>
      </c>
      <c r="M195" s="36">
        <f t="shared" si="102"/>
        <v>41591.279999999984</v>
      </c>
      <c r="N195" s="36">
        <f t="shared" si="102"/>
        <v>34450.779999999984</v>
      </c>
      <c r="O195" s="36">
        <f t="shared" si="102"/>
        <v>39790.120000000003</v>
      </c>
      <c r="P195" s="36">
        <f t="shared" si="102"/>
        <v>92518.34</v>
      </c>
      <c r="Q195" s="36">
        <f t="shared" si="102"/>
        <v>7374.13</v>
      </c>
      <c r="R195" s="36">
        <f t="shared" si="102"/>
        <v>45071.649999999987</v>
      </c>
      <c r="S195" s="36">
        <f t="shared" si="102"/>
        <v>42679.520000000011</v>
      </c>
      <c r="T195" s="36">
        <f t="shared" si="102"/>
        <v>30554.409999999996</v>
      </c>
      <c r="U195" s="36">
        <f t="shared" si="102"/>
        <v>31906.280000000006</v>
      </c>
      <c r="V195" s="36">
        <f t="shared" si="102"/>
        <v>30377.850000000002</v>
      </c>
      <c r="W195" s="36">
        <f t="shared" si="103"/>
        <v>31879.79</v>
      </c>
      <c r="X195" s="36">
        <f t="shared" si="103"/>
        <v>73993.19</v>
      </c>
      <c r="Y195" s="36">
        <f t="shared" si="103"/>
        <v>-10206.580000000004</v>
      </c>
      <c r="Z195" s="36">
        <f t="shared" si="103"/>
        <v>98562.180000000037</v>
      </c>
      <c r="AA195" s="36">
        <f t="shared" si="103"/>
        <v>42177.289999999979</v>
      </c>
      <c r="AB195" s="36">
        <f t="shared" si="103"/>
        <v>66836.620183831139</v>
      </c>
      <c r="AC195" s="36">
        <f t="shared" si="103"/>
        <v>427.2749</v>
      </c>
      <c r="AD195" s="36">
        <f t="shared" si="103"/>
        <v>37203.915964851592</v>
      </c>
      <c r="AE195" s="36">
        <f t="shared" si="103"/>
        <v>34991.523667467613</v>
      </c>
      <c r="AF195" s="36">
        <f t="shared" si="103"/>
        <v>34212.113165864968</v>
      </c>
      <c r="AG195" s="36">
        <f t="shared" si="104"/>
        <v>35537.70840199208</v>
      </c>
      <c r="AH195" s="36">
        <f t="shared" si="104"/>
        <v>34942.397721125802</v>
      </c>
      <c r="AI195" s="36">
        <f t="shared" si="104"/>
        <v>34444.155194317813</v>
      </c>
      <c r="AJ195" s="36">
        <f t="shared" si="104"/>
        <v>34515.933202603323</v>
      </c>
      <c r="AK195" s="36">
        <f t="shared" si="104"/>
        <v>34353.800902603318</v>
      </c>
      <c r="AL195" s="36">
        <f t="shared" si="104"/>
        <v>34433.549093710695</v>
      </c>
      <c r="AM195" s="36">
        <f t="shared" si="104"/>
        <v>34823.309497459719</v>
      </c>
      <c r="AN195" s="36">
        <f t="shared" si="104"/>
        <v>69135.848747803597</v>
      </c>
      <c r="AO195" s="36">
        <f t="shared" si="104"/>
        <v>440.09314700000004</v>
      </c>
      <c r="AP195" s="36">
        <f t="shared" si="104"/>
        <v>39979.686619536093</v>
      </c>
      <c r="AQ195" s="36">
        <f t="shared" si="105"/>
        <v>37864.067602288393</v>
      </c>
      <c r="AR195" s="36">
        <f t="shared" si="105"/>
        <v>37225.360697511467</v>
      </c>
      <c r="AS195" s="36">
        <f t="shared" si="105"/>
        <v>38682.757207775197</v>
      </c>
      <c r="AT195" s="36">
        <f t="shared" si="105"/>
        <v>37649.41230030304</v>
      </c>
      <c r="AU195" s="36">
        <f t="shared" si="105"/>
        <v>37318.947290494987</v>
      </c>
      <c r="AV195" s="36">
        <f t="shared" si="105"/>
        <v>37392.821728484872</v>
      </c>
      <c r="AW195" s="36">
        <f t="shared" si="105"/>
        <v>37225.825459484862</v>
      </c>
      <c r="AX195" s="36">
        <f t="shared" si="105"/>
        <v>37333.931432620404</v>
      </c>
      <c r="AY195" s="36">
        <f t="shared" si="105"/>
        <v>37741.752882953537</v>
      </c>
      <c r="AZ195" s="36">
        <f t="shared" si="105"/>
        <v>74925.086686777693</v>
      </c>
      <c r="BA195" s="36">
        <f t="shared" si="106"/>
        <v>453.29594141000001</v>
      </c>
      <c r="BB195" s="36">
        <f t="shared" si="106"/>
        <v>41880.299902754428</v>
      </c>
      <c r="BC195" s="36">
        <f t="shared" si="106"/>
        <v>39703.134777969746</v>
      </c>
      <c r="BD195" s="36">
        <f t="shared" si="106"/>
        <v>39047.422411612672</v>
      </c>
      <c r="BE195" s="36">
        <f t="shared" si="106"/>
        <v>40550.994236471008</v>
      </c>
      <c r="BF195" s="36">
        <f t="shared" si="106"/>
        <v>39485.640871246374</v>
      </c>
      <c r="BG195" s="36">
        <f t="shared" si="106"/>
        <v>39143.224302785071</v>
      </c>
      <c r="BH195" s="36">
        <f t="shared" si="106"/>
        <v>39219.41935257156</v>
      </c>
      <c r="BI195" s="36">
        <f t="shared" si="106"/>
        <v>39047.413195501562</v>
      </c>
      <c r="BJ195" s="36">
        <f t="shared" si="106"/>
        <v>39159.275246059704</v>
      </c>
      <c r="BK195" s="36">
        <f t="shared" si="107"/>
        <v>39579.642871738288</v>
      </c>
      <c r="BL195" s="36">
        <f t="shared" si="107"/>
        <v>78584.210237436157</v>
      </c>
      <c r="BM195" s="36">
        <f t="shared" si="107"/>
        <v>466.89481965230004</v>
      </c>
      <c r="BN195" s="36">
        <f t="shared" si="107"/>
        <v>43136.51535386582</v>
      </c>
      <c r="BO195" s="36">
        <f t="shared" si="107"/>
        <v>40894.114271208447</v>
      </c>
      <c r="BP195" s="36">
        <f t="shared" si="107"/>
        <v>40218.805216630804</v>
      </c>
      <c r="BQ195" s="36">
        <f t="shared" si="107"/>
        <v>41767.56858555357</v>
      </c>
      <c r="BR195" s="36">
        <f t="shared" si="107"/>
        <v>40670.274634802197</v>
      </c>
      <c r="BS195" s="36">
        <f t="shared" si="107"/>
        <v>40317.563029282108</v>
      </c>
      <c r="BT195" s="36">
        <f t="shared" si="107"/>
        <v>40395.969115385116</v>
      </c>
      <c r="BU195" s="36">
        <f t="shared" si="107"/>
        <v>40218.80277360302</v>
      </c>
      <c r="BV195" s="36">
        <f t="shared" si="107"/>
        <v>40334.043646850419</v>
      </c>
      <c r="BW195" s="36">
        <f t="shared" si="107"/>
        <v>40767.037257514974</v>
      </c>
      <c r="BX195" s="36">
        <f t="shared" si="107"/>
        <v>80941.759591509763</v>
      </c>
      <c r="BZ195" s="8">
        <f t="shared" si="108"/>
        <v>42177.289999999979</v>
      </c>
      <c r="CA195" s="8">
        <f t="shared" si="109"/>
        <v>424369.71</v>
      </c>
      <c r="CC195" s="8">
        <f t="shared" si="97"/>
        <v>611042.65</v>
      </c>
      <c r="CD195" s="8">
        <f t="shared" si="97"/>
        <v>695179.38</v>
      </c>
      <c r="CE195" s="8">
        <f t="shared" si="97"/>
        <v>459078.67999999993</v>
      </c>
      <c r="CF195" s="8">
        <f t="shared" si="97"/>
        <v>491206.33018383116</v>
      </c>
      <c r="CG195" s="8">
        <f t="shared" si="97"/>
        <v>419021.53045980056</v>
      </c>
      <c r="CH195" s="8">
        <f t="shared" si="97"/>
        <v>453779.74305523059</v>
      </c>
      <c r="CI195" s="8">
        <f t="shared" si="97"/>
        <v>475853.97334755654</v>
      </c>
      <c r="CJ195" s="8">
        <f t="shared" si="97"/>
        <v>490129.34829585848</v>
      </c>
    </row>
    <row r="196" spans="1:88" x14ac:dyDescent="0.3">
      <c r="A196" s="25" t="s">
        <v>137</v>
      </c>
      <c r="B196" s="10"/>
      <c r="C196" s="36">
        <f t="shared" si="101"/>
        <v>463786.49</v>
      </c>
      <c r="D196" s="36">
        <f t="shared" si="101"/>
        <v>420046.59</v>
      </c>
      <c r="E196" s="36">
        <f t="shared" si="101"/>
        <v>41646</v>
      </c>
      <c r="F196" s="36">
        <f t="shared" si="101"/>
        <v>33781</v>
      </c>
      <c r="G196" s="36">
        <f t="shared" si="101"/>
        <v>85249</v>
      </c>
      <c r="H196" s="36">
        <f t="shared" si="101"/>
        <v>34335.5</v>
      </c>
      <c r="I196" s="36">
        <f t="shared" si="101"/>
        <v>34035.5</v>
      </c>
      <c r="J196" s="36">
        <f t="shared" si="101"/>
        <v>8331</v>
      </c>
      <c r="K196" s="36">
        <f t="shared" si="101"/>
        <v>52137.22</v>
      </c>
      <c r="L196" s="36">
        <f t="shared" si="101"/>
        <v>61268.22</v>
      </c>
      <c r="M196" s="36">
        <f t="shared" si="102"/>
        <v>60168.219999999943</v>
      </c>
      <c r="N196" s="36">
        <f t="shared" si="102"/>
        <v>79371.66</v>
      </c>
      <c r="O196" s="36">
        <f t="shared" si="102"/>
        <v>57078.32</v>
      </c>
      <c r="P196" s="36">
        <f t="shared" si="102"/>
        <v>-292738.68</v>
      </c>
      <c r="Q196" s="36">
        <f t="shared" si="102"/>
        <v>45210.32</v>
      </c>
      <c r="R196" s="36">
        <f t="shared" si="102"/>
        <v>23353.32</v>
      </c>
      <c r="S196" s="36">
        <f t="shared" si="102"/>
        <v>21143.32</v>
      </c>
      <c r="T196" s="36">
        <f t="shared" si="102"/>
        <v>21143.32</v>
      </c>
      <c r="U196" s="36">
        <f t="shared" si="102"/>
        <v>30509.46</v>
      </c>
      <c r="V196" s="36">
        <f t="shared" si="102"/>
        <v>21143.32</v>
      </c>
      <c r="W196" s="36">
        <f t="shared" si="103"/>
        <v>17391.739999999998</v>
      </c>
      <c r="X196" s="36">
        <f t="shared" si="103"/>
        <v>19654.669999999998</v>
      </c>
      <c r="Y196" s="36">
        <f t="shared" si="103"/>
        <v>-100503.47</v>
      </c>
      <c r="Z196" s="36">
        <f t="shared" si="103"/>
        <v>8331</v>
      </c>
      <c r="AA196" s="36">
        <f t="shared" si="103"/>
        <v>8331</v>
      </c>
      <c r="AB196" s="36">
        <f t="shared" si="103"/>
        <v>8331</v>
      </c>
      <c r="AC196" s="36">
        <f t="shared" si="103"/>
        <v>8580.93</v>
      </c>
      <c r="AD196" s="36">
        <f t="shared" si="103"/>
        <v>8580.93</v>
      </c>
      <c r="AE196" s="36">
        <f t="shared" si="103"/>
        <v>8580.93</v>
      </c>
      <c r="AF196" s="36">
        <f t="shared" si="103"/>
        <v>8580.93</v>
      </c>
      <c r="AG196" s="36">
        <f t="shared" si="104"/>
        <v>8580.93</v>
      </c>
      <c r="AH196" s="36">
        <f t="shared" si="104"/>
        <v>8580.93</v>
      </c>
      <c r="AI196" s="36">
        <f t="shared" si="104"/>
        <v>8580.93</v>
      </c>
      <c r="AJ196" s="36">
        <f t="shared" si="104"/>
        <v>8580.93</v>
      </c>
      <c r="AK196" s="36">
        <f t="shared" si="104"/>
        <v>8580.93</v>
      </c>
      <c r="AL196" s="36">
        <f t="shared" si="104"/>
        <v>8580.93</v>
      </c>
      <c r="AM196" s="36">
        <f t="shared" si="104"/>
        <v>8580.93</v>
      </c>
      <c r="AN196" s="36">
        <f t="shared" si="104"/>
        <v>8580.93</v>
      </c>
      <c r="AO196" s="36">
        <f t="shared" si="104"/>
        <v>8838.3579000000009</v>
      </c>
      <c r="AP196" s="36">
        <f t="shared" si="104"/>
        <v>8838.3579000000009</v>
      </c>
      <c r="AQ196" s="36">
        <f t="shared" si="105"/>
        <v>8838.3579000000009</v>
      </c>
      <c r="AR196" s="36">
        <f t="shared" si="105"/>
        <v>8838.3579000000009</v>
      </c>
      <c r="AS196" s="36">
        <f t="shared" si="105"/>
        <v>8838.3579000000009</v>
      </c>
      <c r="AT196" s="36">
        <f t="shared" si="105"/>
        <v>8838.3579000000009</v>
      </c>
      <c r="AU196" s="36">
        <f t="shared" si="105"/>
        <v>8838.3579000000009</v>
      </c>
      <c r="AV196" s="36">
        <f t="shared" si="105"/>
        <v>8838.3579000000009</v>
      </c>
      <c r="AW196" s="36">
        <f t="shared" si="105"/>
        <v>8838.3579000000009</v>
      </c>
      <c r="AX196" s="36">
        <f t="shared" si="105"/>
        <v>8838.3579000000009</v>
      </c>
      <c r="AY196" s="36">
        <f t="shared" si="105"/>
        <v>8838.3579000000009</v>
      </c>
      <c r="AZ196" s="36">
        <f t="shared" si="105"/>
        <v>8838.3579000000009</v>
      </c>
      <c r="BA196" s="36">
        <f t="shared" si="106"/>
        <v>9103.5086370000008</v>
      </c>
      <c r="BB196" s="36">
        <f t="shared" si="106"/>
        <v>9103.5086370000008</v>
      </c>
      <c r="BC196" s="36">
        <f t="shared" si="106"/>
        <v>9103.5086370000008</v>
      </c>
      <c r="BD196" s="36">
        <f t="shared" si="106"/>
        <v>9103.5086370000008</v>
      </c>
      <c r="BE196" s="36">
        <f t="shared" si="106"/>
        <v>9103.5086370000008</v>
      </c>
      <c r="BF196" s="36">
        <f t="shared" si="106"/>
        <v>9103.5086370000008</v>
      </c>
      <c r="BG196" s="36">
        <f t="shared" si="106"/>
        <v>9103.5086370000008</v>
      </c>
      <c r="BH196" s="36">
        <f t="shared" si="106"/>
        <v>9103.5086370000008</v>
      </c>
      <c r="BI196" s="36">
        <f t="shared" si="106"/>
        <v>9103.5086370000008</v>
      </c>
      <c r="BJ196" s="36">
        <f t="shared" si="106"/>
        <v>9103.5086370000008</v>
      </c>
      <c r="BK196" s="36">
        <f t="shared" si="107"/>
        <v>9103.5086370000008</v>
      </c>
      <c r="BL196" s="36">
        <f t="shared" si="107"/>
        <v>9103.5086370000008</v>
      </c>
      <c r="BM196" s="36">
        <f t="shared" si="107"/>
        <v>9376.6138961100005</v>
      </c>
      <c r="BN196" s="36">
        <f t="shared" si="107"/>
        <v>9376.6138961100005</v>
      </c>
      <c r="BO196" s="36">
        <f t="shared" si="107"/>
        <v>9376.6138961100005</v>
      </c>
      <c r="BP196" s="36">
        <f t="shared" si="107"/>
        <v>9376.6138961100005</v>
      </c>
      <c r="BQ196" s="36">
        <f t="shared" si="107"/>
        <v>9376.6138961100005</v>
      </c>
      <c r="BR196" s="36">
        <f t="shared" si="107"/>
        <v>9376.6138961100005</v>
      </c>
      <c r="BS196" s="36">
        <f t="shared" si="107"/>
        <v>9376.6138961100005</v>
      </c>
      <c r="BT196" s="36">
        <f t="shared" si="107"/>
        <v>9376.6138961100005</v>
      </c>
      <c r="BU196" s="36">
        <f t="shared" si="107"/>
        <v>9376.6138961100005</v>
      </c>
      <c r="BV196" s="36">
        <f t="shared" si="107"/>
        <v>9376.6138961100005</v>
      </c>
      <c r="BW196" s="36">
        <f t="shared" si="107"/>
        <v>9376.6138961100005</v>
      </c>
      <c r="BX196" s="36">
        <f t="shared" si="107"/>
        <v>9376.6138961100005</v>
      </c>
      <c r="BZ196" s="8">
        <f t="shared" si="108"/>
        <v>8331</v>
      </c>
      <c r="CA196" s="8">
        <f t="shared" si="109"/>
        <v>115707.99999999997</v>
      </c>
      <c r="CC196" s="8">
        <f t="shared" si="97"/>
        <v>463786.49</v>
      </c>
      <c r="CD196" s="8">
        <f t="shared" si="97"/>
        <v>420046.59</v>
      </c>
      <c r="CE196" s="8">
        <f t="shared" si="97"/>
        <v>254662.9599999999</v>
      </c>
      <c r="CF196" s="8">
        <f t="shared" si="97"/>
        <v>124038.99999999997</v>
      </c>
      <c r="CG196" s="8">
        <f t="shared" si="97"/>
        <v>102971.15999999997</v>
      </c>
      <c r="CH196" s="8">
        <f t="shared" si="97"/>
        <v>106060.29480000002</v>
      </c>
      <c r="CI196" s="8">
        <f t="shared" si="97"/>
        <v>109242.10364400003</v>
      </c>
      <c r="CJ196" s="8">
        <f t="shared" si="97"/>
        <v>112519.36675332004</v>
      </c>
    </row>
    <row r="197" spans="1:88" x14ac:dyDescent="0.3">
      <c r="A197" s="25" t="s">
        <v>138</v>
      </c>
      <c r="B197" s="10"/>
      <c r="C197" s="36">
        <f t="shared" si="101"/>
        <v>101898.61</v>
      </c>
      <c r="D197" s="36">
        <f t="shared" si="101"/>
        <v>77986.679999999993</v>
      </c>
      <c r="E197" s="36">
        <f t="shared" si="101"/>
        <v>6817.2300000000005</v>
      </c>
      <c r="F197" s="36">
        <f t="shared" si="101"/>
        <v>6970.13</v>
      </c>
      <c r="G197" s="36">
        <f t="shared" si="101"/>
        <v>7921.07</v>
      </c>
      <c r="H197" s="36">
        <f t="shared" si="101"/>
        <v>10413.61</v>
      </c>
      <c r="I197" s="36">
        <f t="shared" si="101"/>
        <v>3122.52</v>
      </c>
      <c r="J197" s="36">
        <f t="shared" si="101"/>
        <v>7912.9299999999994</v>
      </c>
      <c r="K197" s="36">
        <f t="shared" si="101"/>
        <v>4294.09</v>
      </c>
      <c r="L197" s="36">
        <f t="shared" si="101"/>
        <v>3181.3699999999985</v>
      </c>
      <c r="M197" s="36">
        <f t="shared" si="102"/>
        <v>15498.969999999998</v>
      </c>
      <c r="N197" s="36">
        <f t="shared" si="102"/>
        <v>10123.59</v>
      </c>
      <c r="O197" s="36">
        <f t="shared" si="102"/>
        <v>1335.7600000000002</v>
      </c>
      <c r="P197" s="36">
        <f t="shared" si="102"/>
        <v>10409.89</v>
      </c>
      <c r="Q197" s="36">
        <f t="shared" si="102"/>
        <v>5948.8600000000006</v>
      </c>
      <c r="R197" s="36">
        <f t="shared" si="102"/>
        <v>9856.19</v>
      </c>
      <c r="S197" s="36">
        <f t="shared" si="102"/>
        <v>6592.5</v>
      </c>
      <c r="T197" s="36">
        <f t="shared" si="102"/>
        <v>9580.42</v>
      </c>
      <c r="U197" s="36">
        <f t="shared" si="102"/>
        <v>4115.6400000000003</v>
      </c>
      <c r="V197" s="36">
        <f t="shared" si="102"/>
        <v>8042.08</v>
      </c>
      <c r="W197" s="36">
        <f t="shared" si="103"/>
        <v>4174.4100000000008</v>
      </c>
      <c r="X197" s="36">
        <f t="shared" si="103"/>
        <v>8895.61</v>
      </c>
      <c r="Y197" s="36">
        <f t="shared" si="103"/>
        <v>22619.969999999998</v>
      </c>
      <c r="Z197" s="36">
        <f t="shared" si="103"/>
        <v>6071.3200000000006</v>
      </c>
      <c r="AA197" s="36">
        <f t="shared" si="103"/>
        <v>8314.4599999999991</v>
      </c>
      <c r="AB197" s="36">
        <f t="shared" si="103"/>
        <v>12258.853366666666</v>
      </c>
      <c r="AC197" s="36">
        <f t="shared" si="103"/>
        <v>7663.9924666666675</v>
      </c>
      <c r="AD197" s="36">
        <f t="shared" si="103"/>
        <v>11688.542366666665</v>
      </c>
      <c r="AE197" s="36">
        <f t="shared" si="103"/>
        <v>8326.9416666666657</v>
      </c>
      <c r="AF197" s="36">
        <f t="shared" si="103"/>
        <v>11404.499266666666</v>
      </c>
      <c r="AG197" s="36">
        <f t="shared" si="104"/>
        <v>5775.7758666666668</v>
      </c>
      <c r="AH197" s="36">
        <f t="shared" si="104"/>
        <v>9820.0090666666656</v>
      </c>
      <c r="AI197" s="36">
        <f t="shared" si="104"/>
        <v>5836.3089666666674</v>
      </c>
      <c r="AJ197" s="36">
        <f t="shared" si="104"/>
        <v>10699.144966666667</v>
      </c>
      <c r="AK197" s="36">
        <f t="shared" si="104"/>
        <v>10535.817866666668</v>
      </c>
      <c r="AL197" s="36">
        <f t="shared" si="104"/>
        <v>6253.4595999999992</v>
      </c>
      <c r="AM197" s="36">
        <f t="shared" si="104"/>
        <v>8563.8937999999998</v>
      </c>
      <c r="AN197" s="36">
        <f t="shared" si="104"/>
        <v>12626.618967666667</v>
      </c>
      <c r="AO197" s="36">
        <f t="shared" si="104"/>
        <v>8664.5110263623192</v>
      </c>
      <c r="AP197" s="36">
        <f t="shared" si="104"/>
        <v>13580.149152362319</v>
      </c>
      <c r="AQ197" s="36">
        <f t="shared" si="105"/>
        <v>9465.9880297971031</v>
      </c>
      <c r="AR197" s="36">
        <f t="shared" si="105"/>
        <v>12944.110327971015</v>
      </c>
      <c r="AS197" s="36">
        <f t="shared" si="105"/>
        <v>6196.1869037971019</v>
      </c>
      <c r="AT197" s="36">
        <f t="shared" si="105"/>
        <v>11166.024731449277</v>
      </c>
      <c r="AU197" s="36">
        <f t="shared" si="105"/>
        <v>6505.2896619710154</v>
      </c>
      <c r="AV197" s="36">
        <f t="shared" si="105"/>
        <v>12467.609054449276</v>
      </c>
      <c r="AW197" s="36">
        <f t="shared" si="105"/>
        <v>11722.568451405798</v>
      </c>
      <c r="AX197" s="36">
        <f t="shared" si="105"/>
        <v>7097.9620500434785</v>
      </c>
      <c r="AY197" s="36">
        <f t="shared" si="105"/>
        <v>9552.2431929130435</v>
      </c>
      <c r="AZ197" s="36">
        <f t="shared" si="105"/>
        <v>14816.634121592755</v>
      </c>
      <c r="BA197" s="36">
        <f t="shared" si="106"/>
        <v>8924.4463571531905</v>
      </c>
      <c r="BB197" s="36">
        <f t="shared" si="106"/>
        <v>13987.553626933188</v>
      </c>
      <c r="BC197" s="36">
        <f t="shared" si="106"/>
        <v>9749.9676706910177</v>
      </c>
      <c r="BD197" s="36">
        <f t="shared" si="106"/>
        <v>13332.433637810145</v>
      </c>
      <c r="BE197" s="36">
        <f t="shared" si="106"/>
        <v>6382.0725109110153</v>
      </c>
      <c r="BF197" s="36">
        <f t="shared" si="106"/>
        <v>11501.005473392754</v>
      </c>
      <c r="BG197" s="36">
        <f t="shared" si="106"/>
        <v>6700.4483518301458</v>
      </c>
      <c r="BH197" s="36">
        <f t="shared" si="106"/>
        <v>12841.637326082755</v>
      </c>
      <c r="BI197" s="36">
        <f t="shared" si="106"/>
        <v>12074.245504947972</v>
      </c>
      <c r="BJ197" s="36">
        <f t="shared" si="106"/>
        <v>7310.9009115447834</v>
      </c>
      <c r="BK197" s="36">
        <f t="shared" si="107"/>
        <v>9838.8104887004374</v>
      </c>
      <c r="BL197" s="36">
        <f t="shared" si="107"/>
        <v>15261.133145240539</v>
      </c>
      <c r="BM197" s="36">
        <f t="shared" si="107"/>
        <v>9192.1797478677854</v>
      </c>
      <c r="BN197" s="36">
        <f t="shared" si="107"/>
        <v>14407.180235741185</v>
      </c>
      <c r="BO197" s="36">
        <f t="shared" si="107"/>
        <v>10042.466700811747</v>
      </c>
      <c r="BP197" s="36">
        <f t="shared" si="107"/>
        <v>13732.406646944453</v>
      </c>
      <c r="BQ197" s="36">
        <f t="shared" si="107"/>
        <v>6573.5346862383458</v>
      </c>
      <c r="BR197" s="36">
        <f t="shared" si="107"/>
        <v>11846.035637594538</v>
      </c>
      <c r="BS197" s="36">
        <f t="shared" si="107"/>
        <v>6901.4618023850508</v>
      </c>
      <c r="BT197" s="36">
        <f t="shared" si="107"/>
        <v>13226.886445865239</v>
      </c>
      <c r="BU197" s="36">
        <f t="shared" si="107"/>
        <v>12436.472870096411</v>
      </c>
      <c r="BV197" s="36">
        <f t="shared" si="107"/>
        <v>7530.2279388911265</v>
      </c>
      <c r="BW197" s="36">
        <f t="shared" si="107"/>
        <v>10133.974803361451</v>
      </c>
      <c r="BX197" s="36">
        <f t="shared" si="107"/>
        <v>15718.967139597755</v>
      </c>
      <c r="BZ197" s="8">
        <f t="shared" si="108"/>
        <v>8314.4599999999991</v>
      </c>
      <c r="CA197" s="8">
        <f t="shared" si="109"/>
        <v>94211.460000000021</v>
      </c>
      <c r="CC197" s="8">
        <f t="shared" ref="CC197:CJ208" si="110">SUMIF($C$3:$BY$3,CC$3,$C197:$BY197)</f>
        <v>101898.61</v>
      </c>
      <c r="CD197" s="8">
        <f t="shared" si="110"/>
        <v>77986.679999999993</v>
      </c>
      <c r="CE197" s="8">
        <f t="shared" si="110"/>
        <v>88001.159999999989</v>
      </c>
      <c r="CF197" s="8">
        <f t="shared" si="110"/>
        <v>106470.31336666668</v>
      </c>
      <c r="CG197" s="8">
        <f t="shared" si="110"/>
        <v>109195.00486766666</v>
      </c>
      <c r="CH197" s="8">
        <f t="shared" si="110"/>
        <v>124179.2767041145</v>
      </c>
      <c r="CI197" s="8">
        <f t="shared" si="110"/>
        <v>127904.65500523796</v>
      </c>
      <c r="CJ197" s="8">
        <f t="shared" si="110"/>
        <v>131741.79465539509</v>
      </c>
    </row>
    <row r="198" spans="1:88" x14ac:dyDescent="0.3">
      <c r="A198" s="25" t="s">
        <v>139</v>
      </c>
      <c r="B198" s="10"/>
      <c r="C198" s="36">
        <f t="shared" si="101"/>
        <v>54850.61</v>
      </c>
      <c r="D198" s="36">
        <f t="shared" si="101"/>
        <v>24178.82</v>
      </c>
      <c r="E198" s="36">
        <f t="shared" si="101"/>
        <v>3295</v>
      </c>
      <c r="F198" s="36">
        <f t="shared" si="101"/>
        <v>7508.96</v>
      </c>
      <c r="G198" s="36">
        <f t="shared" si="101"/>
        <v>5208</v>
      </c>
      <c r="H198" s="36">
        <f t="shared" si="101"/>
        <v>3743.1800000000003</v>
      </c>
      <c r="I198" s="36">
        <f t="shared" si="101"/>
        <v>4626.2700000000004</v>
      </c>
      <c r="J198" s="36">
        <f t="shared" si="101"/>
        <v>1654.5</v>
      </c>
      <c r="K198" s="36">
        <f t="shared" si="101"/>
        <v>609</v>
      </c>
      <c r="L198" s="36">
        <f t="shared" si="101"/>
        <v>1389.9999999999998</v>
      </c>
      <c r="M198" s="36">
        <f t="shared" si="102"/>
        <v>2548.7300000000005</v>
      </c>
      <c r="N198" s="36">
        <f t="shared" si="102"/>
        <v>3309.24</v>
      </c>
      <c r="O198" s="36">
        <f t="shared" si="102"/>
        <v>1599.74</v>
      </c>
      <c r="P198" s="36">
        <f t="shared" si="102"/>
        <v>2333.2400000000002</v>
      </c>
      <c r="Q198" s="36">
        <f t="shared" si="102"/>
        <v>-208.76</v>
      </c>
      <c r="R198" s="36">
        <f t="shared" si="102"/>
        <v>4544.82</v>
      </c>
      <c r="S198" s="36">
        <f t="shared" si="102"/>
        <v>1822.42</v>
      </c>
      <c r="T198" s="36">
        <f t="shared" si="102"/>
        <v>6115.12</v>
      </c>
      <c r="U198" s="36">
        <f t="shared" si="102"/>
        <v>4394.84</v>
      </c>
      <c r="V198" s="36">
        <f t="shared" si="102"/>
        <v>1184.2</v>
      </c>
      <c r="W198" s="36">
        <f t="shared" si="103"/>
        <v>5274.5</v>
      </c>
      <c r="X198" s="36">
        <f t="shared" si="103"/>
        <v>637.95000000000005</v>
      </c>
      <c r="Y198" s="36">
        <f t="shared" si="103"/>
        <v>8467.14</v>
      </c>
      <c r="Z198" s="36">
        <f t="shared" si="103"/>
        <v>1038</v>
      </c>
      <c r="AA198" s="36">
        <f t="shared" si="103"/>
        <v>2149.81</v>
      </c>
      <c r="AB198" s="36">
        <f t="shared" si="103"/>
        <v>2403.2372</v>
      </c>
      <c r="AC198" s="36">
        <f t="shared" si="103"/>
        <v>-215.02279999999999</v>
      </c>
      <c r="AD198" s="36">
        <f t="shared" si="103"/>
        <v>4681.1645999999992</v>
      </c>
      <c r="AE198" s="36">
        <f t="shared" si="103"/>
        <v>1877.0925999999999</v>
      </c>
      <c r="AF198" s="36">
        <f t="shared" si="103"/>
        <v>6298.5736000000006</v>
      </c>
      <c r="AG198" s="36">
        <f t="shared" si="104"/>
        <v>4526.6851999999999</v>
      </c>
      <c r="AH198" s="36">
        <f t="shared" si="104"/>
        <v>1219.7260000000001</v>
      </c>
      <c r="AI198" s="36">
        <f t="shared" si="104"/>
        <v>5432.7349999999997</v>
      </c>
      <c r="AJ198" s="36">
        <f t="shared" si="104"/>
        <v>657.08850000000007</v>
      </c>
      <c r="AK198" s="36">
        <f t="shared" si="104"/>
        <v>8721.1542000000009</v>
      </c>
      <c r="AL198" s="36">
        <f t="shared" si="104"/>
        <v>1069.1400000000001</v>
      </c>
      <c r="AM198" s="36">
        <f t="shared" si="104"/>
        <v>2214.3042999999998</v>
      </c>
      <c r="AN198" s="36">
        <f t="shared" si="104"/>
        <v>2475.3343160000004</v>
      </c>
      <c r="AO198" s="36">
        <f t="shared" si="104"/>
        <v>-221.25730939130437</v>
      </c>
      <c r="AP198" s="36">
        <f t="shared" si="104"/>
        <v>5623.8872051739127</v>
      </c>
      <c r="AQ198" s="36">
        <f t="shared" si="105"/>
        <v>2273.1430768695654</v>
      </c>
      <c r="AR198" s="36">
        <f t="shared" si="105"/>
        <v>7602.5903217391315</v>
      </c>
      <c r="AS198" s="36">
        <f t="shared" si="105"/>
        <v>5194.3988217391307</v>
      </c>
      <c r="AT198" s="36">
        <f t="shared" si="105"/>
        <v>1447.3389288695653</v>
      </c>
      <c r="AU198" s="36">
        <f t="shared" si="105"/>
        <v>6368.8307956521749</v>
      </c>
      <c r="AV198" s="36">
        <f t="shared" si="105"/>
        <v>821.46443108695667</v>
      </c>
      <c r="AW198" s="36">
        <f t="shared" si="105"/>
        <v>10538.50097826087</v>
      </c>
      <c r="AX198" s="36">
        <f t="shared" si="105"/>
        <v>1301.5617391304349</v>
      </c>
      <c r="AY198" s="36">
        <f t="shared" si="105"/>
        <v>2670.9633400434782</v>
      </c>
      <c r="AZ198" s="36">
        <f t="shared" si="105"/>
        <v>2951.2130683591308</v>
      </c>
      <c r="BA198" s="36">
        <f t="shared" si="106"/>
        <v>-227.8950286730435</v>
      </c>
      <c r="BB198" s="36">
        <f t="shared" si="106"/>
        <v>5792.6038213291304</v>
      </c>
      <c r="BC198" s="36">
        <f t="shared" si="106"/>
        <v>2341.3373691756524</v>
      </c>
      <c r="BD198" s="36">
        <f t="shared" si="106"/>
        <v>7830.6680313913048</v>
      </c>
      <c r="BE198" s="36">
        <f t="shared" si="106"/>
        <v>5350.2307863913047</v>
      </c>
      <c r="BF198" s="36">
        <f t="shared" si="106"/>
        <v>1490.7590967356523</v>
      </c>
      <c r="BG198" s="36">
        <f t="shared" si="106"/>
        <v>6559.8957195217399</v>
      </c>
      <c r="BH198" s="36">
        <f t="shared" si="106"/>
        <v>846.10836401956544</v>
      </c>
      <c r="BI198" s="36">
        <f t="shared" si="106"/>
        <v>10854.656007608697</v>
      </c>
      <c r="BJ198" s="36">
        <f t="shared" si="106"/>
        <v>1340.608591304348</v>
      </c>
      <c r="BK198" s="36">
        <f t="shared" si="107"/>
        <v>2751.0922402447827</v>
      </c>
      <c r="BL198" s="36">
        <f t="shared" si="107"/>
        <v>3039.7494604099047</v>
      </c>
      <c r="BM198" s="36">
        <f t="shared" si="107"/>
        <v>-234.7318795332348</v>
      </c>
      <c r="BN198" s="36">
        <f t="shared" si="107"/>
        <v>5966.3819359690051</v>
      </c>
      <c r="BO198" s="36">
        <f t="shared" si="107"/>
        <v>2411.577490250922</v>
      </c>
      <c r="BP198" s="36">
        <f t="shared" si="107"/>
        <v>8065.5880723330447</v>
      </c>
      <c r="BQ198" s="36">
        <f t="shared" si="107"/>
        <v>5510.7377099830446</v>
      </c>
      <c r="BR198" s="36">
        <f t="shared" si="107"/>
        <v>1535.481869637722</v>
      </c>
      <c r="BS198" s="36">
        <f t="shared" si="107"/>
        <v>6756.6925911073922</v>
      </c>
      <c r="BT198" s="36">
        <f t="shared" si="107"/>
        <v>871.49161494015243</v>
      </c>
      <c r="BU198" s="36">
        <f t="shared" si="107"/>
        <v>11180.295687836957</v>
      </c>
      <c r="BV198" s="36">
        <f t="shared" si="107"/>
        <v>1380.8268490434784</v>
      </c>
      <c r="BW198" s="36">
        <f t="shared" si="107"/>
        <v>2833.6250074521263</v>
      </c>
      <c r="BX198" s="36">
        <f t="shared" si="107"/>
        <v>3130.941944222202</v>
      </c>
      <c r="BZ198" s="8">
        <f t="shared" si="108"/>
        <v>2149.81</v>
      </c>
      <c r="CA198" s="8">
        <f t="shared" si="109"/>
        <v>35420.039999999994</v>
      </c>
      <c r="CC198" s="8">
        <f t="shared" si="110"/>
        <v>54850.61</v>
      </c>
      <c r="CD198" s="8">
        <f t="shared" si="110"/>
        <v>24178.82</v>
      </c>
      <c r="CE198" s="8">
        <f t="shared" si="110"/>
        <v>37825.859999999993</v>
      </c>
      <c r="CF198" s="8">
        <f t="shared" si="110"/>
        <v>37823.277199999997</v>
      </c>
      <c r="CG198" s="8">
        <f t="shared" si="110"/>
        <v>38957.975515999999</v>
      </c>
      <c r="CH198" s="8">
        <f t="shared" si="110"/>
        <v>46572.635397533042</v>
      </c>
      <c r="CI198" s="8">
        <f t="shared" si="110"/>
        <v>47969.814459459041</v>
      </c>
      <c r="CJ198" s="8">
        <f t="shared" si="110"/>
        <v>49408.908893242806</v>
      </c>
    </row>
    <row r="199" spans="1:88" x14ac:dyDescent="0.3">
      <c r="A199" s="25" t="s">
        <v>140</v>
      </c>
      <c r="B199" s="10"/>
      <c r="C199" s="36">
        <f t="shared" si="101"/>
        <v>51816.62</v>
      </c>
      <c r="D199" s="36">
        <f t="shared" si="101"/>
        <v>30485.71</v>
      </c>
      <c r="E199" s="36">
        <f t="shared" si="101"/>
        <v>780.26</v>
      </c>
      <c r="F199" s="36">
        <f t="shared" si="101"/>
        <v>1103.52</v>
      </c>
      <c r="G199" s="36">
        <f t="shared" si="101"/>
        <v>1922.3500000000001</v>
      </c>
      <c r="H199" s="36">
        <f t="shared" si="101"/>
        <v>8705.7099999999991</v>
      </c>
      <c r="I199" s="36">
        <f t="shared" si="101"/>
        <v>579.11</v>
      </c>
      <c r="J199" s="36">
        <f t="shared" si="101"/>
        <v>377.46000000000004</v>
      </c>
      <c r="K199" s="36">
        <f t="shared" si="101"/>
        <v>706.32</v>
      </c>
      <c r="L199" s="36">
        <f t="shared" si="101"/>
        <v>135.43999999999912</v>
      </c>
      <c r="M199" s="36">
        <f t="shared" si="102"/>
        <v>481.80999999999972</v>
      </c>
      <c r="N199" s="36">
        <f t="shared" si="102"/>
        <v>296.14</v>
      </c>
      <c r="O199" s="36">
        <f t="shared" si="102"/>
        <v>3695.05</v>
      </c>
      <c r="P199" s="36">
        <f t="shared" si="102"/>
        <v>2888.3</v>
      </c>
      <c r="Q199" s="36">
        <f t="shared" si="102"/>
        <v>3833</v>
      </c>
      <c r="R199" s="36">
        <f t="shared" si="102"/>
        <v>2546.0499999999997</v>
      </c>
      <c r="S199" s="36">
        <f t="shared" si="102"/>
        <v>3074.56</v>
      </c>
      <c r="T199" s="36">
        <f t="shared" si="102"/>
        <v>1844.58</v>
      </c>
      <c r="U199" s="36">
        <f t="shared" si="102"/>
        <v>3357.2799999999997</v>
      </c>
      <c r="V199" s="36">
        <f t="shared" si="102"/>
        <v>492.86</v>
      </c>
      <c r="W199" s="36">
        <f t="shared" si="103"/>
        <v>8978.5</v>
      </c>
      <c r="X199" s="36">
        <f t="shared" si="103"/>
        <v>1468.49</v>
      </c>
      <c r="Y199" s="36">
        <f t="shared" si="103"/>
        <v>1670.3700000000001</v>
      </c>
      <c r="Z199" s="36">
        <f t="shared" si="103"/>
        <v>352.82000000000005</v>
      </c>
      <c r="AA199" s="36">
        <f t="shared" si="103"/>
        <v>1639.9700000000007</v>
      </c>
      <c r="AB199" s="36">
        <f t="shared" si="103"/>
        <v>2974.9490000000001</v>
      </c>
      <c r="AC199" s="36">
        <f t="shared" si="103"/>
        <v>3947.99</v>
      </c>
      <c r="AD199" s="36">
        <f t="shared" si="103"/>
        <v>2622.4314999999997</v>
      </c>
      <c r="AE199" s="36">
        <f t="shared" si="103"/>
        <v>3166.7968000000001</v>
      </c>
      <c r="AF199" s="36">
        <f t="shared" si="103"/>
        <v>1899.9174</v>
      </c>
      <c r="AG199" s="36">
        <f t="shared" si="104"/>
        <v>3457.9983999999999</v>
      </c>
      <c r="AH199" s="36">
        <f t="shared" si="104"/>
        <v>507.64580000000007</v>
      </c>
      <c r="AI199" s="36">
        <f t="shared" si="104"/>
        <v>9247.8549999999996</v>
      </c>
      <c r="AJ199" s="36">
        <f t="shared" si="104"/>
        <v>1512.5447000000001</v>
      </c>
      <c r="AK199" s="36">
        <f t="shared" si="104"/>
        <v>1720.4811000000004</v>
      </c>
      <c r="AL199" s="36">
        <f t="shared" si="104"/>
        <v>363.40459999999996</v>
      </c>
      <c r="AM199" s="36">
        <f t="shared" si="104"/>
        <v>1689.1691000000008</v>
      </c>
      <c r="AN199" s="36">
        <f t="shared" si="104"/>
        <v>3064.1974700000001</v>
      </c>
      <c r="AO199" s="36">
        <f t="shared" si="104"/>
        <v>4215.3315425217397</v>
      </c>
      <c r="AP199" s="36">
        <f t="shared" si="104"/>
        <v>3174.0057028260867</v>
      </c>
      <c r="AQ199" s="36">
        <f t="shared" si="105"/>
        <v>3590.3146943913043</v>
      </c>
      <c r="AR199" s="36">
        <f t="shared" si="105"/>
        <v>2150.3294326086957</v>
      </c>
      <c r="AS199" s="36">
        <f t="shared" si="105"/>
        <v>3993.7845389130434</v>
      </c>
      <c r="AT199" s="36">
        <f t="shared" si="105"/>
        <v>582.42162804347834</v>
      </c>
      <c r="AU199" s="36">
        <f t="shared" si="105"/>
        <v>10120.492692695654</v>
      </c>
      <c r="AV199" s="36">
        <f t="shared" si="105"/>
        <v>1694.7132451739135</v>
      </c>
      <c r="AW199" s="36">
        <f t="shared" si="105"/>
        <v>1946.3554291739133</v>
      </c>
      <c r="AX199" s="36">
        <f t="shared" si="105"/>
        <v>400.95025852173916</v>
      </c>
      <c r="AY199" s="36">
        <f t="shared" si="105"/>
        <v>1930.1415229565227</v>
      </c>
      <c r="AZ199" s="36">
        <f t="shared" si="105"/>
        <v>3607.60997056</v>
      </c>
      <c r="BA199" s="36">
        <f t="shared" si="106"/>
        <v>4341.7914887973911</v>
      </c>
      <c r="BB199" s="36">
        <f t="shared" si="106"/>
        <v>3269.2258739108697</v>
      </c>
      <c r="BC199" s="36">
        <f t="shared" si="106"/>
        <v>3698.0241352230441</v>
      </c>
      <c r="BD199" s="36">
        <f t="shared" si="106"/>
        <v>2214.8393155869562</v>
      </c>
      <c r="BE199" s="36">
        <f t="shared" si="106"/>
        <v>4113.5980750804356</v>
      </c>
      <c r="BF199" s="36">
        <f t="shared" si="106"/>
        <v>599.8942768847827</v>
      </c>
      <c r="BG199" s="36">
        <f t="shared" si="106"/>
        <v>10424.107473476524</v>
      </c>
      <c r="BH199" s="36">
        <f t="shared" si="106"/>
        <v>1745.5546425291304</v>
      </c>
      <c r="BI199" s="36">
        <f t="shared" si="106"/>
        <v>2004.7460920491308</v>
      </c>
      <c r="BJ199" s="36">
        <f t="shared" si="106"/>
        <v>412.97876627739129</v>
      </c>
      <c r="BK199" s="36">
        <f t="shared" si="107"/>
        <v>1988.0457686452182</v>
      </c>
      <c r="BL199" s="36">
        <f t="shared" si="107"/>
        <v>3715.8382696768003</v>
      </c>
      <c r="BM199" s="36">
        <f t="shared" si="107"/>
        <v>4472.0452334613128</v>
      </c>
      <c r="BN199" s="36">
        <f t="shared" si="107"/>
        <v>3367.3026501281961</v>
      </c>
      <c r="BO199" s="36">
        <f t="shared" si="107"/>
        <v>3808.9648592797357</v>
      </c>
      <c r="BP199" s="36">
        <f t="shared" si="107"/>
        <v>2281.2844950545655</v>
      </c>
      <c r="BQ199" s="36">
        <f t="shared" si="107"/>
        <v>4237.0060173328484</v>
      </c>
      <c r="BR199" s="36">
        <f t="shared" si="107"/>
        <v>617.89110519132623</v>
      </c>
      <c r="BS199" s="36">
        <f t="shared" si="107"/>
        <v>10736.83069768082</v>
      </c>
      <c r="BT199" s="36">
        <f t="shared" si="107"/>
        <v>1797.9212818050046</v>
      </c>
      <c r="BU199" s="36">
        <f t="shared" si="107"/>
        <v>2064.8884748106043</v>
      </c>
      <c r="BV199" s="36">
        <f t="shared" si="107"/>
        <v>425.36812926571309</v>
      </c>
      <c r="BW199" s="36">
        <f t="shared" si="107"/>
        <v>2047.6871417045747</v>
      </c>
      <c r="BX199" s="36">
        <f t="shared" si="107"/>
        <v>3827.3134177671041</v>
      </c>
      <c r="BZ199" s="8">
        <f t="shared" si="108"/>
        <v>1639.9700000000007</v>
      </c>
      <c r="CA199" s="8">
        <f t="shared" si="109"/>
        <v>29258.48</v>
      </c>
      <c r="CC199" s="8">
        <f t="shared" si="110"/>
        <v>51816.62</v>
      </c>
      <c r="CD199" s="8">
        <f t="shared" si="110"/>
        <v>30485.71</v>
      </c>
      <c r="CE199" s="8">
        <f t="shared" si="110"/>
        <v>21671.469999999998</v>
      </c>
      <c r="CF199" s="8">
        <f t="shared" si="110"/>
        <v>32233.429</v>
      </c>
      <c r="CG199" s="8">
        <f t="shared" si="110"/>
        <v>33200.43187</v>
      </c>
      <c r="CH199" s="8">
        <f t="shared" si="110"/>
        <v>37406.450658386086</v>
      </c>
      <c r="CI199" s="8">
        <f t="shared" si="110"/>
        <v>38528.644178137678</v>
      </c>
      <c r="CJ199" s="8">
        <f t="shared" si="110"/>
        <v>39684.503503481807</v>
      </c>
    </row>
    <row r="200" spans="1:88" x14ac:dyDescent="0.3">
      <c r="A200" s="25" t="s">
        <v>141</v>
      </c>
      <c r="B200" s="10"/>
      <c r="C200" s="36">
        <f t="shared" si="101"/>
        <v>57133.460000000006</v>
      </c>
      <c r="D200" s="36">
        <f t="shared" si="101"/>
        <v>52113.95</v>
      </c>
      <c r="E200" s="36">
        <f t="shared" si="101"/>
        <v>-911.46</v>
      </c>
      <c r="F200" s="36">
        <f t="shared" si="101"/>
        <v>6524.1100000000006</v>
      </c>
      <c r="G200" s="36">
        <f t="shared" si="101"/>
        <v>49655.929999999993</v>
      </c>
      <c r="H200" s="36">
        <f t="shared" si="101"/>
        <v>10941.39</v>
      </c>
      <c r="I200" s="36">
        <f t="shared" si="101"/>
        <v>4210</v>
      </c>
      <c r="J200" s="36">
        <f t="shared" si="101"/>
        <v>2484.12</v>
      </c>
      <c r="K200" s="36">
        <f t="shared" si="101"/>
        <v>370</v>
      </c>
      <c r="L200" s="36">
        <f t="shared" si="101"/>
        <v>1319.1700000000028</v>
      </c>
      <c r="M200" s="36">
        <f t="shared" si="102"/>
        <v>2852.88</v>
      </c>
      <c r="N200" s="36">
        <f t="shared" si="102"/>
        <v>5952.63</v>
      </c>
      <c r="O200" s="36">
        <f t="shared" si="102"/>
        <v>3869.7499999999995</v>
      </c>
      <c r="P200" s="36">
        <f t="shared" si="102"/>
        <v>1247.32</v>
      </c>
      <c r="Q200" s="36">
        <f t="shared" si="102"/>
        <v>650</v>
      </c>
      <c r="R200" s="36">
        <f t="shared" si="102"/>
        <v>15255.79</v>
      </c>
      <c r="S200" s="36">
        <f t="shared" si="102"/>
        <v>72700.22</v>
      </c>
      <c r="T200" s="36">
        <f t="shared" si="102"/>
        <v>16140.220000000001</v>
      </c>
      <c r="U200" s="36">
        <f t="shared" si="102"/>
        <v>62128.51</v>
      </c>
      <c r="V200" s="36">
        <f t="shared" si="102"/>
        <v>185</v>
      </c>
      <c r="W200" s="36">
        <f t="shared" si="103"/>
        <v>5758.18</v>
      </c>
      <c r="X200" s="36">
        <f t="shared" si="103"/>
        <v>5323.13</v>
      </c>
      <c r="Y200" s="36">
        <f t="shared" si="103"/>
        <v>10936.19</v>
      </c>
      <c r="Z200" s="36">
        <f t="shared" si="103"/>
        <v>4828.9699999999993</v>
      </c>
      <c r="AA200" s="36">
        <f t="shared" si="103"/>
        <v>9165.61</v>
      </c>
      <c r="AB200" s="36">
        <f t="shared" si="103"/>
        <v>1284.7396000000001</v>
      </c>
      <c r="AC200" s="36">
        <f t="shared" si="103"/>
        <v>669.5</v>
      </c>
      <c r="AD200" s="36">
        <f t="shared" si="103"/>
        <v>15226.871100000002</v>
      </c>
      <c r="AE200" s="36">
        <f t="shared" si="103"/>
        <v>74881.226600000009</v>
      </c>
      <c r="AF200" s="36">
        <f t="shared" si="103"/>
        <v>16624.426599999999</v>
      </c>
      <c r="AG200" s="36">
        <f t="shared" si="104"/>
        <v>4088.7807000000003</v>
      </c>
      <c r="AH200" s="36">
        <f t="shared" si="104"/>
        <v>190.55</v>
      </c>
      <c r="AI200" s="36">
        <f t="shared" si="104"/>
        <v>5930.925400000001</v>
      </c>
      <c r="AJ200" s="36">
        <f t="shared" si="104"/>
        <v>5482.8239000000012</v>
      </c>
      <c r="AK200" s="36">
        <f t="shared" si="104"/>
        <v>11264.2757</v>
      </c>
      <c r="AL200" s="36">
        <f t="shared" si="104"/>
        <v>4901.3270999999995</v>
      </c>
      <c r="AM200" s="36">
        <f t="shared" si="104"/>
        <v>9389.078300000001</v>
      </c>
      <c r="AN200" s="36">
        <f t="shared" si="104"/>
        <v>1323.2817880000002</v>
      </c>
      <c r="AO200" s="36">
        <f t="shared" si="104"/>
        <v>689.58500000000004</v>
      </c>
      <c r="AP200" s="36">
        <f t="shared" si="104"/>
        <v>17755.755250347829</v>
      </c>
      <c r="AQ200" s="36">
        <f t="shared" si="105"/>
        <v>88030.657542956527</v>
      </c>
      <c r="AR200" s="36">
        <f t="shared" si="105"/>
        <v>19187.437758260872</v>
      </c>
      <c r="AS200" s="36">
        <f t="shared" si="105"/>
        <v>4397.3272626521739</v>
      </c>
      <c r="AT200" s="36">
        <f t="shared" si="105"/>
        <v>196.26650000000001</v>
      </c>
      <c r="AU200" s="36">
        <f t="shared" si="105"/>
        <v>6884.6980422173929</v>
      </c>
      <c r="AV200" s="36">
        <f t="shared" si="105"/>
        <v>5677.8896036086971</v>
      </c>
      <c r="AW200" s="36">
        <f t="shared" si="105"/>
        <v>12048.112354695651</v>
      </c>
      <c r="AX200" s="36">
        <f t="shared" si="105"/>
        <v>5325.8443944347828</v>
      </c>
      <c r="AY200" s="36">
        <f t="shared" si="105"/>
        <v>10617.549111956523</v>
      </c>
      <c r="AZ200" s="36">
        <f t="shared" si="105"/>
        <v>1399.424887304348</v>
      </c>
      <c r="BA200" s="36">
        <f t="shared" si="106"/>
        <v>710.27255000000002</v>
      </c>
      <c r="BB200" s="36">
        <f t="shared" si="106"/>
        <v>18288.427907858266</v>
      </c>
      <c r="BC200" s="36">
        <f t="shared" si="106"/>
        <v>90671.57726924523</v>
      </c>
      <c r="BD200" s="36">
        <f t="shared" si="106"/>
        <v>19763.060891008699</v>
      </c>
      <c r="BE200" s="36">
        <f t="shared" si="106"/>
        <v>4529.2470805317389</v>
      </c>
      <c r="BF200" s="36">
        <f t="shared" si="106"/>
        <v>202.15449500000003</v>
      </c>
      <c r="BG200" s="36">
        <f t="shared" si="106"/>
        <v>7091.238983483915</v>
      </c>
      <c r="BH200" s="36">
        <f t="shared" si="106"/>
        <v>5848.2262917169573</v>
      </c>
      <c r="BI200" s="36">
        <f t="shared" si="106"/>
        <v>12409.55572533652</v>
      </c>
      <c r="BJ200" s="36">
        <f t="shared" si="106"/>
        <v>5485.619726267827</v>
      </c>
      <c r="BK200" s="36">
        <f t="shared" si="107"/>
        <v>10936.075585315219</v>
      </c>
      <c r="BL200" s="36">
        <f t="shared" si="107"/>
        <v>1441.4076339234784</v>
      </c>
      <c r="BM200" s="36">
        <f t="shared" si="107"/>
        <v>731.58072650000008</v>
      </c>
      <c r="BN200" s="36">
        <f t="shared" si="107"/>
        <v>18837.080745094016</v>
      </c>
      <c r="BO200" s="36">
        <f t="shared" si="107"/>
        <v>93391.724587322577</v>
      </c>
      <c r="BP200" s="36">
        <f t="shared" si="107"/>
        <v>20355.952717738965</v>
      </c>
      <c r="BQ200" s="36">
        <f t="shared" si="107"/>
        <v>4665.1244929476916</v>
      </c>
      <c r="BR200" s="36">
        <f t="shared" si="107"/>
        <v>208.21912985000003</v>
      </c>
      <c r="BS200" s="36">
        <f t="shared" si="107"/>
        <v>7303.9761529884327</v>
      </c>
      <c r="BT200" s="36">
        <f t="shared" si="107"/>
        <v>6023.6730804684667</v>
      </c>
      <c r="BU200" s="36">
        <f t="shared" si="107"/>
        <v>12781.842397096618</v>
      </c>
      <c r="BV200" s="36">
        <f t="shared" si="107"/>
        <v>5650.1883180558616</v>
      </c>
      <c r="BW200" s="36">
        <f t="shared" si="107"/>
        <v>11264.157852874676</v>
      </c>
      <c r="BX200" s="36">
        <f t="shared" si="107"/>
        <v>1484.6498629411828</v>
      </c>
      <c r="BZ200" s="8">
        <f t="shared" si="108"/>
        <v>9165.61</v>
      </c>
      <c r="CA200" s="8">
        <f t="shared" si="109"/>
        <v>203071.82</v>
      </c>
      <c r="CC200" s="8">
        <f t="shared" si="110"/>
        <v>57133.460000000006</v>
      </c>
      <c r="CD200" s="8">
        <f t="shared" si="110"/>
        <v>52113.95</v>
      </c>
      <c r="CE200" s="8">
        <f t="shared" si="110"/>
        <v>88515.840000000011</v>
      </c>
      <c r="CF200" s="8">
        <f t="shared" si="110"/>
        <v>204356.55960000001</v>
      </c>
      <c r="CG200" s="8">
        <f t="shared" si="110"/>
        <v>149973.06718800002</v>
      </c>
      <c r="CH200" s="8">
        <f t="shared" si="110"/>
        <v>172210.54770843481</v>
      </c>
      <c r="CI200" s="8">
        <f t="shared" si="110"/>
        <v>177376.86413968782</v>
      </c>
      <c r="CJ200" s="8">
        <f t="shared" si="110"/>
        <v>182698.17006387847</v>
      </c>
    </row>
    <row r="201" spans="1:88" x14ac:dyDescent="0.3">
      <c r="A201" s="25" t="s">
        <v>142</v>
      </c>
      <c r="B201" s="10"/>
      <c r="C201" s="36">
        <f t="shared" si="101"/>
        <v>37388.080000000002</v>
      </c>
      <c r="D201" s="36">
        <f t="shared" si="101"/>
        <v>198290.33000000002</v>
      </c>
      <c r="E201" s="36">
        <f t="shared" si="101"/>
        <v>12614.32</v>
      </c>
      <c r="F201" s="36">
        <f t="shared" si="101"/>
        <v>21518.83</v>
      </c>
      <c r="G201" s="36">
        <f t="shared" si="101"/>
        <v>22292</v>
      </c>
      <c r="H201" s="36">
        <f t="shared" si="101"/>
        <v>32890.520000000004</v>
      </c>
      <c r="I201" s="36">
        <f t="shared" si="101"/>
        <v>34711.89</v>
      </c>
      <c r="J201" s="36">
        <f t="shared" si="101"/>
        <v>18668.830000000002</v>
      </c>
      <c r="K201" s="36">
        <f t="shared" si="101"/>
        <v>20606.989999999998</v>
      </c>
      <c r="L201" s="36">
        <f t="shared" si="101"/>
        <v>18684.009999999995</v>
      </c>
      <c r="M201" s="36">
        <f t="shared" si="102"/>
        <v>17850.750000000015</v>
      </c>
      <c r="N201" s="36">
        <f t="shared" si="102"/>
        <v>18622.73</v>
      </c>
      <c r="O201" s="36">
        <f t="shared" si="102"/>
        <v>17842.579999999998</v>
      </c>
      <c r="P201" s="36">
        <f t="shared" si="102"/>
        <v>19281.22</v>
      </c>
      <c r="Q201" s="36">
        <f t="shared" si="102"/>
        <v>19865.579999999998</v>
      </c>
      <c r="R201" s="36">
        <f t="shared" si="102"/>
        <v>17750.580000000002</v>
      </c>
      <c r="S201" s="36">
        <f t="shared" si="102"/>
        <v>18422.16</v>
      </c>
      <c r="T201" s="36">
        <f t="shared" si="102"/>
        <v>21983.21</v>
      </c>
      <c r="U201" s="36">
        <f t="shared" si="102"/>
        <v>36132.050000000003</v>
      </c>
      <c r="V201" s="36">
        <f t="shared" si="102"/>
        <v>28692.22</v>
      </c>
      <c r="W201" s="36">
        <f t="shared" si="103"/>
        <v>29911.03</v>
      </c>
      <c r="X201" s="36">
        <f t="shared" si="103"/>
        <v>23126.31</v>
      </c>
      <c r="Y201" s="36">
        <f t="shared" si="103"/>
        <v>25489.54</v>
      </c>
      <c r="Z201" s="36">
        <f t="shared" si="103"/>
        <v>23266.489999999998</v>
      </c>
      <c r="AA201" s="36">
        <f t="shared" si="103"/>
        <v>22063.65</v>
      </c>
      <c r="AB201" s="36">
        <f t="shared" si="103"/>
        <v>19859.656600000002</v>
      </c>
      <c r="AC201" s="36">
        <f t="shared" si="103"/>
        <v>20461.547399999999</v>
      </c>
      <c r="AD201" s="36">
        <f t="shared" si="103"/>
        <v>18283.097399999999</v>
      </c>
      <c r="AE201" s="36">
        <f t="shared" si="103"/>
        <v>18974.824800000002</v>
      </c>
      <c r="AF201" s="36">
        <f t="shared" si="103"/>
        <v>22642.706299999998</v>
      </c>
      <c r="AG201" s="36">
        <f t="shared" si="104"/>
        <v>37216.011500000001</v>
      </c>
      <c r="AH201" s="36">
        <f t="shared" si="104"/>
        <v>29552.9866</v>
      </c>
      <c r="AI201" s="36">
        <f t="shared" si="104"/>
        <v>30808.3609</v>
      </c>
      <c r="AJ201" s="36">
        <f t="shared" si="104"/>
        <v>23820.099300000002</v>
      </c>
      <c r="AK201" s="36">
        <f t="shared" si="104"/>
        <v>26254.226200000001</v>
      </c>
      <c r="AL201" s="36">
        <f t="shared" si="104"/>
        <v>23964.484699999997</v>
      </c>
      <c r="AM201" s="36">
        <f t="shared" si="104"/>
        <v>22725.559500000003</v>
      </c>
      <c r="AN201" s="36">
        <f t="shared" si="104"/>
        <v>20455.446298000003</v>
      </c>
      <c r="AO201" s="36">
        <f t="shared" si="104"/>
        <v>24066.157952521738</v>
      </c>
      <c r="AP201" s="36">
        <f t="shared" si="104"/>
        <v>21880.316269478262</v>
      </c>
      <c r="AQ201" s="36">
        <f t="shared" si="105"/>
        <v>22317.526079260871</v>
      </c>
      <c r="AR201" s="36">
        <f t="shared" si="105"/>
        <v>26631.560914086956</v>
      </c>
      <c r="AS201" s="36">
        <f t="shared" si="105"/>
        <v>42860.647329695654</v>
      </c>
      <c r="AT201" s="36">
        <f t="shared" si="105"/>
        <v>33847.665410608693</v>
      </c>
      <c r="AU201" s="36">
        <f t="shared" si="105"/>
        <v>35324.194579782612</v>
      </c>
      <c r="AV201" s="36">
        <f t="shared" si="105"/>
        <v>27951.18948913044</v>
      </c>
      <c r="AW201" s="36">
        <f t="shared" si="105"/>
        <v>30879.307434347829</v>
      </c>
      <c r="AX201" s="36">
        <f t="shared" si="105"/>
        <v>28153.602679826083</v>
      </c>
      <c r="AY201" s="36">
        <f t="shared" si="105"/>
        <v>26696.421026173921</v>
      </c>
      <c r="AZ201" s="36">
        <f t="shared" si="105"/>
        <v>24058.984123837829</v>
      </c>
      <c r="BA201" s="36">
        <f t="shared" si="106"/>
        <v>24788.142691097393</v>
      </c>
      <c r="BB201" s="36">
        <f t="shared" si="106"/>
        <v>22536.72575756261</v>
      </c>
      <c r="BC201" s="36">
        <f t="shared" si="106"/>
        <v>22987.051861638698</v>
      </c>
      <c r="BD201" s="36">
        <f t="shared" si="106"/>
        <v>27430.507741509566</v>
      </c>
      <c r="BE201" s="36">
        <f t="shared" si="106"/>
        <v>44146.466749586521</v>
      </c>
      <c r="BF201" s="36">
        <f t="shared" si="106"/>
        <v>34863.09537292696</v>
      </c>
      <c r="BG201" s="36">
        <f t="shared" si="106"/>
        <v>36383.920417176094</v>
      </c>
      <c r="BH201" s="36">
        <f t="shared" si="106"/>
        <v>28789.725173804352</v>
      </c>
      <c r="BI201" s="36">
        <f t="shared" si="106"/>
        <v>31805.686657378261</v>
      </c>
      <c r="BJ201" s="36">
        <f t="shared" si="106"/>
        <v>28998.210760220867</v>
      </c>
      <c r="BK201" s="36">
        <f t="shared" si="107"/>
        <v>27497.313656959137</v>
      </c>
      <c r="BL201" s="36">
        <f t="shared" si="107"/>
        <v>24780.753647552963</v>
      </c>
      <c r="BM201" s="36">
        <f t="shared" si="107"/>
        <v>25531.786971830315</v>
      </c>
      <c r="BN201" s="36">
        <f t="shared" si="107"/>
        <v>23212.827530289491</v>
      </c>
      <c r="BO201" s="36">
        <f t="shared" si="107"/>
        <v>23676.663417487864</v>
      </c>
      <c r="BP201" s="36">
        <f t="shared" si="107"/>
        <v>28253.422973754852</v>
      </c>
      <c r="BQ201" s="36">
        <f t="shared" si="107"/>
        <v>45470.860752074128</v>
      </c>
      <c r="BR201" s="36">
        <f t="shared" si="107"/>
        <v>35908.988234114768</v>
      </c>
      <c r="BS201" s="36">
        <f t="shared" si="107"/>
        <v>37475.438029691381</v>
      </c>
      <c r="BT201" s="36">
        <f t="shared" si="107"/>
        <v>29653.416929018484</v>
      </c>
      <c r="BU201" s="36">
        <f t="shared" si="107"/>
        <v>32759.857257099611</v>
      </c>
      <c r="BV201" s="36">
        <f t="shared" si="107"/>
        <v>29868.157083027494</v>
      </c>
      <c r="BW201" s="36">
        <f t="shared" si="107"/>
        <v>28322.233066667912</v>
      </c>
      <c r="BX201" s="36">
        <f t="shared" si="107"/>
        <v>25524.176256979554</v>
      </c>
      <c r="BZ201" s="8">
        <f t="shared" si="108"/>
        <v>22063.65</v>
      </c>
      <c r="CA201" s="8">
        <f t="shared" si="109"/>
        <v>266702.82</v>
      </c>
      <c r="CC201" s="8">
        <f t="shared" si="110"/>
        <v>37388.080000000002</v>
      </c>
      <c r="CD201" s="8">
        <f t="shared" si="110"/>
        <v>198290.33000000002</v>
      </c>
      <c r="CE201" s="8">
        <f t="shared" si="110"/>
        <v>255584.67</v>
      </c>
      <c r="CF201" s="8">
        <f t="shared" si="110"/>
        <v>286562.47659999999</v>
      </c>
      <c r="CG201" s="8">
        <f t="shared" si="110"/>
        <v>295159.350898</v>
      </c>
      <c r="CH201" s="8">
        <f t="shared" si="110"/>
        <v>344667.57328875089</v>
      </c>
      <c r="CI201" s="8">
        <f t="shared" si="110"/>
        <v>355007.60048741347</v>
      </c>
      <c r="CJ201" s="8">
        <f t="shared" si="110"/>
        <v>365657.82850203582</v>
      </c>
    </row>
    <row r="202" spans="1:88" x14ac:dyDescent="0.3">
      <c r="A202" s="25" t="s">
        <v>257</v>
      </c>
      <c r="B202" s="10"/>
      <c r="C202" s="36">
        <f t="shared" si="101"/>
        <v>29415.200000000004</v>
      </c>
      <c r="D202" s="36">
        <f t="shared" si="101"/>
        <v>13710.029999999999</v>
      </c>
      <c r="E202" s="36">
        <f t="shared" si="101"/>
        <v>75.849999999999994</v>
      </c>
      <c r="F202" s="36">
        <f t="shared" si="101"/>
        <v>750</v>
      </c>
      <c r="G202" s="36">
        <f t="shared" si="101"/>
        <v>0</v>
      </c>
      <c r="H202" s="36">
        <f t="shared" si="101"/>
        <v>2210.9899999999998</v>
      </c>
      <c r="I202" s="36">
        <f t="shared" si="101"/>
        <v>2771.6</v>
      </c>
      <c r="J202" s="36">
        <f t="shared" si="101"/>
        <v>-947.77</v>
      </c>
      <c r="K202" s="36">
        <f t="shared" si="101"/>
        <v>182.77</v>
      </c>
      <c r="L202" s="36">
        <f t="shared" si="101"/>
        <v>8509.99</v>
      </c>
      <c r="M202" s="36">
        <f t="shared" si="102"/>
        <v>943</v>
      </c>
      <c r="N202" s="36">
        <f t="shared" si="102"/>
        <v>755.99</v>
      </c>
      <c r="O202" s="36">
        <f t="shared" si="102"/>
        <v>1742</v>
      </c>
      <c r="P202" s="36">
        <f t="shared" si="102"/>
        <v>41112.89</v>
      </c>
      <c r="Q202" s="36">
        <f t="shared" si="102"/>
        <v>996</v>
      </c>
      <c r="R202" s="36">
        <f t="shared" si="102"/>
        <v>4500</v>
      </c>
      <c r="S202" s="36">
        <f t="shared" si="102"/>
        <v>2379.88</v>
      </c>
      <c r="T202" s="36">
        <f t="shared" si="102"/>
        <v>2828.64</v>
      </c>
      <c r="U202" s="36">
        <f t="shared" si="102"/>
        <v>3612</v>
      </c>
      <c r="V202" s="36">
        <f t="shared" si="102"/>
        <v>1713.99</v>
      </c>
      <c r="W202" s="36">
        <f t="shared" si="103"/>
        <v>3340.42</v>
      </c>
      <c r="X202" s="36">
        <f t="shared" si="103"/>
        <v>0</v>
      </c>
      <c r="Y202" s="36">
        <f t="shared" si="103"/>
        <v>2139.6</v>
      </c>
      <c r="Z202" s="36">
        <f t="shared" si="103"/>
        <v>4457.5</v>
      </c>
      <c r="AA202" s="36">
        <f t="shared" si="103"/>
        <v>1186.68</v>
      </c>
      <c r="AB202" s="36">
        <f t="shared" si="103"/>
        <v>0</v>
      </c>
      <c r="AC202" s="36">
        <f t="shared" si="103"/>
        <v>1025.8800000000001</v>
      </c>
      <c r="AD202" s="36">
        <f t="shared" si="103"/>
        <v>4635</v>
      </c>
      <c r="AE202" s="36">
        <f t="shared" si="103"/>
        <v>40000</v>
      </c>
      <c r="AF202" s="36">
        <f t="shared" si="103"/>
        <v>1916.7166999999999</v>
      </c>
      <c r="AG202" s="36">
        <f t="shared" si="104"/>
        <v>3720.3600000000006</v>
      </c>
      <c r="AH202" s="36">
        <f t="shared" si="104"/>
        <v>1765.4097000000002</v>
      </c>
      <c r="AI202" s="36">
        <f t="shared" si="104"/>
        <v>3440.6326000000004</v>
      </c>
      <c r="AJ202" s="36">
        <f t="shared" si="104"/>
        <v>0</v>
      </c>
      <c r="AK202" s="36">
        <f t="shared" si="104"/>
        <v>2203.788</v>
      </c>
      <c r="AL202" s="36">
        <f t="shared" si="104"/>
        <v>4591.2250000000004</v>
      </c>
      <c r="AM202" s="36">
        <f t="shared" si="104"/>
        <v>1222.2804000000001</v>
      </c>
      <c r="AN202" s="36">
        <f t="shared" si="104"/>
        <v>0</v>
      </c>
      <c r="AO202" s="36">
        <f t="shared" si="104"/>
        <v>1095.7994452173914</v>
      </c>
      <c r="AP202" s="36">
        <f t="shared" si="104"/>
        <v>4774.0500000000011</v>
      </c>
      <c r="AQ202" s="36">
        <f t="shared" si="105"/>
        <v>15150</v>
      </c>
      <c r="AR202" s="36">
        <f t="shared" si="105"/>
        <v>2216.9050813478261</v>
      </c>
      <c r="AS202" s="36">
        <f t="shared" si="105"/>
        <v>4375.7580281739138</v>
      </c>
      <c r="AT202" s="36">
        <f t="shared" si="105"/>
        <v>2149.1944173913048</v>
      </c>
      <c r="AU202" s="36">
        <f t="shared" si="105"/>
        <v>4188.5962086956533</v>
      </c>
      <c r="AV202" s="36">
        <f t="shared" si="105"/>
        <v>0</v>
      </c>
      <c r="AW202" s="36">
        <f t="shared" si="105"/>
        <v>2269.90164</v>
      </c>
      <c r="AX202" s="36">
        <f t="shared" si="105"/>
        <v>4728.9617500000004</v>
      </c>
      <c r="AY202" s="36">
        <f t="shared" si="105"/>
        <v>1258.9488120000001</v>
      </c>
      <c r="AZ202" s="36">
        <f t="shared" si="105"/>
        <v>0</v>
      </c>
      <c r="BA202" s="36">
        <f t="shared" si="106"/>
        <v>1128.673428573913</v>
      </c>
      <c r="BB202" s="36">
        <f t="shared" si="106"/>
        <v>4917.2715000000007</v>
      </c>
      <c r="BC202" s="36">
        <f t="shared" si="106"/>
        <v>15604.5</v>
      </c>
      <c r="BD202" s="36">
        <f t="shared" si="106"/>
        <v>2283.4122337882609</v>
      </c>
      <c r="BE202" s="36">
        <f t="shared" si="106"/>
        <v>4507.0307690191312</v>
      </c>
      <c r="BF202" s="36">
        <f t="shared" si="106"/>
        <v>2213.6702499130438</v>
      </c>
      <c r="BG202" s="36">
        <f t="shared" si="106"/>
        <v>4314.2540949565227</v>
      </c>
      <c r="BH202" s="36">
        <f t="shared" si="106"/>
        <v>0</v>
      </c>
      <c r="BI202" s="36">
        <f t="shared" si="106"/>
        <v>2337.9986892000002</v>
      </c>
      <c r="BJ202" s="36">
        <f t="shared" si="106"/>
        <v>4870.8306025000002</v>
      </c>
      <c r="BK202" s="36">
        <f t="shared" si="107"/>
        <v>1296.7172763600001</v>
      </c>
      <c r="BL202" s="36">
        <f t="shared" si="107"/>
        <v>0</v>
      </c>
      <c r="BM202" s="36">
        <f t="shared" si="107"/>
        <v>1162.5336314311307</v>
      </c>
      <c r="BN202" s="36">
        <f t="shared" si="107"/>
        <v>5064.7896450000007</v>
      </c>
      <c r="BO202" s="36">
        <f t="shared" si="107"/>
        <v>16072.635</v>
      </c>
      <c r="BP202" s="36">
        <f t="shared" si="107"/>
        <v>2351.9146008019093</v>
      </c>
      <c r="BQ202" s="36">
        <f t="shared" si="107"/>
        <v>4642.2416920897049</v>
      </c>
      <c r="BR202" s="36">
        <f t="shared" si="107"/>
        <v>2280.0803574104352</v>
      </c>
      <c r="BS202" s="36">
        <f t="shared" si="107"/>
        <v>4443.6817178052188</v>
      </c>
      <c r="BT202" s="36">
        <f t="shared" si="107"/>
        <v>0</v>
      </c>
      <c r="BU202" s="36">
        <f t="shared" si="107"/>
        <v>2408.1386498760003</v>
      </c>
      <c r="BV202" s="36">
        <f t="shared" si="107"/>
        <v>5016.9555205750003</v>
      </c>
      <c r="BW202" s="36">
        <f t="shared" si="107"/>
        <v>1335.6187946508003</v>
      </c>
      <c r="BX202" s="36">
        <f t="shared" si="107"/>
        <v>0</v>
      </c>
      <c r="BZ202" s="8">
        <f t="shared" si="108"/>
        <v>1186.68</v>
      </c>
      <c r="CA202" s="8">
        <f t="shared" si="109"/>
        <v>27154.71</v>
      </c>
      <c r="CC202" s="8">
        <f t="shared" si="110"/>
        <v>29415.200000000004</v>
      </c>
      <c r="CD202" s="8">
        <f t="shared" si="110"/>
        <v>13710.029999999999</v>
      </c>
      <c r="CE202" s="8">
        <f t="shared" si="110"/>
        <v>58107.31</v>
      </c>
      <c r="CF202" s="8">
        <f t="shared" si="110"/>
        <v>27154.71</v>
      </c>
      <c r="CG202" s="8">
        <f t="shared" si="110"/>
        <v>64521.292399999998</v>
      </c>
      <c r="CH202" s="8">
        <f t="shared" si="110"/>
        <v>42208.115382826087</v>
      </c>
      <c r="CI202" s="8">
        <f t="shared" si="110"/>
        <v>43474.358844310875</v>
      </c>
      <c r="CJ202" s="8">
        <f t="shared" si="110"/>
        <v>44778.589609640192</v>
      </c>
    </row>
    <row r="203" spans="1:88" x14ac:dyDescent="0.3">
      <c r="A203" s="25" t="s">
        <v>258</v>
      </c>
      <c r="B203" s="10"/>
      <c r="C203" s="36">
        <f t="shared" si="101"/>
        <v>285196.82</v>
      </c>
      <c r="D203" s="36">
        <f t="shared" si="101"/>
        <v>93201.51</v>
      </c>
      <c r="E203" s="36">
        <f t="shared" si="101"/>
        <v>2917.48</v>
      </c>
      <c r="F203" s="36">
        <f t="shared" si="101"/>
        <v>943.75</v>
      </c>
      <c r="G203" s="36">
        <f t="shared" si="101"/>
        <v>4725.3500000000004</v>
      </c>
      <c r="H203" s="36">
        <f t="shared" si="101"/>
        <v>19854.150000000001</v>
      </c>
      <c r="I203" s="36">
        <f t="shared" si="101"/>
        <v>22663.4</v>
      </c>
      <c r="J203" s="36">
        <f t="shared" si="101"/>
        <v>4500.8999999999996</v>
      </c>
      <c r="K203" s="36">
        <f t="shared" si="101"/>
        <v>16188.56</v>
      </c>
      <c r="L203" s="36">
        <f t="shared" si="101"/>
        <v>13308.94</v>
      </c>
      <c r="M203" s="36">
        <f t="shared" si="102"/>
        <v>6800.3</v>
      </c>
      <c r="N203" s="36">
        <f t="shared" si="102"/>
        <v>10145.75</v>
      </c>
      <c r="O203" s="36">
        <f t="shared" si="102"/>
        <v>17413</v>
      </c>
      <c r="P203" s="36">
        <f t="shared" si="102"/>
        <v>13788.779999999999</v>
      </c>
      <c r="Q203" s="36">
        <f t="shared" si="102"/>
        <v>5272.7</v>
      </c>
      <c r="R203" s="36">
        <f t="shared" si="102"/>
        <v>6484.5</v>
      </c>
      <c r="S203" s="36">
        <f t="shared" si="102"/>
        <v>59530.5</v>
      </c>
      <c r="T203" s="36">
        <f t="shared" si="102"/>
        <v>17174.129999999997</v>
      </c>
      <c r="U203" s="36">
        <f t="shared" si="102"/>
        <v>54085.88</v>
      </c>
      <c r="V203" s="36">
        <f t="shared" si="102"/>
        <v>19939.150000000001</v>
      </c>
      <c r="W203" s="36">
        <f t="shared" si="103"/>
        <v>16114</v>
      </c>
      <c r="X203" s="36">
        <f t="shared" si="103"/>
        <v>24207.5</v>
      </c>
      <c r="Y203" s="36">
        <f t="shared" si="103"/>
        <v>32769.380000000005</v>
      </c>
      <c r="Z203" s="36">
        <f t="shared" si="103"/>
        <v>23165.379999999997</v>
      </c>
      <c r="AA203" s="36">
        <f t="shared" si="103"/>
        <v>45593.33</v>
      </c>
      <c r="AB203" s="36">
        <f t="shared" si="103"/>
        <v>20708.371500000001</v>
      </c>
      <c r="AC203" s="36">
        <f t="shared" si="103"/>
        <v>4293.7610000000004</v>
      </c>
      <c r="AD203" s="36">
        <f t="shared" si="103"/>
        <v>11522.475</v>
      </c>
      <c r="AE203" s="36">
        <f t="shared" si="103"/>
        <v>37275.854999999996</v>
      </c>
      <c r="AF203" s="36">
        <f t="shared" si="103"/>
        <v>21695.853900000002</v>
      </c>
      <c r="AG203" s="36">
        <f t="shared" si="104"/>
        <v>44446.359999999993</v>
      </c>
      <c r="AH203" s="36">
        <f t="shared" si="104"/>
        <v>5500</v>
      </c>
      <c r="AI203" s="36">
        <f t="shared" si="104"/>
        <v>12241.35</v>
      </c>
      <c r="AJ203" s="36">
        <f t="shared" si="104"/>
        <v>11937.5</v>
      </c>
      <c r="AK203" s="36">
        <f t="shared" si="104"/>
        <v>14255</v>
      </c>
      <c r="AL203" s="36">
        <f t="shared" si="104"/>
        <v>8235.68</v>
      </c>
      <c r="AM203" s="36">
        <f t="shared" si="104"/>
        <v>16500.606</v>
      </c>
      <c r="AN203" s="36">
        <f t="shared" si="104"/>
        <v>11203.716670000002</v>
      </c>
      <c r="AO203" s="36">
        <f t="shared" si="104"/>
        <v>4422.5738300000012</v>
      </c>
      <c r="AP203" s="36">
        <f t="shared" si="104"/>
        <v>11868.14925</v>
      </c>
      <c r="AQ203" s="36">
        <f t="shared" si="105"/>
        <v>37644.130649999999</v>
      </c>
      <c r="AR203" s="36">
        <f t="shared" si="105"/>
        <v>22346.729517</v>
      </c>
      <c r="AS203" s="36">
        <f t="shared" si="105"/>
        <v>45779.750800000002</v>
      </c>
      <c r="AT203" s="36">
        <f t="shared" si="105"/>
        <v>5665</v>
      </c>
      <c r="AU203" s="36">
        <f t="shared" si="105"/>
        <v>12608.5905</v>
      </c>
      <c r="AV203" s="36">
        <f t="shared" si="105"/>
        <v>12295.625</v>
      </c>
      <c r="AW203" s="36">
        <f t="shared" si="105"/>
        <v>14682.650000000001</v>
      </c>
      <c r="AX203" s="36">
        <f t="shared" si="105"/>
        <v>8482.7504000000008</v>
      </c>
      <c r="AY203" s="36">
        <f t="shared" si="105"/>
        <v>16995.624180000003</v>
      </c>
      <c r="AZ203" s="36">
        <f t="shared" si="105"/>
        <v>11539.828170100001</v>
      </c>
      <c r="BA203" s="36">
        <f t="shared" si="106"/>
        <v>4555.2510449000001</v>
      </c>
      <c r="BB203" s="36">
        <f t="shared" si="106"/>
        <v>12224.193727500002</v>
      </c>
      <c r="BC203" s="36">
        <f t="shared" si="106"/>
        <v>38023.454569499998</v>
      </c>
      <c r="BD203" s="36">
        <f t="shared" si="106"/>
        <v>23017.13140251</v>
      </c>
      <c r="BE203" s="36">
        <f t="shared" si="106"/>
        <v>47153.143324000004</v>
      </c>
      <c r="BF203" s="36">
        <f t="shared" si="106"/>
        <v>5834.95</v>
      </c>
      <c r="BG203" s="36">
        <f t="shared" si="106"/>
        <v>12986.848215</v>
      </c>
      <c r="BH203" s="36">
        <f t="shared" si="106"/>
        <v>12664.493750000001</v>
      </c>
      <c r="BI203" s="36">
        <f t="shared" si="106"/>
        <v>15123.129500000001</v>
      </c>
      <c r="BJ203" s="36">
        <f t="shared" si="106"/>
        <v>8737.2329119999995</v>
      </c>
      <c r="BK203" s="36">
        <f t="shared" si="107"/>
        <v>17505.492905400002</v>
      </c>
      <c r="BL203" s="36">
        <f t="shared" si="107"/>
        <v>11886.023015203002</v>
      </c>
      <c r="BM203" s="36">
        <f t="shared" si="107"/>
        <v>4691.9085762470013</v>
      </c>
      <c r="BN203" s="36">
        <f t="shared" si="107"/>
        <v>12590.919539325001</v>
      </c>
      <c r="BO203" s="36">
        <f t="shared" si="107"/>
        <v>38414.158206585002</v>
      </c>
      <c r="BP203" s="36">
        <f t="shared" si="107"/>
        <v>23707.6453445853</v>
      </c>
      <c r="BQ203" s="36">
        <f t="shared" si="107"/>
        <v>48567.737623720008</v>
      </c>
      <c r="BR203" s="36">
        <f t="shared" si="107"/>
        <v>6009.9985000000006</v>
      </c>
      <c r="BS203" s="36">
        <f t="shared" si="107"/>
        <v>13376.453661450001</v>
      </c>
      <c r="BT203" s="36">
        <f t="shared" si="107"/>
        <v>13044.428562500001</v>
      </c>
      <c r="BU203" s="36">
        <f t="shared" si="107"/>
        <v>15576.823385000002</v>
      </c>
      <c r="BV203" s="36">
        <f t="shared" si="107"/>
        <v>8999.3498993600006</v>
      </c>
      <c r="BW203" s="36">
        <f t="shared" si="107"/>
        <v>18030.657692562003</v>
      </c>
      <c r="BX203" s="36">
        <f t="shared" si="107"/>
        <v>12242.603705659092</v>
      </c>
      <c r="BZ203" s="8">
        <f t="shared" si="108"/>
        <v>45593.33</v>
      </c>
      <c r="CA203" s="8">
        <f t="shared" si="109"/>
        <v>304336.45</v>
      </c>
      <c r="CC203" s="8">
        <f t="shared" si="110"/>
        <v>285196.82</v>
      </c>
      <c r="CD203" s="8">
        <f t="shared" si="110"/>
        <v>93201.51</v>
      </c>
      <c r="CE203" s="8">
        <f t="shared" si="110"/>
        <v>133250.36000000002</v>
      </c>
      <c r="CF203" s="8">
        <f t="shared" si="110"/>
        <v>325044.82150000002</v>
      </c>
      <c r="CG203" s="8">
        <f t="shared" si="110"/>
        <v>199108.15756999998</v>
      </c>
      <c r="CH203" s="8">
        <f t="shared" si="110"/>
        <v>204331.40229709999</v>
      </c>
      <c r="CI203" s="8">
        <f t="shared" si="110"/>
        <v>209711.34436601301</v>
      </c>
      <c r="CJ203" s="8">
        <f t="shared" si="110"/>
        <v>215252.68469699341</v>
      </c>
    </row>
    <row r="204" spans="1:88" x14ac:dyDescent="0.3">
      <c r="A204" s="25" t="s">
        <v>259</v>
      </c>
      <c r="B204" s="10"/>
      <c r="C204" s="36">
        <f t="shared" si="101"/>
        <v>6232.21</v>
      </c>
      <c r="D204" s="36">
        <f t="shared" si="101"/>
        <v>14964.69</v>
      </c>
      <c r="E204" s="36">
        <f t="shared" si="101"/>
        <v>0</v>
      </c>
      <c r="F204" s="36">
        <f t="shared" si="101"/>
        <v>2683.9</v>
      </c>
      <c r="G204" s="36">
        <f t="shared" si="101"/>
        <v>0</v>
      </c>
      <c r="H204" s="36">
        <f t="shared" si="101"/>
        <v>1033.21</v>
      </c>
      <c r="I204" s="36">
        <f t="shared" si="101"/>
        <v>472.34000000000003</v>
      </c>
      <c r="J204" s="36">
        <f t="shared" si="101"/>
        <v>0</v>
      </c>
      <c r="K204" s="36">
        <f t="shared" si="101"/>
        <v>1655.25</v>
      </c>
      <c r="L204" s="36">
        <f t="shared" si="101"/>
        <v>2472.7399999999998</v>
      </c>
      <c r="M204" s="36">
        <f t="shared" si="102"/>
        <v>2159.3000000000002</v>
      </c>
      <c r="N204" s="36">
        <f t="shared" si="102"/>
        <v>4522.88</v>
      </c>
      <c r="O204" s="36">
        <f t="shared" si="102"/>
        <v>0</v>
      </c>
      <c r="P204" s="36">
        <f t="shared" si="102"/>
        <v>2116.15</v>
      </c>
      <c r="Q204" s="36">
        <f t="shared" si="102"/>
        <v>2309.08</v>
      </c>
      <c r="R204" s="36">
        <f t="shared" si="102"/>
        <v>2540.83</v>
      </c>
      <c r="S204" s="36">
        <f t="shared" si="102"/>
        <v>2249.35</v>
      </c>
      <c r="T204" s="36">
        <f t="shared" si="102"/>
        <v>3435.4300000000003</v>
      </c>
      <c r="U204" s="36">
        <f t="shared" si="102"/>
        <v>3035.35</v>
      </c>
      <c r="V204" s="36">
        <f t="shared" si="102"/>
        <v>3262.74</v>
      </c>
      <c r="W204" s="36">
        <f t="shared" si="103"/>
        <v>5704.91</v>
      </c>
      <c r="X204" s="36">
        <f t="shared" si="103"/>
        <v>4988.59</v>
      </c>
      <c r="Y204" s="36">
        <f t="shared" si="103"/>
        <v>5847.53</v>
      </c>
      <c r="Z204" s="36">
        <f t="shared" si="103"/>
        <v>2147.0099999999998</v>
      </c>
      <c r="AA204" s="36">
        <f t="shared" si="103"/>
        <v>2816.58</v>
      </c>
      <c r="AB204" s="36">
        <f t="shared" si="103"/>
        <v>2179.6345000000001</v>
      </c>
      <c r="AC204" s="36">
        <f t="shared" si="103"/>
        <v>2378.3523999999998</v>
      </c>
      <c r="AD204" s="36">
        <f t="shared" si="103"/>
        <v>2617.0548999999996</v>
      </c>
      <c r="AE204" s="36">
        <f t="shared" si="103"/>
        <v>2316.8305</v>
      </c>
      <c r="AF204" s="36">
        <f t="shared" si="103"/>
        <v>3538.4929000000002</v>
      </c>
      <c r="AG204" s="36">
        <f t="shared" si="104"/>
        <v>3126.4105</v>
      </c>
      <c r="AH204" s="36">
        <f t="shared" si="104"/>
        <v>3360.6222000000002</v>
      </c>
      <c r="AI204" s="36">
        <f t="shared" si="104"/>
        <v>5876.0573000000004</v>
      </c>
      <c r="AJ204" s="36">
        <f t="shared" si="104"/>
        <v>5138.2476999999999</v>
      </c>
      <c r="AK204" s="36">
        <f t="shared" si="104"/>
        <v>6022.9558999999999</v>
      </c>
      <c r="AL204" s="36">
        <f t="shared" si="104"/>
        <v>2211.4202999999998</v>
      </c>
      <c r="AM204" s="36">
        <f t="shared" si="104"/>
        <v>2901.0774000000001</v>
      </c>
      <c r="AN204" s="36">
        <f t="shared" si="104"/>
        <v>2245.0235350000003</v>
      </c>
      <c r="AO204" s="36">
        <f t="shared" si="104"/>
        <v>2895.3855304347826</v>
      </c>
      <c r="AP204" s="36">
        <f t="shared" si="104"/>
        <v>3141.2491054347825</v>
      </c>
      <c r="AQ204" s="36">
        <f t="shared" si="105"/>
        <v>2794.7799669565225</v>
      </c>
      <c r="AR204" s="36">
        <f t="shared" si="105"/>
        <v>4053.0922389565221</v>
      </c>
      <c r="AS204" s="36">
        <f t="shared" si="105"/>
        <v>3759.6742715217392</v>
      </c>
      <c r="AT204" s="36">
        <f t="shared" si="105"/>
        <v>4091.1922434782614</v>
      </c>
      <c r="AU204" s="36">
        <f t="shared" si="105"/>
        <v>7180.8940047391307</v>
      </c>
      <c r="AV204" s="36">
        <f t="shared" si="105"/>
        <v>6171.2626533043485</v>
      </c>
      <c r="AW204" s="36">
        <f t="shared" si="105"/>
        <v>7295.2877483043485</v>
      </c>
      <c r="AX204" s="36">
        <f t="shared" si="105"/>
        <v>2617.0315861739127</v>
      </c>
      <c r="AY204" s="36">
        <f t="shared" si="105"/>
        <v>3531.7464000000004</v>
      </c>
      <c r="AZ204" s="36">
        <f t="shared" si="105"/>
        <v>2733.0721295652179</v>
      </c>
      <c r="BA204" s="36">
        <f t="shared" si="106"/>
        <v>2982.2470963478263</v>
      </c>
      <c r="BB204" s="36">
        <f t="shared" si="106"/>
        <v>3235.4865785978263</v>
      </c>
      <c r="BC204" s="36">
        <f t="shared" si="106"/>
        <v>2878.623365965218</v>
      </c>
      <c r="BD204" s="36">
        <f t="shared" si="106"/>
        <v>4174.685006125218</v>
      </c>
      <c r="BE204" s="36">
        <f t="shared" si="106"/>
        <v>3872.4644996673915</v>
      </c>
      <c r="BF204" s="36">
        <f t="shared" si="106"/>
        <v>4213.9280107826089</v>
      </c>
      <c r="BG204" s="36">
        <f t="shared" si="106"/>
        <v>7396.3208248813044</v>
      </c>
      <c r="BH204" s="36">
        <f t="shared" si="106"/>
        <v>6356.400532903479</v>
      </c>
      <c r="BI204" s="36">
        <f t="shared" si="106"/>
        <v>7514.1463807534792</v>
      </c>
      <c r="BJ204" s="36">
        <f t="shared" si="106"/>
        <v>2695.5425337591305</v>
      </c>
      <c r="BK204" s="36">
        <f t="shared" si="107"/>
        <v>3637.6987920000001</v>
      </c>
      <c r="BL204" s="36">
        <f t="shared" si="107"/>
        <v>2815.0642934521743</v>
      </c>
      <c r="BM204" s="36">
        <f t="shared" si="107"/>
        <v>3071.7145092382611</v>
      </c>
      <c r="BN204" s="36">
        <f t="shared" si="107"/>
        <v>3332.5511759557612</v>
      </c>
      <c r="BO204" s="36">
        <f t="shared" si="107"/>
        <v>2964.9820669441742</v>
      </c>
      <c r="BP204" s="36">
        <f t="shared" si="107"/>
        <v>4299.9255563089746</v>
      </c>
      <c r="BQ204" s="36">
        <f t="shared" si="107"/>
        <v>3988.6384346574132</v>
      </c>
      <c r="BR204" s="36">
        <f t="shared" si="107"/>
        <v>4340.345851106088</v>
      </c>
      <c r="BS204" s="36">
        <f t="shared" si="107"/>
        <v>7618.2104496277443</v>
      </c>
      <c r="BT204" s="36">
        <f t="shared" si="107"/>
        <v>6547.0925488905832</v>
      </c>
      <c r="BU204" s="36">
        <f t="shared" si="107"/>
        <v>7739.5707721760828</v>
      </c>
      <c r="BV204" s="36">
        <f t="shared" si="107"/>
        <v>2776.4088097719041</v>
      </c>
      <c r="BW204" s="36">
        <f t="shared" si="107"/>
        <v>3746.8297557600004</v>
      </c>
      <c r="BX204" s="36">
        <f t="shared" si="107"/>
        <v>2899.5162222557396</v>
      </c>
      <c r="BZ204" s="8">
        <f t="shared" si="108"/>
        <v>2816.58</v>
      </c>
      <c r="CA204" s="8">
        <f t="shared" si="109"/>
        <v>38337.4</v>
      </c>
      <c r="CC204" s="8">
        <f t="shared" si="110"/>
        <v>6232.21</v>
      </c>
      <c r="CD204" s="8">
        <f t="shared" si="110"/>
        <v>14964.69</v>
      </c>
      <c r="CE204" s="8">
        <f t="shared" si="110"/>
        <v>17115.77</v>
      </c>
      <c r="CF204" s="8">
        <f t="shared" si="110"/>
        <v>40517.034500000002</v>
      </c>
      <c r="CG204" s="8">
        <f t="shared" si="110"/>
        <v>41732.545534999997</v>
      </c>
      <c r="CH204" s="8">
        <f t="shared" si="110"/>
        <v>50264.667878869572</v>
      </c>
      <c r="CI204" s="8">
        <f t="shared" si="110"/>
        <v>51772.607915235661</v>
      </c>
      <c r="CJ204" s="8">
        <f t="shared" si="110"/>
        <v>53325.786152692737</v>
      </c>
    </row>
    <row r="205" spans="1:88" x14ac:dyDescent="0.3">
      <c r="A205" s="25" t="s">
        <v>143</v>
      </c>
      <c r="B205" s="10"/>
      <c r="C205" s="36">
        <f t="shared" si="101"/>
        <v>0</v>
      </c>
      <c r="D205" s="36">
        <f t="shared" si="101"/>
        <v>0</v>
      </c>
      <c r="E205" s="36">
        <f t="shared" si="101"/>
        <v>0</v>
      </c>
      <c r="F205" s="36">
        <f t="shared" si="101"/>
        <v>0</v>
      </c>
      <c r="G205" s="36">
        <f t="shared" si="101"/>
        <v>0</v>
      </c>
      <c r="H205" s="36">
        <f t="shared" si="101"/>
        <v>0</v>
      </c>
      <c r="I205" s="36">
        <f t="shared" si="101"/>
        <v>0</v>
      </c>
      <c r="J205" s="36">
        <f t="shared" si="101"/>
        <v>0</v>
      </c>
      <c r="K205" s="36">
        <f t="shared" si="101"/>
        <v>0</v>
      </c>
      <c r="L205" s="36">
        <f t="shared" si="101"/>
        <v>0</v>
      </c>
      <c r="M205" s="36">
        <f t="shared" si="102"/>
        <v>0</v>
      </c>
      <c r="N205" s="36">
        <f t="shared" si="102"/>
        <v>0</v>
      </c>
      <c r="O205" s="36">
        <f t="shared" si="102"/>
        <v>0</v>
      </c>
      <c r="P205" s="36">
        <f t="shared" si="102"/>
        <v>0</v>
      </c>
      <c r="Q205" s="36">
        <f t="shared" si="102"/>
        <v>0</v>
      </c>
      <c r="R205" s="36">
        <f t="shared" si="102"/>
        <v>0</v>
      </c>
      <c r="S205" s="36">
        <f t="shared" si="102"/>
        <v>0</v>
      </c>
      <c r="T205" s="36">
        <f t="shared" si="102"/>
        <v>0</v>
      </c>
      <c r="U205" s="36">
        <f t="shared" si="102"/>
        <v>0</v>
      </c>
      <c r="V205" s="36">
        <f t="shared" si="102"/>
        <v>0</v>
      </c>
      <c r="W205" s="36">
        <f t="shared" si="103"/>
        <v>0</v>
      </c>
      <c r="X205" s="36">
        <f t="shared" si="103"/>
        <v>0</v>
      </c>
      <c r="Y205" s="36">
        <f t="shared" si="103"/>
        <v>0</v>
      </c>
      <c r="Z205" s="36">
        <f t="shared" si="103"/>
        <v>0</v>
      </c>
      <c r="AA205" s="36">
        <f t="shared" si="103"/>
        <v>0</v>
      </c>
      <c r="AB205" s="36">
        <f t="shared" si="103"/>
        <v>0</v>
      </c>
      <c r="AC205" s="36">
        <f t="shared" si="103"/>
        <v>0</v>
      </c>
      <c r="AD205" s="36">
        <f t="shared" si="103"/>
        <v>0</v>
      </c>
      <c r="AE205" s="36">
        <f t="shared" si="103"/>
        <v>0</v>
      </c>
      <c r="AF205" s="36">
        <f t="shared" si="103"/>
        <v>0</v>
      </c>
      <c r="AG205" s="36">
        <f t="shared" si="104"/>
        <v>0</v>
      </c>
      <c r="AH205" s="36">
        <f t="shared" si="104"/>
        <v>0</v>
      </c>
      <c r="AI205" s="36">
        <f t="shared" si="104"/>
        <v>0</v>
      </c>
      <c r="AJ205" s="36">
        <f t="shared" si="104"/>
        <v>0</v>
      </c>
      <c r="AK205" s="36">
        <f t="shared" si="104"/>
        <v>0</v>
      </c>
      <c r="AL205" s="36">
        <f t="shared" si="104"/>
        <v>0</v>
      </c>
      <c r="AM205" s="36">
        <f t="shared" si="104"/>
        <v>0</v>
      </c>
      <c r="AN205" s="36">
        <f t="shared" si="104"/>
        <v>0</v>
      </c>
      <c r="AO205" s="36">
        <f t="shared" si="104"/>
        <v>0</v>
      </c>
      <c r="AP205" s="36">
        <f t="shared" si="104"/>
        <v>0</v>
      </c>
      <c r="AQ205" s="36">
        <f t="shared" si="105"/>
        <v>0</v>
      </c>
      <c r="AR205" s="36">
        <f t="shared" si="105"/>
        <v>0</v>
      </c>
      <c r="AS205" s="36">
        <f t="shared" si="105"/>
        <v>0</v>
      </c>
      <c r="AT205" s="36">
        <f t="shared" si="105"/>
        <v>0</v>
      </c>
      <c r="AU205" s="36">
        <f t="shared" si="105"/>
        <v>0</v>
      </c>
      <c r="AV205" s="36">
        <f t="shared" si="105"/>
        <v>0</v>
      </c>
      <c r="AW205" s="36">
        <f t="shared" si="105"/>
        <v>0</v>
      </c>
      <c r="AX205" s="36">
        <f t="shared" si="105"/>
        <v>0</v>
      </c>
      <c r="AY205" s="36">
        <f t="shared" si="105"/>
        <v>0</v>
      </c>
      <c r="AZ205" s="36">
        <f t="shared" si="105"/>
        <v>0</v>
      </c>
      <c r="BA205" s="36">
        <f t="shared" si="106"/>
        <v>0</v>
      </c>
      <c r="BB205" s="36">
        <f t="shared" si="106"/>
        <v>0</v>
      </c>
      <c r="BC205" s="36">
        <f t="shared" si="106"/>
        <v>0</v>
      </c>
      <c r="BD205" s="36">
        <f t="shared" si="106"/>
        <v>0</v>
      </c>
      <c r="BE205" s="36">
        <f t="shared" si="106"/>
        <v>0</v>
      </c>
      <c r="BF205" s="36">
        <f t="shared" si="106"/>
        <v>0</v>
      </c>
      <c r="BG205" s="36">
        <f t="shared" si="106"/>
        <v>0</v>
      </c>
      <c r="BH205" s="36">
        <f t="shared" si="106"/>
        <v>0</v>
      </c>
      <c r="BI205" s="36">
        <f t="shared" si="106"/>
        <v>0</v>
      </c>
      <c r="BJ205" s="36">
        <f t="shared" si="106"/>
        <v>0</v>
      </c>
      <c r="BK205" s="36">
        <f t="shared" si="107"/>
        <v>0</v>
      </c>
      <c r="BL205" s="36">
        <f t="shared" si="107"/>
        <v>0</v>
      </c>
      <c r="BM205" s="36">
        <f t="shared" si="107"/>
        <v>0</v>
      </c>
      <c r="BN205" s="36">
        <f t="shared" si="107"/>
        <v>0</v>
      </c>
      <c r="BO205" s="36">
        <f t="shared" si="107"/>
        <v>0</v>
      </c>
      <c r="BP205" s="36">
        <f t="shared" si="107"/>
        <v>0</v>
      </c>
      <c r="BQ205" s="36">
        <f t="shared" si="107"/>
        <v>0</v>
      </c>
      <c r="BR205" s="36">
        <f t="shared" si="107"/>
        <v>0</v>
      </c>
      <c r="BS205" s="36">
        <f t="shared" si="107"/>
        <v>0</v>
      </c>
      <c r="BT205" s="36">
        <f t="shared" si="107"/>
        <v>0</v>
      </c>
      <c r="BU205" s="36">
        <f t="shared" si="107"/>
        <v>0</v>
      </c>
      <c r="BV205" s="36">
        <f t="shared" si="107"/>
        <v>0</v>
      </c>
      <c r="BW205" s="36">
        <f t="shared" si="107"/>
        <v>0</v>
      </c>
      <c r="BX205" s="36">
        <f t="shared" si="107"/>
        <v>0</v>
      </c>
      <c r="BZ205" s="8">
        <f t="shared" si="108"/>
        <v>0</v>
      </c>
      <c r="CA205" s="8">
        <f t="shared" si="109"/>
        <v>0</v>
      </c>
      <c r="CC205" s="8">
        <f t="shared" si="110"/>
        <v>0</v>
      </c>
      <c r="CD205" s="8">
        <f t="shared" si="110"/>
        <v>0</v>
      </c>
      <c r="CE205" s="8">
        <f t="shared" si="110"/>
        <v>0</v>
      </c>
      <c r="CF205" s="8">
        <f t="shared" si="110"/>
        <v>0</v>
      </c>
      <c r="CG205" s="8">
        <f t="shared" si="110"/>
        <v>0</v>
      </c>
      <c r="CH205" s="8">
        <f t="shared" si="110"/>
        <v>0</v>
      </c>
      <c r="CI205" s="8">
        <f t="shared" si="110"/>
        <v>0</v>
      </c>
      <c r="CJ205" s="8">
        <f t="shared" si="110"/>
        <v>0</v>
      </c>
    </row>
    <row r="206" spans="1:88" x14ac:dyDescent="0.3">
      <c r="A206" s="25" t="s">
        <v>159</v>
      </c>
      <c r="B206" s="10"/>
      <c r="C206" s="36">
        <f t="shared" si="101"/>
        <v>2267</v>
      </c>
      <c r="D206" s="36">
        <f t="shared" si="101"/>
        <v>5535</v>
      </c>
      <c r="E206" s="36">
        <f t="shared" si="101"/>
        <v>283.33999999999997</v>
      </c>
      <c r="F206" s="36">
        <f t="shared" si="101"/>
        <v>283.33999999999997</v>
      </c>
      <c r="G206" s="36">
        <f t="shared" si="101"/>
        <v>283.33999999999997</v>
      </c>
      <c r="H206" s="36">
        <f t="shared" si="101"/>
        <v>283.33999999999997</v>
      </c>
      <c r="I206" s="36">
        <f t="shared" si="101"/>
        <v>283.33999999999997</v>
      </c>
      <c r="J206" s="36">
        <f t="shared" si="101"/>
        <v>283.33999999999997</v>
      </c>
      <c r="K206" s="36">
        <f t="shared" si="101"/>
        <v>283.33999999999997</v>
      </c>
      <c r="L206" s="36">
        <f t="shared" si="101"/>
        <v>283.34000000000003</v>
      </c>
      <c r="M206" s="36">
        <f t="shared" si="102"/>
        <v>9317.0300000000007</v>
      </c>
      <c r="N206" s="36">
        <f t="shared" si="102"/>
        <v>2643.08</v>
      </c>
      <c r="O206" s="36">
        <f t="shared" si="102"/>
        <v>2728.06</v>
      </c>
      <c r="P206" s="36">
        <f t="shared" si="102"/>
        <v>129454.54000000001</v>
      </c>
      <c r="Q206" s="36">
        <f t="shared" si="102"/>
        <v>23791.88</v>
      </c>
      <c r="R206" s="36">
        <f t="shared" si="102"/>
        <v>23847.31</v>
      </c>
      <c r="S206" s="36">
        <f t="shared" si="102"/>
        <v>23847.31</v>
      </c>
      <c r="T206" s="36">
        <f t="shared" si="102"/>
        <v>23847.31</v>
      </c>
      <c r="U206" s="36">
        <f t="shared" si="102"/>
        <v>23847.31</v>
      </c>
      <c r="V206" s="36">
        <f t="shared" si="102"/>
        <v>23847.31</v>
      </c>
      <c r="W206" s="36">
        <f t="shared" si="103"/>
        <v>23847.31</v>
      </c>
      <c r="X206" s="36">
        <f t="shared" si="103"/>
        <v>23847.31</v>
      </c>
      <c r="Y206" s="36">
        <f t="shared" si="103"/>
        <v>23847.31</v>
      </c>
      <c r="Z206" s="36">
        <f t="shared" si="103"/>
        <v>23957.93</v>
      </c>
      <c r="AA206" s="36">
        <f t="shared" si="103"/>
        <v>21831.32</v>
      </c>
      <c r="AB206" s="36">
        <f t="shared" si="103"/>
        <v>23847.31</v>
      </c>
      <c r="AC206" s="36">
        <f t="shared" si="103"/>
        <v>25452.287142857149</v>
      </c>
      <c r="AD206" s="36">
        <f t="shared" si="103"/>
        <v>25452.287142857149</v>
      </c>
      <c r="AE206" s="36">
        <f t="shared" si="103"/>
        <v>25461.810952380962</v>
      </c>
      <c r="AF206" s="36">
        <f t="shared" si="103"/>
        <v>25471.334761904767</v>
      </c>
      <c r="AG206" s="36">
        <f t="shared" si="104"/>
        <v>25509.430000000008</v>
      </c>
      <c r="AH206" s="36">
        <f t="shared" si="104"/>
        <v>27434.505926424648</v>
      </c>
      <c r="AI206" s="36">
        <f t="shared" si="104"/>
        <v>29359.581852849293</v>
      </c>
      <c r="AJ206" s="36">
        <f t="shared" si="104"/>
        <v>31284.657779273937</v>
      </c>
      <c r="AK206" s="36">
        <f t="shared" si="104"/>
        <v>33209.733705698571</v>
      </c>
      <c r="AL206" s="36">
        <f t="shared" si="104"/>
        <v>35134.809632123215</v>
      </c>
      <c r="AM206" s="36">
        <f t="shared" si="104"/>
        <v>37059.88555854786</v>
      </c>
      <c r="AN206" s="36">
        <f t="shared" si="104"/>
        <v>38984.961484972504</v>
      </c>
      <c r="AO206" s="36">
        <f t="shared" si="104"/>
        <v>40908.269365713495</v>
      </c>
      <c r="AP206" s="36">
        <f t="shared" si="104"/>
        <v>42831.577246454501</v>
      </c>
      <c r="AQ206" s="36">
        <f t="shared" si="105"/>
        <v>44754.885127195506</v>
      </c>
      <c r="AR206" s="36">
        <f t="shared" si="105"/>
        <v>46678.193007936505</v>
      </c>
      <c r="AS206" s="36">
        <f t="shared" si="105"/>
        <v>46698.034277777777</v>
      </c>
      <c r="AT206" s="36">
        <f t="shared" si="105"/>
        <v>46717.875547619042</v>
      </c>
      <c r="AU206" s="36">
        <f t="shared" si="105"/>
        <v>46737.716817460314</v>
      </c>
      <c r="AV206" s="36">
        <f t="shared" si="105"/>
        <v>46757.558087301572</v>
      </c>
      <c r="AW206" s="36">
        <f t="shared" si="105"/>
        <v>46777.399357142836</v>
      </c>
      <c r="AX206" s="36">
        <f t="shared" si="105"/>
        <v>46797.240626984109</v>
      </c>
      <c r="AY206" s="36">
        <f t="shared" si="105"/>
        <v>46817.081896825373</v>
      </c>
      <c r="AZ206" s="36">
        <f t="shared" si="105"/>
        <v>46836.923166666646</v>
      </c>
      <c r="BA206" s="36">
        <f t="shared" si="106"/>
        <v>46856.764436507903</v>
      </c>
      <c r="BB206" s="36">
        <f t="shared" si="106"/>
        <v>46876.605706349175</v>
      </c>
      <c r="BC206" s="36">
        <f t="shared" si="106"/>
        <v>46896.44697619044</v>
      </c>
      <c r="BD206" s="36">
        <f t="shared" si="106"/>
        <v>46916.288246031712</v>
      </c>
      <c r="BE206" s="36">
        <f t="shared" si="106"/>
        <v>46936.129515872977</v>
      </c>
      <c r="BF206" s="36">
        <f t="shared" si="106"/>
        <v>46955.970785714249</v>
      </c>
      <c r="BG206" s="36">
        <f t="shared" si="106"/>
        <v>46975.812055555507</v>
      </c>
      <c r="BH206" s="36">
        <f t="shared" si="106"/>
        <v>46995.653325396772</v>
      </c>
      <c r="BI206" s="36">
        <f t="shared" si="106"/>
        <v>47015.494595238044</v>
      </c>
      <c r="BJ206" s="36">
        <f t="shared" si="106"/>
        <v>47035.335865079309</v>
      </c>
      <c r="BK206" s="36">
        <f t="shared" si="107"/>
        <v>47055.177134920581</v>
      </c>
      <c r="BL206" s="36">
        <f t="shared" si="107"/>
        <v>47075.018404761839</v>
      </c>
      <c r="BM206" s="36">
        <f t="shared" si="107"/>
        <v>47094.859674603111</v>
      </c>
      <c r="BN206" s="36">
        <f t="shared" si="107"/>
        <v>47114.700944444376</v>
      </c>
      <c r="BO206" s="36">
        <f t="shared" si="107"/>
        <v>47134.542214285648</v>
      </c>
      <c r="BP206" s="36">
        <f t="shared" si="107"/>
        <v>47154.383484126913</v>
      </c>
      <c r="BQ206" s="36">
        <f t="shared" si="107"/>
        <v>47174.224753968185</v>
      </c>
      <c r="BR206" s="36">
        <f t="shared" si="107"/>
        <v>47194.066023809442</v>
      </c>
      <c r="BS206" s="36">
        <f t="shared" si="107"/>
        <v>47213.907293650715</v>
      </c>
      <c r="BT206" s="36">
        <f t="shared" si="107"/>
        <v>47233.748563491979</v>
      </c>
      <c r="BU206" s="36">
        <f t="shared" si="107"/>
        <v>47253.589833333244</v>
      </c>
      <c r="BV206" s="36">
        <f t="shared" si="107"/>
        <v>47273.431103174516</v>
      </c>
      <c r="BW206" s="36">
        <f t="shared" si="107"/>
        <v>47293.272373015774</v>
      </c>
      <c r="BX206" s="36">
        <f t="shared" si="107"/>
        <v>47313.113642857046</v>
      </c>
      <c r="BZ206" s="8">
        <f t="shared" si="108"/>
        <v>21831.32</v>
      </c>
      <c r="CA206" s="8">
        <f t="shared" si="109"/>
        <v>260359.61</v>
      </c>
      <c r="CC206" s="8">
        <f t="shared" si="110"/>
        <v>2267</v>
      </c>
      <c r="CD206" s="8">
        <f t="shared" si="110"/>
        <v>5535</v>
      </c>
      <c r="CE206" s="8">
        <f t="shared" si="110"/>
        <v>146409.43</v>
      </c>
      <c r="CF206" s="8">
        <f t="shared" si="110"/>
        <v>284206.92</v>
      </c>
      <c r="CG206" s="8">
        <f t="shared" si="110"/>
        <v>359815.28593989002</v>
      </c>
      <c r="CH206" s="8">
        <f t="shared" si="110"/>
        <v>549312.75452507765</v>
      </c>
      <c r="CI206" s="8">
        <f t="shared" si="110"/>
        <v>563590.69704761845</v>
      </c>
      <c r="CJ206" s="8">
        <f t="shared" si="110"/>
        <v>566447.83990476094</v>
      </c>
    </row>
    <row r="207" spans="1:88" x14ac:dyDescent="0.3">
      <c r="A207" s="25" t="s">
        <v>346</v>
      </c>
      <c r="B207" s="10"/>
      <c r="C207" s="36">
        <f t="shared" si="101"/>
        <v>0</v>
      </c>
      <c r="D207" s="36">
        <f t="shared" si="101"/>
        <v>0</v>
      </c>
      <c r="E207" s="36">
        <f t="shared" si="101"/>
        <v>0</v>
      </c>
      <c r="F207" s="36">
        <f t="shared" si="101"/>
        <v>0</v>
      </c>
      <c r="G207" s="36">
        <f t="shared" si="101"/>
        <v>0</v>
      </c>
      <c r="H207" s="36">
        <f t="shared" si="101"/>
        <v>0</v>
      </c>
      <c r="I207" s="36">
        <f t="shared" si="101"/>
        <v>0</v>
      </c>
      <c r="J207" s="36">
        <f t="shared" si="101"/>
        <v>0</v>
      </c>
      <c r="K207" s="36">
        <f t="shared" si="101"/>
        <v>0</v>
      </c>
      <c r="L207" s="36">
        <f t="shared" si="101"/>
        <v>0</v>
      </c>
      <c r="M207" s="36">
        <f t="shared" si="102"/>
        <v>0</v>
      </c>
      <c r="N207" s="36">
        <f t="shared" si="102"/>
        <v>0</v>
      </c>
      <c r="O207" s="36">
        <f t="shared" si="102"/>
        <v>0</v>
      </c>
      <c r="P207" s="36">
        <f t="shared" si="102"/>
        <v>267350</v>
      </c>
      <c r="Q207" s="36">
        <f t="shared" si="102"/>
        <v>53924.19</v>
      </c>
      <c r="R207" s="36">
        <f t="shared" si="102"/>
        <v>54078.66</v>
      </c>
      <c r="S207" s="36">
        <f t="shared" si="102"/>
        <v>54234.44</v>
      </c>
      <c r="T207" s="36">
        <f t="shared" si="102"/>
        <v>54391.57</v>
      </c>
      <c r="U207" s="36">
        <f t="shared" si="102"/>
        <v>54550.04</v>
      </c>
      <c r="V207" s="36">
        <f t="shared" si="102"/>
        <v>54709.88</v>
      </c>
      <c r="W207" s="36">
        <f t="shared" si="103"/>
        <v>54871.08</v>
      </c>
      <c r="X207" s="36">
        <f t="shared" si="103"/>
        <v>54989.11</v>
      </c>
      <c r="Y207" s="36">
        <f t="shared" si="103"/>
        <v>55108.15</v>
      </c>
      <c r="Z207" s="36">
        <f t="shared" si="103"/>
        <v>55228.22</v>
      </c>
      <c r="AA207" s="36">
        <f t="shared" si="103"/>
        <v>55349.31</v>
      </c>
      <c r="AB207" s="36">
        <f t="shared" si="103"/>
        <v>55471.45</v>
      </c>
      <c r="AC207" s="36">
        <f t="shared" si="103"/>
        <v>50687.869999999995</v>
      </c>
      <c r="AD207" s="36">
        <f t="shared" si="103"/>
        <v>50687.869999999995</v>
      </c>
      <c r="AE207" s="36">
        <f t="shared" si="103"/>
        <v>50687.869999999995</v>
      </c>
      <c r="AF207" s="36">
        <f t="shared" si="103"/>
        <v>50687.869999999995</v>
      </c>
      <c r="AG207" s="36">
        <f t="shared" si="104"/>
        <v>50687.869999999995</v>
      </c>
      <c r="AH207" s="36">
        <f t="shared" si="104"/>
        <v>50687.869999999995</v>
      </c>
      <c r="AI207" s="36">
        <f t="shared" si="104"/>
        <v>50687.869999999995</v>
      </c>
      <c r="AJ207" s="36">
        <f t="shared" si="104"/>
        <v>50687.869999999995</v>
      </c>
      <c r="AK207" s="36">
        <f t="shared" si="104"/>
        <v>50687.869999999995</v>
      </c>
      <c r="AL207" s="36">
        <f t="shared" si="104"/>
        <v>50687.869999999995</v>
      </c>
      <c r="AM207" s="36">
        <f t="shared" si="104"/>
        <v>50687.869999999995</v>
      </c>
      <c r="AN207" s="36">
        <f t="shared" si="104"/>
        <v>50687.869999999995</v>
      </c>
      <c r="AO207" s="36">
        <f t="shared" si="104"/>
        <v>83354.672500000001</v>
      </c>
      <c r="AP207" s="36">
        <f t="shared" si="104"/>
        <v>83354.672500000001</v>
      </c>
      <c r="AQ207" s="36">
        <f t="shared" si="105"/>
        <v>83354.672500000001</v>
      </c>
      <c r="AR207" s="36">
        <f t="shared" si="105"/>
        <v>83354.672500000001</v>
      </c>
      <c r="AS207" s="36">
        <f t="shared" si="105"/>
        <v>83354.672500000001</v>
      </c>
      <c r="AT207" s="36">
        <f t="shared" si="105"/>
        <v>83354.672500000001</v>
      </c>
      <c r="AU207" s="36">
        <f t="shared" si="105"/>
        <v>83354.672500000001</v>
      </c>
      <c r="AV207" s="36">
        <f t="shared" si="105"/>
        <v>83354.672500000001</v>
      </c>
      <c r="AW207" s="36">
        <f t="shared" si="105"/>
        <v>83354.672500000001</v>
      </c>
      <c r="AX207" s="36">
        <f t="shared" si="105"/>
        <v>83354.672500000001</v>
      </c>
      <c r="AY207" s="36">
        <f t="shared" si="105"/>
        <v>83354.672500000001</v>
      </c>
      <c r="AZ207" s="36">
        <f t="shared" si="105"/>
        <v>83354.672500000001</v>
      </c>
      <c r="BA207" s="36">
        <f t="shared" si="106"/>
        <v>109145.83333333333</v>
      </c>
      <c r="BB207" s="36">
        <f t="shared" si="106"/>
        <v>109145.83333333333</v>
      </c>
      <c r="BC207" s="36">
        <f t="shared" si="106"/>
        <v>109145.83333333333</v>
      </c>
      <c r="BD207" s="36">
        <f t="shared" si="106"/>
        <v>109145.83333333333</v>
      </c>
      <c r="BE207" s="36">
        <f t="shared" si="106"/>
        <v>109145.83333333333</v>
      </c>
      <c r="BF207" s="36">
        <f t="shared" si="106"/>
        <v>109145.83333333333</v>
      </c>
      <c r="BG207" s="36">
        <f t="shared" si="106"/>
        <v>109145.83333333333</v>
      </c>
      <c r="BH207" s="36">
        <f t="shared" si="106"/>
        <v>109145.83333333333</v>
      </c>
      <c r="BI207" s="36">
        <f t="shared" si="106"/>
        <v>109145.83333333333</v>
      </c>
      <c r="BJ207" s="36">
        <f t="shared" si="106"/>
        <v>109145.83333333333</v>
      </c>
      <c r="BK207" s="36">
        <f t="shared" si="107"/>
        <v>109145.83333333333</v>
      </c>
      <c r="BL207" s="36">
        <f t="shared" si="107"/>
        <v>109145.83333333333</v>
      </c>
      <c r="BM207" s="36">
        <f t="shared" si="107"/>
        <v>108414.58333333333</v>
      </c>
      <c r="BN207" s="36">
        <f t="shared" si="107"/>
        <v>108414.58333333333</v>
      </c>
      <c r="BO207" s="36">
        <f t="shared" si="107"/>
        <v>108414.58333333333</v>
      </c>
      <c r="BP207" s="36">
        <f t="shared" si="107"/>
        <v>108414.58333333333</v>
      </c>
      <c r="BQ207" s="36">
        <f t="shared" si="107"/>
        <v>108414.58333333333</v>
      </c>
      <c r="BR207" s="36">
        <f t="shared" si="107"/>
        <v>108414.58333333333</v>
      </c>
      <c r="BS207" s="36">
        <f t="shared" si="107"/>
        <v>108414.58333333333</v>
      </c>
      <c r="BT207" s="36">
        <f t="shared" si="107"/>
        <v>108414.58333333333</v>
      </c>
      <c r="BU207" s="36">
        <f t="shared" si="107"/>
        <v>108414.58333333333</v>
      </c>
      <c r="BV207" s="36">
        <f t="shared" si="107"/>
        <v>108414.58333333333</v>
      </c>
      <c r="BW207" s="36">
        <f t="shared" si="107"/>
        <v>108414.58333333333</v>
      </c>
      <c r="BX207" s="36">
        <f t="shared" si="107"/>
        <v>108414.58333333333</v>
      </c>
      <c r="BZ207" s="8">
        <f t="shared" si="108"/>
        <v>55349.31</v>
      </c>
      <c r="CA207" s="8">
        <f t="shared" si="109"/>
        <v>601434.65000000014</v>
      </c>
      <c r="CC207" s="8">
        <f t="shared" si="110"/>
        <v>0</v>
      </c>
      <c r="CD207" s="8">
        <f t="shared" si="110"/>
        <v>0</v>
      </c>
      <c r="CE207" s="8">
        <f t="shared" si="110"/>
        <v>267350</v>
      </c>
      <c r="CF207" s="8">
        <f t="shared" si="110"/>
        <v>656906.10000000009</v>
      </c>
      <c r="CG207" s="8">
        <f t="shared" si="110"/>
        <v>608254.43999999994</v>
      </c>
      <c r="CH207" s="8">
        <f t="shared" si="110"/>
        <v>1000256.07</v>
      </c>
      <c r="CI207" s="8">
        <f t="shared" si="110"/>
        <v>1309750</v>
      </c>
      <c r="CJ207" s="8">
        <f t="shared" si="110"/>
        <v>1300975</v>
      </c>
    </row>
    <row r="208" spans="1:88" x14ac:dyDescent="0.3">
      <c r="A208" s="25" t="s">
        <v>146</v>
      </c>
      <c r="B208" s="10"/>
      <c r="C208" s="36">
        <f t="shared" si="101"/>
        <v>41</v>
      </c>
      <c r="D208" s="36">
        <f t="shared" si="101"/>
        <v>10221.060000000001</v>
      </c>
      <c r="E208" s="36">
        <f t="shared" si="101"/>
        <v>283.16000000000003</v>
      </c>
      <c r="F208" s="36">
        <f t="shared" si="101"/>
        <v>25</v>
      </c>
      <c r="G208" s="36">
        <f t="shared" si="101"/>
        <v>1610.77</v>
      </c>
      <c r="H208" s="36">
        <f t="shared" si="101"/>
        <v>513.75</v>
      </c>
      <c r="I208" s="36">
        <f t="shared" si="101"/>
        <v>381.97</v>
      </c>
      <c r="J208" s="36">
        <f t="shared" si="101"/>
        <v>0</v>
      </c>
      <c r="K208" s="36">
        <f t="shared" si="101"/>
        <v>2119.59</v>
      </c>
      <c r="L208" s="36">
        <f t="shared" si="101"/>
        <v>1007.4999999999995</v>
      </c>
      <c r="M208" s="36">
        <f t="shared" si="102"/>
        <v>3942.67</v>
      </c>
      <c r="N208" s="36">
        <f t="shared" si="102"/>
        <v>25</v>
      </c>
      <c r="O208" s="36">
        <f t="shared" si="102"/>
        <v>1310</v>
      </c>
      <c r="P208" s="36">
        <f t="shared" si="102"/>
        <v>50676.61</v>
      </c>
      <c r="Q208" s="36">
        <f t="shared" si="102"/>
        <v>1521.35</v>
      </c>
      <c r="R208" s="36">
        <f t="shared" si="102"/>
        <v>925</v>
      </c>
      <c r="S208" s="36">
        <f t="shared" si="102"/>
        <v>1334.79</v>
      </c>
      <c r="T208" s="36">
        <f t="shared" si="102"/>
        <v>1017.28</v>
      </c>
      <c r="U208" s="36">
        <f t="shared" si="102"/>
        <v>1070.77</v>
      </c>
      <c r="V208" s="36">
        <f t="shared" si="102"/>
        <v>592.9</v>
      </c>
      <c r="W208" s="36">
        <f t="shared" si="103"/>
        <v>7006.08</v>
      </c>
      <c r="X208" s="36">
        <f t="shared" si="103"/>
        <v>1068.6600000000001</v>
      </c>
      <c r="Y208" s="36">
        <f t="shared" si="103"/>
        <v>1941.17</v>
      </c>
      <c r="Z208" s="36">
        <f t="shared" si="103"/>
        <v>1477.56</v>
      </c>
      <c r="AA208" s="36">
        <f t="shared" si="103"/>
        <v>3713.83</v>
      </c>
      <c r="AB208" s="36">
        <f t="shared" si="103"/>
        <v>1102.7283</v>
      </c>
      <c r="AC208" s="36">
        <f t="shared" si="103"/>
        <v>1566.9904999999999</v>
      </c>
      <c r="AD208" s="36">
        <f t="shared" si="103"/>
        <v>952.75</v>
      </c>
      <c r="AE208" s="36">
        <f t="shared" si="103"/>
        <v>1374.8337000000001</v>
      </c>
      <c r="AF208" s="36">
        <f t="shared" si="103"/>
        <v>1047.7984000000001</v>
      </c>
      <c r="AG208" s="36">
        <f t="shared" si="104"/>
        <v>1102.8931</v>
      </c>
      <c r="AH208" s="36">
        <f t="shared" si="104"/>
        <v>610.68700000000001</v>
      </c>
      <c r="AI208" s="36">
        <f t="shared" si="104"/>
        <v>7216.2624000000005</v>
      </c>
      <c r="AJ208" s="36">
        <f t="shared" si="104"/>
        <v>1100.7197999999999</v>
      </c>
      <c r="AK208" s="36">
        <f t="shared" si="104"/>
        <v>1999.4050999999999</v>
      </c>
      <c r="AL208" s="36">
        <f t="shared" si="104"/>
        <v>1521.8868000000002</v>
      </c>
      <c r="AM208" s="36">
        <f t="shared" si="104"/>
        <v>3825.2448999999997</v>
      </c>
      <c r="AN208" s="36">
        <f t="shared" si="104"/>
        <v>1135.8101489999999</v>
      </c>
      <c r="AO208" s="36">
        <f t="shared" si="104"/>
        <v>1614.000215</v>
      </c>
      <c r="AP208" s="36">
        <f t="shared" si="104"/>
        <v>981.33250000000021</v>
      </c>
      <c r="AQ208" s="36">
        <f t="shared" si="105"/>
        <v>1416.0787110000001</v>
      </c>
      <c r="AR208" s="36">
        <f t="shared" si="105"/>
        <v>1079.2323520000002</v>
      </c>
      <c r="AS208" s="36">
        <f t="shared" si="105"/>
        <v>1135.9798929999999</v>
      </c>
      <c r="AT208" s="36">
        <f t="shared" si="105"/>
        <v>629.00761000000011</v>
      </c>
      <c r="AU208" s="36">
        <f t="shared" si="105"/>
        <v>7432.7502720000002</v>
      </c>
      <c r="AV208" s="36">
        <f t="shared" si="105"/>
        <v>1133.7413940000001</v>
      </c>
      <c r="AW208" s="36">
        <f t="shared" si="105"/>
        <v>2059.3872529999999</v>
      </c>
      <c r="AX208" s="36">
        <f t="shared" si="105"/>
        <v>1567.543404</v>
      </c>
      <c r="AY208" s="36">
        <f t="shared" si="105"/>
        <v>3940.0022470000004</v>
      </c>
      <c r="AZ208" s="36">
        <f t="shared" si="105"/>
        <v>1169.8844534699999</v>
      </c>
      <c r="BA208" s="36">
        <f t="shared" si="106"/>
        <v>1662.4202214500001</v>
      </c>
      <c r="BB208" s="36">
        <f t="shared" si="106"/>
        <v>1010.7724750000002</v>
      </c>
      <c r="BC208" s="36">
        <f t="shared" si="106"/>
        <v>1458.5610723300003</v>
      </c>
      <c r="BD208" s="36">
        <f t="shared" si="106"/>
        <v>1111.6093225600002</v>
      </c>
      <c r="BE208" s="36">
        <f t="shared" si="106"/>
        <v>1170.0592897900001</v>
      </c>
      <c r="BF208" s="36">
        <f t="shared" si="106"/>
        <v>647.87783830000001</v>
      </c>
      <c r="BG208" s="36">
        <f t="shared" si="106"/>
        <v>7655.7327801600013</v>
      </c>
      <c r="BH208" s="36">
        <f t="shared" si="106"/>
        <v>1167.75363582</v>
      </c>
      <c r="BI208" s="36">
        <f t="shared" si="106"/>
        <v>2121.1688705900001</v>
      </c>
      <c r="BJ208" s="36">
        <f t="shared" si="106"/>
        <v>1614.5697061200003</v>
      </c>
      <c r="BK208" s="36">
        <f t="shared" si="107"/>
        <v>4058.2023144100003</v>
      </c>
      <c r="BL208" s="36">
        <f t="shared" si="107"/>
        <v>1204.9809870741001</v>
      </c>
      <c r="BM208" s="36">
        <f t="shared" si="107"/>
        <v>1712.2928280935002</v>
      </c>
      <c r="BN208" s="36">
        <f t="shared" si="107"/>
        <v>1041.0956492500002</v>
      </c>
      <c r="BO208" s="36">
        <f t="shared" si="107"/>
        <v>1502.3179044999004</v>
      </c>
      <c r="BP208" s="36">
        <f t="shared" si="107"/>
        <v>1144.9576022368001</v>
      </c>
      <c r="BQ208" s="36">
        <f t="shared" si="107"/>
        <v>1205.1610684837003</v>
      </c>
      <c r="BR208" s="36">
        <f t="shared" si="107"/>
        <v>667.31417344900012</v>
      </c>
      <c r="BS208" s="36">
        <f t="shared" si="107"/>
        <v>7885.4047635648012</v>
      </c>
      <c r="BT208" s="36">
        <f t="shared" si="107"/>
        <v>1202.7862448946</v>
      </c>
      <c r="BU208" s="36">
        <f t="shared" si="107"/>
        <v>2184.8039367077004</v>
      </c>
      <c r="BV208" s="36">
        <f t="shared" si="107"/>
        <v>1663.0067973036</v>
      </c>
      <c r="BW208" s="36">
        <f t="shared" si="107"/>
        <v>4179.9483838423002</v>
      </c>
      <c r="BX208" s="36">
        <f t="shared" si="107"/>
        <v>1241.1304166863229</v>
      </c>
      <c r="BZ208" s="8">
        <f t="shared" si="108"/>
        <v>3713.83</v>
      </c>
      <c r="CA208" s="8">
        <f t="shared" si="109"/>
        <v>21669.39</v>
      </c>
      <c r="CC208" s="8">
        <f t="shared" si="110"/>
        <v>41</v>
      </c>
      <c r="CD208" s="8">
        <f t="shared" si="110"/>
        <v>10221.060000000001</v>
      </c>
      <c r="CE208" s="8">
        <f t="shared" si="110"/>
        <v>61896.020000000004</v>
      </c>
      <c r="CF208" s="8">
        <f t="shared" si="110"/>
        <v>22772.118299999998</v>
      </c>
      <c r="CG208" s="8">
        <f t="shared" si="110"/>
        <v>23455.281849000003</v>
      </c>
      <c r="CH208" s="8">
        <f t="shared" si="110"/>
        <v>24158.940304470001</v>
      </c>
      <c r="CI208" s="8">
        <f t="shared" si="110"/>
        <v>24883.708513604106</v>
      </c>
      <c r="CJ208" s="8">
        <f t="shared" si="110"/>
        <v>25630.219769012223</v>
      </c>
    </row>
    <row r="209" spans="1:88" ht="3" customHeight="1" x14ac:dyDescent="0.3">
      <c r="B209" s="10"/>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Z209" s="7"/>
      <c r="CA209" s="7"/>
      <c r="CC209" s="7"/>
      <c r="CD209" s="7"/>
      <c r="CE209" s="7"/>
      <c r="CF209" s="7"/>
      <c r="CG209" s="7"/>
      <c r="CH209" s="7"/>
      <c r="CI209" s="7"/>
      <c r="CJ209" s="7"/>
    </row>
    <row r="210" spans="1:88" x14ac:dyDescent="0.3">
      <c r="A210" s="1" t="s">
        <v>116</v>
      </c>
      <c r="B210" s="10"/>
      <c r="C210" s="8">
        <f t="shared" ref="C210:AH210" si="111">SUM(C194:C209)</f>
        <v>3222654.27</v>
      </c>
      <c r="D210" s="8">
        <f t="shared" si="111"/>
        <v>3165168.94</v>
      </c>
      <c r="E210" s="8">
        <f t="shared" si="111"/>
        <v>-76817.030000000042</v>
      </c>
      <c r="F210" s="8">
        <f t="shared" si="111"/>
        <v>228899.32</v>
      </c>
      <c r="G210" s="8">
        <f t="shared" si="111"/>
        <v>338646.10000000003</v>
      </c>
      <c r="H210" s="8">
        <f t="shared" si="111"/>
        <v>300893.71000000002</v>
      </c>
      <c r="I210" s="8">
        <f t="shared" si="111"/>
        <v>280589.95</v>
      </c>
      <c r="J210" s="8">
        <f t="shared" si="111"/>
        <v>220048.30000000002</v>
      </c>
      <c r="K210" s="8">
        <f t="shared" si="111"/>
        <v>271534.17000000004</v>
      </c>
      <c r="L210" s="8">
        <f t="shared" si="111"/>
        <v>294685.82</v>
      </c>
      <c r="M210" s="8">
        <f t="shared" si="111"/>
        <v>300283.64999999997</v>
      </c>
      <c r="N210" s="8">
        <f t="shared" si="111"/>
        <v>309464.17</v>
      </c>
      <c r="O210" s="8">
        <f t="shared" si="111"/>
        <v>287932.95</v>
      </c>
      <c r="P210" s="8">
        <f t="shared" si="111"/>
        <v>671412.18</v>
      </c>
      <c r="Q210" s="8">
        <f t="shared" si="111"/>
        <v>171418.48</v>
      </c>
      <c r="R210" s="8">
        <f t="shared" si="111"/>
        <v>362213.93000000005</v>
      </c>
      <c r="S210" s="8">
        <f t="shared" si="111"/>
        <v>467898.74</v>
      </c>
      <c r="T210" s="8">
        <f t="shared" si="111"/>
        <v>361902.41000000003</v>
      </c>
      <c r="U210" s="8">
        <f t="shared" si="111"/>
        <v>466106.74</v>
      </c>
      <c r="V210" s="8">
        <f t="shared" si="111"/>
        <v>357085.97000000003</v>
      </c>
      <c r="W210" s="8">
        <f t="shared" si="111"/>
        <v>366285.14</v>
      </c>
      <c r="X210" s="8">
        <f t="shared" si="111"/>
        <v>401475.77999999997</v>
      </c>
      <c r="Y210" s="8">
        <f t="shared" si="111"/>
        <v>236663.07</v>
      </c>
      <c r="Z210" s="8">
        <f t="shared" si="111"/>
        <v>409532.46</v>
      </c>
      <c r="AA210" s="8">
        <f t="shared" si="111"/>
        <v>399235.42000000004</v>
      </c>
      <c r="AB210" s="8">
        <f t="shared" si="111"/>
        <v>532799.16358383093</v>
      </c>
      <c r="AC210" s="8">
        <f t="shared" si="111"/>
        <v>126941.35300952381</v>
      </c>
      <c r="AD210" s="8">
        <f t="shared" si="111"/>
        <v>354282.96052993095</v>
      </c>
      <c r="AE210" s="8">
        <f t="shared" si="111"/>
        <v>467736.10684207082</v>
      </c>
      <c r="AF210" s="8">
        <f t="shared" si="111"/>
        <v>365840.80354999198</v>
      </c>
      <c r="AG210" s="8">
        <f t="shared" si="111"/>
        <v>388987.28422421427</v>
      </c>
      <c r="AH210" s="8">
        <f t="shared" si="111"/>
        <v>333992.91056977265</v>
      </c>
      <c r="AI210" s="8">
        <f t="shared" ref="AI210:AZ210" si="112">SUM(AI194:AI209)</f>
        <v>369849.59516938927</v>
      </c>
      <c r="AJ210" s="8">
        <f t="shared" si="112"/>
        <v>345237.13040409947</v>
      </c>
      <c r="AK210" s="8">
        <f t="shared" si="112"/>
        <v>369629.00923052407</v>
      </c>
      <c r="AL210" s="8">
        <f t="shared" si="112"/>
        <v>342850.2573813895</v>
      </c>
      <c r="AM210" s="8">
        <f t="shared" si="112"/>
        <v>360105.77931156312</v>
      </c>
      <c r="AN210" s="8">
        <f t="shared" si="112"/>
        <v>541558.18053755397</v>
      </c>
      <c r="AO210" s="8">
        <f t="shared" si="112"/>
        <v>180983.48014538019</v>
      </c>
      <c r="AP210" s="8">
        <f t="shared" si="112"/>
        <v>434160.62110368093</v>
      </c>
      <c r="AQ210" s="8">
        <f t="shared" si="112"/>
        <v>533553.76428278303</v>
      </c>
      <c r="AR210" s="8">
        <f t="shared" si="112"/>
        <v>450367.73445148632</v>
      </c>
      <c r="AS210" s="8">
        <f t="shared" si="112"/>
        <v>472758.70713711285</v>
      </c>
      <c r="AT210" s="8">
        <f t="shared" si="112"/>
        <v>412393.59211982985</v>
      </c>
      <c r="AU210" s="8">
        <f t="shared" si="112"/>
        <v>449878.00366777607</v>
      </c>
      <c r="AV210" s="8">
        <f t="shared" si="112"/>
        <v>420616.06748860725</v>
      </c>
      <c r="AW210" s="8">
        <f t="shared" si="112"/>
        <v>445697.48890788335</v>
      </c>
      <c r="AX210" s="8">
        <f t="shared" si="112"/>
        <v>413173.51812380221</v>
      </c>
      <c r="AY210" s="8">
        <f t="shared" si="112"/>
        <v>430110.75741488952</v>
      </c>
      <c r="AZ210" s="8">
        <f t="shared" si="112"/>
        <v>628350.01598236803</v>
      </c>
      <c r="BA210" s="8">
        <f t="shared" ref="BA210:BX210" si="113">SUM(BA194:BA209)</f>
        <v>214424.75219789791</v>
      </c>
      <c r="BB210" s="8">
        <f t="shared" si="113"/>
        <v>476937.62733925798</v>
      </c>
      <c r="BC210" s="8">
        <f t="shared" si="113"/>
        <v>576603.32142939151</v>
      </c>
      <c r="BD210" s="8">
        <f t="shared" si="113"/>
        <v>489712.70060139708</v>
      </c>
      <c r="BE210" s="8">
        <f t="shared" si="113"/>
        <v>512777.26064878405</v>
      </c>
      <c r="BF210" s="8">
        <f t="shared" si="113"/>
        <v>450599.58883235906</v>
      </c>
      <c r="BG210" s="8">
        <f t="shared" si="113"/>
        <v>489205.89988028933</v>
      </c>
      <c r="BH210" s="8">
        <f t="shared" si="113"/>
        <v>459065.61475630716</v>
      </c>
      <c r="BI210" s="8">
        <f t="shared" si="113"/>
        <v>484898.88358006615</v>
      </c>
      <c r="BJ210" s="8">
        <f t="shared" si="113"/>
        <v>451399.11133259587</v>
      </c>
      <c r="BK210" s="8">
        <f t="shared" si="113"/>
        <v>468844.18409615621</v>
      </c>
      <c r="BL210" s="8">
        <f t="shared" si="113"/>
        <v>676736.12184732279</v>
      </c>
      <c r="BM210" s="8">
        <f t="shared" si="113"/>
        <v>215684.2620688348</v>
      </c>
      <c r="BN210" s="8">
        <f t="shared" si="113"/>
        <v>486071.73468036932</v>
      </c>
      <c r="BO210" s="8">
        <f t="shared" si="113"/>
        <v>587976.88335098256</v>
      </c>
      <c r="BP210" s="8">
        <f t="shared" si="113"/>
        <v>499229.02334282314</v>
      </c>
      <c r="BQ210" s="8">
        <f t="shared" si="113"/>
        <v>522985.00934285513</v>
      </c>
      <c r="BR210" s="8">
        <f t="shared" si="113"/>
        <v>458941.43214927195</v>
      </c>
      <c r="BS210" s="8">
        <f t="shared" si="113"/>
        <v>498705.31475054013</v>
      </c>
      <c r="BT210" s="8">
        <f t="shared" si="113"/>
        <v>467660.15101956605</v>
      </c>
      <c r="BU210" s="8">
        <f t="shared" si="113"/>
        <v>494267.82266994263</v>
      </c>
      <c r="BV210" s="8">
        <f t="shared" si="113"/>
        <v>459762.48497812555</v>
      </c>
      <c r="BW210" s="8">
        <f t="shared" si="113"/>
        <v>477730.32964271301</v>
      </c>
      <c r="BX210" s="8">
        <f t="shared" si="113"/>
        <v>691858.44823564531</v>
      </c>
      <c r="BZ210" s="8">
        <f>SUM(BZ194:BZ209)</f>
        <v>399235.42000000004</v>
      </c>
      <c r="CA210" s="8">
        <f>SUM(CA194:CA209)</f>
        <v>3999818.14</v>
      </c>
      <c r="CC210" s="8">
        <f t="shared" ref="CC210:CJ211" si="114">SUMIF($C$3:$BY$3,CC$3,$C210:$BY210)</f>
        <v>3222654.27</v>
      </c>
      <c r="CD210" s="8">
        <f t="shared" si="114"/>
        <v>3165168.94</v>
      </c>
      <c r="CE210" s="8">
        <f t="shared" si="114"/>
        <v>3427573.2900000005</v>
      </c>
      <c r="CF210" s="8">
        <f t="shared" si="114"/>
        <v>4532617.3035838306</v>
      </c>
      <c r="CG210" s="8">
        <f t="shared" si="114"/>
        <v>4367011.3707600236</v>
      </c>
      <c r="CH210" s="8">
        <f t="shared" si="114"/>
        <v>5272043.7508255998</v>
      </c>
      <c r="CI210" s="8">
        <f t="shared" si="114"/>
        <v>5751205.0665418254</v>
      </c>
      <c r="CJ210" s="8">
        <f t="shared" si="114"/>
        <v>5860872.896231669</v>
      </c>
    </row>
    <row r="211" spans="1:88" x14ac:dyDescent="0.3">
      <c r="A211" s="20" t="s">
        <v>118</v>
      </c>
      <c r="B211" s="10"/>
      <c r="C211" s="22">
        <f t="shared" ref="C211:AH211" si="115">C193-C210</f>
        <v>-368134.5700000003</v>
      </c>
      <c r="D211" s="22">
        <f t="shared" si="115"/>
        <v>-29425.169999999925</v>
      </c>
      <c r="E211" s="22">
        <f t="shared" si="115"/>
        <v>512568.47000000003</v>
      </c>
      <c r="F211" s="22">
        <f t="shared" si="115"/>
        <v>274638.64</v>
      </c>
      <c r="G211" s="22">
        <f t="shared" si="115"/>
        <v>-96935.880000000034</v>
      </c>
      <c r="H211" s="22">
        <f t="shared" si="115"/>
        <v>337801.8</v>
      </c>
      <c r="I211" s="22">
        <f t="shared" si="115"/>
        <v>-259198.16</v>
      </c>
      <c r="J211" s="22">
        <f t="shared" si="115"/>
        <v>317500.70999999996</v>
      </c>
      <c r="K211" s="22">
        <f t="shared" si="115"/>
        <v>-269389.24000000005</v>
      </c>
      <c r="L211" s="22">
        <f t="shared" si="115"/>
        <v>41196.930000000051</v>
      </c>
      <c r="M211" s="22">
        <f t="shared" si="115"/>
        <v>-18044.419999999984</v>
      </c>
      <c r="N211" s="22">
        <f t="shared" si="115"/>
        <v>277215.01000000007</v>
      </c>
      <c r="O211" s="22">
        <f t="shared" si="115"/>
        <v>-277270.72000000003</v>
      </c>
      <c r="P211" s="22">
        <f t="shared" si="115"/>
        <v>-275385.20000000007</v>
      </c>
      <c r="Q211" s="22">
        <f t="shared" si="115"/>
        <v>42999.229999999981</v>
      </c>
      <c r="R211" s="22">
        <f t="shared" si="115"/>
        <v>-72445.130000000063</v>
      </c>
      <c r="S211" s="22">
        <f t="shared" si="115"/>
        <v>304357.78999999992</v>
      </c>
      <c r="T211" s="22">
        <f t="shared" si="115"/>
        <v>-50766.930000000051</v>
      </c>
      <c r="U211" s="22">
        <f t="shared" si="115"/>
        <v>-121405.42999999993</v>
      </c>
      <c r="V211" s="22">
        <f t="shared" si="115"/>
        <v>-76841.600000000035</v>
      </c>
      <c r="W211" s="22">
        <f t="shared" si="115"/>
        <v>-63836.550000000047</v>
      </c>
      <c r="X211" s="22">
        <f t="shared" si="115"/>
        <v>-118368.45999999996</v>
      </c>
      <c r="Y211" s="22">
        <f t="shared" si="115"/>
        <v>44825.759999999951</v>
      </c>
      <c r="Z211" s="22">
        <f t="shared" si="115"/>
        <v>203147.63000000006</v>
      </c>
      <c r="AA211" s="22">
        <f t="shared" si="115"/>
        <v>-98534.939999999944</v>
      </c>
      <c r="AB211" s="22">
        <f t="shared" si="115"/>
        <v>-142695.85441716423</v>
      </c>
      <c r="AC211" s="22">
        <f t="shared" si="115"/>
        <v>814167.60949047608</v>
      </c>
      <c r="AD211" s="22">
        <f t="shared" si="115"/>
        <v>9263.7226799858036</v>
      </c>
      <c r="AE211" s="22">
        <f t="shared" si="115"/>
        <v>375419.49582742911</v>
      </c>
      <c r="AF211" s="22">
        <f t="shared" si="115"/>
        <v>-18537.131691241928</v>
      </c>
      <c r="AG211" s="22">
        <f t="shared" si="115"/>
        <v>-27143.541644380835</v>
      </c>
      <c r="AH211" s="22">
        <f t="shared" si="115"/>
        <v>4405.9722803940531</v>
      </c>
      <c r="AI211" s="22">
        <f t="shared" ref="AI211:AZ211" si="116">AI193-AI210</f>
        <v>-17855.558265472588</v>
      </c>
      <c r="AJ211" s="22">
        <f t="shared" si="116"/>
        <v>89002.962986483879</v>
      </c>
      <c r="AK211" s="22">
        <f t="shared" si="116"/>
        <v>43258.550195975986</v>
      </c>
      <c r="AL211" s="22">
        <f t="shared" si="116"/>
        <v>60802.847090277181</v>
      </c>
      <c r="AM211" s="22">
        <f t="shared" si="116"/>
        <v>65178.001646770281</v>
      </c>
      <c r="AN211" s="22">
        <f t="shared" si="116"/>
        <v>-195244.73811422061</v>
      </c>
      <c r="AO211" s="22">
        <f t="shared" si="116"/>
        <v>156976.07765961986</v>
      </c>
      <c r="AP211" s="22">
        <f t="shared" si="116"/>
        <v>17106.93456920411</v>
      </c>
      <c r="AQ211" s="22">
        <f t="shared" si="116"/>
        <v>396307.098865067</v>
      </c>
      <c r="AR211" s="22">
        <f t="shared" si="116"/>
        <v>-21593.028110592917</v>
      </c>
      <c r="AS211" s="22">
        <f t="shared" si="116"/>
        <v>-29400.061086836969</v>
      </c>
      <c r="AT211" s="22">
        <f t="shared" si="116"/>
        <v>7119.91980888939</v>
      </c>
      <c r="AU211" s="22">
        <f t="shared" si="116"/>
        <v>-17150.244932100235</v>
      </c>
      <c r="AV211" s="22">
        <f t="shared" si="116"/>
        <v>33020.589359929436</v>
      </c>
      <c r="AW211" s="22">
        <f t="shared" si="116"/>
        <v>16991.949827792472</v>
      </c>
      <c r="AX211" s="22">
        <f t="shared" si="116"/>
        <v>8258.3530066561652</v>
      </c>
      <c r="AY211" s="22">
        <f t="shared" si="116"/>
        <v>13903.161030168878</v>
      </c>
      <c r="AZ211" s="22">
        <f t="shared" si="116"/>
        <v>-201927.81322835968</v>
      </c>
      <c r="BA211" s="22">
        <f t="shared" ref="BA211:BX211" si="117">BA193-BA210</f>
        <v>203187.36893256046</v>
      </c>
      <c r="BB211" s="22">
        <f t="shared" si="117"/>
        <v>1688.5736659906688</v>
      </c>
      <c r="BC211" s="22">
        <f t="shared" si="117"/>
        <v>379630.73831886437</v>
      </c>
      <c r="BD211" s="22">
        <f t="shared" si="117"/>
        <v>-33333.925378680404</v>
      </c>
      <c r="BE211" s="22">
        <f t="shared" si="117"/>
        <v>-41628.997796770651</v>
      </c>
      <c r="BF211" s="22">
        <f t="shared" si="117"/>
        <v>-2985.1599862599396</v>
      </c>
      <c r="BG211" s="22">
        <f t="shared" si="117"/>
        <v>-27642.948220342281</v>
      </c>
      <c r="BH211" s="22">
        <f t="shared" si="117"/>
        <v>23479.958095706184</v>
      </c>
      <c r="BI211" s="22">
        <f t="shared" si="117"/>
        <v>6152.2789543417748</v>
      </c>
      <c r="BJ211" s="22">
        <f t="shared" si="117"/>
        <v>-1927.6319237272255</v>
      </c>
      <c r="BK211" s="22">
        <f t="shared" si="117"/>
        <v>3683.7396303179557</v>
      </c>
      <c r="BL211" s="22">
        <f t="shared" si="117"/>
        <v>-222236.22683649202</v>
      </c>
      <c r="BM211" s="22">
        <f t="shared" si="117"/>
        <v>229899.68134003389</v>
      </c>
      <c r="BN211" s="22">
        <f t="shared" si="117"/>
        <v>4618.1763531829347</v>
      </c>
      <c r="BO211" s="22">
        <f t="shared" si="117"/>
        <v>380746.71575466881</v>
      </c>
      <c r="BP211" s="22">
        <f t="shared" si="117"/>
        <v>-30387.767144280195</v>
      </c>
      <c r="BQ211" s="22">
        <f t="shared" si="117"/>
        <v>-39941.25268945354</v>
      </c>
      <c r="BR211" s="22">
        <f t="shared" si="117"/>
        <v>-285.48535916284891</v>
      </c>
      <c r="BS211" s="22">
        <f t="shared" si="117"/>
        <v>-26661.265981214179</v>
      </c>
      <c r="BT211" s="22">
        <f t="shared" si="117"/>
        <v>27943.688941139786</v>
      </c>
      <c r="BU211" s="22">
        <f t="shared" si="117"/>
        <v>9882.3859066875884</v>
      </c>
      <c r="BV211" s="22">
        <f t="shared" si="117"/>
        <v>1983.6282838962507</v>
      </c>
      <c r="BW211" s="22">
        <f t="shared" si="117"/>
        <v>7448.3482033843175</v>
      </c>
      <c r="BX211" s="22">
        <f t="shared" si="117"/>
        <v>-225101.43908913684</v>
      </c>
      <c r="BZ211" s="22">
        <f>BZ193-BZ210</f>
        <v>-98534.939999999944</v>
      </c>
      <c r="CA211" s="22">
        <f>CA193-CA210</f>
        <v>-6868.6300000003539</v>
      </c>
      <c r="CC211" s="22">
        <f t="shared" si="114"/>
        <v>-368134.5700000003</v>
      </c>
      <c r="CD211" s="22">
        <f t="shared" si="114"/>
        <v>-29425.169999999925</v>
      </c>
      <c r="CE211" s="22">
        <f t="shared" si="114"/>
        <v>564697.94000000006</v>
      </c>
      <c r="CF211" s="22">
        <f t="shared" si="114"/>
        <v>-149564.48441716435</v>
      </c>
      <c r="CG211" s="22">
        <f t="shared" si="114"/>
        <v>1202718.1924824766</v>
      </c>
      <c r="CH211" s="22">
        <f t="shared" si="114"/>
        <v>379612.93676943751</v>
      </c>
      <c r="CI211" s="22">
        <f t="shared" si="114"/>
        <v>288067.76745550887</v>
      </c>
      <c r="CJ211" s="22">
        <f t="shared" si="114"/>
        <v>340145.41451974603</v>
      </c>
    </row>
    <row r="212" spans="1:88" x14ac:dyDescent="0.3">
      <c r="A212" s="20"/>
      <c r="B212" s="10"/>
      <c r="C212" s="40">
        <f t="shared" ref="C212:AH212" si="118">C211-C173</f>
        <v>-1.3969838619232178E-9</v>
      </c>
      <c r="D212" s="40">
        <f t="shared" si="118"/>
        <v>9.3132257461547852E-10</v>
      </c>
      <c r="E212" s="40">
        <f t="shared" si="118"/>
        <v>0</v>
      </c>
      <c r="F212" s="39">
        <f t="shared" si="118"/>
        <v>0</v>
      </c>
      <c r="G212" s="39">
        <f t="shared" si="118"/>
        <v>0</v>
      </c>
      <c r="H212" s="39">
        <f t="shared" si="118"/>
        <v>0</v>
      </c>
      <c r="I212" s="39">
        <f t="shared" si="118"/>
        <v>0</v>
      </c>
      <c r="J212" s="39">
        <f t="shared" si="118"/>
        <v>0</v>
      </c>
      <c r="K212" s="39">
        <f t="shared" si="118"/>
        <v>0</v>
      </c>
      <c r="L212" s="39">
        <f t="shared" si="118"/>
        <v>1.1641532182693481E-10</v>
      </c>
      <c r="M212" s="39">
        <f t="shared" si="118"/>
        <v>5.8207660913467407E-11</v>
      </c>
      <c r="N212" s="39">
        <f t="shared" si="118"/>
        <v>0</v>
      </c>
      <c r="O212" s="39">
        <f t="shared" si="118"/>
        <v>0</v>
      </c>
      <c r="P212" s="39">
        <f t="shared" si="118"/>
        <v>0</v>
      </c>
      <c r="Q212" s="39">
        <f t="shared" si="118"/>
        <v>0</v>
      </c>
      <c r="R212" s="39">
        <f t="shared" si="118"/>
        <v>-1.1641532182693481E-10</v>
      </c>
      <c r="S212" s="39">
        <f t="shared" si="118"/>
        <v>0</v>
      </c>
      <c r="T212" s="39">
        <f t="shared" si="118"/>
        <v>5.8207660913467407E-11</v>
      </c>
      <c r="U212" s="39">
        <f t="shared" si="118"/>
        <v>0</v>
      </c>
      <c r="V212" s="39">
        <f t="shared" si="118"/>
        <v>2.3283064365386963E-10</v>
      </c>
      <c r="W212" s="39">
        <f t="shared" si="118"/>
        <v>-5.8207660913467407E-11</v>
      </c>
      <c r="X212" s="39">
        <f t="shared" si="118"/>
        <v>1.7462298274040222E-10</v>
      </c>
      <c r="Y212" s="39">
        <f t="shared" si="118"/>
        <v>1.1641532182693481E-10</v>
      </c>
      <c r="Z212" s="39">
        <f t="shared" si="118"/>
        <v>0</v>
      </c>
      <c r="AA212" s="39">
        <f t="shared" si="118"/>
        <v>0</v>
      </c>
      <c r="AB212" s="39">
        <f t="shared" si="118"/>
        <v>3.4924596548080444E-10</v>
      </c>
      <c r="AC212" s="39">
        <f t="shared" si="118"/>
        <v>0</v>
      </c>
      <c r="AD212" s="39">
        <f t="shared" si="118"/>
        <v>5.8207660913467407E-11</v>
      </c>
      <c r="AE212" s="39">
        <f t="shared" si="118"/>
        <v>0</v>
      </c>
      <c r="AF212" s="39">
        <f t="shared" si="118"/>
        <v>-1.1641532182693481E-10</v>
      </c>
      <c r="AG212" s="39">
        <f t="shared" si="118"/>
        <v>0</v>
      </c>
      <c r="AH212" s="39">
        <f t="shared" si="118"/>
        <v>0</v>
      </c>
      <c r="AI212" s="39">
        <f t="shared" ref="AI212:BN212" si="119">AI211-AI173</f>
        <v>0</v>
      </c>
      <c r="AJ212" s="39">
        <f t="shared" si="119"/>
        <v>-1.1641532182693481E-10</v>
      </c>
      <c r="AK212" s="39">
        <f t="shared" si="119"/>
        <v>-5.8207660913467407E-11</v>
      </c>
      <c r="AL212" s="39">
        <f t="shared" si="119"/>
        <v>0</v>
      </c>
      <c r="AM212" s="39">
        <f t="shared" si="119"/>
        <v>-5.8207660913467407E-11</v>
      </c>
      <c r="AN212" s="39">
        <f t="shared" si="119"/>
        <v>0</v>
      </c>
      <c r="AO212" s="39">
        <f t="shared" si="119"/>
        <v>0</v>
      </c>
      <c r="AP212" s="39">
        <f t="shared" si="119"/>
        <v>5.8207660913467407E-11</v>
      </c>
      <c r="AQ212" s="39">
        <f t="shared" si="119"/>
        <v>0</v>
      </c>
      <c r="AR212" s="39">
        <f t="shared" si="119"/>
        <v>-2.3283064365386963E-10</v>
      </c>
      <c r="AS212" s="39">
        <f t="shared" si="119"/>
        <v>-1.1641532182693481E-10</v>
      </c>
      <c r="AT212" s="39">
        <f t="shared" si="119"/>
        <v>1.1641532182693481E-10</v>
      </c>
      <c r="AU212" s="39">
        <f t="shared" si="119"/>
        <v>0</v>
      </c>
      <c r="AV212" s="39">
        <f t="shared" si="119"/>
        <v>0</v>
      </c>
      <c r="AW212" s="39">
        <f t="shared" si="119"/>
        <v>-5.8207660913467407E-11</v>
      </c>
      <c r="AX212" s="39">
        <f t="shared" si="119"/>
        <v>-5.8207660913467407E-11</v>
      </c>
      <c r="AY212" s="39">
        <f t="shared" si="119"/>
        <v>5.8207660913467407E-11</v>
      </c>
      <c r="AZ212" s="39">
        <f t="shared" si="119"/>
        <v>0</v>
      </c>
      <c r="BA212" s="39">
        <f t="shared" si="119"/>
        <v>0</v>
      </c>
      <c r="BB212" s="39">
        <f t="shared" si="119"/>
        <v>0</v>
      </c>
      <c r="BC212" s="39">
        <f t="shared" si="119"/>
        <v>0</v>
      </c>
      <c r="BD212" s="39">
        <f t="shared" si="119"/>
        <v>-5.8207660913467407E-11</v>
      </c>
      <c r="BE212" s="39">
        <f t="shared" si="119"/>
        <v>-1.7462298274040222E-10</v>
      </c>
      <c r="BF212" s="39">
        <f t="shared" si="119"/>
        <v>-1.1641532182693481E-10</v>
      </c>
      <c r="BG212" s="39">
        <f t="shared" si="119"/>
        <v>1.7462298274040222E-10</v>
      </c>
      <c r="BH212" s="39">
        <f t="shared" si="119"/>
        <v>-1.7462298274040222E-10</v>
      </c>
      <c r="BI212" s="39">
        <f t="shared" si="119"/>
        <v>0</v>
      </c>
      <c r="BJ212" s="39">
        <f t="shared" si="119"/>
        <v>1.1641532182693481E-10</v>
      </c>
      <c r="BK212" s="39">
        <f t="shared" si="119"/>
        <v>-5.8207660913467407E-11</v>
      </c>
      <c r="BL212" s="39">
        <f t="shared" si="119"/>
        <v>0</v>
      </c>
      <c r="BM212" s="39">
        <f t="shared" si="119"/>
        <v>0</v>
      </c>
      <c r="BN212" s="39">
        <f t="shared" si="119"/>
        <v>-1.1641532182693481E-10</v>
      </c>
      <c r="BO212" s="39">
        <f t="shared" ref="BO212:BX212" si="120">BO211-BO173</f>
        <v>0</v>
      </c>
      <c r="BP212" s="39">
        <f t="shared" si="120"/>
        <v>-2.9103830456733704E-10</v>
      </c>
      <c r="BQ212" s="39">
        <f t="shared" si="120"/>
        <v>-3.4924596548080444E-10</v>
      </c>
      <c r="BR212" s="39">
        <f t="shared" si="120"/>
        <v>5.8207660913467407E-11</v>
      </c>
      <c r="BS212" s="39">
        <f t="shared" si="120"/>
        <v>-1.7462298274040222E-10</v>
      </c>
      <c r="BT212" s="39">
        <f t="shared" si="120"/>
        <v>-1.1641532182693481E-10</v>
      </c>
      <c r="BU212" s="39">
        <f t="shared" si="120"/>
        <v>-1.1641532182693481E-10</v>
      </c>
      <c r="BV212" s="39">
        <f t="shared" si="120"/>
        <v>-1.7462298274040222E-10</v>
      </c>
      <c r="BW212" s="39">
        <f t="shared" si="120"/>
        <v>-1.1641532182693481E-10</v>
      </c>
      <c r="BX212" s="39">
        <f t="shared" si="120"/>
        <v>0</v>
      </c>
      <c r="BZ212" s="39">
        <f>BZ211-BZ173</f>
        <v>0</v>
      </c>
      <c r="CA212" s="39">
        <f>CA211-CA173</f>
        <v>4.6566128730773926E-10</v>
      </c>
      <c r="CC212" s="39">
        <f t="shared" ref="CC212:CJ212" si="121">CC211-CC173</f>
        <v>-1.3969838619232178E-9</v>
      </c>
      <c r="CD212" s="39">
        <f t="shared" si="121"/>
        <v>9.3132257461547852E-10</v>
      </c>
      <c r="CE212" s="39">
        <f t="shared" si="121"/>
        <v>0</v>
      </c>
      <c r="CF212" s="39">
        <f t="shared" si="121"/>
        <v>6.9849193096160889E-10</v>
      </c>
      <c r="CG212" s="39">
        <f t="shared" si="121"/>
        <v>0</v>
      </c>
      <c r="CH212" s="39">
        <f t="shared" si="121"/>
        <v>-5.8207660913467407E-10</v>
      </c>
      <c r="CI212" s="39">
        <f t="shared" si="121"/>
        <v>0</v>
      </c>
      <c r="CJ212" s="39">
        <f t="shared" si="121"/>
        <v>-1.5133991837501526E-9</v>
      </c>
    </row>
    <row r="213" spans="1:88" x14ac:dyDescent="0.3">
      <c r="A213" s="20" t="s">
        <v>384</v>
      </c>
      <c r="B213" s="10"/>
      <c r="C213" s="40"/>
      <c r="D213" s="40"/>
      <c r="E213" s="40"/>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Z213" s="39"/>
      <c r="CA213" s="39"/>
      <c r="CC213" s="39"/>
      <c r="CD213" s="39"/>
      <c r="CE213" s="39"/>
      <c r="CF213" s="39"/>
      <c r="CG213" s="39"/>
      <c r="CH213" s="39"/>
      <c r="CI213" s="39"/>
      <c r="CJ213" s="39"/>
    </row>
    <row r="214" spans="1:88" x14ac:dyDescent="0.3">
      <c r="A214" s="373" t="s">
        <v>144</v>
      </c>
      <c r="B214" s="10"/>
      <c r="C214" s="36">
        <f>C211</f>
        <v>-368134.5700000003</v>
      </c>
      <c r="D214" s="36">
        <f t="shared" ref="D214:BO214" si="122">D211</f>
        <v>-29425.169999999925</v>
      </c>
      <c r="E214" s="36">
        <f t="shared" si="122"/>
        <v>512568.47000000003</v>
      </c>
      <c r="F214" s="36">
        <f t="shared" si="122"/>
        <v>274638.64</v>
      </c>
      <c r="G214" s="36">
        <f t="shared" si="122"/>
        <v>-96935.880000000034</v>
      </c>
      <c r="H214" s="36">
        <f t="shared" si="122"/>
        <v>337801.8</v>
      </c>
      <c r="I214" s="36">
        <f t="shared" si="122"/>
        <v>-259198.16</v>
      </c>
      <c r="J214" s="36">
        <f t="shared" si="122"/>
        <v>317500.70999999996</v>
      </c>
      <c r="K214" s="36">
        <f t="shared" si="122"/>
        <v>-269389.24000000005</v>
      </c>
      <c r="L214" s="36">
        <f t="shared" si="122"/>
        <v>41196.930000000051</v>
      </c>
      <c r="M214" s="36">
        <f t="shared" si="122"/>
        <v>-18044.419999999984</v>
      </c>
      <c r="N214" s="36">
        <f t="shared" si="122"/>
        <v>277215.01000000007</v>
      </c>
      <c r="O214" s="36">
        <f t="shared" si="122"/>
        <v>-277270.72000000003</v>
      </c>
      <c r="P214" s="36">
        <f t="shared" si="122"/>
        <v>-275385.20000000007</v>
      </c>
      <c r="Q214" s="36">
        <f t="shared" si="122"/>
        <v>42999.229999999981</v>
      </c>
      <c r="R214" s="36">
        <f t="shared" si="122"/>
        <v>-72445.130000000063</v>
      </c>
      <c r="S214" s="36">
        <f t="shared" si="122"/>
        <v>304357.78999999992</v>
      </c>
      <c r="T214" s="36">
        <f t="shared" si="122"/>
        <v>-50766.930000000051</v>
      </c>
      <c r="U214" s="36">
        <f t="shared" si="122"/>
        <v>-121405.42999999993</v>
      </c>
      <c r="V214" s="36">
        <f t="shared" si="122"/>
        <v>-76841.600000000035</v>
      </c>
      <c r="W214" s="36">
        <f t="shared" si="122"/>
        <v>-63836.550000000047</v>
      </c>
      <c r="X214" s="36">
        <f t="shared" si="122"/>
        <v>-118368.45999999996</v>
      </c>
      <c r="Y214" s="36">
        <f t="shared" si="122"/>
        <v>44825.759999999951</v>
      </c>
      <c r="Z214" s="36">
        <f t="shared" si="122"/>
        <v>203147.63000000006</v>
      </c>
      <c r="AA214" s="36">
        <f t="shared" si="122"/>
        <v>-98534.939999999944</v>
      </c>
      <c r="AB214" s="36">
        <f t="shared" si="122"/>
        <v>-142695.85441716423</v>
      </c>
      <c r="AC214" s="36">
        <f t="shared" si="122"/>
        <v>814167.60949047608</v>
      </c>
      <c r="AD214" s="36">
        <f t="shared" si="122"/>
        <v>9263.7226799858036</v>
      </c>
      <c r="AE214" s="36">
        <f t="shared" si="122"/>
        <v>375419.49582742911</v>
      </c>
      <c r="AF214" s="36">
        <f t="shared" si="122"/>
        <v>-18537.131691241928</v>
      </c>
      <c r="AG214" s="36">
        <f t="shared" si="122"/>
        <v>-27143.541644380835</v>
      </c>
      <c r="AH214" s="36">
        <f t="shared" si="122"/>
        <v>4405.9722803940531</v>
      </c>
      <c r="AI214" s="36">
        <f t="shared" si="122"/>
        <v>-17855.558265472588</v>
      </c>
      <c r="AJ214" s="36">
        <f t="shared" si="122"/>
        <v>89002.962986483879</v>
      </c>
      <c r="AK214" s="36">
        <f t="shared" si="122"/>
        <v>43258.550195975986</v>
      </c>
      <c r="AL214" s="36">
        <f t="shared" si="122"/>
        <v>60802.847090277181</v>
      </c>
      <c r="AM214" s="36">
        <f t="shared" si="122"/>
        <v>65178.001646770281</v>
      </c>
      <c r="AN214" s="36">
        <f t="shared" si="122"/>
        <v>-195244.73811422061</v>
      </c>
      <c r="AO214" s="36">
        <f t="shared" si="122"/>
        <v>156976.07765961986</v>
      </c>
      <c r="AP214" s="36">
        <f t="shared" si="122"/>
        <v>17106.93456920411</v>
      </c>
      <c r="AQ214" s="36">
        <f t="shared" si="122"/>
        <v>396307.098865067</v>
      </c>
      <c r="AR214" s="36">
        <f t="shared" si="122"/>
        <v>-21593.028110592917</v>
      </c>
      <c r="AS214" s="36">
        <f t="shared" si="122"/>
        <v>-29400.061086836969</v>
      </c>
      <c r="AT214" s="36">
        <f t="shared" si="122"/>
        <v>7119.91980888939</v>
      </c>
      <c r="AU214" s="36">
        <f t="shared" si="122"/>
        <v>-17150.244932100235</v>
      </c>
      <c r="AV214" s="36">
        <f t="shared" si="122"/>
        <v>33020.589359929436</v>
      </c>
      <c r="AW214" s="36">
        <f t="shared" si="122"/>
        <v>16991.949827792472</v>
      </c>
      <c r="AX214" s="36">
        <f t="shared" si="122"/>
        <v>8258.3530066561652</v>
      </c>
      <c r="AY214" s="36">
        <f t="shared" si="122"/>
        <v>13903.161030168878</v>
      </c>
      <c r="AZ214" s="36">
        <f t="shared" si="122"/>
        <v>-201927.81322835968</v>
      </c>
      <c r="BA214" s="36">
        <f t="shared" si="122"/>
        <v>203187.36893256046</v>
      </c>
      <c r="BB214" s="36">
        <f t="shared" si="122"/>
        <v>1688.5736659906688</v>
      </c>
      <c r="BC214" s="36">
        <f t="shared" si="122"/>
        <v>379630.73831886437</v>
      </c>
      <c r="BD214" s="36">
        <f t="shared" si="122"/>
        <v>-33333.925378680404</v>
      </c>
      <c r="BE214" s="36">
        <f t="shared" si="122"/>
        <v>-41628.997796770651</v>
      </c>
      <c r="BF214" s="36">
        <f t="shared" si="122"/>
        <v>-2985.1599862599396</v>
      </c>
      <c r="BG214" s="36">
        <f t="shared" si="122"/>
        <v>-27642.948220342281</v>
      </c>
      <c r="BH214" s="36">
        <f t="shared" si="122"/>
        <v>23479.958095706184</v>
      </c>
      <c r="BI214" s="36">
        <f t="shared" si="122"/>
        <v>6152.2789543417748</v>
      </c>
      <c r="BJ214" s="36">
        <f t="shared" si="122"/>
        <v>-1927.6319237272255</v>
      </c>
      <c r="BK214" s="36">
        <f t="shared" si="122"/>
        <v>3683.7396303179557</v>
      </c>
      <c r="BL214" s="36">
        <f t="shared" si="122"/>
        <v>-222236.22683649202</v>
      </c>
      <c r="BM214" s="36">
        <f t="shared" si="122"/>
        <v>229899.68134003389</v>
      </c>
      <c r="BN214" s="36">
        <f t="shared" si="122"/>
        <v>4618.1763531829347</v>
      </c>
      <c r="BO214" s="36">
        <f t="shared" si="122"/>
        <v>380746.71575466881</v>
      </c>
      <c r="BP214" s="36">
        <f t="shared" ref="BP214:CJ214" si="123">BP211</f>
        <v>-30387.767144280195</v>
      </c>
      <c r="BQ214" s="36">
        <f t="shared" si="123"/>
        <v>-39941.25268945354</v>
      </c>
      <c r="BR214" s="36">
        <f t="shared" si="123"/>
        <v>-285.48535916284891</v>
      </c>
      <c r="BS214" s="36">
        <f t="shared" si="123"/>
        <v>-26661.265981214179</v>
      </c>
      <c r="BT214" s="36">
        <f t="shared" si="123"/>
        <v>27943.688941139786</v>
      </c>
      <c r="BU214" s="36">
        <f t="shared" si="123"/>
        <v>9882.3859066875884</v>
      </c>
      <c r="BV214" s="36">
        <f t="shared" si="123"/>
        <v>1983.6282838962507</v>
      </c>
      <c r="BW214" s="36">
        <f t="shared" si="123"/>
        <v>7448.3482033843175</v>
      </c>
      <c r="BX214" s="36">
        <f t="shared" si="123"/>
        <v>-225101.43908913684</v>
      </c>
      <c r="BZ214" s="36">
        <f t="shared" si="123"/>
        <v>-98534.939999999944</v>
      </c>
      <c r="CA214" s="36">
        <f t="shared" si="123"/>
        <v>-6868.6300000003539</v>
      </c>
      <c r="CC214" s="36">
        <f t="shared" si="123"/>
        <v>-368134.5700000003</v>
      </c>
      <c r="CD214" s="36">
        <f t="shared" si="123"/>
        <v>-29425.169999999925</v>
      </c>
      <c r="CE214" s="36">
        <f t="shared" si="123"/>
        <v>564697.94000000006</v>
      </c>
      <c r="CF214" s="36">
        <f t="shared" si="123"/>
        <v>-149564.48441716435</v>
      </c>
      <c r="CG214" s="36">
        <f t="shared" si="123"/>
        <v>1202718.1924824766</v>
      </c>
      <c r="CH214" s="36">
        <f t="shared" si="123"/>
        <v>379612.93676943751</v>
      </c>
      <c r="CI214" s="36">
        <f t="shared" si="123"/>
        <v>288067.76745550887</v>
      </c>
      <c r="CJ214" s="36">
        <f t="shared" si="123"/>
        <v>340145.41451974603</v>
      </c>
    </row>
    <row r="215" spans="1:88" x14ac:dyDescent="0.3">
      <c r="A215" s="373" t="s">
        <v>346</v>
      </c>
      <c r="B215" s="10"/>
      <c r="C215" s="36">
        <f t="shared" ref="C215:L218" si="124">SUMIF($B$176:$B$184,$A215,C$176:C$184)</f>
        <v>0</v>
      </c>
      <c r="D215" s="36">
        <f t="shared" si="124"/>
        <v>0</v>
      </c>
      <c r="E215" s="36">
        <f t="shared" si="124"/>
        <v>0</v>
      </c>
      <c r="F215" s="36">
        <f t="shared" si="124"/>
        <v>0</v>
      </c>
      <c r="G215" s="36">
        <f t="shared" si="124"/>
        <v>0</v>
      </c>
      <c r="H215" s="36">
        <f t="shared" si="124"/>
        <v>0</v>
      </c>
      <c r="I215" s="36">
        <f t="shared" si="124"/>
        <v>0</v>
      </c>
      <c r="J215" s="36">
        <f t="shared" si="124"/>
        <v>0</v>
      </c>
      <c r="K215" s="36">
        <f t="shared" si="124"/>
        <v>0</v>
      </c>
      <c r="L215" s="36">
        <f t="shared" si="124"/>
        <v>0</v>
      </c>
      <c r="M215" s="36">
        <f t="shared" ref="M215:V218" si="125">SUMIF($B$176:$B$184,$A215,M$176:M$184)</f>
        <v>0</v>
      </c>
      <c r="N215" s="36">
        <f t="shared" si="125"/>
        <v>0</v>
      </c>
      <c r="O215" s="36">
        <f t="shared" si="125"/>
        <v>0</v>
      </c>
      <c r="P215" s="36">
        <f t="shared" si="125"/>
        <v>267350</v>
      </c>
      <c r="Q215" s="36">
        <f t="shared" si="125"/>
        <v>53924.19</v>
      </c>
      <c r="R215" s="36">
        <f t="shared" si="125"/>
        <v>54078.66</v>
      </c>
      <c r="S215" s="36">
        <f t="shared" si="125"/>
        <v>54234.44</v>
      </c>
      <c r="T215" s="36">
        <f t="shared" si="125"/>
        <v>54391.57</v>
      </c>
      <c r="U215" s="36">
        <f t="shared" si="125"/>
        <v>54550.04</v>
      </c>
      <c r="V215" s="36">
        <f t="shared" si="125"/>
        <v>54709.88</v>
      </c>
      <c r="W215" s="36">
        <f t="shared" ref="W215:AF218" si="126">SUMIF($B$176:$B$184,$A215,W$176:W$184)</f>
        <v>54871.08</v>
      </c>
      <c r="X215" s="36">
        <f t="shared" si="126"/>
        <v>54989.11</v>
      </c>
      <c r="Y215" s="36">
        <f t="shared" si="126"/>
        <v>55108.15</v>
      </c>
      <c r="Z215" s="36">
        <f t="shared" si="126"/>
        <v>55228.22</v>
      </c>
      <c r="AA215" s="36">
        <f t="shared" si="126"/>
        <v>55349.31</v>
      </c>
      <c r="AB215" s="36">
        <f t="shared" si="126"/>
        <v>55471.45</v>
      </c>
      <c r="AC215" s="36">
        <f t="shared" si="126"/>
        <v>50687.869999999995</v>
      </c>
      <c r="AD215" s="36">
        <f t="shared" si="126"/>
        <v>50687.869999999995</v>
      </c>
      <c r="AE215" s="36">
        <f t="shared" si="126"/>
        <v>50687.869999999995</v>
      </c>
      <c r="AF215" s="36">
        <f t="shared" si="126"/>
        <v>50687.869999999995</v>
      </c>
      <c r="AG215" s="36">
        <f t="shared" ref="AG215:AP218" si="127">SUMIF($B$176:$B$184,$A215,AG$176:AG$184)</f>
        <v>50687.869999999995</v>
      </c>
      <c r="AH215" s="36">
        <f t="shared" si="127"/>
        <v>50687.869999999995</v>
      </c>
      <c r="AI215" s="36">
        <f t="shared" si="127"/>
        <v>50687.869999999995</v>
      </c>
      <c r="AJ215" s="36">
        <f t="shared" si="127"/>
        <v>50687.869999999995</v>
      </c>
      <c r="AK215" s="36">
        <f t="shared" si="127"/>
        <v>50687.869999999995</v>
      </c>
      <c r="AL215" s="36">
        <f t="shared" si="127"/>
        <v>50687.869999999995</v>
      </c>
      <c r="AM215" s="36">
        <f t="shared" si="127"/>
        <v>50687.869999999995</v>
      </c>
      <c r="AN215" s="36">
        <f t="shared" si="127"/>
        <v>50687.869999999995</v>
      </c>
      <c r="AO215" s="36">
        <f t="shared" si="127"/>
        <v>83354.672500000001</v>
      </c>
      <c r="AP215" s="36">
        <f t="shared" si="127"/>
        <v>83354.672500000001</v>
      </c>
      <c r="AQ215" s="36">
        <f t="shared" ref="AQ215:AZ218" si="128">SUMIF($B$176:$B$184,$A215,AQ$176:AQ$184)</f>
        <v>83354.672500000001</v>
      </c>
      <c r="AR215" s="36">
        <f t="shared" si="128"/>
        <v>83354.672500000001</v>
      </c>
      <c r="AS215" s="36">
        <f t="shared" si="128"/>
        <v>83354.672500000001</v>
      </c>
      <c r="AT215" s="36">
        <f t="shared" si="128"/>
        <v>83354.672500000001</v>
      </c>
      <c r="AU215" s="36">
        <f t="shared" si="128"/>
        <v>83354.672500000001</v>
      </c>
      <c r="AV215" s="36">
        <f t="shared" si="128"/>
        <v>83354.672500000001</v>
      </c>
      <c r="AW215" s="36">
        <f t="shared" si="128"/>
        <v>83354.672500000001</v>
      </c>
      <c r="AX215" s="36">
        <f t="shared" si="128"/>
        <v>83354.672500000001</v>
      </c>
      <c r="AY215" s="36">
        <f t="shared" si="128"/>
        <v>83354.672500000001</v>
      </c>
      <c r="AZ215" s="36">
        <f t="shared" si="128"/>
        <v>83354.672500000001</v>
      </c>
      <c r="BA215" s="36">
        <f t="shared" ref="BA215:BJ218" si="129">SUMIF($B$176:$B$184,$A215,BA$176:BA$184)</f>
        <v>109145.83333333333</v>
      </c>
      <c r="BB215" s="36">
        <f t="shared" si="129"/>
        <v>109145.83333333333</v>
      </c>
      <c r="BC215" s="36">
        <f t="shared" si="129"/>
        <v>109145.83333333333</v>
      </c>
      <c r="BD215" s="36">
        <f t="shared" si="129"/>
        <v>109145.83333333333</v>
      </c>
      <c r="BE215" s="36">
        <f t="shared" si="129"/>
        <v>109145.83333333333</v>
      </c>
      <c r="BF215" s="36">
        <f t="shared" si="129"/>
        <v>109145.83333333333</v>
      </c>
      <c r="BG215" s="36">
        <f t="shared" si="129"/>
        <v>109145.83333333333</v>
      </c>
      <c r="BH215" s="36">
        <f t="shared" si="129"/>
        <v>109145.83333333333</v>
      </c>
      <c r="BI215" s="36">
        <f t="shared" si="129"/>
        <v>109145.83333333333</v>
      </c>
      <c r="BJ215" s="36">
        <f t="shared" si="129"/>
        <v>109145.83333333333</v>
      </c>
      <c r="BK215" s="36">
        <f t="shared" ref="BK215:BX218" si="130">SUMIF($B$176:$B$184,$A215,BK$176:BK$184)</f>
        <v>109145.83333333333</v>
      </c>
      <c r="BL215" s="36">
        <f t="shared" si="130"/>
        <v>109145.83333333333</v>
      </c>
      <c r="BM215" s="36">
        <f t="shared" si="130"/>
        <v>108414.58333333333</v>
      </c>
      <c r="BN215" s="36">
        <f t="shared" si="130"/>
        <v>108414.58333333333</v>
      </c>
      <c r="BO215" s="36">
        <f t="shared" si="130"/>
        <v>108414.58333333333</v>
      </c>
      <c r="BP215" s="36">
        <f t="shared" si="130"/>
        <v>108414.58333333333</v>
      </c>
      <c r="BQ215" s="36">
        <f t="shared" si="130"/>
        <v>108414.58333333333</v>
      </c>
      <c r="BR215" s="36">
        <f t="shared" si="130"/>
        <v>108414.58333333333</v>
      </c>
      <c r="BS215" s="36">
        <f t="shared" si="130"/>
        <v>108414.58333333333</v>
      </c>
      <c r="BT215" s="36">
        <f t="shared" si="130"/>
        <v>108414.58333333333</v>
      </c>
      <c r="BU215" s="36">
        <f t="shared" si="130"/>
        <v>108414.58333333333</v>
      </c>
      <c r="BV215" s="36">
        <f t="shared" si="130"/>
        <v>108414.58333333333</v>
      </c>
      <c r="BW215" s="36">
        <f t="shared" si="130"/>
        <v>108414.58333333333</v>
      </c>
      <c r="BX215" s="36">
        <f t="shared" si="130"/>
        <v>108414.58333333333</v>
      </c>
      <c r="BZ215" s="8">
        <f>SUMIF($B$252:$BY$252,1,$B215:$BY215)</f>
        <v>55349.31</v>
      </c>
      <c r="CA215" s="8">
        <f>SUMIF($B$253:$BY$253,1,$B215:$BY215)</f>
        <v>601434.65000000014</v>
      </c>
      <c r="CC215" s="8">
        <f t="shared" ref="CC215:CJ218" si="131">SUMIF($C$3:$BY$3,CC$3,$C215:$BY215)</f>
        <v>0</v>
      </c>
      <c r="CD215" s="8">
        <f t="shared" si="131"/>
        <v>0</v>
      </c>
      <c r="CE215" s="8">
        <f t="shared" si="131"/>
        <v>267350</v>
      </c>
      <c r="CF215" s="8">
        <f t="shared" si="131"/>
        <v>656906.10000000009</v>
      </c>
      <c r="CG215" s="8">
        <f t="shared" si="131"/>
        <v>608254.43999999994</v>
      </c>
      <c r="CH215" s="8">
        <f t="shared" si="131"/>
        <v>1000256.07</v>
      </c>
      <c r="CI215" s="8">
        <f t="shared" si="131"/>
        <v>1309750</v>
      </c>
      <c r="CJ215" s="8">
        <f t="shared" si="131"/>
        <v>1300975</v>
      </c>
    </row>
    <row r="216" spans="1:88" x14ac:dyDescent="0.3">
      <c r="A216" s="373" t="s">
        <v>159</v>
      </c>
      <c r="B216" s="10"/>
      <c r="C216" s="36">
        <f t="shared" si="124"/>
        <v>2267</v>
      </c>
      <c r="D216" s="36">
        <f t="shared" si="124"/>
        <v>5535</v>
      </c>
      <c r="E216" s="36">
        <f t="shared" si="124"/>
        <v>283.33999999999997</v>
      </c>
      <c r="F216" s="36">
        <f t="shared" si="124"/>
        <v>283.33999999999997</v>
      </c>
      <c r="G216" s="36">
        <f t="shared" si="124"/>
        <v>283.33999999999997</v>
      </c>
      <c r="H216" s="36">
        <f t="shared" si="124"/>
        <v>283.33999999999997</v>
      </c>
      <c r="I216" s="36">
        <f t="shared" si="124"/>
        <v>283.33999999999997</v>
      </c>
      <c r="J216" s="36">
        <f t="shared" si="124"/>
        <v>283.33999999999997</v>
      </c>
      <c r="K216" s="36">
        <f t="shared" si="124"/>
        <v>283.33999999999997</v>
      </c>
      <c r="L216" s="36">
        <f t="shared" si="124"/>
        <v>283.34000000000003</v>
      </c>
      <c r="M216" s="36">
        <f t="shared" si="125"/>
        <v>9317.0300000000007</v>
      </c>
      <c r="N216" s="36">
        <f t="shared" si="125"/>
        <v>2643.08</v>
      </c>
      <c r="O216" s="36">
        <f t="shared" si="125"/>
        <v>2728.06</v>
      </c>
      <c r="P216" s="36">
        <f t="shared" si="125"/>
        <v>129454.54000000001</v>
      </c>
      <c r="Q216" s="36">
        <f t="shared" si="125"/>
        <v>23791.88</v>
      </c>
      <c r="R216" s="36">
        <f t="shared" si="125"/>
        <v>23847.31</v>
      </c>
      <c r="S216" s="36">
        <f t="shared" si="125"/>
        <v>23847.31</v>
      </c>
      <c r="T216" s="36">
        <f t="shared" si="125"/>
        <v>23847.31</v>
      </c>
      <c r="U216" s="36">
        <f t="shared" si="125"/>
        <v>23847.31</v>
      </c>
      <c r="V216" s="36">
        <f t="shared" si="125"/>
        <v>23847.31</v>
      </c>
      <c r="W216" s="36">
        <f t="shared" si="126"/>
        <v>23847.31</v>
      </c>
      <c r="X216" s="36">
        <f t="shared" si="126"/>
        <v>23847.31</v>
      </c>
      <c r="Y216" s="36">
        <f t="shared" si="126"/>
        <v>23847.31</v>
      </c>
      <c r="Z216" s="36">
        <f t="shared" si="126"/>
        <v>23957.93</v>
      </c>
      <c r="AA216" s="36">
        <f t="shared" si="126"/>
        <v>21831.32</v>
      </c>
      <c r="AB216" s="36">
        <f t="shared" si="126"/>
        <v>23847.31</v>
      </c>
      <c r="AC216" s="36">
        <f t="shared" si="126"/>
        <v>25452.287142857149</v>
      </c>
      <c r="AD216" s="36">
        <f t="shared" si="126"/>
        <v>25452.287142857149</v>
      </c>
      <c r="AE216" s="36">
        <f t="shared" si="126"/>
        <v>25461.810952380962</v>
      </c>
      <c r="AF216" s="36">
        <f t="shared" si="126"/>
        <v>25471.334761904767</v>
      </c>
      <c r="AG216" s="36">
        <f t="shared" si="127"/>
        <v>25509.430000000008</v>
      </c>
      <c r="AH216" s="36">
        <f t="shared" si="127"/>
        <v>27434.505926424648</v>
      </c>
      <c r="AI216" s="36">
        <f t="shared" si="127"/>
        <v>29359.581852849293</v>
      </c>
      <c r="AJ216" s="36">
        <f t="shared" si="127"/>
        <v>31284.657779273937</v>
      </c>
      <c r="AK216" s="36">
        <f t="shared" si="127"/>
        <v>33209.733705698571</v>
      </c>
      <c r="AL216" s="36">
        <f t="shared" si="127"/>
        <v>35134.809632123215</v>
      </c>
      <c r="AM216" s="36">
        <f t="shared" si="127"/>
        <v>37059.88555854786</v>
      </c>
      <c r="AN216" s="36">
        <f t="shared" si="127"/>
        <v>38984.961484972504</v>
      </c>
      <c r="AO216" s="36">
        <f t="shared" si="127"/>
        <v>40908.269365713495</v>
      </c>
      <c r="AP216" s="36">
        <f t="shared" si="127"/>
        <v>42831.577246454501</v>
      </c>
      <c r="AQ216" s="36">
        <f t="shared" si="128"/>
        <v>44754.885127195506</v>
      </c>
      <c r="AR216" s="36">
        <f t="shared" si="128"/>
        <v>46678.193007936505</v>
      </c>
      <c r="AS216" s="36">
        <f t="shared" si="128"/>
        <v>46698.034277777777</v>
      </c>
      <c r="AT216" s="36">
        <f t="shared" si="128"/>
        <v>46717.875547619042</v>
      </c>
      <c r="AU216" s="36">
        <f t="shared" si="128"/>
        <v>46737.716817460314</v>
      </c>
      <c r="AV216" s="36">
        <f t="shared" si="128"/>
        <v>46757.558087301572</v>
      </c>
      <c r="AW216" s="36">
        <f t="shared" si="128"/>
        <v>46777.399357142836</v>
      </c>
      <c r="AX216" s="36">
        <f t="shared" si="128"/>
        <v>46797.240626984109</v>
      </c>
      <c r="AY216" s="36">
        <f t="shared" si="128"/>
        <v>46817.081896825373</v>
      </c>
      <c r="AZ216" s="36">
        <f t="shared" si="128"/>
        <v>46836.923166666646</v>
      </c>
      <c r="BA216" s="36">
        <f t="shared" si="129"/>
        <v>46856.764436507903</v>
      </c>
      <c r="BB216" s="36">
        <f t="shared" si="129"/>
        <v>46876.605706349175</v>
      </c>
      <c r="BC216" s="36">
        <f t="shared" si="129"/>
        <v>46896.44697619044</v>
      </c>
      <c r="BD216" s="36">
        <f t="shared" si="129"/>
        <v>46916.288246031712</v>
      </c>
      <c r="BE216" s="36">
        <f t="shared" si="129"/>
        <v>46936.129515872977</v>
      </c>
      <c r="BF216" s="36">
        <f t="shared" si="129"/>
        <v>46955.970785714249</v>
      </c>
      <c r="BG216" s="36">
        <f t="shared" si="129"/>
        <v>46975.812055555507</v>
      </c>
      <c r="BH216" s="36">
        <f t="shared" si="129"/>
        <v>46995.653325396772</v>
      </c>
      <c r="BI216" s="36">
        <f t="shared" si="129"/>
        <v>47015.494595238044</v>
      </c>
      <c r="BJ216" s="36">
        <f t="shared" si="129"/>
        <v>47035.335865079309</v>
      </c>
      <c r="BK216" s="36">
        <f t="shared" si="130"/>
        <v>47055.177134920581</v>
      </c>
      <c r="BL216" s="36">
        <f t="shared" si="130"/>
        <v>47075.018404761839</v>
      </c>
      <c r="BM216" s="36">
        <f t="shared" si="130"/>
        <v>47094.859674603111</v>
      </c>
      <c r="BN216" s="36">
        <f t="shared" si="130"/>
        <v>47114.700944444376</v>
      </c>
      <c r="BO216" s="36">
        <f t="shared" si="130"/>
        <v>47134.542214285648</v>
      </c>
      <c r="BP216" s="36">
        <f t="shared" si="130"/>
        <v>47154.383484126913</v>
      </c>
      <c r="BQ216" s="36">
        <f t="shared" si="130"/>
        <v>47174.224753968185</v>
      </c>
      <c r="BR216" s="36">
        <f t="shared" si="130"/>
        <v>47194.066023809442</v>
      </c>
      <c r="BS216" s="36">
        <f t="shared" si="130"/>
        <v>47213.907293650715</v>
      </c>
      <c r="BT216" s="36">
        <f t="shared" si="130"/>
        <v>47233.748563491979</v>
      </c>
      <c r="BU216" s="36">
        <f t="shared" si="130"/>
        <v>47253.589833333244</v>
      </c>
      <c r="BV216" s="36">
        <f t="shared" si="130"/>
        <v>47273.431103174516</v>
      </c>
      <c r="BW216" s="36">
        <f t="shared" si="130"/>
        <v>47293.272373015774</v>
      </c>
      <c r="BX216" s="36">
        <f t="shared" si="130"/>
        <v>47313.113642857046</v>
      </c>
      <c r="BZ216" s="8">
        <f>SUMIF($B$252:$BY$252,1,$B216:$BY216)</f>
        <v>21831.32</v>
      </c>
      <c r="CA216" s="8">
        <f>SUMIF($B$253:$BY$253,1,$B216:$BY216)</f>
        <v>260359.61</v>
      </c>
      <c r="CC216" s="8">
        <f t="shared" si="131"/>
        <v>2267</v>
      </c>
      <c r="CD216" s="8">
        <f t="shared" si="131"/>
        <v>5535</v>
      </c>
      <c r="CE216" s="8">
        <f t="shared" si="131"/>
        <v>146409.43</v>
      </c>
      <c r="CF216" s="8">
        <f t="shared" si="131"/>
        <v>284206.92</v>
      </c>
      <c r="CG216" s="8">
        <f t="shared" si="131"/>
        <v>359815.28593989002</v>
      </c>
      <c r="CH216" s="8">
        <f t="shared" si="131"/>
        <v>549312.75452507765</v>
      </c>
      <c r="CI216" s="8">
        <f t="shared" si="131"/>
        <v>563590.69704761845</v>
      </c>
      <c r="CJ216" s="8">
        <f t="shared" si="131"/>
        <v>566447.83990476094</v>
      </c>
    </row>
    <row r="217" spans="1:88" x14ac:dyDescent="0.3">
      <c r="A217" s="373" t="s">
        <v>388</v>
      </c>
      <c r="B217" s="10"/>
      <c r="C217" s="36">
        <f t="shared" si="124"/>
        <v>144000</v>
      </c>
      <c r="D217" s="36">
        <f t="shared" si="124"/>
        <v>0</v>
      </c>
      <c r="E217" s="36">
        <f t="shared" si="124"/>
        <v>0</v>
      </c>
      <c r="F217" s="36">
        <f t="shared" si="124"/>
        <v>0</v>
      </c>
      <c r="G217" s="36">
        <f t="shared" si="124"/>
        <v>0</v>
      </c>
      <c r="H217" s="36">
        <f t="shared" si="124"/>
        <v>0</v>
      </c>
      <c r="I217" s="36">
        <f t="shared" si="124"/>
        <v>0</v>
      </c>
      <c r="J217" s="36">
        <f t="shared" si="124"/>
        <v>-15000</v>
      </c>
      <c r="K217" s="36">
        <f t="shared" si="124"/>
        <v>0</v>
      </c>
      <c r="L217" s="36">
        <f t="shared" si="124"/>
        <v>0</v>
      </c>
      <c r="M217" s="36">
        <f t="shared" si="125"/>
        <v>0</v>
      </c>
      <c r="N217" s="36">
        <f t="shared" si="125"/>
        <v>0</v>
      </c>
      <c r="O217" s="36">
        <f t="shared" si="125"/>
        <v>0</v>
      </c>
      <c r="P217" s="36">
        <f t="shared" si="125"/>
        <v>49606</v>
      </c>
      <c r="Q217" s="36">
        <f t="shared" si="125"/>
        <v>0</v>
      </c>
      <c r="R217" s="36">
        <f t="shared" si="125"/>
        <v>0</v>
      </c>
      <c r="S217" s="36">
        <f t="shared" si="125"/>
        <v>0</v>
      </c>
      <c r="T217" s="36">
        <f t="shared" si="125"/>
        <v>0</v>
      </c>
      <c r="U217" s="36">
        <f t="shared" si="125"/>
        <v>0</v>
      </c>
      <c r="V217" s="36">
        <f t="shared" si="125"/>
        <v>0</v>
      </c>
      <c r="W217" s="36">
        <f t="shared" si="126"/>
        <v>0</v>
      </c>
      <c r="X217" s="36">
        <f t="shared" si="126"/>
        <v>0</v>
      </c>
      <c r="Y217" s="36">
        <f t="shared" si="126"/>
        <v>0</v>
      </c>
      <c r="Z217" s="36">
        <f t="shared" si="126"/>
        <v>0</v>
      </c>
      <c r="AA217" s="36">
        <f t="shared" si="126"/>
        <v>0</v>
      </c>
      <c r="AB217" s="36">
        <f t="shared" si="126"/>
        <v>0</v>
      </c>
      <c r="AC217" s="36">
        <f t="shared" si="126"/>
        <v>-670098.30999999994</v>
      </c>
      <c r="AD217" s="36">
        <f t="shared" si="126"/>
        <v>0</v>
      </c>
      <c r="AE217" s="36">
        <f t="shared" si="126"/>
        <v>0</v>
      </c>
      <c r="AF217" s="36">
        <f t="shared" si="126"/>
        <v>0</v>
      </c>
      <c r="AG217" s="36">
        <f t="shared" si="127"/>
        <v>0</v>
      </c>
      <c r="AH217" s="36">
        <f t="shared" si="127"/>
        <v>0</v>
      </c>
      <c r="AI217" s="36">
        <f t="shared" si="127"/>
        <v>0</v>
      </c>
      <c r="AJ217" s="36">
        <f t="shared" si="127"/>
        <v>0</v>
      </c>
      <c r="AK217" s="36">
        <f t="shared" si="127"/>
        <v>0</v>
      </c>
      <c r="AL217" s="36">
        <f t="shared" si="127"/>
        <v>0</v>
      </c>
      <c r="AM217" s="36">
        <f t="shared" si="127"/>
        <v>0</v>
      </c>
      <c r="AN217" s="36">
        <f t="shared" si="127"/>
        <v>0</v>
      </c>
      <c r="AO217" s="36">
        <f t="shared" si="127"/>
        <v>0</v>
      </c>
      <c r="AP217" s="36">
        <f t="shared" si="127"/>
        <v>0</v>
      </c>
      <c r="AQ217" s="36">
        <f t="shared" si="128"/>
        <v>0</v>
      </c>
      <c r="AR217" s="36">
        <f t="shared" si="128"/>
        <v>0</v>
      </c>
      <c r="AS217" s="36">
        <f t="shared" si="128"/>
        <v>0</v>
      </c>
      <c r="AT217" s="36">
        <f t="shared" si="128"/>
        <v>0</v>
      </c>
      <c r="AU217" s="36">
        <f t="shared" si="128"/>
        <v>0</v>
      </c>
      <c r="AV217" s="36">
        <f t="shared" si="128"/>
        <v>0</v>
      </c>
      <c r="AW217" s="36">
        <f t="shared" si="128"/>
        <v>0</v>
      </c>
      <c r="AX217" s="36">
        <f t="shared" si="128"/>
        <v>0</v>
      </c>
      <c r="AY217" s="36">
        <f t="shared" si="128"/>
        <v>0</v>
      </c>
      <c r="AZ217" s="36">
        <f t="shared" si="128"/>
        <v>0</v>
      </c>
      <c r="BA217" s="36">
        <f t="shared" si="129"/>
        <v>0</v>
      </c>
      <c r="BB217" s="36">
        <f t="shared" si="129"/>
        <v>0</v>
      </c>
      <c r="BC217" s="36">
        <f t="shared" si="129"/>
        <v>0</v>
      </c>
      <c r="BD217" s="36">
        <f t="shared" si="129"/>
        <v>0</v>
      </c>
      <c r="BE217" s="36">
        <f t="shared" si="129"/>
        <v>0</v>
      </c>
      <c r="BF217" s="36">
        <f t="shared" si="129"/>
        <v>0</v>
      </c>
      <c r="BG217" s="36">
        <f t="shared" si="129"/>
        <v>0</v>
      </c>
      <c r="BH217" s="36">
        <f t="shared" si="129"/>
        <v>0</v>
      </c>
      <c r="BI217" s="36">
        <f t="shared" si="129"/>
        <v>0</v>
      </c>
      <c r="BJ217" s="36">
        <f t="shared" si="129"/>
        <v>0</v>
      </c>
      <c r="BK217" s="36">
        <f t="shared" si="130"/>
        <v>0</v>
      </c>
      <c r="BL217" s="36">
        <f t="shared" si="130"/>
        <v>0</v>
      </c>
      <c r="BM217" s="36">
        <f t="shared" si="130"/>
        <v>0</v>
      </c>
      <c r="BN217" s="36">
        <f t="shared" si="130"/>
        <v>0</v>
      </c>
      <c r="BO217" s="36">
        <f t="shared" si="130"/>
        <v>0</v>
      </c>
      <c r="BP217" s="36">
        <f t="shared" si="130"/>
        <v>0</v>
      </c>
      <c r="BQ217" s="36">
        <f t="shared" si="130"/>
        <v>0</v>
      </c>
      <c r="BR217" s="36">
        <f t="shared" si="130"/>
        <v>0</v>
      </c>
      <c r="BS217" s="36">
        <f t="shared" si="130"/>
        <v>0</v>
      </c>
      <c r="BT217" s="36">
        <f t="shared" si="130"/>
        <v>0</v>
      </c>
      <c r="BU217" s="36">
        <f t="shared" si="130"/>
        <v>0</v>
      </c>
      <c r="BV217" s="36">
        <f t="shared" si="130"/>
        <v>0</v>
      </c>
      <c r="BW217" s="36">
        <f t="shared" si="130"/>
        <v>0</v>
      </c>
      <c r="BX217" s="36">
        <f t="shared" si="130"/>
        <v>0</v>
      </c>
      <c r="BZ217" s="8">
        <f>SUMIF($B$252:$BY$252,1,$B217:$BY217)</f>
        <v>0</v>
      </c>
      <c r="CA217" s="8">
        <f>SUMIF($B$253:$BY$253,1,$B217:$BY217)</f>
        <v>0</v>
      </c>
      <c r="CC217" s="8">
        <f t="shared" si="131"/>
        <v>144000</v>
      </c>
      <c r="CD217" s="8">
        <f t="shared" si="131"/>
        <v>0</v>
      </c>
      <c r="CE217" s="8">
        <f t="shared" si="131"/>
        <v>34606</v>
      </c>
      <c r="CF217" s="8">
        <f t="shared" si="131"/>
        <v>0</v>
      </c>
      <c r="CG217" s="8">
        <f t="shared" si="131"/>
        <v>-670098.30999999994</v>
      </c>
      <c r="CH217" s="8">
        <f t="shared" si="131"/>
        <v>0</v>
      </c>
      <c r="CI217" s="8">
        <f t="shared" si="131"/>
        <v>0</v>
      </c>
      <c r="CJ217" s="8">
        <f t="shared" si="131"/>
        <v>0</v>
      </c>
    </row>
    <row r="218" spans="1:88" x14ac:dyDescent="0.3">
      <c r="A218" s="373" t="s">
        <v>386</v>
      </c>
      <c r="B218" s="10"/>
      <c r="C218" s="36">
        <f t="shared" si="124"/>
        <v>0</v>
      </c>
      <c r="D218" s="36">
        <f t="shared" si="124"/>
        <v>0</v>
      </c>
      <c r="E218" s="36">
        <f t="shared" si="124"/>
        <v>0</v>
      </c>
      <c r="F218" s="36">
        <f t="shared" si="124"/>
        <v>0</v>
      </c>
      <c r="G218" s="36">
        <f t="shared" si="124"/>
        <v>0</v>
      </c>
      <c r="H218" s="36">
        <f t="shared" si="124"/>
        <v>0</v>
      </c>
      <c r="I218" s="36">
        <f t="shared" si="124"/>
        <v>0</v>
      </c>
      <c r="J218" s="36">
        <f t="shared" si="124"/>
        <v>0</v>
      </c>
      <c r="K218" s="36">
        <f t="shared" si="124"/>
        <v>0</v>
      </c>
      <c r="L218" s="36">
        <f t="shared" si="124"/>
        <v>0</v>
      </c>
      <c r="M218" s="36">
        <f t="shared" si="125"/>
        <v>0</v>
      </c>
      <c r="N218" s="36">
        <f t="shared" si="125"/>
        <v>0</v>
      </c>
      <c r="O218" s="36">
        <f t="shared" si="125"/>
        <v>0</v>
      </c>
      <c r="P218" s="36">
        <f t="shared" si="125"/>
        <v>0</v>
      </c>
      <c r="Q218" s="36">
        <f t="shared" si="125"/>
        <v>0</v>
      </c>
      <c r="R218" s="36">
        <f t="shared" si="125"/>
        <v>0</v>
      </c>
      <c r="S218" s="36">
        <f t="shared" si="125"/>
        <v>0</v>
      </c>
      <c r="T218" s="36">
        <f t="shared" si="125"/>
        <v>0</v>
      </c>
      <c r="U218" s="36">
        <f t="shared" si="125"/>
        <v>0</v>
      </c>
      <c r="V218" s="36">
        <f t="shared" si="125"/>
        <v>0</v>
      </c>
      <c r="W218" s="36">
        <f t="shared" si="126"/>
        <v>0</v>
      </c>
      <c r="X218" s="36">
        <f t="shared" si="126"/>
        <v>0</v>
      </c>
      <c r="Y218" s="36">
        <f t="shared" si="126"/>
        <v>0</v>
      </c>
      <c r="Z218" s="36">
        <f t="shared" si="126"/>
        <v>0</v>
      </c>
      <c r="AA218" s="36">
        <f t="shared" si="126"/>
        <v>0</v>
      </c>
      <c r="AB218" s="36">
        <f t="shared" si="126"/>
        <v>0</v>
      </c>
      <c r="AC218" s="36">
        <f t="shared" si="126"/>
        <v>0</v>
      </c>
      <c r="AD218" s="36">
        <f t="shared" si="126"/>
        <v>0</v>
      </c>
      <c r="AE218" s="36">
        <f t="shared" si="126"/>
        <v>0</v>
      </c>
      <c r="AF218" s="36">
        <f t="shared" si="126"/>
        <v>0</v>
      </c>
      <c r="AG218" s="36">
        <f t="shared" si="127"/>
        <v>0</v>
      </c>
      <c r="AH218" s="36">
        <f t="shared" si="127"/>
        <v>0</v>
      </c>
      <c r="AI218" s="36">
        <f t="shared" si="127"/>
        <v>0</v>
      </c>
      <c r="AJ218" s="36">
        <f t="shared" si="127"/>
        <v>0</v>
      </c>
      <c r="AK218" s="36">
        <f t="shared" si="127"/>
        <v>0</v>
      </c>
      <c r="AL218" s="36">
        <f t="shared" si="127"/>
        <v>0</v>
      </c>
      <c r="AM218" s="36">
        <f t="shared" si="127"/>
        <v>0</v>
      </c>
      <c r="AN218" s="36">
        <f t="shared" si="127"/>
        <v>0</v>
      </c>
      <c r="AO218" s="36">
        <f t="shared" si="127"/>
        <v>0</v>
      </c>
      <c r="AP218" s="36">
        <f t="shared" si="127"/>
        <v>0</v>
      </c>
      <c r="AQ218" s="36">
        <f t="shared" si="128"/>
        <v>0</v>
      </c>
      <c r="AR218" s="36">
        <f t="shared" si="128"/>
        <v>0</v>
      </c>
      <c r="AS218" s="36">
        <f t="shared" si="128"/>
        <v>0</v>
      </c>
      <c r="AT218" s="36">
        <f t="shared" si="128"/>
        <v>0</v>
      </c>
      <c r="AU218" s="36">
        <f t="shared" si="128"/>
        <v>0</v>
      </c>
      <c r="AV218" s="36">
        <f t="shared" si="128"/>
        <v>0</v>
      </c>
      <c r="AW218" s="36">
        <f t="shared" si="128"/>
        <v>0</v>
      </c>
      <c r="AX218" s="36">
        <f t="shared" si="128"/>
        <v>0</v>
      </c>
      <c r="AY218" s="36">
        <f t="shared" si="128"/>
        <v>0</v>
      </c>
      <c r="AZ218" s="36">
        <f t="shared" si="128"/>
        <v>0</v>
      </c>
      <c r="BA218" s="36">
        <f t="shared" si="129"/>
        <v>0</v>
      </c>
      <c r="BB218" s="36">
        <f t="shared" si="129"/>
        <v>0</v>
      </c>
      <c r="BC218" s="36">
        <f t="shared" si="129"/>
        <v>0</v>
      </c>
      <c r="BD218" s="36">
        <f t="shared" si="129"/>
        <v>0</v>
      </c>
      <c r="BE218" s="36">
        <f t="shared" si="129"/>
        <v>0</v>
      </c>
      <c r="BF218" s="36">
        <f t="shared" si="129"/>
        <v>0</v>
      </c>
      <c r="BG218" s="36">
        <f t="shared" si="129"/>
        <v>0</v>
      </c>
      <c r="BH218" s="36">
        <f t="shared" si="129"/>
        <v>0</v>
      </c>
      <c r="BI218" s="36">
        <f t="shared" si="129"/>
        <v>0</v>
      </c>
      <c r="BJ218" s="36">
        <f t="shared" si="129"/>
        <v>0</v>
      </c>
      <c r="BK218" s="36">
        <f t="shared" si="130"/>
        <v>0</v>
      </c>
      <c r="BL218" s="36">
        <f t="shared" si="130"/>
        <v>0</v>
      </c>
      <c r="BM218" s="36">
        <f t="shared" si="130"/>
        <v>0</v>
      </c>
      <c r="BN218" s="36">
        <f t="shared" si="130"/>
        <v>0</v>
      </c>
      <c r="BO218" s="36">
        <f t="shared" si="130"/>
        <v>0</v>
      </c>
      <c r="BP218" s="36">
        <f t="shared" si="130"/>
        <v>0</v>
      </c>
      <c r="BQ218" s="36">
        <f t="shared" si="130"/>
        <v>0</v>
      </c>
      <c r="BR218" s="36">
        <f t="shared" si="130"/>
        <v>0</v>
      </c>
      <c r="BS218" s="36">
        <f t="shared" si="130"/>
        <v>0</v>
      </c>
      <c r="BT218" s="36">
        <f t="shared" si="130"/>
        <v>0</v>
      </c>
      <c r="BU218" s="36">
        <f t="shared" si="130"/>
        <v>0</v>
      </c>
      <c r="BV218" s="36">
        <f t="shared" si="130"/>
        <v>0</v>
      </c>
      <c r="BW218" s="36">
        <f t="shared" si="130"/>
        <v>0</v>
      </c>
      <c r="BX218" s="36">
        <f t="shared" si="130"/>
        <v>0</v>
      </c>
      <c r="BZ218" s="8">
        <f>SUMIF($B$252:$BY$252,1,$B218:$BY218)</f>
        <v>0</v>
      </c>
      <c r="CA218" s="8">
        <f>SUMIF($B$253:$BY$253,1,$B218:$BY218)</f>
        <v>0</v>
      </c>
      <c r="CC218" s="8">
        <f t="shared" si="131"/>
        <v>0</v>
      </c>
      <c r="CD218" s="8">
        <f t="shared" si="131"/>
        <v>0</v>
      </c>
      <c r="CE218" s="8">
        <f t="shared" si="131"/>
        <v>0</v>
      </c>
      <c r="CF218" s="8">
        <f t="shared" si="131"/>
        <v>0</v>
      </c>
      <c r="CG218" s="8">
        <f t="shared" si="131"/>
        <v>0</v>
      </c>
      <c r="CH218" s="8">
        <f t="shared" si="131"/>
        <v>0</v>
      </c>
      <c r="CI218" s="8">
        <f t="shared" si="131"/>
        <v>0</v>
      </c>
      <c r="CJ218" s="8">
        <f t="shared" si="131"/>
        <v>0</v>
      </c>
    </row>
    <row r="219" spans="1:88" x14ac:dyDescent="0.3">
      <c r="A219" s="20" t="s">
        <v>384</v>
      </c>
      <c r="B219" s="10"/>
      <c r="C219" s="374">
        <f>SUM(C214:C218)</f>
        <v>-221867.5700000003</v>
      </c>
      <c r="D219" s="374">
        <f t="shared" ref="D219:BO219" si="132">SUM(D214:D218)</f>
        <v>-23890.169999999925</v>
      </c>
      <c r="E219" s="374">
        <f t="shared" si="132"/>
        <v>512851.81000000006</v>
      </c>
      <c r="F219" s="374">
        <f t="shared" si="132"/>
        <v>274921.98000000004</v>
      </c>
      <c r="G219" s="374">
        <f t="shared" si="132"/>
        <v>-96652.540000000037</v>
      </c>
      <c r="H219" s="374">
        <f t="shared" si="132"/>
        <v>338085.14</v>
      </c>
      <c r="I219" s="374">
        <f t="shared" si="132"/>
        <v>-258914.82</v>
      </c>
      <c r="J219" s="374">
        <f t="shared" si="132"/>
        <v>302784.05</v>
      </c>
      <c r="K219" s="374">
        <f t="shared" si="132"/>
        <v>-269105.90000000002</v>
      </c>
      <c r="L219" s="374">
        <f t="shared" si="132"/>
        <v>41480.270000000048</v>
      </c>
      <c r="M219" s="374">
        <f t="shared" si="132"/>
        <v>-8727.389999999983</v>
      </c>
      <c r="N219" s="374">
        <f t="shared" si="132"/>
        <v>279858.09000000008</v>
      </c>
      <c r="O219" s="374">
        <f t="shared" si="132"/>
        <v>-274542.66000000003</v>
      </c>
      <c r="P219" s="374">
        <f t="shared" si="132"/>
        <v>171025.33999999994</v>
      </c>
      <c r="Q219" s="374">
        <f t="shared" si="132"/>
        <v>120715.29999999999</v>
      </c>
      <c r="R219" s="374">
        <f t="shared" si="132"/>
        <v>5480.8399999999419</v>
      </c>
      <c r="S219" s="374">
        <f t="shared" si="132"/>
        <v>382439.53999999992</v>
      </c>
      <c r="T219" s="374">
        <f t="shared" si="132"/>
        <v>27471.94999999995</v>
      </c>
      <c r="U219" s="374">
        <f t="shared" si="132"/>
        <v>-43008.079999999929</v>
      </c>
      <c r="V219" s="374">
        <f t="shared" si="132"/>
        <v>1715.5899999999638</v>
      </c>
      <c r="W219" s="374">
        <f t="shared" si="132"/>
        <v>14881.839999999956</v>
      </c>
      <c r="X219" s="374">
        <f t="shared" si="132"/>
        <v>-39532.039999999964</v>
      </c>
      <c r="Y219" s="374">
        <f t="shared" si="132"/>
        <v>123781.21999999994</v>
      </c>
      <c r="Z219" s="374">
        <f t="shared" si="132"/>
        <v>282333.78000000009</v>
      </c>
      <c r="AA219" s="374">
        <f t="shared" si="132"/>
        <v>-21354.309999999947</v>
      </c>
      <c r="AB219" s="374">
        <f t="shared" si="132"/>
        <v>-63377.094417164233</v>
      </c>
      <c r="AC219" s="374">
        <f t="shared" si="132"/>
        <v>220209.45663333323</v>
      </c>
      <c r="AD219" s="374">
        <f t="shared" si="132"/>
        <v>85403.879822842951</v>
      </c>
      <c r="AE219" s="374">
        <f t="shared" si="132"/>
        <v>451569.17677981005</v>
      </c>
      <c r="AF219" s="374">
        <f t="shared" si="132"/>
        <v>57622.073070662838</v>
      </c>
      <c r="AG219" s="374">
        <f t="shared" si="132"/>
        <v>49053.758355619168</v>
      </c>
      <c r="AH219" s="374">
        <f t="shared" si="132"/>
        <v>82528.3482068187</v>
      </c>
      <c r="AI219" s="374">
        <f t="shared" si="132"/>
        <v>62191.893587376704</v>
      </c>
      <c r="AJ219" s="374">
        <f t="shared" si="132"/>
        <v>170975.4907657578</v>
      </c>
      <c r="AK219" s="374">
        <f t="shared" si="132"/>
        <v>127156.15390167455</v>
      </c>
      <c r="AL219" s="374">
        <f t="shared" si="132"/>
        <v>146625.52672240039</v>
      </c>
      <c r="AM219" s="374">
        <f t="shared" si="132"/>
        <v>152925.75720531814</v>
      </c>
      <c r="AN219" s="374">
        <f t="shared" si="132"/>
        <v>-105571.90662924811</v>
      </c>
      <c r="AO219" s="374">
        <f t="shared" si="132"/>
        <v>281239.01952533331</v>
      </c>
      <c r="AP219" s="374">
        <f t="shared" si="132"/>
        <v>143293.18431565861</v>
      </c>
      <c r="AQ219" s="374">
        <f t="shared" si="132"/>
        <v>524416.6564922625</v>
      </c>
      <c r="AR219" s="374">
        <f t="shared" si="132"/>
        <v>108439.8373973436</v>
      </c>
      <c r="AS219" s="374">
        <f t="shared" si="132"/>
        <v>100652.64569094082</v>
      </c>
      <c r="AT219" s="374">
        <f t="shared" si="132"/>
        <v>137192.46785650845</v>
      </c>
      <c r="AU219" s="374">
        <f t="shared" si="132"/>
        <v>112942.14438536008</v>
      </c>
      <c r="AV219" s="374">
        <f t="shared" si="132"/>
        <v>163132.81994723101</v>
      </c>
      <c r="AW219" s="374">
        <f t="shared" si="132"/>
        <v>147124.02168493532</v>
      </c>
      <c r="AX219" s="374">
        <f t="shared" si="132"/>
        <v>138410.26613364028</v>
      </c>
      <c r="AY219" s="374">
        <f t="shared" si="132"/>
        <v>144074.91542699427</v>
      </c>
      <c r="AZ219" s="374">
        <f t="shared" si="132"/>
        <v>-71736.217561693033</v>
      </c>
      <c r="BA219" s="374">
        <f t="shared" si="132"/>
        <v>359189.9667024017</v>
      </c>
      <c r="BB219" s="374">
        <f t="shared" si="132"/>
        <v>157711.01270567317</v>
      </c>
      <c r="BC219" s="374">
        <f t="shared" si="132"/>
        <v>535673.01862838818</v>
      </c>
      <c r="BD219" s="374">
        <f t="shared" si="132"/>
        <v>122728.19620068464</v>
      </c>
      <c r="BE219" s="374">
        <f t="shared" si="132"/>
        <v>114452.96505243565</v>
      </c>
      <c r="BF219" s="374">
        <f t="shared" si="132"/>
        <v>153116.64413278765</v>
      </c>
      <c r="BG219" s="374">
        <f t="shared" si="132"/>
        <v>128478.69716854655</v>
      </c>
      <c r="BH219" s="374">
        <f t="shared" si="132"/>
        <v>179621.44475443626</v>
      </c>
      <c r="BI219" s="374">
        <f t="shared" si="132"/>
        <v>162313.60688291315</v>
      </c>
      <c r="BJ219" s="374">
        <f t="shared" si="132"/>
        <v>154253.5372746854</v>
      </c>
      <c r="BK219" s="374">
        <f t="shared" si="132"/>
        <v>159884.75009857188</v>
      </c>
      <c r="BL219" s="374">
        <f t="shared" si="132"/>
        <v>-66015.375098396849</v>
      </c>
      <c r="BM219" s="374">
        <f t="shared" si="132"/>
        <v>385409.1243479703</v>
      </c>
      <c r="BN219" s="374">
        <f t="shared" si="132"/>
        <v>160147.46063096065</v>
      </c>
      <c r="BO219" s="374">
        <f t="shared" si="132"/>
        <v>536295.84130228776</v>
      </c>
      <c r="BP219" s="374">
        <f t="shared" ref="BP219:CA219" si="133">SUM(BP214:BP218)</f>
        <v>125181.19967318005</v>
      </c>
      <c r="BQ219" s="374">
        <f t="shared" si="133"/>
        <v>115647.55539784797</v>
      </c>
      <c r="BR219" s="374">
        <f t="shared" si="133"/>
        <v>155323.16399797992</v>
      </c>
      <c r="BS219" s="374">
        <f t="shared" si="133"/>
        <v>128967.22464576986</v>
      </c>
      <c r="BT219" s="374">
        <f t="shared" si="133"/>
        <v>183592.02083796507</v>
      </c>
      <c r="BU219" s="374">
        <f t="shared" si="133"/>
        <v>165550.55907335418</v>
      </c>
      <c r="BV219" s="374">
        <f t="shared" si="133"/>
        <v>157671.64272040408</v>
      </c>
      <c r="BW219" s="374">
        <f t="shared" si="133"/>
        <v>163156.20390973342</v>
      </c>
      <c r="BX219" s="374">
        <f t="shared" si="133"/>
        <v>-69373.742112946464</v>
      </c>
      <c r="BZ219" s="374">
        <f t="shared" si="133"/>
        <v>-21354.309999999947</v>
      </c>
      <c r="CA219" s="374">
        <f t="shared" si="133"/>
        <v>854925.62999999977</v>
      </c>
      <c r="CC219" s="374">
        <f t="shared" ref="CC219" si="134">SUM(CC214:CC218)</f>
        <v>-221867.5700000003</v>
      </c>
      <c r="CD219" s="374">
        <f t="shared" ref="CD219" si="135">SUM(CD214:CD218)</f>
        <v>-23890.169999999925</v>
      </c>
      <c r="CE219" s="374">
        <f t="shared" ref="CE219" si="136">SUM(CE214:CE218)</f>
        <v>1013063.3700000001</v>
      </c>
      <c r="CF219" s="374">
        <f t="shared" ref="CF219" si="137">SUM(CF214:CF218)</f>
        <v>791548.53558283579</v>
      </c>
      <c r="CG219" s="374">
        <f t="shared" ref="CG219" si="138">SUM(CG214:CG218)</f>
        <v>1500689.6084223664</v>
      </c>
      <c r="CH219" s="374">
        <f t="shared" ref="CH219" si="139">SUM(CH214:CH218)</f>
        <v>1929181.7612945149</v>
      </c>
      <c r="CI219" s="374">
        <f t="shared" ref="CI219" si="140">SUM(CI214:CI218)</f>
        <v>2161408.4645031272</v>
      </c>
      <c r="CJ219" s="374">
        <f t="shared" ref="CJ219" si="141">SUM(CJ214:CJ218)</f>
        <v>2207568.2544245068</v>
      </c>
    </row>
    <row r="220" spans="1:88" x14ac:dyDescent="0.3">
      <c r="A220" s="20"/>
      <c r="B220" s="10"/>
      <c r="C220" s="40">
        <f>C219-C183</f>
        <v>-1.3969838619232178E-9</v>
      </c>
      <c r="D220" s="40">
        <f t="shared" ref="D220:BO220" si="142">D219-D183</f>
        <v>9.3132257461547852E-10</v>
      </c>
      <c r="E220" s="40">
        <f t="shared" si="142"/>
        <v>0</v>
      </c>
      <c r="F220" s="40">
        <f t="shared" si="142"/>
        <v>0</v>
      </c>
      <c r="G220" s="40">
        <f t="shared" si="142"/>
        <v>0</v>
      </c>
      <c r="H220" s="40">
        <f t="shared" si="142"/>
        <v>0</v>
      </c>
      <c r="I220" s="40">
        <f t="shared" si="142"/>
        <v>0</v>
      </c>
      <c r="J220" s="40">
        <f t="shared" si="142"/>
        <v>0</v>
      </c>
      <c r="K220" s="40">
        <f t="shared" si="142"/>
        <v>0</v>
      </c>
      <c r="L220" s="40">
        <f t="shared" si="142"/>
        <v>1.1641532182693481E-10</v>
      </c>
      <c r="M220" s="40">
        <f t="shared" si="142"/>
        <v>5.8207660913467407E-11</v>
      </c>
      <c r="N220" s="40">
        <f t="shared" si="142"/>
        <v>0</v>
      </c>
      <c r="O220" s="40">
        <f t="shared" si="142"/>
        <v>0</v>
      </c>
      <c r="P220" s="40">
        <f t="shared" si="142"/>
        <v>0</v>
      </c>
      <c r="Q220" s="40">
        <f t="shared" si="142"/>
        <v>0</v>
      </c>
      <c r="R220" s="40">
        <f t="shared" si="142"/>
        <v>-1.1641532182693481E-10</v>
      </c>
      <c r="S220" s="40">
        <f t="shared" si="142"/>
        <v>0</v>
      </c>
      <c r="T220" s="40">
        <f t="shared" si="142"/>
        <v>5.8207660913467407E-11</v>
      </c>
      <c r="U220" s="40">
        <f t="shared" si="142"/>
        <v>0</v>
      </c>
      <c r="V220" s="40">
        <f t="shared" si="142"/>
        <v>2.3283064365386963E-10</v>
      </c>
      <c r="W220" s="40">
        <f t="shared" si="142"/>
        <v>-5.8207660913467407E-11</v>
      </c>
      <c r="X220" s="40">
        <f t="shared" si="142"/>
        <v>1.7462298274040222E-10</v>
      </c>
      <c r="Y220" s="40">
        <f t="shared" si="142"/>
        <v>1.1641532182693481E-10</v>
      </c>
      <c r="Z220" s="40">
        <f t="shared" si="142"/>
        <v>0</v>
      </c>
      <c r="AA220" s="40">
        <f t="shared" si="142"/>
        <v>5.8207660913467407E-11</v>
      </c>
      <c r="AB220" s="40">
        <f t="shared" si="142"/>
        <v>3.4924596548080444E-10</v>
      </c>
      <c r="AC220" s="40">
        <f t="shared" si="142"/>
        <v>0</v>
      </c>
      <c r="AD220" s="40">
        <f t="shared" si="142"/>
        <v>0</v>
      </c>
      <c r="AE220" s="40">
        <f t="shared" si="142"/>
        <v>0</v>
      </c>
      <c r="AF220" s="40">
        <f t="shared" si="142"/>
        <v>-1.1641532182693481E-10</v>
      </c>
      <c r="AG220" s="40">
        <f t="shared" si="142"/>
        <v>0</v>
      </c>
      <c r="AH220" s="40">
        <f t="shared" si="142"/>
        <v>0</v>
      </c>
      <c r="AI220" s="40">
        <f t="shared" si="142"/>
        <v>0</v>
      </c>
      <c r="AJ220" s="40">
        <f t="shared" si="142"/>
        <v>0</v>
      </c>
      <c r="AK220" s="40">
        <f t="shared" si="142"/>
        <v>0</v>
      </c>
      <c r="AL220" s="40">
        <f t="shared" si="142"/>
        <v>0</v>
      </c>
      <c r="AM220" s="40">
        <f t="shared" si="142"/>
        <v>0</v>
      </c>
      <c r="AN220" s="40">
        <f t="shared" si="142"/>
        <v>0</v>
      </c>
      <c r="AO220" s="40">
        <f t="shared" si="142"/>
        <v>0</v>
      </c>
      <c r="AP220" s="40">
        <f t="shared" si="142"/>
        <v>0</v>
      </c>
      <c r="AQ220" s="40">
        <f t="shared" si="142"/>
        <v>0</v>
      </c>
      <c r="AR220" s="40">
        <f t="shared" si="142"/>
        <v>-2.3283064365386963E-10</v>
      </c>
      <c r="AS220" s="40">
        <f t="shared" si="142"/>
        <v>-1.1641532182693481E-10</v>
      </c>
      <c r="AT220" s="40">
        <f t="shared" si="142"/>
        <v>0</v>
      </c>
      <c r="AU220" s="40">
        <f t="shared" si="142"/>
        <v>0</v>
      </c>
      <c r="AV220" s="40">
        <f t="shared" si="142"/>
        <v>0</v>
      </c>
      <c r="AW220" s="40">
        <f t="shared" si="142"/>
        <v>0</v>
      </c>
      <c r="AX220" s="40">
        <f t="shared" si="142"/>
        <v>0</v>
      </c>
      <c r="AY220" s="40">
        <f t="shared" si="142"/>
        <v>0</v>
      </c>
      <c r="AZ220" s="40">
        <f t="shared" si="142"/>
        <v>1.1641532182693481E-10</v>
      </c>
      <c r="BA220" s="40">
        <f t="shared" si="142"/>
        <v>0</v>
      </c>
      <c r="BB220" s="40">
        <f t="shared" si="142"/>
        <v>0</v>
      </c>
      <c r="BC220" s="40">
        <f t="shared" si="142"/>
        <v>0</v>
      </c>
      <c r="BD220" s="40">
        <f t="shared" si="142"/>
        <v>0</v>
      </c>
      <c r="BE220" s="40">
        <f t="shared" si="142"/>
        <v>-1.7462298274040222E-10</v>
      </c>
      <c r="BF220" s="40">
        <f t="shared" si="142"/>
        <v>0</v>
      </c>
      <c r="BG220" s="40">
        <f t="shared" si="142"/>
        <v>1.7462298274040222E-10</v>
      </c>
      <c r="BH220" s="40">
        <f t="shared" si="142"/>
        <v>0</v>
      </c>
      <c r="BI220" s="40">
        <f t="shared" si="142"/>
        <v>0</v>
      </c>
      <c r="BJ220" s="40">
        <f t="shared" si="142"/>
        <v>0</v>
      </c>
      <c r="BK220" s="40">
        <f t="shared" si="142"/>
        <v>0</v>
      </c>
      <c r="BL220" s="40">
        <f t="shared" si="142"/>
        <v>0</v>
      </c>
      <c r="BM220" s="40">
        <f t="shared" si="142"/>
        <v>0</v>
      </c>
      <c r="BN220" s="40">
        <f t="shared" si="142"/>
        <v>0</v>
      </c>
      <c r="BO220" s="40">
        <f t="shared" si="142"/>
        <v>0</v>
      </c>
      <c r="BP220" s="40">
        <f t="shared" ref="BP220:BX220" si="143">BP219-BP183</f>
        <v>-2.9103830456733704E-10</v>
      </c>
      <c r="BQ220" s="40">
        <f t="shared" si="143"/>
        <v>-3.4924596548080444E-10</v>
      </c>
      <c r="BR220" s="40">
        <f t="shared" si="143"/>
        <v>0</v>
      </c>
      <c r="BS220" s="40">
        <f t="shared" si="143"/>
        <v>-1.7462298274040222E-10</v>
      </c>
      <c r="BT220" s="40">
        <f t="shared" si="143"/>
        <v>0</v>
      </c>
      <c r="BU220" s="40">
        <f t="shared" si="143"/>
        <v>0</v>
      </c>
      <c r="BV220" s="40">
        <f t="shared" si="143"/>
        <v>0</v>
      </c>
      <c r="BW220" s="40">
        <f t="shared" si="143"/>
        <v>0</v>
      </c>
      <c r="BX220" s="40">
        <f t="shared" si="143"/>
        <v>-1.1641532182693481E-10</v>
      </c>
      <c r="BZ220" s="40">
        <f t="shared" ref="BZ220" si="144">BZ219-BZ183</f>
        <v>5.8207660913467407E-11</v>
      </c>
      <c r="CA220" s="40">
        <f t="shared" ref="CA220" si="145">CA219-CA183</f>
        <v>0</v>
      </c>
      <c r="CC220" s="40">
        <f t="shared" ref="CC220" si="146">CC219-CC183</f>
        <v>-1.3969838619232178E-9</v>
      </c>
      <c r="CD220" s="40">
        <f t="shared" ref="CD220" si="147">CD219-CD183</f>
        <v>9.3132257461547852E-10</v>
      </c>
      <c r="CE220" s="40">
        <f t="shared" ref="CE220" si="148">CE219-CE183</f>
        <v>9.3132257461547852E-10</v>
      </c>
      <c r="CF220" s="40">
        <f t="shared" ref="CF220" si="149">CF219-CF183</f>
        <v>0</v>
      </c>
      <c r="CG220" s="40">
        <f t="shared" ref="CG220" si="150">CG219-CG183</f>
        <v>0</v>
      </c>
      <c r="CH220" s="40">
        <f t="shared" ref="CH220" si="151">CH219-CH183</f>
        <v>0</v>
      </c>
      <c r="CI220" s="40">
        <f t="shared" ref="CI220" si="152">CI219-CI183</f>
        <v>0</v>
      </c>
      <c r="CJ220" s="40">
        <f t="shared" ref="CJ220" si="153">CJ219-CJ183</f>
        <v>0</v>
      </c>
    </row>
    <row r="221" spans="1:88" x14ac:dyDescent="0.3">
      <c r="A221" s="23" t="s">
        <v>308</v>
      </c>
      <c r="B221" s="87"/>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89"/>
      <c r="AN221" s="89"/>
      <c r="AO221" s="89"/>
      <c r="AP221" s="89"/>
      <c r="AQ221" s="89"/>
      <c r="AR221" s="89"/>
      <c r="AS221" s="89"/>
      <c r="AT221" s="89"/>
      <c r="AU221" s="89"/>
      <c r="AV221" s="89"/>
      <c r="AW221" s="89"/>
      <c r="AX221" s="89"/>
      <c r="AY221" s="89"/>
      <c r="AZ221" s="89"/>
      <c r="BA221" s="89"/>
      <c r="BB221" s="89"/>
      <c r="BC221" s="89"/>
      <c r="BD221" s="89"/>
      <c r="BE221" s="89"/>
      <c r="BF221" s="89"/>
      <c r="BG221" s="89"/>
      <c r="BH221" s="89"/>
      <c r="BI221" s="89"/>
      <c r="BJ221" s="89"/>
      <c r="BK221" s="89"/>
      <c r="BL221" s="89"/>
      <c r="BM221" s="89"/>
      <c r="BN221" s="89"/>
      <c r="BO221" s="89"/>
      <c r="BP221" s="89"/>
      <c r="BQ221" s="89"/>
      <c r="BR221" s="89"/>
      <c r="BS221" s="89"/>
      <c r="BT221" s="89"/>
      <c r="BU221" s="89"/>
      <c r="BV221" s="89"/>
      <c r="BW221" s="89"/>
      <c r="BX221" s="89"/>
      <c r="BY221" s="88"/>
      <c r="BZ221" s="89"/>
      <c r="CA221" s="89"/>
    </row>
    <row r="222" spans="1:88" x14ac:dyDescent="0.3">
      <c r="A222" t="str">
        <f>B7</f>
        <v>Building Capacity</v>
      </c>
      <c r="B222" s="10"/>
      <c r="C222" s="105"/>
      <c r="D222" s="105"/>
      <c r="E222" s="105">
        <f>'Hillpointe Detail'!E222+'Sandhill Detail'!E222</f>
        <v>504</v>
      </c>
      <c r="F222" s="105">
        <f>'Hillpointe Detail'!F222+'Sandhill Detail'!F222</f>
        <v>504</v>
      </c>
      <c r="G222" s="105">
        <f>'Hillpointe Detail'!G222+'Sandhill Detail'!G222</f>
        <v>504</v>
      </c>
      <c r="H222" s="105">
        <f>'Hillpointe Detail'!H222+'Sandhill Detail'!H222</f>
        <v>504</v>
      </c>
      <c r="I222" s="105">
        <f>'Hillpointe Detail'!I222+'Sandhill Detail'!I222</f>
        <v>504</v>
      </c>
      <c r="J222" s="105">
        <f>'Hillpointe Detail'!J222+'Sandhill Detail'!J222</f>
        <v>504</v>
      </c>
      <c r="K222" s="105">
        <f>'Hillpointe Detail'!K222+'Sandhill Detail'!K222</f>
        <v>504</v>
      </c>
      <c r="L222" s="105">
        <f>'Hillpointe Detail'!L222+'Sandhill Detail'!L222</f>
        <v>504</v>
      </c>
      <c r="M222" s="105">
        <f>'Hillpointe Detail'!M222+'Sandhill Detail'!M222</f>
        <v>504</v>
      </c>
      <c r="N222" s="105">
        <f>'Hillpointe Detail'!N222+'Sandhill Detail'!N222</f>
        <v>504</v>
      </c>
      <c r="O222" s="105">
        <f>'Hillpointe Detail'!O222+'Sandhill Detail'!O222</f>
        <v>504</v>
      </c>
      <c r="P222" s="105">
        <f>'Hillpointe Detail'!P222+'Sandhill Detail'!P222</f>
        <v>504</v>
      </c>
      <c r="Q222" s="105">
        <f>'Hillpointe Detail'!Q222+'Sandhill Detail'!Q222</f>
        <v>588</v>
      </c>
      <c r="R222" s="105">
        <f>'Hillpointe Detail'!R222+'Sandhill Detail'!R222</f>
        <v>644</v>
      </c>
      <c r="S222" s="105">
        <f>'Hillpointe Detail'!S222+'Sandhill Detail'!S222</f>
        <v>644</v>
      </c>
      <c r="T222" s="105">
        <f>'Hillpointe Detail'!T222+'Sandhill Detail'!T222</f>
        <v>644</v>
      </c>
      <c r="U222" s="105">
        <f>'Hillpointe Detail'!U222+'Sandhill Detail'!U222</f>
        <v>644</v>
      </c>
      <c r="V222" s="105">
        <f>'Hillpointe Detail'!V222+'Sandhill Detail'!V222</f>
        <v>644</v>
      </c>
      <c r="W222" s="105">
        <f>'Hillpointe Detail'!W222+'Sandhill Detail'!W222</f>
        <v>644</v>
      </c>
      <c r="X222" s="105">
        <f>'Hillpointe Detail'!X222+'Sandhill Detail'!X222</f>
        <v>644</v>
      </c>
      <c r="Y222" s="105">
        <f>'Hillpointe Detail'!Y222+'Sandhill Detail'!Y222</f>
        <v>644</v>
      </c>
      <c r="Z222" s="105">
        <f>'Hillpointe Detail'!Z222+'Sandhill Detail'!Z222</f>
        <v>644</v>
      </c>
      <c r="AA222" s="105">
        <f>'Hillpointe Detail'!AA222+'Sandhill Detail'!AA222</f>
        <v>644</v>
      </c>
      <c r="AB222" s="105">
        <f>'Hillpointe Detail'!AB222+'Sandhill Detail'!AB222</f>
        <v>644</v>
      </c>
      <c r="AC222" s="105">
        <f>'Hillpointe Detail'!AC222+'Sandhill Detail'!AC222</f>
        <v>644</v>
      </c>
      <c r="AD222" s="105">
        <f>'Hillpointe Detail'!AD222+'Sandhill Detail'!AD222</f>
        <v>644</v>
      </c>
      <c r="AE222" s="105">
        <f>'Hillpointe Detail'!AE222+'Sandhill Detail'!AE222</f>
        <v>644</v>
      </c>
      <c r="AF222" s="105">
        <f>'Hillpointe Detail'!AF222+'Sandhill Detail'!AF222</f>
        <v>644</v>
      </c>
      <c r="AG222" s="105">
        <f>'Hillpointe Detail'!AG222+'Sandhill Detail'!AG222</f>
        <v>644</v>
      </c>
      <c r="AH222" s="105">
        <f>'Hillpointe Detail'!AH222+'Sandhill Detail'!AH222</f>
        <v>644</v>
      </c>
      <c r="AI222" s="105">
        <f>'Hillpointe Detail'!AI222+'Sandhill Detail'!AI222</f>
        <v>644</v>
      </c>
      <c r="AJ222" s="105">
        <f>'Hillpointe Detail'!AJ222+'Sandhill Detail'!AJ222</f>
        <v>644</v>
      </c>
      <c r="AK222" s="105">
        <f>'Hillpointe Detail'!AK222+'Sandhill Detail'!AK222</f>
        <v>644</v>
      </c>
      <c r="AL222" s="105">
        <f>'Hillpointe Detail'!AL222+'Sandhill Detail'!AL222</f>
        <v>644</v>
      </c>
      <c r="AM222" s="105">
        <f>'Hillpointe Detail'!AM222+'Sandhill Detail'!AM222</f>
        <v>644</v>
      </c>
      <c r="AN222" s="105">
        <f>'Hillpointe Detail'!AN222+'Sandhill Detail'!AN222</f>
        <v>644</v>
      </c>
      <c r="AO222" s="105">
        <f>'Hillpointe Detail'!AO222+'Sandhill Detail'!AO222</f>
        <v>0</v>
      </c>
      <c r="AP222" s="105">
        <f>'Hillpointe Detail'!AP222+'Sandhill Detail'!AP222</f>
        <v>0</v>
      </c>
      <c r="AQ222" s="105">
        <f>'Hillpointe Detail'!AQ222+'Sandhill Detail'!AQ222</f>
        <v>0</v>
      </c>
      <c r="AR222" s="105">
        <f>'Hillpointe Detail'!AR222+'Sandhill Detail'!AR222</f>
        <v>0</v>
      </c>
      <c r="AS222" s="105">
        <f>'Hillpointe Detail'!AS222+'Sandhill Detail'!AS222</f>
        <v>0</v>
      </c>
      <c r="AT222" s="105">
        <f>'Hillpointe Detail'!AT222+'Sandhill Detail'!AT222</f>
        <v>0</v>
      </c>
      <c r="AU222" s="105">
        <f>'Hillpointe Detail'!AU222+'Sandhill Detail'!AU222</f>
        <v>0</v>
      </c>
      <c r="AV222" s="105">
        <f>'Hillpointe Detail'!AV222+'Sandhill Detail'!AV222</f>
        <v>0</v>
      </c>
      <c r="AW222" s="105">
        <f>'Hillpointe Detail'!AW222+'Sandhill Detail'!AW222</f>
        <v>0</v>
      </c>
      <c r="AX222" s="105">
        <f>'Hillpointe Detail'!AX222+'Sandhill Detail'!AX222</f>
        <v>0</v>
      </c>
      <c r="AY222" s="105">
        <f>'Hillpointe Detail'!AY222+'Sandhill Detail'!AY222</f>
        <v>0</v>
      </c>
      <c r="AZ222" s="105">
        <f>'Hillpointe Detail'!AZ222+'Sandhill Detail'!AZ222</f>
        <v>0</v>
      </c>
      <c r="BA222" s="105">
        <f>'Hillpointe Detail'!BA222+'Sandhill Detail'!BA222</f>
        <v>0</v>
      </c>
      <c r="BB222" s="105">
        <f>'Hillpointe Detail'!BB222+'Sandhill Detail'!BB222</f>
        <v>0</v>
      </c>
      <c r="BC222" s="105">
        <f>'Hillpointe Detail'!BC222+'Sandhill Detail'!BC222</f>
        <v>0</v>
      </c>
      <c r="BD222" s="105">
        <f>'Hillpointe Detail'!BD222+'Sandhill Detail'!BD222</f>
        <v>0</v>
      </c>
      <c r="BE222" s="105">
        <f>'Hillpointe Detail'!BE222+'Sandhill Detail'!BE222</f>
        <v>0</v>
      </c>
      <c r="BF222" s="105">
        <f>'Hillpointe Detail'!BF222+'Sandhill Detail'!BF222</f>
        <v>0</v>
      </c>
      <c r="BG222" s="105">
        <f>'Hillpointe Detail'!BG222+'Sandhill Detail'!BG222</f>
        <v>0</v>
      </c>
      <c r="BH222" s="105">
        <f>'Hillpointe Detail'!BH222+'Sandhill Detail'!BH222</f>
        <v>0</v>
      </c>
      <c r="BI222" s="105">
        <f>'Hillpointe Detail'!BI222+'Sandhill Detail'!BI222</f>
        <v>0</v>
      </c>
      <c r="BJ222" s="105">
        <f>'Hillpointe Detail'!BJ222+'Sandhill Detail'!BJ222</f>
        <v>0</v>
      </c>
      <c r="BK222" s="105">
        <f>'Hillpointe Detail'!BK222+'Sandhill Detail'!BK222</f>
        <v>0</v>
      </c>
      <c r="BL222" s="105">
        <f>'Hillpointe Detail'!BL222+'Sandhill Detail'!BL222</f>
        <v>0</v>
      </c>
      <c r="BM222" s="105">
        <f>'Hillpointe Detail'!BM222+'Sandhill Detail'!BM222</f>
        <v>0</v>
      </c>
      <c r="BN222" s="105">
        <f>'Hillpointe Detail'!BN222+'Sandhill Detail'!BN222</f>
        <v>0</v>
      </c>
      <c r="BO222" s="105">
        <f>'Hillpointe Detail'!BO222+'Sandhill Detail'!BO222</f>
        <v>0</v>
      </c>
      <c r="BP222" s="105">
        <f>'Hillpointe Detail'!BP222+'Sandhill Detail'!BP222</f>
        <v>0</v>
      </c>
      <c r="BQ222" s="105">
        <f>'Hillpointe Detail'!BQ222+'Sandhill Detail'!BQ222</f>
        <v>0</v>
      </c>
      <c r="BR222" s="105">
        <f>'Hillpointe Detail'!BR222+'Sandhill Detail'!BR222</f>
        <v>0</v>
      </c>
      <c r="BS222" s="105">
        <f>'Hillpointe Detail'!BS222+'Sandhill Detail'!BS222</f>
        <v>0</v>
      </c>
      <c r="BT222" s="105">
        <f>'Hillpointe Detail'!BT222+'Sandhill Detail'!BT222</f>
        <v>0</v>
      </c>
      <c r="BU222" s="105">
        <f>'Hillpointe Detail'!BU222+'Sandhill Detail'!BU222</f>
        <v>0</v>
      </c>
      <c r="BV222" s="105">
        <f>'Hillpointe Detail'!BV222+'Sandhill Detail'!BV222</f>
        <v>0</v>
      </c>
      <c r="BW222" s="105">
        <f>'Hillpointe Detail'!BW222+'Sandhill Detail'!BW222</f>
        <v>0</v>
      </c>
      <c r="BX222" s="105">
        <f>'Hillpointe Detail'!BX222+'Sandhill Detail'!BX222</f>
        <v>0</v>
      </c>
      <c r="BZ222" s="8">
        <f t="shared" ref="BZ222:BZ229" si="154">SUMIF($B$252:$BY$252,1,$B222:$BY222)</f>
        <v>644</v>
      </c>
      <c r="CA222" s="8">
        <f>AVERAGEIF($B$253:$BY$253,1,$B222:$BY222)</f>
        <v>638.90909090909088</v>
      </c>
    </row>
    <row r="223" spans="1:88" x14ac:dyDescent="0.3">
      <c r="A223" t="str">
        <f>B19</f>
        <v>Enrollees</v>
      </c>
      <c r="B223" s="10"/>
      <c r="C223" s="105"/>
      <c r="D223" s="105"/>
      <c r="E223" s="105">
        <f>'Hillpointe Detail'!E223+'Sandhill Detail'!E223</f>
        <v>420</v>
      </c>
      <c r="F223" s="105">
        <f>'Hillpointe Detail'!F223+'Sandhill Detail'!F223</f>
        <v>420</v>
      </c>
      <c r="G223" s="105">
        <f>'Hillpointe Detail'!G223+'Sandhill Detail'!G223</f>
        <v>420</v>
      </c>
      <c r="H223" s="105">
        <f>'Hillpointe Detail'!H223+'Sandhill Detail'!H223</f>
        <v>420</v>
      </c>
      <c r="I223" s="105">
        <f>'Hillpointe Detail'!I223+'Sandhill Detail'!I223</f>
        <v>420</v>
      </c>
      <c r="J223" s="105">
        <f>'Hillpointe Detail'!J223+'Sandhill Detail'!J223</f>
        <v>420</v>
      </c>
      <c r="K223" s="105">
        <f>'Hillpointe Detail'!K223+'Sandhill Detail'!K223</f>
        <v>420</v>
      </c>
      <c r="L223" s="105">
        <f>'Hillpointe Detail'!L223+'Sandhill Detail'!L223</f>
        <v>420</v>
      </c>
      <c r="M223" s="105">
        <f>'Hillpointe Detail'!M223+'Sandhill Detail'!M223</f>
        <v>420</v>
      </c>
      <c r="N223" s="105">
        <f>'Hillpointe Detail'!N223+'Sandhill Detail'!N223</f>
        <v>420</v>
      </c>
      <c r="O223" s="105">
        <f>'Hillpointe Detail'!O223+'Sandhill Detail'!O223</f>
        <v>420</v>
      </c>
      <c r="P223" s="105">
        <f>'Hillpointe Detail'!P223+'Sandhill Detail'!P223</f>
        <v>420</v>
      </c>
      <c r="Q223" s="105">
        <f>'Hillpointe Detail'!Q223+'Sandhill Detail'!Q223</f>
        <v>420</v>
      </c>
      <c r="R223" s="105">
        <f>'Hillpointe Detail'!R223+'Sandhill Detail'!R223</f>
        <v>500</v>
      </c>
      <c r="S223" s="105">
        <f>'Hillpointe Detail'!S223+'Sandhill Detail'!S223</f>
        <v>500</v>
      </c>
      <c r="T223" s="105">
        <f>'Hillpointe Detail'!T223+'Sandhill Detail'!T223</f>
        <v>500</v>
      </c>
      <c r="U223" s="105">
        <f>'Hillpointe Detail'!U223+'Sandhill Detail'!U223</f>
        <v>500</v>
      </c>
      <c r="V223" s="105">
        <f>'Hillpointe Detail'!V223+'Sandhill Detail'!V223</f>
        <v>500</v>
      </c>
      <c r="W223" s="105">
        <f>'Hillpointe Detail'!W223+'Sandhill Detail'!W223</f>
        <v>500</v>
      </c>
      <c r="X223" s="105">
        <f>'Hillpointe Detail'!X223+'Sandhill Detail'!X223</f>
        <v>500</v>
      </c>
      <c r="Y223" s="105">
        <f>'Hillpointe Detail'!Y223+'Sandhill Detail'!Y223</f>
        <v>500</v>
      </c>
      <c r="Z223" s="105">
        <f>'Hillpointe Detail'!Z223+'Sandhill Detail'!Z223</f>
        <v>500</v>
      </c>
      <c r="AA223" s="105">
        <f>'Hillpointe Detail'!AA223+'Sandhill Detail'!AA223</f>
        <v>500</v>
      </c>
      <c r="AB223" s="105">
        <f>'Hillpointe Detail'!AB223+'Sandhill Detail'!AB223</f>
        <v>500</v>
      </c>
      <c r="AC223" s="105">
        <f>'Hillpointe Detail'!AC223+'Sandhill Detail'!AC223</f>
        <v>500</v>
      </c>
      <c r="AD223" s="105">
        <f>'Hillpointe Detail'!AD223+'Sandhill Detail'!AD223</f>
        <v>500</v>
      </c>
      <c r="AE223" s="105">
        <f>'Hillpointe Detail'!AE223+'Sandhill Detail'!AE223</f>
        <v>500</v>
      </c>
      <c r="AF223" s="105">
        <f>'Hillpointe Detail'!AF223+'Sandhill Detail'!AF223</f>
        <v>500</v>
      </c>
      <c r="AG223" s="105">
        <f>'Hillpointe Detail'!AG223+'Sandhill Detail'!AG223</f>
        <v>500</v>
      </c>
      <c r="AH223" s="105">
        <f>'Hillpointe Detail'!AH223+'Sandhill Detail'!AH223</f>
        <v>500</v>
      </c>
      <c r="AI223" s="105">
        <f>'Hillpointe Detail'!AI223+'Sandhill Detail'!AI223</f>
        <v>500</v>
      </c>
      <c r="AJ223" s="105">
        <f>'Hillpointe Detail'!AJ223+'Sandhill Detail'!AJ223</f>
        <v>500</v>
      </c>
      <c r="AK223" s="105">
        <f>'Hillpointe Detail'!AK223+'Sandhill Detail'!AK223</f>
        <v>500</v>
      </c>
      <c r="AL223" s="105">
        <f>'Hillpointe Detail'!AL223+'Sandhill Detail'!AL223</f>
        <v>500</v>
      </c>
      <c r="AM223" s="105">
        <f>'Hillpointe Detail'!AM223+'Sandhill Detail'!AM223</f>
        <v>500</v>
      </c>
      <c r="AN223" s="105">
        <f>'Hillpointe Detail'!AN223+'Sandhill Detail'!AN223</f>
        <v>500</v>
      </c>
      <c r="AO223" s="105">
        <f>'Hillpointe Detail'!AO223+'Sandhill Detail'!AO223</f>
        <v>0</v>
      </c>
      <c r="AP223" s="105">
        <f>'Hillpointe Detail'!AP223+'Sandhill Detail'!AP223</f>
        <v>0</v>
      </c>
      <c r="AQ223" s="105">
        <f>'Hillpointe Detail'!AQ223+'Sandhill Detail'!AQ223</f>
        <v>0</v>
      </c>
      <c r="AR223" s="105">
        <f>'Hillpointe Detail'!AR223+'Sandhill Detail'!AR223</f>
        <v>0</v>
      </c>
      <c r="AS223" s="105">
        <f>'Hillpointe Detail'!AS223+'Sandhill Detail'!AS223</f>
        <v>0</v>
      </c>
      <c r="AT223" s="105">
        <f>'Hillpointe Detail'!AT223+'Sandhill Detail'!AT223</f>
        <v>0</v>
      </c>
      <c r="AU223" s="105">
        <f>'Hillpointe Detail'!AU223+'Sandhill Detail'!AU223</f>
        <v>0</v>
      </c>
      <c r="AV223" s="105">
        <f>'Hillpointe Detail'!AV223+'Sandhill Detail'!AV223</f>
        <v>0</v>
      </c>
      <c r="AW223" s="105">
        <f>'Hillpointe Detail'!AW223+'Sandhill Detail'!AW223</f>
        <v>0</v>
      </c>
      <c r="AX223" s="105">
        <f>'Hillpointe Detail'!AX223+'Sandhill Detail'!AX223</f>
        <v>0</v>
      </c>
      <c r="AY223" s="105">
        <f>'Hillpointe Detail'!AY223+'Sandhill Detail'!AY223</f>
        <v>0</v>
      </c>
      <c r="AZ223" s="105">
        <f>'Hillpointe Detail'!AZ223+'Sandhill Detail'!AZ223</f>
        <v>0</v>
      </c>
      <c r="BA223" s="105">
        <f>'Hillpointe Detail'!BA223+'Sandhill Detail'!BA223</f>
        <v>0</v>
      </c>
      <c r="BB223" s="105">
        <f>'Hillpointe Detail'!BB223+'Sandhill Detail'!BB223</f>
        <v>0</v>
      </c>
      <c r="BC223" s="105">
        <f>'Hillpointe Detail'!BC223+'Sandhill Detail'!BC223</f>
        <v>0</v>
      </c>
      <c r="BD223" s="105">
        <f>'Hillpointe Detail'!BD223+'Sandhill Detail'!BD223</f>
        <v>0</v>
      </c>
      <c r="BE223" s="105">
        <f>'Hillpointe Detail'!BE223+'Sandhill Detail'!BE223</f>
        <v>0</v>
      </c>
      <c r="BF223" s="105">
        <f>'Hillpointe Detail'!BF223+'Sandhill Detail'!BF223</f>
        <v>0</v>
      </c>
      <c r="BG223" s="105">
        <f>'Hillpointe Detail'!BG223+'Sandhill Detail'!BG223</f>
        <v>0</v>
      </c>
      <c r="BH223" s="105">
        <f>'Hillpointe Detail'!BH223+'Sandhill Detail'!BH223</f>
        <v>0</v>
      </c>
      <c r="BI223" s="105">
        <f>'Hillpointe Detail'!BI223+'Sandhill Detail'!BI223</f>
        <v>0</v>
      </c>
      <c r="BJ223" s="105">
        <f>'Hillpointe Detail'!BJ223+'Sandhill Detail'!BJ223</f>
        <v>0</v>
      </c>
      <c r="BK223" s="105">
        <f>'Hillpointe Detail'!BK223+'Sandhill Detail'!BK223</f>
        <v>0</v>
      </c>
      <c r="BL223" s="105">
        <f>'Hillpointe Detail'!BL223+'Sandhill Detail'!BL223</f>
        <v>0</v>
      </c>
      <c r="BM223" s="105">
        <f>'Hillpointe Detail'!BM223+'Sandhill Detail'!BM223</f>
        <v>0</v>
      </c>
      <c r="BN223" s="105">
        <f>'Hillpointe Detail'!BN223+'Sandhill Detail'!BN223</f>
        <v>0</v>
      </c>
      <c r="BO223" s="105">
        <f>'Hillpointe Detail'!BO223+'Sandhill Detail'!BO223</f>
        <v>0</v>
      </c>
      <c r="BP223" s="105">
        <f>'Hillpointe Detail'!BP223+'Sandhill Detail'!BP223</f>
        <v>0</v>
      </c>
      <c r="BQ223" s="105">
        <f>'Hillpointe Detail'!BQ223+'Sandhill Detail'!BQ223</f>
        <v>0</v>
      </c>
      <c r="BR223" s="105">
        <f>'Hillpointe Detail'!BR223+'Sandhill Detail'!BR223</f>
        <v>0</v>
      </c>
      <c r="BS223" s="105">
        <f>'Hillpointe Detail'!BS223+'Sandhill Detail'!BS223</f>
        <v>0</v>
      </c>
      <c r="BT223" s="105">
        <f>'Hillpointe Detail'!BT223+'Sandhill Detail'!BT223</f>
        <v>0</v>
      </c>
      <c r="BU223" s="105">
        <f>'Hillpointe Detail'!BU223+'Sandhill Detail'!BU223</f>
        <v>0</v>
      </c>
      <c r="BV223" s="105">
        <f>'Hillpointe Detail'!BV223+'Sandhill Detail'!BV223</f>
        <v>0</v>
      </c>
      <c r="BW223" s="105">
        <f>'Hillpointe Detail'!BW223+'Sandhill Detail'!BW223</f>
        <v>0</v>
      </c>
      <c r="BX223" s="105">
        <f>'Hillpointe Detail'!BX223+'Sandhill Detail'!BX223</f>
        <v>0</v>
      </c>
      <c r="BZ223" s="8">
        <f t="shared" si="154"/>
        <v>500</v>
      </c>
      <c r="CA223" s="8">
        <f>AVERAGEIF($B$253:$BY$253,1,$B223:$BY223)</f>
        <v>492.72727272727275</v>
      </c>
    </row>
    <row r="224" spans="1:88" x14ac:dyDescent="0.3">
      <c r="A224" t="s">
        <v>284</v>
      </c>
      <c r="B224" s="10"/>
      <c r="C224" s="105"/>
      <c r="D224" s="105"/>
      <c r="E224" s="105">
        <f>'Hillpointe Detail'!E224+'Sandhill Detail'!E224</f>
        <v>38</v>
      </c>
      <c r="F224" s="105">
        <f>'Hillpointe Detail'!F224+'Sandhill Detail'!F224</f>
        <v>38</v>
      </c>
      <c r="G224" s="105">
        <f>'Hillpointe Detail'!G224+'Sandhill Detail'!G224</f>
        <v>38</v>
      </c>
      <c r="H224" s="105">
        <f>'Hillpointe Detail'!H224+'Sandhill Detail'!H224</f>
        <v>38</v>
      </c>
      <c r="I224" s="105">
        <f>'Hillpointe Detail'!I224+'Sandhill Detail'!I224</f>
        <v>38</v>
      </c>
      <c r="J224" s="105">
        <f>'Hillpointe Detail'!J224+'Sandhill Detail'!J224</f>
        <v>38</v>
      </c>
      <c r="K224" s="105">
        <f>'Hillpointe Detail'!K224+'Sandhill Detail'!K224</f>
        <v>38</v>
      </c>
      <c r="L224" s="105">
        <f>'Hillpointe Detail'!L224+'Sandhill Detail'!L224</f>
        <v>38</v>
      </c>
      <c r="M224" s="105">
        <f>'Hillpointe Detail'!M224+'Sandhill Detail'!M224</f>
        <v>38</v>
      </c>
      <c r="N224" s="105">
        <f>'Hillpointe Detail'!N224+'Sandhill Detail'!N224</f>
        <v>38</v>
      </c>
      <c r="O224" s="105">
        <f>'Hillpointe Detail'!O224+'Sandhill Detail'!O224</f>
        <v>38</v>
      </c>
      <c r="P224" s="105">
        <f>'Hillpointe Detail'!P224+'Sandhill Detail'!P224</f>
        <v>38</v>
      </c>
      <c r="Q224" s="105">
        <f>'Hillpointe Detail'!Q224+'Sandhill Detail'!Q224</f>
        <v>38</v>
      </c>
      <c r="R224" s="105">
        <f>'Hillpointe Detail'!R224+'Sandhill Detail'!R224</f>
        <v>60</v>
      </c>
      <c r="S224" s="105">
        <f>'Hillpointe Detail'!S224+'Sandhill Detail'!S224</f>
        <v>60</v>
      </c>
      <c r="T224" s="105">
        <f>'Hillpointe Detail'!T224+'Sandhill Detail'!T224</f>
        <v>60</v>
      </c>
      <c r="U224" s="105">
        <f>'Hillpointe Detail'!U224+'Sandhill Detail'!U224</f>
        <v>60</v>
      </c>
      <c r="V224" s="105">
        <f>'Hillpointe Detail'!V224+'Sandhill Detail'!V224</f>
        <v>60</v>
      </c>
      <c r="W224" s="105">
        <f>'Hillpointe Detail'!W224+'Sandhill Detail'!W224</f>
        <v>60</v>
      </c>
      <c r="X224" s="105">
        <f>'Hillpointe Detail'!X224+'Sandhill Detail'!X224</f>
        <v>60</v>
      </c>
      <c r="Y224" s="105">
        <f>'Hillpointe Detail'!Y224+'Sandhill Detail'!Y224</f>
        <v>60</v>
      </c>
      <c r="Z224" s="105">
        <f>'Hillpointe Detail'!Z224+'Sandhill Detail'!Z224</f>
        <v>60</v>
      </c>
      <c r="AA224" s="105">
        <f>'Hillpointe Detail'!AA224+'Sandhill Detail'!AA224</f>
        <v>60</v>
      </c>
      <c r="AB224" s="105">
        <f>'Hillpointe Detail'!AB224+'Sandhill Detail'!AB224</f>
        <v>60</v>
      </c>
      <c r="AC224" s="105">
        <f>'Hillpointe Detail'!AC224+'Sandhill Detail'!AC224</f>
        <v>60</v>
      </c>
      <c r="AD224" s="105">
        <f>'Hillpointe Detail'!AD224+'Sandhill Detail'!AD224</f>
        <v>60</v>
      </c>
      <c r="AE224" s="105">
        <f>'Hillpointe Detail'!AE224+'Sandhill Detail'!AE224</f>
        <v>60</v>
      </c>
      <c r="AF224" s="105">
        <f>'Hillpointe Detail'!AF224+'Sandhill Detail'!AF224</f>
        <v>60</v>
      </c>
      <c r="AG224" s="105">
        <f>'Hillpointe Detail'!AG224+'Sandhill Detail'!AG224</f>
        <v>60</v>
      </c>
      <c r="AH224" s="105">
        <f>'Hillpointe Detail'!AH224+'Sandhill Detail'!AH224</f>
        <v>60</v>
      </c>
      <c r="AI224" s="105">
        <f>'Hillpointe Detail'!AI224+'Sandhill Detail'!AI224</f>
        <v>60</v>
      </c>
      <c r="AJ224" s="105">
        <f>'Hillpointe Detail'!AJ224+'Sandhill Detail'!AJ224</f>
        <v>60</v>
      </c>
      <c r="AK224" s="105">
        <f>'Hillpointe Detail'!AK224+'Sandhill Detail'!AK224</f>
        <v>60</v>
      </c>
      <c r="AL224" s="105">
        <f>'Hillpointe Detail'!AL224+'Sandhill Detail'!AL224</f>
        <v>60</v>
      </c>
      <c r="AM224" s="105">
        <f>'Hillpointe Detail'!AM224+'Sandhill Detail'!AM224</f>
        <v>60</v>
      </c>
      <c r="AN224" s="105">
        <f>'Hillpointe Detail'!AN224+'Sandhill Detail'!AN224</f>
        <v>60</v>
      </c>
      <c r="AO224" s="105">
        <f>'Hillpointe Detail'!AO224+'Sandhill Detail'!AO224</f>
        <v>0</v>
      </c>
      <c r="AP224" s="105">
        <f>'Hillpointe Detail'!AP224+'Sandhill Detail'!AP224</f>
        <v>0</v>
      </c>
      <c r="AQ224" s="105">
        <f>'Hillpointe Detail'!AQ224+'Sandhill Detail'!AQ224</f>
        <v>0</v>
      </c>
      <c r="AR224" s="105">
        <f>'Hillpointe Detail'!AR224+'Sandhill Detail'!AR224</f>
        <v>0</v>
      </c>
      <c r="AS224" s="105">
        <f>'Hillpointe Detail'!AS224+'Sandhill Detail'!AS224</f>
        <v>0</v>
      </c>
      <c r="AT224" s="105">
        <f>'Hillpointe Detail'!AT224+'Sandhill Detail'!AT224</f>
        <v>0</v>
      </c>
      <c r="AU224" s="105">
        <f>'Hillpointe Detail'!AU224+'Sandhill Detail'!AU224</f>
        <v>0</v>
      </c>
      <c r="AV224" s="105">
        <f>'Hillpointe Detail'!AV224+'Sandhill Detail'!AV224</f>
        <v>0</v>
      </c>
      <c r="AW224" s="105">
        <f>'Hillpointe Detail'!AW224+'Sandhill Detail'!AW224</f>
        <v>0</v>
      </c>
      <c r="AX224" s="105">
        <f>'Hillpointe Detail'!AX224+'Sandhill Detail'!AX224</f>
        <v>0</v>
      </c>
      <c r="AY224" s="105">
        <f>'Hillpointe Detail'!AY224+'Sandhill Detail'!AY224</f>
        <v>0</v>
      </c>
      <c r="AZ224" s="105">
        <f>'Hillpointe Detail'!AZ224+'Sandhill Detail'!AZ224</f>
        <v>0</v>
      </c>
      <c r="BA224" s="105">
        <f>'Hillpointe Detail'!BA224+'Sandhill Detail'!BA224</f>
        <v>0</v>
      </c>
      <c r="BB224" s="105">
        <f>'Hillpointe Detail'!BB224+'Sandhill Detail'!BB224</f>
        <v>0</v>
      </c>
      <c r="BC224" s="105">
        <f>'Hillpointe Detail'!BC224+'Sandhill Detail'!BC224</f>
        <v>0</v>
      </c>
      <c r="BD224" s="105">
        <f>'Hillpointe Detail'!BD224+'Sandhill Detail'!BD224</f>
        <v>0</v>
      </c>
      <c r="BE224" s="105">
        <f>'Hillpointe Detail'!BE224+'Sandhill Detail'!BE224</f>
        <v>0</v>
      </c>
      <c r="BF224" s="105">
        <f>'Hillpointe Detail'!BF224+'Sandhill Detail'!BF224</f>
        <v>0</v>
      </c>
      <c r="BG224" s="105">
        <f>'Hillpointe Detail'!BG224+'Sandhill Detail'!BG224</f>
        <v>0</v>
      </c>
      <c r="BH224" s="105">
        <f>'Hillpointe Detail'!BH224+'Sandhill Detail'!BH224</f>
        <v>0</v>
      </c>
      <c r="BI224" s="105">
        <f>'Hillpointe Detail'!BI224+'Sandhill Detail'!BI224</f>
        <v>0</v>
      </c>
      <c r="BJ224" s="105">
        <f>'Hillpointe Detail'!BJ224+'Sandhill Detail'!BJ224</f>
        <v>0</v>
      </c>
      <c r="BK224" s="105">
        <f>'Hillpointe Detail'!BK224+'Sandhill Detail'!BK224</f>
        <v>0</v>
      </c>
      <c r="BL224" s="105">
        <f>'Hillpointe Detail'!BL224+'Sandhill Detail'!BL224</f>
        <v>0</v>
      </c>
      <c r="BM224" s="105">
        <f>'Hillpointe Detail'!BM224+'Sandhill Detail'!BM224</f>
        <v>0</v>
      </c>
      <c r="BN224" s="105">
        <f>'Hillpointe Detail'!BN224+'Sandhill Detail'!BN224</f>
        <v>0</v>
      </c>
      <c r="BO224" s="105">
        <f>'Hillpointe Detail'!BO224+'Sandhill Detail'!BO224</f>
        <v>0</v>
      </c>
      <c r="BP224" s="105">
        <f>'Hillpointe Detail'!BP224+'Sandhill Detail'!BP224</f>
        <v>0</v>
      </c>
      <c r="BQ224" s="105">
        <f>'Hillpointe Detail'!BQ224+'Sandhill Detail'!BQ224</f>
        <v>0</v>
      </c>
      <c r="BR224" s="105">
        <f>'Hillpointe Detail'!BR224+'Sandhill Detail'!BR224</f>
        <v>0</v>
      </c>
      <c r="BS224" s="105">
        <f>'Hillpointe Detail'!BS224+'Sandhill Detail'!BS224</f>
        <v>0</v>
      </c>
      <c r="BT224" s="105">
        <f>'Hillpointe Detail'!BT224+'Sandhill Detail'!BT224</f>
        <v>0</v>
      </c>
      <c r="BU224" s="105">
        <f>'Hillpointe Detail'!BU224+'Sandhill Detail'!BU224</f>
        <v>0</v>
      </c>
      <c r="BV224" s="105">
        <f>'Hillpointe Detail'!BV224+'Sandhill Detail'!BV224</f>
        <v>0</v>
      </c>
      <c r="BW224" s="105">
        <f>'Hillpointe Detail'!BW224+'Sandhill Detail'!BW224</f>
        <v>0</v>
      </c>
      <c r="BX224" s="105">
        <f>'Hillpointe Detail'!BX224+'Sandhill Detail'!BX224</f>
        <v>0</v>
      </c>
      <c r="BZ224" s="8">
        <f t="shared" si="154"/>
        <v>60</v>
      </c>
      <c r="CA224" s="8">
        <f>AVERAGEIF($B$253:$BY$253,1,$B224:$BY224)</f>
        <v>58</v>
      </c>
    </row>
    <row r="225" spans="1:79" x14ac:dyDescent="0.3">
      <c r="A225" t="str">
        <f>A187</f>
        <v>DAP</v>
      </c>
      <c r="B225" s="10"/>
      <c r="C225" s="105"/>
      <c r="D225" s="105"/>
      <c r="E225" s="105">
        <f>'Hillpointe Detail'!E225+'Sandhill Detail'!E225</f>
        <v>0</v>
      </c>
      <c r="F225" s="105">
        <f>'Hillpointe Detail'!F225+'Sandhill Detail'!F225</f>
        <v>0</v>
      </c>
      <c r="G225" s="105">
        <f>'Hillpointe Detail'!G225+'Sandhill Detail'!G225</f>
        <v>0</v>
      </c>
      <c r="H225" s="105">
        <f>'Hillpointe Detail'!H225+'Sandhill Detail'!H225</f>
        <v>0</v>
      </c>
      <c r="I225" s="105">
        <f>'Hillpointe Detail'!I225+'Sandhill Detail'!I225</f>
        <v>0</v>
      </c>
      <c r="J225" s="105">
        <f>'Hillpointe Detail'!J225+'Sandhill Detail'!J225</f>
        <v>0</v>
      </c>
      <c r="K225" s="105">
        <f>'Hillpointe Detail'!K225+'Sandhill Detail'!K225</f>
        <v>0</v>
      </c>
      <c r="L225" s="105">
        <f>'Hillpointe Detail'!L225+'Sandhill Detail'!L225</f>
        <v>0</v>
      </c>
      <c r="M225" s="105">
        <f>'Hillpointe Detail'!M225+'Sandhill Detail'!M225</f>
        <v>0</v>
      </c>
      <c r="N225" s="105">
        <f>'Hillpointe Detail'!N225+'Sandhill Detail'!N225</f>
        <v>0</v>
      </c>
      <c r="O225" s="105">
        <f>'Hillpointe Detail'!O225+'Sandhill Detail'!O225</f>
        <v>0</v>
      </c>
      <c r="P225" s="105">
        <f>'Hillpointe Detail'!P225+'Sandhill Detail'!P225</f>
        <v>0</v>
      </c>
      <c r="Q225" s="105">
        <f>'Hillpointe Detail'!Q225+'Sandhill Detail'!Q225</f>
        <v>0</v>
      </c>
      <c r="R225" s="105">
        <f>'Hillpointe Detail'!R225+'Sandhill Detail'!R225</f>
        <v>494</v>
      </c>
      <c r="S225" s="105">
        <f>'Hillpointe Detail'!S225+'Sandhill Detail'!S225</f>
        <v>3097</v>
      </c>
      <c r="T225" s="105">
        <f>'Hillpointe Detail'!T225+'Sandhill Detail'!T225</f>
        <v>5098</v>
      </c>
      <c r="U225" s="105">
        <f>'Hillpointe Detail'!U225+'Sandhill Detail'!U225</f>
        <v>1780</v>
      </c>
      <c r="V225" s="105">
        <f>'Hillpointe Detail'!V225+'Sandhill Detail'!V225</f>
        <v>1708</v>
      </c>
      <c r="W225" s="105">
        <f>'Hillpointe Detail'!W225+'Sandhill Detail'!W225</f>
        <v>1947</v>
      </c>
      <c r="X225" s="105">
        <f>'Hillpointe Detail'!X225+'Sandhill Detail'!X225</f>
        <v>3682</v>
      </c>
      <c r="Y225" s="105">
        <f>'Hillpointe Detail'!Y225+'Sandhill Detail'!Y225</f>
        <v>1864.7628571428572</v>
      </c>
      <c r="Z225" s="105">
        <f>'Hillpointe Detail'!Z225+'Sandhill Detail'!Z225</f>
        <v>1864.7628571428572</v>
      </c>
      <c r="AA225" s="105">
        <f>'Hillpointe Detail'!AA225+'Sandhill Detail'!AA225</f>
        <v>1864.7628571428572</v>
      </c>
      <c r="AB225" s="105">
        <f>'Hillpointe Detail'!AB225+'Sandhill Detail'!AB225</f>
        <v>0</v>
      </c>
      <c r="AC225" s="105">
        <f>'Hillpointe Detail'!AC225+'Sandhill Detail'!AC225</f>
        <v>0</v>
      </c>
      <c r="AD225" s="105">
        <f>'Hillpointe Detail'!AD225+'Sandhill Detail'!AD225</f>
        <v>0</v>
      </c>
      <c r="AE225" s="105">
        <f>'Hillpointe Detail'!AE225+'Sandhill Detail'!AE225</f>
        <v>0</v>
      </c>
      <c r="AF225" s="105">
        <f>'Hillpointe Detail'!AF225+'Sandhill Detail'!AF225</f>
        <v>0</v>
      </c>
      <c r="AG225" s="105">
        <f>'Hillpointe Detail'!AG225+'Sandhill Detail'!AG225</f>
        <v>0</v>
      </c>
      <c r="AH225" s="105">
        <f>'Hillpointe Detail'!AH225+'Sandhill Detail'!AH225</f>
        <v>0</v>
      </c>
      <c r="AI225" s="105">
        <f>'Hillpointe Detail'!AI225+'Sandhill Detail'!AI225</f>
        <v>0</v>
      </c>
      <c r="AJ225" s="105">
        <f>'Hillpointe Detail'!AJ225+'Sandhill Detail'!AJ225</f>
        <v>0</v>
      </c>
      <c r="AK225" s="105">
        <f>'Hillpointe Detail'!AK225+'Sandhill Detail'!AK225</f>
        <v>0</v>
      </c>
      <c r="AL225" s="105">
        <f>'Hillpointe Detail'!AL225+'Sandhill Detail'!AL225</f>
        <v>0</v>
      </c>
      <c r="AM225" s="105">
        <f>'Hillpointe Detail'!AM225+'Sandhill Detail'!AM225</f>
        <v>0</v>
      </c>
      <c r="AN225" s="105">
        <f>'Hillpointe Detail'!AN225+'Sandhill Detail'!AN225</f>
        <v>0</v>
      </c>
      <c r="AO225" s="105">
        <f>'Hillpointe Detail'!AO225+'Sandhill Detail'!AO225</f>
        <v>0</v>
      </c>
      <c r="AP225" s="105">
        <f>'Hillpointe Detail'!AP225+'Sandhill Detail'!AP225</f>
        <v>0</v>
      </c>
      <c r="AQ225" s="105">
        <f>'Hillpointe Detail'!AQ225+'Sandhill Detail'!AQ225</f>
        <v>0</v>
      </c>
      <c r="AR225" s="105">
        <f>'Hillpointe Detail'!AR225+'Sandhill Detail'!AR225</f>
        <v>0</v>
      </c>
      <c r="AS225" s="105">
        <f>'Hillpointe Detail'!AS225+'Sandhill Detail'!AS225</f>
        <v>0</v>
      </c>
      <c r="AT225" s="105">
        <f>'Hillpointe Detail'!AT225+'Sandhill Detail'!AT225</f>
        <v>0</v>
      </c>
      <c r="AU225" s="105">
        <f>'Hillpointe Detail'!AU225+'Sandhill Detail'!AU225</f>
        <v>0</v>
      </c>
      <c r="AV225" s="105">
        <f>'Hillpointe Detail'!AV225+'Sandhill Detail'!AV225</f>
        <v>0</v>
      </c>
      <c r="AW225" s="105">
        <f>'Hillpointe Detail'!AW225+'Sandhill Detail'!AW225</f>
        <v>0</v>
      </c>
      <c r="AX225" s="105">
        <f>'Hillpointe Detail'!AX225+'Sandhill Detail'!AX225</f>
        <v>0</v>
      </c>
      <c r="AY225" s="105">
        <f>'Hillpointe Detail'!AY225+'Sandhill Detail'!AY225</f>
        <v>0</v>
      </c>
      <c r="AZ225" s="105">
        <f>'Hillpointe Detail'!AZ225+'Sandhill Detail'!AZ225</f>
        <v>0</v>
      </c>
      <c r="BA225" s="105">
        <f>'Hillpointe Detail'!BA225+'Sandhill Detail'!BA225</f>
        <v>0</v>
      </c>
      <c r="BB225" s="105">
        <f>'Hillpointe Detail'!BB225+'Sandhill Detail'!BB225</f>
        <v>0</v>
      </c>
      <c r="BC225" s="105">
        <f>'Hillpointe Detail'!BC225+'Sandhill Detail'!BC225</f>
        <v>0</v>
      </c>
      <c r="BD225" s="105">
        <f>'Hillpointe Detail'!BD225+'Sandhill Detail'!BD225</f>
        <v>0</v>
      </c>
      <c r="BE225" s="105">
        <f>'Hillpointe Detail'!BE225+'Sandhill Detail'!BE225</f>
        <v>0</v>
      </c>
      <c r="BF225" s="105">
        <f>'Hillpointe Detail'!BF225+'Sandhill Detail'!BF225</f>
        <v>0</v>
      </c>
      <c r="BG225" s="105">
        <f>'Hillpointe Detail'!BG225+'Sandhill Detail'!BG225</f>
        <v>0</v>
      </c>
      <c r="BH225" s="105">
        <f>'Hillpointe Detail'!BH225+'Sandhill Detail'!BH225</f>
        <v>0</v>
      </c>
      <c r="BI225" s="105">
        <f>'Hillpointe Detail'!BI225+'Sandhill Detail'!BI225</f>
        <v>0</v>
      </c>
      <c r="BJ225" s="105">
        <f>'Hillpointe Detail'!BJ225+'Sandhill Detail'!BJ225</f>
        <v>0</v>
      </c>
      <c r="BK225" s="105">
        <f>'Hillpointe Detail'!BK225+'Sandhill Detail'!BK225</f>
        <v>0</v>
      </c>
      <c r="BL225" s="105">
        <f>'Hillpointe Detail'!BL225+'Sandhill Detail'!BL225</f>
        <v>0</v>
      </c>
      <c r="BM225" s="105">
        <f>'Hillpointe Detail'!BM225+'Sandhill Detail'!BM225</f>
        <v>0</v>
      </c>
      <c r="BN225" s="105">
        <f>'Hillpointe Detail'!BN225+'Sandhill Detail'!BN225</f>
        <v>0</v>
      </c>
      <c r="BO225" s="105">
        <f>'Hillpointe Detail'!BO225+'Sandhill Detail'!BO225</f>
        <v>0</v>
      </c>
      <c r="BP225" s="105">
        <f>'Hillpointe Detail'!BP225+'Sandhill Detail'!BP225</f>
        <v>0</v>
      </c>
      <c r="BQ225" s="105">
        <f>'Hillpointe Detail'!BQ225+'Sandhill Detail'!BQ225</f>
        <v>0</v>
      </c>
      <c r="BR225" s="105">
        <f>'Hillpointe Detail'!BR225+'Sandhill Detail'!BR225</f>
        <v>0</v>
      </c>
      <c r="BS225" s="105">
        <f>'Hillpointe Detail'!BS225+'Sandhill Detail'!BS225</f>
        <v>0</v>
      </c>
      <c r="BT225" s="105">
        <f>'Hillpointe Detail'!BT225+'Sandhill Detail'!BT225</f>
        <v>0</v>
      </c>
      <c r="BU225" s="105">
        <f>'Hillpointe Detail'!BU225+'Sandhill Detail'!BU225</f>
        <v>0</v>
      </c>
      <c r="BV225" s="105">
        <f>'Hillpointe Detail'!BV225+'Sandhill Detail'!BV225</f>
        <v>0</v>
      </c>
      <c r="BW225" s="105">
        <f>'Hillpointe Detail'!BW225+'Sandhill Detail'!BW225</f>
        <v>0</v>
      </c>
      <c r="BX225" s="105">
        <f>'Hillpointe Detail'!BX225+'Sandhill Detail'!BX225</f>
        <v>0</v>
      </c>
      <c r="BZ225" s="8">
        <f t="shared" si="154"/>
        <v>1864.7628571428572</v>
      </c>
      <c r="CA225" s="8">
        <f>SUMIF($B$253:$BY$253,1,$B225:$BY225)</f>
        <v>23400.288571428573</v>
      </c>
    </row>
    <row r="226" spans="1:79" x14ac:dyDescent="0.3">
      <c r="A226" t="str">
        <f>A188</f>
        <v>DSA</v>
      </c>
      <c r="B226" s="10"/>
      <c r="C226" s="105"/>
      <c r="D226" s="105"/>
      <c r="E226" s="105">
        <f>'Hillpointe Detail'!E226+'Sandhill Detail'!E226</f>
        <v>273000</v>
      </c>
      <c r="F226" s="105">
        <f>'Hillpointe Detail'!F226+'Sandhill Detail'!F226</f>
        <v>273000</v>
      </c>
      <c r="G226" s="105">
        <f>'Hillpointe Detail'!G226+'Sandhill Detail'!G226</f>
        <v>273000</v>
      </c>
      <c r="H226" s="105">
        <f>'Hillpointe Detail'!H226+'Sandhill Detail'!H226</f>
        <v>273000</v>
      </c>
      <c r="I226" s="105">
        <f>'Hillpointe Detail'!I226+'Sandhill Detail'!I226</f>
        <v>273000</v>
      </c>
      <c r="J226" s="105">
        <f>'Hillpointe Detail'!J226+'Sandhill Detail'!J226</f>
        <v>273000</v>
      </c>
      <c r="K226" s="105">
        <f>'Hillpointe Detail'!K226+'Sandhill Detail'!K226</f>
        <v>273000</v>
      </c>
      <c r="L226" s="105">
        <f>'Hillpointe Detail'!L226+'Sandhill Detail'!L226</f>
        <v>273000</v>
      </c>
      <c r="M226" s="105">
        <f>'Hillpointe Detail'!M226+'Sandhill Detail'!M226</f>
        <v>273000</v>
      </c>
      <c r="N226" s="105">
        <f>'Hillpointe Detail'!N226+'Sandhill Detail'!N226</f>
        <v>273000</v>
      </c>
      <c r="O226" s="105">
        <f>'Hillpointe Detail'!O226+'Sandhill Detail'!O226</f>
        <v>273000</v>
      </c>
      <c r="P226" s="105">
        <f>'Hillpointe Detail'!P226+'Sandhill Detail'!P226</f>
        <v>273000</v>
      </c>
      <c r="Q226" s="105">
        <f>'Hillpointe Detail'!Q226+'Sandhill Detail'!Q226</f>
        <v>277248</v>
      </c>
      <c r="R226" s="105">
        <f>'Hillpointe Detail'!R226+'Sandhill Detail'!R226</f>
        <v>324672</v>
      </c>
      <c r="S226" s="105">
        <f>'Hillpointe Detail'!S226+'Sandhill Detail'!S226</f>
        <v>324672</v>
      </c>
      <c r="T226" s="105">
        <f>'Hillpointe Detail'!T226+'Sandhill Detail'!T226</f>
        <v>324672</v>
      </c>
      <c r="U226" s="105">
        <f>'Hillpointe Detail'!U226+'Sandhill Detail'!U226</f>
        <v>324672</v>
      </c>
      <c r="V226" s="105">
        <f>'Hillpointe Detail'!V226+'Sandhill Detail'!V226</f>
        <v>324672</v>
      </c>
      <c r="W226" s="105">
        <f>'Hillpointe Detail'!W226+'Sandhill Detail'!W226</f>
        <v>324672</v>
      </c>
      <c r="X226" s="105">
        <f>'Hillpointe Detail'!X226+'Sandhill Detail'!X226</f>
        <v>324672</v>
      </c>
      <c r="Y226" s="105">
        <f>'Hillpointe Detail'!Y226+'Sandhill Detail'!Y226</f>
        <v>324672</v>
      </c>
      <c r="Z226" s="105">
        <f>'Hillpointe Detail'!Z226+'Sandhill Detail'!Z226</f>
        <v>324672</v>
      </c>
      <c r="AA226" s="105">
        <f>'Hillpointe Detail'!AA226+'Sandhill Detail'!AA226</f>
        <v>324672</v>
      </c>
      <c r="AB226" s="105">
        <f>'Hillpointe Detail'!AB226+'Sandhill Detail'!AB226</f>
        <v>324672</v>
      </c>
      <c r="AC226" s="105">
        <f>'Hillpointe Detail'!AC226+'Sandhill Detail'!AC226</f>
        <v>0</v>
      </c>
      <c r="AD226" s="105">
        <f>'Hillpointe Detail'!AD226+'Sandhill Detail'!AD226</f>
        <v>0</v>
      </c>
      <c r="AE226" s="105">
        <f>'Hillpointe Detail'!AE226+'Sandhill Detail'!AE226</f>
        <v>0</v>
      </c>
      <c r="AF226" s="105">
        <f>'Hillpointe Detail'!AF226+'Sandhill Detail'!AF226</f>
        <v>0</v>
      </c>
      <c r="AG226" s="105">
        <f>'Hillpointe Detail'!AG226+'Sandhill Detail'!AG226</f>
        <v>0</v>
      </c>
      <c r="AH226" s="105">
        <f>'Hillpointe Detail'!AH226+'Sandhill Detail'!AH226</f>
        <v>0</v>
      </c>
      <c r="AI226" s="105">
        <f>'Hillpointe Detail'!AI226+'Sandhill Detail'!AI226</f>
        <v>0</v>
      </c>
      <c r="AJ226" s="105">
        <f>'Hillpointe Detail'!AJ226+'Sandhill Detail'!AJ226</f>
        <v>0</v>
      </c>
      <c r="AK226" s="105">
        <f>'Hillpointe Detail'!AK226+'Sandhill Detail'!AK226</f>
        <v>0</v>
      </c>
      <c r="AL226" s="105">
        <f>'Hillpointe Detail'!AL226+'Sandhill Detail'!AL226</f>
        <v>0</v>
      </c>
      <c r="AM226" s="105">
        <f>'Hillpointe Detail'!AM226+'Sandhill Detail'!AM226</f>
        <v>0</v>
      </c>
      <c r="AN226" s="105">
        <f>'Hillpointe Detail'!AN226+'Sandhill Detail'!AN226</f>
        <v>0</v>
      </c>
      <c r="AO226" s="105">
        <f>'Hillpointe Detail'!AO226+'Sandhill Detail'!AO226</f>
        <v>0</v>
      </c>
      <c r="AP226" s="105">
        <f>'Hillpointe Detail'!AP226+'Sandhill Detail'!AP226</f>
        <v>0</v>
      </c>
      <c r="AQ226" s="105">
        <f>'Hillpointe Detail'!AQ226+'Sandhill Detail'!AQ226</f>
        <v>0</v>
      </c>
      <c r="AR226" s="105">
        <f>'Hillpointe Detail'!AR226+'Sandhill Detail'!AR226</f>
        <v>0</v>
      </c>
      <c r="AS226" s="105">
        <f>'Hillpointe Detail'!AS226+'Sandhill Detail'!AS226</f>
        <v>0</v>
      </c>
      <c r="AT226" s="105">
        <f>'Hillpointe Detail'!AT226+'Sandhill Detail'!AT226</f>
        <v>0</v>
      </c>
      <c r="AU226" s="105">
        <f>'Hillpointe Detail'!AU226+'Sandhill Detail'!AU226</f>
        <v>0</v>
      </c>
      <c r="AV226" s="105">
        <f>'Hillpointe Detail'!AV226+'Sandhill Detail'!AV226</f>
        <v>0</v>
      </c>
      <c r="AW226" s="105">
        <f>'Hillpointe Detail'!AW226+'Sandhill Detail'!AW226</f>
        <v>0</v>
      </c>
      <c r="AX226" s="105">
        <f>'Hillpointe Detail'!AX226+'Sandhill Detail'!AX226</f>
        <v>0</v>
      </c>
      <c r="AY226" s="105">
        <f>'Hillpointe Detail'!AY226+'Sandhill Detail'!AY226</f>
        <v>0</v>
      </c>
      <c r="AZ226" s="105">
        <f>'Hillpointe Detail'!AZ226+'Sandhill Detail'!AZ226</f>
        <v>0</v>
      </c>
      <c r="BA226" s="105">
        <f>'Hillpointe Detail'!BA226+'Sandhill Detail'!BA226</f>
        <v>0</v>
      </c>
      <c r="BB226" s="105">
        <f>'Hillpointe Detail'!BB226+'Sandhill Detail'!BB226</f>
        <v>0</v>
      </c>
      <c r="BC226" s="105">
        <f>'Hillpointe Detail'!BC226+'Sandhill Detail'!BC226</f>
        <v>0</v>
      </c>
      <c r="BD226" s="105">
        <f>'Hillpointe Detail'!BD226+'Sandhill Detail'!BD226</f>
        <v>0</v>
      </c>
      <c r="BE226" s="105">
        <f>'Hillpointe Detail'!BE226+'Sandhill Detail'!BE226</f>
        <v>0</v>
      </c>
      <c r="BF226" s="105">
        <f>'Hillpointe Detail'!BF226+'Sandhill Detail'!BF226</f>
        <v>0</v>
      </c>
      <c r="BG226" s="105">
        <f>'Hillpointe Detail'!BG226+'Sandhill Detail'!BG226</f>
        <v>0</v>
      </c>
      <c r="BH226" s="105">
        <f>'Hillpointe Detail'!BH226+'Sandhill Detail'!BH226</f>
        <v>0</v>
      </c>
      <c r="BI226" s="105">
        <f>'Hillpointe Detail'!BI226+'Sandhill Detail'!BI226</f>
        <v>0</v>
      </c>
      <c r="BJ226" s="105">
        <f>'Hillpointe Detail'!BJ226+'Sandhill Detail'!BJ226</f>
        <v>0</v>
      </c>
      <c r="BK226" s="105">
        <f>'Hillpointe Detail'!BK226+'Sandhill Detail'!BK226</f>
        <v>0</v>
      </c>
      <c r="BL226" s="105">
        <f>'Hillpointe Detail'!BL226+'Sandhill Detail'!BL226</f>
        <v>0</v>
      </c>
      <c r="BM226" s="105">
        <f>'Hillpointe Detail'!BM226+'Sandhill Detail'!BM226</f>
        <v>0</v>
      </c>
      <c r="BN226" s="105">
        <f>'Hillpointe Detail'!BN226+'Sandhill Detail'!BN226</f>
        <v>0</v>
      </c>
      <c r="BO226" s="105">
        <f>'Hillpointe Detail'!BO226+'Sandhill Detail'!BO226</f>
        <v>0</v>
      </c>
      <c r="BP226" s="105">
        <f>'Hillpointe Detail'!BP226+'Sandhill Detail'!BP226</f>
        <v>0</v>
      </c>
      <c r="BQ226" s="105">
        <f>'Hillpointe Detail'!BQ226+'Sandhill Detail'!BQ226</f>
        <v>0</v>
      </c>
      <c r="BR226" s="105">
        <f>'Hillpointe Detail'!BR226+'Sandhill Detail'!BR226</f>
        <v>0</v>
      </c>
      <c r="BS226" s="105">
        <f>'Hillpointe Detail'!BS226+'Sandhill Detail'!BS226</f>
        <v>0</v>
      </c>
      <c r="BT226" s="105">
        <f>'Hillpointe Detail'!BT226+'Sandhill Detail'!BT226</f>
        <v>0</v>
      </c>
      <c r="BU226" s="105">
        <f>'Hillpointe Detail'!BU226+'Sandhill Detail'!BU226</f>
        <v>0</v>
      </c>
      <c r="BV226" s="105">
        <f>'Hillpointe Detail'!BV226+'Sandhill Detail'!BV226</f>
        <v>0</v>
      </c>
      <c r="BW226" s="105">
        <f>'Hillpointe Detail'!BW226+'Sandhill Detail'!BW226</f>
        <v>0</v>
      </c>
      <c r="BX226" s="105">
        <f>'Hillpointe Detail'!BX226+'Sandhill Detail'!BX226</f>
        <v>0</v>
      </c>
      <c r="BZ226" s="8">
        <f t="shared" si="154"/>
        <v>324672</v>
      </c>
      <c r="CA226" s="8">
        <f>SUMIF($B$253:$BY$253,1,$B226:$BY226)</f>
        <v>3523968</v>
      </c>
    </row>
    <row r="227" spans="1:79" x14ac:dyDescent="0.3">
      <c r="A227" t="str">
        <f>A189</f>
        <v>Special Educ.</v>
      </c>
      <c r="B227" s="10"/>
      <c r="C227" s="105"/>
      <c r="D227" s="105"/>
      <c r="E227" s="105">
        <f>'Hillpointe Detail'!E227+'Sandhill Detail'!E227</f>
        <v>6282.0074999999988</v>
      </c>
      <c r="F227" s="105">
        <f>'Hillpointe Detail'!F227+'Sandhill Detail'!F227</f>
        <v>6282.0074999999988</v>
      </c>
      <c r="G227" s="105">
        <f>'Hillpointe Detail'!G227+'Sandhill Detail'!G227</f>
        <v>6282.0074999999988</v>
      </c>
      <c r="H227" s="105">
        <f>'Hillpointe Detail'!H227+'Sandhill Detail'!H227</f>
        <v>6282.0074999999988</v>
      </c>
      <c r="I227" s="105">
        <f>'Hillpointe Detail'!I227+'Sandhill Detail'!I227</f>
        <v>6282.0074999999988</v>
      </c>
      <c r="J227" s="105">
        <f>'Hillpointe Detail'!J227+'Sandhill Detail'!J227</f>
        <v>6282.0074999999988</v>
      </c>
      <c r="K227" s="105">
        <f>'Hillpointe Detail'!K227+'Sandhill Detail'!K227</f>
        <v>6282.0074999999988</v>
      </c>
      <c r="L227" s="105">
        <f>'Hillpointe Detail'!L227+'Sandhill Detail'!L227</f>
        <v>6282.0074999999988</v>
      </c>
      <c r="M227" s="105">
        <f>'Hillpointe Detail'!M227+'Sandhill Detail'!M227</f>
        <v>6282.0074999999988</v>
      </c>
      <c r="N227" s="105">
        <f>'Hillpointe Detail'!N227+'Sandhill Detail'!N227</f>
        <v>6282.0074999999988</v>
      </c>
      <c r="O227" s="105">
        <f>'Hillpointe Detail'!O227+'Sandhill Detail'!O227</f>
        <v>6282.0074999999988</v>
      </c>
      <c r="P227" s="105">
        <f>'Hillpointe Detail'!P227+'Sandhill Detail'!P227</f>
        <v>6282.0074999999988</v>
      </c>
      <c r="Q227" s="105">
        <f>'Hillpointe Detail'!Q227+'Sandhill Detail'!Q227</f>
        <v>0</v>
      </c>
      <c r="R227" s="105">
        <f>'Hillpointe Detail'!R227+'Sandhill Detail'!R227</f>
        <v>0</v>
      </c>
      <c r="S227" s="105">
        <f>'Hillpointe Detail'!S227+'Sandhill Detail'!S227</f>
        <v>18846.02</v>
      </c>
      <c r="T227" s="105">
        <f>'Hillpointe Detail'!T227+'Sandhill Detail'!T227</f>
        <v>0</v>
      </c>
      <c r="U227" s="105">
        <f>'Hillpointe Detail'!U227+'Sandhill Detail'!U227</f>
        <v>19377.690000000002</v>
      </c>
      <c r="V227" s="105">
        <f>'Hillpointe Detail'!V227+'Sandhill Detail'!V227</f>
        <v>0</v>
      </c>
      <c r="W227" s="105">
        <f>'Hillpointe Detail'!W227+'Sandhill Detail'!W227</f>
        <v>0</v>
      </c>
      <c r="X227" s="105">
        <f>'Hillpointe Detail'!X227+'Sandhill Detail'!X227</f>
        <v>19377.689999999995</v>
      </c>
      <c r="Y227" s="105">
        <f>'Hillpointe Detail'!Y227+'Sandhill Detail'!Y227</f>
        <v>0</v>
      </c>
      <c r="Z227" s="105">
        <f>'Hillpointe Detail'!Z227+'Sandhill Detail'!Z227</f>
        <v>0</v>
      </c>
      <c r="AA227" s="105">
        <f>'Hillpointe Detail'!AA227+'Sandhill Detail'!AA227</f>
        <v>19377.689999999995</v>
      </c>
      <c r="AB227" s="105">
        <f>'Hillpointe Detail'!AB227+'Sandhill Detail'!AB227</f>
        <v>0</v>
      </c>
      <c r="AC227" s="105">
        <f>'Hillpointe Detail'!AC227+'Sandhill Detail'!AC227</f>
        <v>0</v>
      </c>
      <c r="AD227" s="105">
        <f>'Hillpointe Detail'!AD227+'Sandhill Detail'!AD227</f>
        <v>0</v>
      </c>
      <c r="AE227" s="105">
        <f>'Hillpointe Detail'!AE227+'Sandhill Detail'!AE227</f>
        <v>0</v>
      </c>
      <c r="AF227" s="105">
        <f>'Hillpointe Detail'!AF227+'Sandhill Detail'!AF227</f>
        <v>0</v>
      </c>
      <c r="AG227" s="105">
        <f>'Hillpointe Detail'!AG227+'Sandhill Detail'!AG227</f>
        <v>0</v>
      </c>
      <c r="AH227" s="105">
        <f>'Hillpointe Detail'!AH227+'Sandhill Detail'!AH227</f>
        <v>0</v>
      </c>
      <c r="AI227" s="105">
        <f>'Hillpointe Detail'!AI227+'Sandhill Detail'!AI227</f>
        <v>0</v>
      </c>
      <c r="AJ227" s="105">
        <f>'Hillpointe Detail'!AJ227+'Sandhill Detail'!AJ227</f>
        <v>0</v>
      </c>
      <c r="AK227" s="105">
        <f>'Hillpointe Detail'!AK227+'Sandhill Detail'!AK227</f>
        <v>0</v>
      </c>
      <c r="AL227" s="105">
        <f>'Hillpointe Detail'!AL227+'Sandhill Detail'!AL227</f>
        <v>0</v>
      </c>
      <c r="AM227" s="105">
        <f>'Hillpointe Detail'!AM227+'Sandhill Detail'!AM227</f>
        <v>0</v>
      </c>
      <c r="AN227" s="105">
        <f>'Hillpointe Detail'!AN227+'Sandhill Detail'!AN227</f>
        <v>0</v>
      </c>
      <c r="AO227" s="105">
        <f>'Hillpointe Detail'!AO227+'Sandhill Detail'!AO227</f>
        <v>0</v>
      </c>
      <c r="AP227" s="105">
        <f>'Hillpointe Detail'!AP227+'Sandhill Detail'!AP227</f>
        <v>0</v>
      </c>
      <c r="AQ227" s="105">
        <f>'Hillpointe Detail'!AQ227+'Sandhill Detail'!AQ227</f>
        <v>0</v>
      </c>
      <c r="AR227" s="105">
        <f>'Hillpointe Detail'!AR227+'Sandhill Detail'!AR227</f>
        <v>0</v>
      </c>
      <c r="AS227" s="105">
        <f>'Hillpointe Detail'!AS227+'Sandhill Detail'!AS227</f>
        <v>0</v>
      </c>
      <c r="AT227" s="105">
        <f>'Hillpointe Detail'!AT227+'Sandhill Detail'!AT227</f>
        <v>0</v>
      </c>
      <c r="AU227" s="105">
        <f>'Hillpointe Detail'!AU227+'Sandhill Detail'!AU227</f>
        <v>0</v>
      </c>
      <c r="AV227" s="105">
        <f>'Hillpointe Detail'!AV227+'Sandhill Detail'!AV227</f>
        <v>0</v>
      </c>
      <c r="AW227" s="105">
        <f>'Hillpointe Detail'!AW227+'Sandhill Detail'!AW227</f>
        <v>0</v>
      </c>
      <c r="AX227" s="105">
        <f>'Hillpointe Detail'!AX227+'Sandhill Detail'!AX227</f>
        <v>0</v>
      </c>
      <c r="AY227" s="105">
        <f>'Hillpointe Detail'!AY227+'Sandhill Detail'!AY227</f>
        <v>0</v>
      </c>
      <c r="AZ227" s="105">
        <f>'Hillpointe Detail'!AZ227+'Sandhill Detail'!AZ227</f>
        <v>0</v>
      </c>
      <c r="BA227" s="105">
        <f>'Hillpointe Detail'!BA227+'Sandhill Detail'!BA227</f>
        <v>0</v>
      </c>
      <c r="BB227" s="105">
        <f>'Hillpointe Detail'!BB227+'Sandhill Detail'!BB227</f>
        <v>0</v>
      </c>
      <c r="BC227" s="105">
        <f>'Hillpointe Detail'!BC227+'Sandhill Detail'!BC227</f>
        <v>0</v>
      </c>
      <c r="BD227" s="105">
        <f>'Hillpointe Detail'!BD227+'Sandhill Detail'!BD227</f>
        <v>0</v>
      </c>
      <c r="BE227" s="105">
        <f>'Hillpointe Detail'!BE227+'Sandhill Detail'!BE227</f>
        <v>0</v>
      </c>
      <c r="BF227" s="105">
        <f>'Hillpointe Detail'!BF227+'Sandhill Detail'!BF227</f>
        <v>0</v>
      </c>
      <c r="BG227" s="105">
        <f>'Hillpointe Detail'!BG227+'Sandhill Detail'!BG227</f>
        <v>0</v>
      </c>
      <c r="BH227" s="105">
        <f>'Hillpointe Detail'!BH227+'Sandhill Detail'!BH227</f>
        <v>0</v>
      </c>
      <c r="BI227" s="105">
        <f>'Hillpointe Detail'!BI227+'Sandhill Detail'!BI227</f>
        <v>0</v>
      </c>
      <c r="BJ227" s="105">
        <f>'Hillpointe Detail'!BJ227+'Sandhill Detail'!BJ227</f>
        <v>0</v>
      </c>
      <c r="BK227" s="105">
        <f>'Hillpointe Detail'!BK227+'Sandhill Detail'!BK227</f>
        <v>0</v>
      </c>
      <c r="BL227" s="105">
        <f>'Hillpointe Detail'!BL227+'Sandhill Detail'!BL227</f>
        <v>0</v>
      </c>
      <c r="BM227" s="105">
        <f>'Hillpointe Detail'!BM227+'Sandhill Detail'!BM227</f>
        <v>0</v>
      </c>
      <c r="BN227" s="105">
        <f>'Hillpointe Detail'!BN227+'Sandhill Detail'!BN227</f>
        <v>0</v>
      </c>
      <c r="BO227" s="105">
        <f>'Hillpointe Detail'!BO227+'Sandhill Detail'!BO227</f>
        <v>0</v>
      </c>
      <c r="BP227" s="105">
        <f>'Hillpointe Detail'!BP227+'Sandhill Detail'!BP227</f>
        <v>0</v>
      </c>
      <c r="BQ227" s="105">
        <f>'Hillpointe Detail'!BQ227+'Sandhill Detail'!BQ227</f>
        <v>0</v>
      </c>
      <c r="BR227" s="105">
        <f>'Hillpointe Detail'!BR227+'Sandhill Detail'!BR227</f>
        <v>0</v>
      </c>
      <c r="BS227" s="105">
        <f>'Hillpointe Detail'!BS227+'Sandhill Detail'!BS227</f>
        <v>0</v>
      </c>
      <c r="BT227" s="105">
        <f>'Hillpointe Detail'!BT227+'Sandhill Detail'!BT227</f>
        <v>0</v>
      </c>
      <c r="BU227" s="105">
        <f>'Hillpointe Detail'!BU227+'Sandhill Detail'!BU227</f>
        <v>0</v>
      </c>
      <c r="BV227" s="105">
        <f>'Hillpointe Detail'!BV227+'Sandhill Detail'!BV227</f>
        <v>0</v>
      </c>
      <c r="BW227" s="105">
        <f>'Hillpointe Detail'!BW227+'Sandhill Detail'!BW227</f>
        <v>0</v>
      </c>
      <c r="BX227" s="105">
        <f>'Hillpointe Detail'!BX227+'Sandhill Detail'!BX227</f>
        <v>0</v>
      </c>
      <c r="BZ227" s="8">
        <f t="shared" si="154"/>
        <v>19377.689999999995</v>
      </c>
      <c r="CA227" s="8">
        <f>SUMIF($B$253:$BY$253,1,$B227:$BY227)</f>
        <v>76979.09</v>
      </c>
    </row>
    <row r="228" spans="1:79" x14ac:dyDescent="0.3">
      <c r="A228" t="str">
        <f>A190</f>
        <v>Grants</v>
      </c>
      <c r="B228" s="10"/>
      <c r="C228" s="105"/>
      <c r="D228" s="105"/>
      <c r="E228" s="105">
        <f>'Hillpointe Detail'!E228+'Sandhill Detail'!E228</f>
        <v>4726.0566666666664</v>
      </c>
      <c r="F228" s="105">
        <f>'Hillpointe Detail'!F228+'Sandhill Detail'!F228</f>
        <v>4726.0566666666664</v>
      </c>
      <c r="G228" s="105">
        <f>'Hillpointe Detail'!G228+'Sandhill Detail'!G228</f>
        <v>4726.0566666666664</v>
      </c>
      <c r="H228" s="105">
        <f>'Hillpointe Detail'!H228+'Sandhill Detail'!H228</f>
        <v>4726.0566666666664</v>
      </c>
      <c r="I228" s="105">
        <f>'Hillpointe Detail'!I228+'Sandhill Detail'!I228</f>
        <v>4726.0566666666664</v>
      </c>
      <c r="J228" s="105">
        <f>'Hillpointe Detail'!J228+'Sandhill Detail'!J228</f>
        <v>4726.0566666666664</v>
      </c>
      <c r="K228" s="105">
        <f>'Hillpointe Detail'!K228+'Sandhill Detail'!K228</f>
        <v>4726.0566666666664</v>
      </c>
      <c r="L228" s="105">
        <f>'Hillpointe Detail'!L228+'Sandhill Detail'!L228</f>
        <v>4726.0566666666664</v>
      </c>
      <c r="M228" s="105">
        <f>'Hillpointe Detail'!M228+'Sandhill Detail'!M228</f>
        <v>4726.0566666666664</v>
      </c>
      <c r="N228" s="105">
        <f>'Hillpointe Detail'!N228+'Sandhill Detail'!N228</f>
        <v>4726.0566666666664</v>
      </c>
      <c r="O228" s="105">
        <f>'Hillpointe Detail'!O228+'Sandhill Detail'!O228</f>
        <v>4726.0566666666664</v>
      </c>
      <c r="P228" s="105">
        <f>'Hillpointe Detail'!P228+'Sandhill Detail'!P228</f>
        <v>4726.0566666666664</v>
      </c>
      <c r="Q228" s="105">
        <f>'Hillpointe Detail'!Q228+'Sandhill Detail'!Q228</f>
        <v>0</v>
      </c>
      <c r="R228" s="105">
        <f>'Hillpointe Detail'!R228+'Sandhill Detail'!R228</f>
        <v>500034</v>
      </c>
      <c r="S228" s="105">
        <f>'Hillpointe Detail'!S228+'Sandhill Detail'!S228</f>
        <v>2000</v>
      </c>
      <c r="T228" s="105">
        <f>'Hillpointe Detail'!T228+'Sandhill Detail'!T228</f>
        <v>14545.23</v>
      </c>
      <c r="U228" s="105">
        <f>'Hillpointe Detail'!U228+'Sandhill Detail'!U228</f>
        <v>0</v>
      </c>
      <c r="V228" s="105">
        <f>'Hillpointe Detail'!V228+'Sandhill Detail'!V228</f>
        <v>15.5</v>
      </c>
      <c r="W228" s="105">
        <f>'Hillpointe Detail'!W228+'Sandhill Detail'!W228</f>
        <v>0</v>
      </c>
      <c r="X228" s="105">
        <f>'Hillpointe Detail'!X228+'Sandhill Detail'!X228</f>
        <v>15065.000000000015</v>
      </c>
      <c r="Y228" s="105">
        <f>'Hillpointe Detail'!Y228+'Sandhill Detail'!Y228</f>
        <v>0</v>
      </c>
      <c r="Z228" s="105">
        <f>'Hillpointe Detail'!Z228+'Sandhill Detail'!Z228</f>
        <v>0</v>
      </c>
      <c r="AA228" s="105">
        <f>'Hillpointe Detail'!AA228+'Sandhill Detail'!AA228</f>
        <v>11005.400000000001</v>
      </c>
      <c r="AB228" s="105">
        <f>'Hillpointe Detail'!AB228+'Sandhill Detail'!AB228</f>
        <v>0</v>
      </c>
      <c r="AC228" s="105">
        <f>'Hillpointe Detail'!AC228+'Sandhill Detail'!AC228</f>
        <v>0</v>
      </c>
      <c r="AD228" s="105">
        <f>'Hillpointe Detail'!AD228+'Sandhill Detail'!AD228</f>
        <v>0</v>
      </c>
      <c r="AE228" s="105">
        <f>'Hillpointe Detail'!AE228+'Sandhill Detail'!AE228</f>
        <v>0</v>
      </c>
      <c r="AF228" s="105">
        <f>'Hillpointe Detail'!AF228+'Sandhill Detail'!AF228</f>
        <v>0</v>
      </c>
      <c r="AG228" s="105">
        <f>'Hillpointe Detail'!AG228+'Sandhill Detail'!AG228</f>
        <v>0</v>
      </c>
      <c r="AH228" s="105">
        <f>'Hillpointe Detail'!AH228+'Sandhill Detail'!AH228</f>
        <v>0</v>
      </c>
      <c r="AI228" s="105">
        <f>'Hillpointe Detail'!AI228+'Sandhill Detail'!AI228</f>
        <v>0</v>
      </c>
      <c r="AJ228" s="105">
        <f>'Hillpointe Detail'!AJ228+'Sandhill Detail'!AJ228</f>
        <v>0</v>
      </c>
      <c r="AK228" s="105">
        <f>'Hillpointe Detail'!AK228+'Sandhill Detail'!AK228</f>
        <v>0</v>
      </c>
      <c r="AL228" s="105">
        <f>'Hillpointe Detail'!AL228+'Sandhill Detail'!AL228</f>
        <v>0</v>
      </c>
      <c r="AM228" s="105">
        <f>'Hillpointe Detail'!AM228+'Sandhill Detail'!AM228</f>
        <v>0</v>
      </c>
      <c r="AN228" s="105">
        <f>'Hillpointe Detail'!AN228+'Sandhill Detail'!AN228</f>
        <v>0</v>
      </c>
      <c r="AO228" s="105">
        <f>'Hillpointe Detail'!AO228+'Sandhill Detail'!AO228</f>
        <v>0</v>
      </c>
      <c r="AP228" s="105">
        <f>'Hillpointe Detail'!AP228+'Sandhill Detail'!AP228</f>
        <v>0</v>
      </c>
      <c r="AQ228" s="105">
        <f>'Hillpointe Detail'!AQ228+'Sandhill Detail'!AQ228</f>
        <v>0</v>
      </c>
      <c r="AR228" s="105">
        <f>'Hillpointe Detail'!AR228+'Sandhill Detail'!AR228</f>
        <v>0</v>
      </c>
      <c r="AS228" s="105">
        <f>'Hillpointe Detail'!AS228+'Sandhill Detail'!AS228</f>
        <v>0</v>
      </c>
      <c r="AT228" s="105">
        <f>'Hillpointe Detail'!AT228+'Sandhill Detail'!AT228</f>
        <v>0</v>
      </c>
      <c r="AU228" s="105">
        <f>'Hillpointe Detail'!AU228+'Sandhill Detail'!AU228</f>
        <v>0</v>
      </c>
      <c r="AV228" s="105">
        <f>'Hillpointe Detail'!AV228+'Sandhill Detail'!AV228</f>
        <v>0</v>
      </c>
      <c r="AW228" s="105">
        <f>'Hillpointe Detail'!AW228+'Sandhill Detail'!AW228</f>
        <v>0</v>
      </c>
      <c r="AX228" s="105">
        <f>'Hillpointe Detail'!AX228+'Sandhill Detail'!AX228</f>
        <v>0</v>
      </c>
      <c r="AY228" s="105">
        <f>'Hillpointe Detail'!AY228+'Sandhill Detail'!AY228</f>
        <v>0</v>
      </c>
      <c r="AZ228" s="105">
        <f>'Hillpointe Detail'!AZ228+'Sandhill Detail'!AZ228</f>
        <v>0</v>
      </c>
      <c r="BA228" s="105">
        <f>'Hillpointe Detail'!BA228+'Sandhill Detail'!BA228</f>
        <v>0</v>
      </c>
      <c r="BB228" s="105">
        <f>'Hillpointe Detail'!BB228+'Sandhill Detail'!BB228</f>
        <v>0</v>
      </c>
      <c r="BC228" s="105">
        <f>'Hillpointe Detail'!BC228+'Sandhill Detail'!BC228</f>
        <v>0</v>
      </c>
      <c r="BD228" s="105">
        <f>'Hillpointe Detail'!BD228+'Sandhill Detail'!BD228</f>
        <v>0</v>
      </c>
      <c r="BE228" s="105">
        <f>'Hillpointe Detail'!BE228+'Sandhill Detail'!BE228</f>
        <v>0</v>
      </c>
      <c r="BF228" s="105">
        <f>'Hillpointe Detail'!BF228+'Sandhill Detail'!BF228</f>
        <v>0</v>
      </c>
      <c r="BG228" s="105">
        <f>'Hillpointe Detail'!BG228+'Sandhill Detail'!BG228</f>
        <v>0</v>
      </c>
      <c r="BH228" s="105">
        <f>'Hillpointe Detail'!BH228+'Sandhill Detail'!BH228</f>
        <v>0</v>
      </c>
      <c r="BI228" s="105">
        <f>'Hillpointe Detail'!BI228+'Sandhill Detail'!BI228</f>
        <v>0</v>
      </c>
      <c r="BJ228" s="105">
        <f>'Hillpointe Detail'!BJ228+'Sandhill Detail'!BJ228</f>
        <v>0</v>
      </c>
      <c r="BK228" s="105">
        <f>'Hillpointe Detail'!BK228+'Sandhill Detail'!BK228</f>
        <v>0</v>
      </c>
      <c r="BL228" s="105">
        <f>'Hillpointe Detail'!BL228+'Sandhill Detail'!BL228</f>
        <v>0</v>
      </c>
      <c r="BM228" s="105">
        <f>'Hillpointe Detail'!BM228+'Sandhill Detail'!BM228</f>
        <v>0</v>
      </c>
      <c r="BN228" s="105">
        <f>'Hillpointe Detail'!BN228+'Sandhill Detail'!BN228</f>
        <v>0</v>
      </c>
      <c r="BO228" s="105">
        <f>'Hillpointe Detail'!BO228+'Sandhill Detail'!BO228</f>
        <v>0</v>
      </c>
      <c r="BP228" s="105">
        <f>'Hillpointe Detail'!BP228+'Sandhill Detail'!BP228</f>
        <v>0</v>
      </c>
      <c r="BQ228" s="105">
        <f>'Hillpointe Detail'!BQ228+'Sandhill Detail'!BQ228</f>
        <v>0</v>
      </c>
      <c r="BR228" s="105">
        <f>'Hillpointe Detail'!BR228+'Sandhill Detail'!BR228</f>
        <v>0</v>
      </c>
      <c r="BS228" s="105">
        <f>'Hillpointe Detail'!BS228+'Sandhill Detail'!BS228</f>
        <v>0</v>
      </c>
      <c r="BT228" s="105">
        <f>'Hillpointe Detail'!BT228+'Sandhill Detail'!BT228</f>
        <v>0</v>
      </c>
      <c r="BU228" s="105">
        <f>'Hillpointe Detail'!BU228+'Sandhill Detail'!BU228</f>
        <v>0</v>
      </c>
      <c r="BV228" s="105">
        <f>'Hillpointe Detail'!BV228+'Sandhill Detail'!BV228</f>
        <v>0</v>
      </c>
      <c r="BW228" s="105">
        <f>'Hillpointe Detail'!BW228+'Sandhill Detail'!BW228</f>
        <v>0</v>
      </c>
      <c r="BX228" s="105">
        <f>'Hillpointe Detail'!BX228+'Sandhill Detail'!BX228</f>
        <v>0</v>
      </c>
      <c r="BZ228" s="8">
        <f t="shared" si="154"/>
        <v>11005.400000000001</v>
      </c>
      <c r="CA228" s="8">
        <f>SUMIF($B$253:$BY$253,1,$B228:$BY228)</f>
        <v>542665.13</v>
      </c>
    </row>
    <row r="229" spans="1:79" x14ac:dyDescent="0.3">
      <c r="A229" t="str">
        <f>A191</f>
        <v>Other</v>
      </c>
      <c r="B229" s="10"/>
      <c r="C229" s="105"/>
      <c r="D229" s="105"/>
      <c r="E229" s="105">
        <f>'Hillpointe Detail'!E229+'Sandhill Detail'!E229</f>
        <v>0</v>
      </c>
      <c r="F229" s="105">
        <f>'Hillpointe Detail'!F229+'Sandhill Detail'!F229</f>
        <v>0</v>
      </c>
      <c r="G229" s="105">
        <f>'Hillpointe Detail'!G229+'Sandhill Detail'!G229</f>
        <v>0</v>
      </c>
      <c r="H229" s="105">
        <f>'Hillpointe Detail'!H229+'Sandhill Detail'!H229</f>
        <v>0</v>
      </c>
      <c r="I229" s="105">
        <f>'Hillpointe Detail'!I229+'Sandhill Detail'!I229</f>
        <v>0</v>
      </c>
      <c r="J229" s="105">
        <f>'Hillpointe Detail'!J229+'Sandhill Detail'!J229</f>
        <v>0</v>
      </c>
      <c r="K229" s="105">
        <f>'Hillpointe Detail'!K229+'Sandhill Detail'!K229</f>
        <v>0</v>
      </c>
      <c r="L229" s="105">
        <f>'Hillpointe Detail'!L229+'Sandhill Detail'!L229</f>
        <v>0</v>
      </c>
      <c r="M229" s="105">
        <f>'Hillpointe Detail'!M229+'Sandhill Detail'!M229</f>
        <v>0</v>
      </c>
      <c r="N229" s="105">
        <f>'Hillpointe Detail'!N229+'Sandhill Detail'!N229</f>
        <v>0</v>
      </c>
      <c r="O229" s="105">
        <f>'Hillpointe Detail'!O229+'Sandhill Detail'!O229</f>
        <v>0</v>
      </c>
      <c r="P229" s="105">
        <f>'Hillpointe Detail'!P229+'Sandhill Detail'!P229</f>
        <v>0</v>
      </c>
      <c r="Q229" s="105">
        <f>'Hillpointe Detail'!Q229+'Sandhill Detail'!Q229</f>
        <v>54.13</v>
      </c>
      <c r="R229" s="105">
        <f>'Hillpointe Detail'!R229+'Sandhill Detail'!R229</f>
        <v>3009.9599999999996</v>
      </c>
      <c r="S229" s="105">
        <f>'Hillpointe Detail'!S229+'Sandhill Detail'!S229</f>
        <v>1191.3800000000001</v>
      </c>
      <c r="T229" s="105">
        <f>'Hillpointe Detail'!T229+'Sandhill Detail'!T229</f>
        <v>190.53000000000003</v>
      </c>
      <c r="U229" s="105">
        <f>'Hillpointe Detail'!U229+'Sandhill Detail'!U229</f>
        <v>234.10000000000002</v>
      </c>
      <c r="V229" s="105">
        <f>'Hillpointe Detail'!V229+'Sandhill Detail'!V229</f>
        <v>101.13</v>
      </c>
      <c r="W229" s="105">
        <f>'Hillpointe Detail'!W229+'Sandhill Detail'!W229</f>
        <v>197.93</v>
      </c>
      <c r="X229" s="105">
        <f>'Hillpointe Detail'!X229+'Sandhill Detail'!X229</f>
        <v>123.58000000000007</v>
      </c>
      <c r="Y229" s="105">
        <f>'Hillpointe Detail'!Y229+'Sandhill Detail'!Y229</f>
        <v>203.83071428571429</v>
      </c>
      <c r="Z229" s="105">
        <f>'Hillpointe Detail'!Z229+'Sandhill Detail'!Z229</f>
        <v>213.83071428571429</v>
      </c>
      <c r="AA229" s="105">
        <f>'Hillpointe Detail'!AA229+'Sandhill Detail'!AA229</f>
        <v>193.83071428571429</v>
      </c>
      <c r="AB229" s="105">
        <f>'Hillpointe Detail'!AB229+'Sandhill Detail'!AB229</f>
        <v>193.83071428571429</v>
      </c>
      <c r="AC229" s="105">
        <f>'Hillpointe Detail'!AC229+'Sandhill Detail'!AC229</f>
        <v>0</v>
      </c>
      <c r="AD229" s="105">
        <f>'Hillpointe Detail'!AD229+'Sandhill Detail'!AD229</f>
        <v>0</v>
      </c>
      <c r="AE229" s="105">
        <f>'Hillpointe Detail'!AE229+'Sandhill Detail'!AE229</f>
        <v>0</v>
      </c>
      <c r="AF229" s="105">
        <f>'Hillpointe Detail'!AF229+'Sandhill Detail'!AF229</f>
        <v>0</v>
      </c>
      <c r="AG229" s="105">
        <f>'Hillpointe Detail'!AG229+'Sandhill Detail'!AG229</f>
        <v>0</v>
      </c>
      <c r="AH229" s="105">
        <f>'Hillpointe Detail'!AH229+'Sandhill Detail'!AH229</f>
        <v>0</v>
      </c>
      <c r="AI229" s="105">
        <f>'Hillpointe Detail'!AI229+'Sandhill Detail'!AI229</f>
        <v>0</v>
      </c>
      <c r="AJ229" s="105">
        <f>'Hillpointe Detail'!AJ229+'Sandhill Detail'!AJ229</f>
        <v>0</v>
      </c>
      <c r="AK229" s="105">
        <f>'Hillpointe Detail'!AK229+'Sandhill Detail'!AK229</f>
        <v>0</v>
      </c>
      <c r="AL229" s="105">
        <f>'Hillpointe Detail'!AL229+'Sandhill Detail'!AL229</f>
        <v>0</v>
      </c>
      <c r="AM229" s="105">
        <f>'Hillpointe Detail'!AM229+'Sandhill Detail'!AM229</f>
        <v>0</v>
      </c>
      <c r="AN229" s="105">
        <f>'Hillpointe Detail'!AN229+'Sandhill Detail'!AN229</f>
        <v>0</v>
      </c>
      <c r="AO229" s="105">
        <f>'Hillpointe Detail'!AO229+'Sandhill Detail'!AO229</f>
        <v>0</v>
      </c>
      <c r="AP229" s="105">
        <f>'Hillpointe Detail'!AP229+'Sandhill Detail'!AP229</f>
        <v>0</v>
      </c>
      <c r="AQ229" s="105">
        <f>'Hillpointe Detail'!AQ229+'Sandhill Detail'!AQ229</f>
        <v>0</v>
      </c>
      <c r="AR229" s="105">
        <f>'Hillpointe Detail'!AR229+'Sandhill Detail'!AR229</f>
        <v>0</v>
      </c>
      <c r="AS229" s="105">
        <f>'Hillpointe Detail'!AS229+'Sandhill Detail'!AS229</f>
        <v>0</v>
      </c>
      <c r="AT229" s="105">
        <f>'Hillpointe Detail'!AT229+'Sandhill Detail'!AT229</f>
        <v>0</v>
      </c>
      <c r="AU229" s="105">
        <f>'Hillpointe Detail'!AU229+'Sandhill Detail'!AU229</f>
        <v>0</v>
      </c>
      <c r="AV229" s="105">
        <f>'Hillpointe Detail'!AV229+'Sandhill Detail'!AV229</f>
        <v>0</v>
      </c>
      <c r="AW229" s="105">
        <f>'Hillpointe Detail'!AW229+'Sandhill Detail'!AW229</f>
        <v>0</v>
      </c>
      <c r="AX229" s="105">
        <f>'Hillpointe Detail'!AX229+'Sandhill Detail'!AX229</f>
        <v>0</v>
      </c>
      <c r="AY229" s="105">
        <f>'Hillpointe Detail'!AY229+'Sandhill Detail'!AY229</f>
        <v>0</v>
      </c>
      <c r="AZ229" s="105">
        <f>'Hillpointe Detail'!AZ229+'Sandhill Detail'!AZ229</f>
        <v>0</v>
      </c>
      <c r="BA229" s="105">
        <f>'Hillpointe Detail'!BA229+'Sandhill Detail'!BA229</f>
        <v>0</v>
      </c>
      <c r="BB229" s="105">
        <f>'Hillpointe Detail'!BB229+'Sandhill Detail'!BB229</f>
        <v>0</v>
      </c>
      <c r="BC229" s="105">
        <f>'Hillpointe Detail'!BC229+'Sandhill Detail'!BC229</f>
        <v>0</v>
      </c>
      <c r="BD229" s="105">
        <f>'Hillpointe Detail'!BD229+'Sandhill Detail'!BD229</f>
        <v>0</v>
      </c>
      <c r="BE229" s="105">
        <f>'Hillpointe Detail'!BE229+'Sandhill Detail'!BE229</f>
        <v>0</v>
      </c>
      <c r="BF229" s="105">
        <f>'Hillpointe Detail'!BF229+'Sandhill Detail'!BF229</f>
        <v>0</v>
      </c>
      <c r="BG229" s="105">
        <f>'Hillpointe Detail'!BG229+'Sandhill Detail'!BG229</f>
        <v>0</v>
      </c>
      <c r="BH229" s="105">
        <f>'Hillpointe Detail'!BH229+'Sandhill Detail'!BH229</f>
        <v>0</v>
      </c>
      <c r="BI229" s="105">
        <f>'Hillpointe Detail'!BI229+'Sandhill Detail'!BI229</f>
        <v>0</v>
      </c>
      <c r="BJ229" s="105">
        <f>'Hillpointe Detail'!BJ229+'Sandhill Detail'!BJ229</f>
        <v>0</v>
      </c>
      <c r="BK229" s="105">
        <f>'Hillpointe Detail'!BK229+'Sandhill Detail'!BK229</f>
        <v>0</v>
      </c>
      <c r="BL229" s="105">
        <f>'Hillpointe Detail'!BL229+'Sandhill Detail'!BL229</f>
        <v>0</v>
      </c>
      <c r="BM229" s="105">
        <f>'Hillpointe Detail'!BM229+'Sandhill Detail'!BM229</f>
        <v>0</v>
      </c>
      <c r="BN229" s="105">
        <f>'Hillpointe Detail'!BN229+'Sandhill Detail'!BN229</f>
        <v>0</v>
      </c>
      <c r="BO229" s="105">
        <f>'Hillpointe Detail'!BO229+'Sandhill Detail'!BO229</f>
        <v>0</v>
      </c>
      <c r="BP229" s="105">
        <f>'Hillpointe Detail'!BP229+'Sandhill Detail'!BP229</f>
        <v>0</v>
      </c>
      <c r="BQ229" s="105">
        <f>'Hillpointe Detail'!BQ229+'Sandhill Detail'!BQ229</f>
        <v>0</v>
      </c>
      <c r="BR229" s="105">
        <f>'Hillpointe Detail'!BR229+'Sandhill Detail'!BR229</f>
        <v>0</v>
      </c>
      <c r="BS229" s="105">
        <f>'Hillpointe Detail'!BS229+'Sandhill Detail'!BS229</f>
        <v>0</v>
      </c>
      <c r="BT229" s="105">
        <f>'Hillpointe Detail'!BT229+'Sandhill Detail'!BT229</f>
        <v>0</v>
      </c>
      <c r="BU229" s="105">
        <f>'Hillpointe Detail'!BU229+'Sandhill Detail'!BU229</f>
        <v>0</v>
      </c>
      <c r="BV229" s="105">
        <f>'Hillpointe Detail'!BV229+'Sandhill Detail'!BV229</f>
        <v>0</v>
      </c>
      <c r="BW229" s="105">
        <f>'Hillpointe Detail'!BW229+'Sandhill Detail'!BW229</f>
        <v>0</v>
      </c>
      <c r="BX229" s="105">
        <f>'Hillpointe Detail'!BX229+'Sandhill Detail'!BX229</f>
        <v>0</v>
      </c>
      <c r="BZ229" s="8">
        <f t="shared" si="154"/>
        <v>193.83071428571429</v>
      </c>
      <c r="CA229" s="8">
        <f>SUMIF($B$253:$BY$253,1,$B229:$BY229)</f>
        <v>5714.2321428571413</v>
      </c>
    </row>
    <row r="230" spans="1:79" ht="3" customHeight="1" x14ac:dyDescent="0.3">
      <c r="B230" s="10"/>
      <c r="C230" s="19"/>
      <c r="D230" s="19"/>
      <c r="E230" s="19"/>
      <c r="F230" s="19"/>
      <c r="G230" s="19"/>
      <c r="H230" s="19"/>
      <c r="I230" s="19"/>
      <c r="J230" s="19"/>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Z230" s="7"/>
      <c r="CA230" s="7"/>
    </row>
    <row r="231" spans="1:79" x14ac:dyDescent="0.3">
      <c r="A231" s="1" t="s">
        <v>16</v>
      </c>
      <c r="B231" s="10"/>
      <c r="C231" s="8"/>
      <c r="D231" s="8"/>
      <c r="E231" s="8">
        <f>SUM(E225:E230)</f>
        <v>284008.06416666665</v>
      </c>
      <c r="F231" s="8">
        <f t="shared" ref="F231:CA231" si="155">SUM(F225:F230)</f>
        <v>284008.06416666665</v>
      </c>
      <c r="G231" s="8">
        <f t="shared" si="155"/>
        <v>284008.06416666665</v>
      </c>
      <c r="H231" s="8">
        <f t="shared" si="155"/>
        <v>284008.06416666665</v>
      </c>
      <c r="I231" s="8">
        <f t="shared" si="155"/>
        <v>284008.06416666665</v>
      </c>
      <c r="J231" s="8">
        <f t="shared" si="155"/>
        <v>284008.06416666665</v>
      </c>
      <c r="K231" s="8">
        <f t="shared" si="155"/>
        <v>284008.06416666665</v>
      </c>
      <c r="L231" s="8">
        <f t="shared" si="155"/>
        <v>284008.06416666665</v>
      </c>
      <c r="M231" s="8">
        <f t="shared" si="155"/>
        <v>284008.06416666665</v>
      </c>
      <c r="N231" s="8">
        <f t="shared" si="155"/>
        <v>284008.06416666665</v>
      </c>
      <c r="O231" s="8">
        <f t="shared" si="155"/>
        <v>284008.06416666665</v>
      </c>
      <c r="P231" s="8">
        <f t="shared" si="155"/>
        <v>284008.06416666665</v>
      </c>
      <c r="Q231" s="8">
        <f t="shared" si="155"/>
        <v>277302.13</v>
      </c>
      <c r="R231" s="8">
        <f t="shared" si="155"/>
        <v>828209.96</v>
      </c>
      <c r="S231" s="8">
        <f t="shared" si="155"/>
        <v>349806.4</v>
      </c>
      <c r="T231" s="8">
        <f t="shared" si="155"/>
        <v>344505.76</v>
      </c>
      <c r="U231" s="8">
        <f t="shared" si="155"/>
        <v>346063.79</v>
      </c>
      <c r="V231" s="8">
        <f t="shared" si="155"/>
        <v>326496.63</v>
      </c>
      <c r="W231" s="8">
        <f t="shared" si="155"/>
        <v>326816.93</v>
      </c>
      <c r="X231" s="8">
        <f t="shared" si="155"/>
        <v>362920.27</v>
      </c>
      <c r="Y231" s="8">
        <f t="shared" si="155"/>
        <v>326740.59357142856</v>
      </c>
      <c r="Z231" s="8">
        <f t="shared" si="155"/>
        <v>326750.59357142856</v>
      </c>
      <c r="AA231" s="8">
        <f t="shared" si="155"/>
        <v>357113.68357142858</v>
      </c>
      <c r="AB231" s="8">
        <f t="shared" si="155"/>
        <v>324865.83071428572</v>
      </c>
      <c r="AC231" s="8">
        <f t="shared" si="155"/>
        <v>0</v>
      </c>
      <c r="AD231" s="8">
        <f t="shared" si="155"/>
        <v>0</v>
      </c>
      <c r="AE231" s="8">
        <f t="shared" si="155"/>
        <v>0</v>
      </c>
      <c r="AF231" s="8">
        <f t="shared" si="155"/>
        <v>0</v>
      </c>
      <c r="AG231" s="8">
        <f t="shared" si="155"/>
        <v>0</v>
      </c>
      <c r="AH231" s="8">
        <f t="shared" si="155"/>
        <v>0</v>
      </c>
      <c r="AI231" s="8">
        <f t="shared" si="155"/>
        <v>0</v>
      </c>
      <c r="AJ231" s="8">
        <f t="shared" si="155"/>
        <v>0</v>
      </c>
      <c r="AK231" s="8">
        <f t="shared" si="155"/>
        <v>0</v>
      </c>
      <c r="AL231" s="8">
        <f t="shared" si="155"/>
        <v>0</v>
      </c>
      <c r="AM231" s="8">
        <f t="shared" si="155"/>
        <v>0</v>
      </c>
      <c r="AN231" s="8">
        <f t="shared" si="155"/>
        <v>0</v>
      </c>
      <c r="AO231" s="8">
        <f t="shared" ref="AO231:AZ231" si="156">SUM(AO225:AO230)</f>
        <v>0</v>
      </c>
      <c r="AP231" s="8">
        <f t="shared" si="156"/>
        <v>0</v>
      </c>
      <c r="AQ231" s="8">
        <f t="shared" si="156"/>
        <v>0</v>
      </c>
      <c r="AR231" s="8">
        <f t="shared" si="156"/>
        <v>0</v>
      </c>
      <c r="AS231" s="8">
        <f t="shared" si="156"/>
        <v>0</v>
      </c>
      <c r="AT231" s="8">
        <f t="shared" si="156"/>
        <v>0</v>
      </c>
      <c r="AU231" s="8">
        <f t="shared" si="156"/>
        <v>0</v>
      </c>
      <c r="AV231" s="8">
        <f t="shared" si="156"/>
        <v>0</v>
      </c>
      <c r="AW231" s="8">
        <f t="shared" si="156"/>
        <v>0</v>
      </c>
      <c r="AX231" s="8">
        <f t="shared" si="156"/>
        <v>0</v>
      </c>
      <c r="AY231" s="8">
        <f t="shared" si="156"/>
        <v>0</v>
      </c>
      <c r="AZ231" s="8">
        <f t="shared" si="156"/>
        <v>0</v>
      </c>
      <c r="BA231" s="8">
        <f t="shared" ref="BA231:BX231" si="157">SUM(BA225:BA230)</f>
        <v>0</v>
      </c>
      <c r="BB231" s="8">
        <f t="shared" si="157"/>
        <v>0</v>
      </c>
      <c r="BC231" s="8">
        <f t="shared" si="157"/>
        <v>0</v>
      </c>
      <c r="BD231" s="8">
        <f t="shared" si="157"/>
        <v>0</v>
      </c>
      <c r="BE231" s="8">
        <f t="shared" si="157"/>
        <v>0</v>
      </c>
      <c r="BF231" s="8">
        <f t="shared" si="157"/>
        <v>0</v>
      </c>
      <c r="BG231" s="8">
        <f t="shared" si="157"/>
        <v>0</v>
      </c>
      <c r="BH231" s="8">
        <f t="shared" si="157"/>
        <v>0</v>
      </c>
      <c r="BI231" s="8">
        <f t="shared" si="157"/>
        <v>0</v>
      </c>
      <c r="BJ231" s="8">
        <f t="shared" si="157"/>
        <v>0</v>
      </c>
      <c r="BK231" s="8">
        <f t="shared" si="157"/>
        <v>0</v>
      </c>
      <c r="BL231" s="8">
        <f t="shared" si="157"/>
        <v>0</v>
      </c>
      <c r="BM231" s="8">
        <f t="shared" si="157"/>
        <v>0</v>
      </c>
      <c r="BN231" s="8">
        <f t="shared" si="157"/>
        <v>0</v>
      </c>
      <c r="BO231" s="8">
        <f t="shared" si="157"/>
        <v>0</v>
      </c>
      <c r="BP231" s="8">
        <f t="shared" si="157"/>
        <v>0</v>
      </c>
      <c r="BQ231" s="8">
        <f t="shared" si="157"/>
        <v>0</v>
      </c>
      <c r="BR231" s="8">
        <f t="shared" si="157"/>
        <v>0</v>
      </c>
      <c r="BS231" s="8">
        <f t="shared" si="157"/>
        <v>0</v>
      </c>
      <c r="BT231" s="8">
        <f t="shared" si="157"/>
        <v>0</v>
      </c>
      <c r="BU231" s="8">
        <f t="shared" si="157"/>
        <v>0</v>
      </c>
      <c r="BV231" s="8">
        <f t="shared" si="157"/>
        <v>0</v>
      </c>
      <c r="BW231" s="8">
        <f t="shared" si="157"/>
        <v>0</v>
      </c>
      <c r="BX231" s="8">
        <f t="shared" si="157"/>
        <v>0</v>
      </c>
      <c r="BZ231" s="8">
        <f t="shared" si="155"/>
        <v>357113.68357142858</v>
      </c>
      <c r="CA231" s="8">
        <f t="shared" si="155"/>
        <v>4172726.7407142855</v>
      </c>
    </row>
    <row r="232" spans="1:79" x14ac:dyDescent="0.3">
      <c r="A232" t="str">
        <f t="shared" ref="A232:A246" si="158">A194</f>
        <v>Salaries</v>
      </c>
      <c r="B232" s="10"/>
      <c r="C232" s="105"/>
      <c r="D232" s="105"/>
      <c r="E232" s="105">
        <f>'Hillpointe Detail'!E232+'Sandhill Detail'!E232</f>
        <v>123744.92</v>
      </c>
      <c r="F232" s="105">
        <f>'Hillpointe Detail'!F232+'Sandhill Detail'!F232</f>
        <v>123744.92</v>
      </c>
      <c r="G232" s="105">
        <f>'Hillpointe Detail'!G232+'Sandhill Detail'!G232</f>
        <v>123744.92</v>
      </c>
      <c r="H232" s="105">
        <f>'Hillpointe Detail'!H232+'Sandhill Detail'!H232</f>
        <v>123744.92</v>
      </c>
      <c r="I232" s="105">
        <f>'Hillpointe Detail'!I232+'Sandhill Detail'!I232</f>
        <v>123744.92</v>
      </c>
      <c r="J232" s="105">
        <f>'Hillpointe Detail'!J232+'Sandhill Detail'!J232</f>
        <v>123744.92</v>
      </c>
      <c r="K232" s="105">
        <f>'Hillpointe Detail'!K232+'Sandhill Detail'!K232</f>
        <v>123744.92</v>
      </c>
      <c r="L232" s="105">
        <f>'Hillpointe Detail'!L232+'Sandhill Detail'!L232</f>
        <v>123744.92</v>
      </c>
      <c r="M232" s="105">
        <f>'Hillpointe Detail'!M232+'Sandhill Detail'!M232</f>
        <v>123744.92</v>
      </c>
      <c r="N232" s="105">
        <f>'Hillpointe Detail'!N232+'Sandhill Detail'!N232</f>
        <v>123744.92</v>
      </c>
      <c r="O232" s="105">
        <f>'Hillpointe Detail'!O232+'Sandhill Detail'!O232</f>
        <v>123744.92</v>
      </c>
      <c r="P232" s="105">
        <f>'Hillpointe Detail'!P232+'Sandhill Detail'!P232</f>
        <v>123744.92</v>
      </c>
      <c r="Q232" s="105">
        <f>'Hillpointe Detail'!Q232+'Sandhill Detail'!Q232</f>
        <v>0</v>
      </c>
      <c r="R232" s="105">
        <f>'Hillpointe Detail'!R232+'Sandhill Detail'!R232</f>
        <v>158069.59233333333</v>
      </c>
      <c r="S232" s="105">
        <f>'Hillpointe Detail'!S232+'Sandhill Detail'!S232</f>
        <v>158069.59233333333</v>
      </c>
      <c r="T232" s="105">
        <f>'Hillpointe Detail'!T232+'Sandhill Detail'!T232</f>
        <v>158069.59233333333</v>
      </c>
      <c r="U232" s="105">
        <f>'Hillpointe Detail'!U232+'Sandhill Detail'!U232</f>
        <v>158069.59233333333</v>
      </c>
      <c r="V232" s="105">
        <f>'Hillpointe Detail'!V232+'Sandhill Detail'!V232</f>
        <v>161769.59233333333</v>
      </c>
      <c r="W232" s="105">
        <f>'Hillpointe Detail'!W232+'Sandhill Detail'!W232</f>
        <v>158069.59233333333</v>
      </c>
      <c r="X232" s="105">
        <f>'Hillpointe Detail'!X232+'Sandhill Detail'!X232</f>
        <v>158069.59233333333</v>
      </c>
      <c r="Y232" s="105">
        <f>'Hillpointe Detail'!Y232+'Sandhill Detail'!Y232</f>
        <v>158069.59233333333</v>
      </c>
      <c r="Z232" s="105">
        <f>'Hillpointe Detail'!Z232+'Sandhill Detail'!Z232</f>
        <v>158069.59233333333</v>
      </c>
      <c r="AA232" s="105">
        <f>'Hillpointe Detail'!AA232+'Sandhill Detail'!AA232</f>
        <v>158069.59233333333</v>
      </c>
      <c r="AB232" s="105">
        <f>'Hillpointe Detail'!AB232+'Sandhill Detail'!AB232</f>
        <v>314139.18466666667</v>
      </c>
      <c r="AC232" s="105">
        <f>'Hillpointe Detail'!AC232+'Sandhill Detail'!AC232</f>
        <v>0</v>
      </c>
      <c r="AD232" s="105">
        <f>'Hillpointe Detail'!AD232+'Sandhill Detail'!AD232</f>
        <v>0</v>
      </c>
      <c r="AE232" s="105">
        <f>'Hillpointe Detail'!AE232+'Sandhill Detail'!AE232</f>
        <v>0</v>
      </c>
      <c r="AF232" s="105">
        <f>'Hillpointe Detail'!AF232+'Sandhill Detail'!AF232</f>
        <v>0</v>
      </c>
      <c r="AG232" s="105">
        <f>'Hillpointe Detail'!AG232+'Sandhill Detail'!AG232</f>
        <v>0</v>
      </c>
      <c r="AH232" s="105">
        <f>'Hillpointe Detail'!AH232+'Sandhill Detail'!AH232</f>
        <v>0</v>
      </c>
      <c r="AI232" s="105">
        <f>'Hillpointe Detail'!AI232+'Sandhill Detail'!AI232</f>
        <v>0</v>
      </c>
      <c r="AJ232" s="105">
        <f>'Hillpointe Detail'!AJ232+'Sandhill Detail'!AJ232</f>
        <v>0</v>
      </c>
      <c r="AK232" s="105">
        <f>'Hillpointe Detail'!AK232+'Sandhill Detail'!AK232</f>
        <v>0</v>
      </c>
      <c r="AL232" s="105">
        <f>'Hillpointe Detail'!AL232+'Sandhill Detail'!AL232</f>
        <v>0</v>
      </c>
      <c r="AM232" s="105">
        <f>'Hillpointe Detail'!AM232+'Sandhill Detail'!AM232</f>
        <v>0</v>
      </c>
      <c r="AN232" s="105">
        <f>'Hillpointe Detail'!AN232+'Sandhill Detail'!AN232</f>
        <v>0</v>
      </c>
      <c r="AO232" s="105">
        <f>'Hillpointe Detail'!AO232+'Sandhill Detail'!AO232</f>
        <v>0</v>
      </c>
      <c r="AP232" s="105">
        <f>'Hillpointe Detail'!AP232+'Sandhill Detail'!AP232</f>
        <v>0</v>
      </c>
      <c r="AQ232" s="105">
        <f>'Hillpointe Detail'!AQ232+'Sandhill Detail'!AQ232</f>
        <v>0</v>
      </c>
      <c r="AR232" s="105">
        <f>'Hillpointe Detail'!AR232+'Sandhill Detail'!AR232</f>
        <v>0</v>
      </c>
      <c r="AS232" s="105">
        <f>'Hillpointe Detail'!AS232+'Sandhill Detail'!AS232</f>
        <v>0</v>
      </c>
      <c r="AT232" s="105">
        <f>'Hillpointe Detail'!AT232+'Sandhill Detail'!AT232</f>
        <v>0</v>
      </c>
      <c r="AU232" s="105">
        <f>'Hillpointe Detail'!AU232+'Sandhill Detail'!AU232</f>
        <v>0</v>
      </c>
      <c r="AV232" s="105">
        <f>'Hillpointe Detail'!AV232+'Sandhill Detail'!AV232</f>
        <v>0</v>
      </c>
      <c r="AW232" s="105">
        <f>'Hillpointe Detail'!AW232+'Sandhill Detail'!AW232</f>
        <v>0</v>
      </c>
      <c r="AX232" s="105">
        <f>'Hillpointe Detail'!AX232+'Sandhill Detail'!AX232</f>
        <v>0</v>
      </c>
      <c r="AY232" s="105">
        <f>'Hillpointe Detail'!AY232+'Sandhill Detail'!AY232</f>
        <v>0</v>
      </c>
      <c r="AZ232" s="105">
        <f>'Hillpointe Detail'!AZ232+'Sandhill Detail'!AZ232</f>
        <v>0</v>
      </c>
      <c r="BA232" s="105">
        <f>'Hillpointe Detail'!BA232+'Sandhill Detail'!BA232</f>
        <v>0</v>
      </c>
      <c r="BB232" s="105">
        <f>'Hillpointe Detail'!BB232+'Sandhill Detail'!BB232</f>
        <v>0</v>
      </c>
      <c r="BC232" s="105">
        <f>'Hillpointe Detail'!BC232+'Sandhill Detail'!BC232</f>
        <v>0</v>
      </c>
      <c r="BD232" s="105">
        <f>'Hillpointe Detail'!BD232+'Sandhill Detail'!BD232</f>
        <v>0</v>
      </c>
      <c r="BE232" s="105">
        <f>'Hillpointe Detail'!BE232+'Sandhill Detail'!BE232</f>
        <v>0</v>
      </c>
      <c r="BF232" s="105">
        <f>'Hillpointe Detail'!BF232+'Sandhill Detail'!BF232</f>
        <v>0</v>
      </c>
      <c r="BG232" s="105">
        <f>'Hillpointe Detail'!BG232+'Sandhill Detail'!BG232</f>
        <v>0</v>
      </c>
      <c r="BH232" s="105">
        <f>'Hillpointe Detail'!BH232+'Sandhill Detail'!BH232</f>
        <v>0</v>
      </c>
      <c r="BI232" s="105">
        <f>'Hillpointe Detail'!BI232+'Sandhill Detail'!BI232</f>
        <v>0</v>
      </c>
      <c r="BJ232" s="105">
        <f>'Hillpointe Detail'!BJ232+'Sandhill Detail'!BJ232</f>
        <v>0</v>
      </c>
      <c r="BK232" s="105">
        <f>'Hillpointe Detail'!BK232+'Sandhill Detail'!BK232</f>
        <v>0</v>
      </c>
      <c r="BL232" s="105">
        <f>'Hillpointe Detail'!BL232+'Sandhill Detail'!BL232</f>
        <v>0</v>
      </c>
      <c r="BM232" s="105">
        <f>'Hillpointe Detail'!BM232+'Sandhill Detail'!BM232</f>
        <v>0</v>
      </c>
      <c r="BN232" s="105">
        <f>'Hillpointe Detail'!BN232+'Sandhill Detail'!BN232</f>
        <v>0</v>
      </c>
      <c r="BO232" s="105">
        <f>'Hillpointe Detail'!BO232+'Sandhill Detail'!BO232</f>
        <v>0</v>
      </c>
      <c r="BP232" s="105">
        <f>'Hillpointe Detail'!BP232+'Sandhill Detail'!BP232</f>
        <v>0</v>
      </c>
      <c r="BQ232" s="105">
        <f>'Hillpointe Detail'!BQ232+'Sandhill Detail'!BQ232</f>
        <v>0</v>
      </c>
      <c r="BR232" s="105">
        <f>'Hillpointe Detail'!BR232+'Sandhill Detail'!BR232</f>
        <v>0</v>
      </c>
      <c r="BS232" s="105">
        <f>'Hillpointe Detail'!BS232+'Sandhill Detail'!BS232</f>
        <v>0</v>
      </c>
      <c r="BT232" s="105">
        <f>'Hillpointe Detail'!BT232+'Sandhill Detail'!BT232</f>
        <v>0</v>
      </c>
      <c r="BU232" s="105">
        <f>'Hillpointe Detail'!BU232+'Sandhill Detail'!BU232</f>
        <v>0</v>
      </c>
      <c r="BV232" s="105">
        <f>'Hillpointe Detail'!BV232+'Sandhill Detail'!BV232</f>
        <v>0</v>
      </c>
      <c r="BW232" s="105">
        <f>'Hillpointe Detail'!BW232+'Sandhill Detail'!BW232</f>
        <v>0</v>
      </c>
      <c r="BX232" s="105">
        <f>'Hillpointe Detail'!BX232+'Sandhill Detail'!BX232</f>
        <v>0</v>
      </c>
      <c r="BZ232" s="8">
        <f t="shared" ref="BZ232:BZ246" si="159">SUMIF($B$252:$BY$252,1,$B232:$BY232)</f>
        <v>158069.59233333333</v>
      </c>
      <c r="CA232" s="8">
        <f t="shared" ref="CA232:CA246" si="160">SUMIF($B$253:$BY$253,1,$B232:$BY232)</f>
        <v>1584395.9233333333</v>
      </c>
    </row>
    <row r="233" spans="1:79" x14ac:dyDescent="0.3">
      <c r="A233" t="str">
        <f t="shared" si="158"/>
        <v>Benefits</v>
      </c>
      <c r="B233" s="10"/>
      <c r="C233" s="105"/>
      <c r="D233" s="105"/>
      <c r="E233" s="105">
        <f>'Hillpointe Detail'!E233+'Sandhill Detail'!E233</f>
        <v>27312.399999999998</v>
      </c>
      <c r="F233" s="105">
        <f>'Hillpointe Detail'!F233+'Sandhill Detail'!F233</f>
        <v>27312.399999999998</v>
      </c>
      <c r="G233" s="105">
        <f>'Hillpointe Detail'!G233+'Sandhill Detail'!G233</f>
        <v>27312.399999999998</v>
      </c>
      <c r="H233" s="105">
        <f>'Hillpointe Detail'!H233+'Sandhill Detail'!H233</f>
        <v>27312.399999999998</v>
      </c>
      <c r="I233" s="105">
        <f>'Hillpointe Detail'!I233+'Sandhill Detail'!I233</f>
        <v>27312.399999999998</v>
      </c>
      <c r="J233" s="105">
        <f>'Hillpointe Detail'!J233+'Sandhill Detail'!J233</f>
        <v>27312.399999999998</v>
      </c>
      <c r="K233" s="105">
        <f>'Hillpointe Detail'!K233+'Sandhill Detail'!K233</f>
        <v>27312.399999999998</v>
      </c>
      <c r="L233" s="105">
        <f>'Hillpointe Detail'!L233+'Sandhill Detail'!L233</f>
        <v>27312.399999999998</v>
      </c>
      <c r="M233" s="105">
        <f>'Hillpointe Detail'!M233+'Sandhill Detail'!M233</f>
        <v>27312.399999999998</v>
      </c>
      <c r="N233" s="105">
        <f>'Hillpointe Detail'!N233+'Sandhill Detail'!N233</f>
        <v>27312.399999999998</v>
      </c>
      <c r="O233" s="105">
        <f>'Hillpointe Detail'!O233+'Sandhill Detail'!O233</f>
        <v>27312.399999999998</v>
      </c>
      <c r="P233" s="105">
        <f>'Hillpointe Detail'!P233+'Sandhill Detail'!P233</f>
        <v>27312.399999999998</v>
      </c>
      <c r="Q233" s="105">
        <f>'Hillpointe Detail'!Q233+'Sandhill Detail'!Q233</f>
        <v>1798.0916</v>
      </c>
      <c r="R233" s="105">
        <f>'Hillpointe Detail'!R233+'Sandhill Detail'!R233</f>
        <v>45771.244333333321</v>
      </c>
      <c r="S233" s="105">
        <f>'Hillpointe Detail'!S233+'Sandhill Detail'!S233</f>
        <v>46284.968033333316</v>
      </c>
      <c r="T233" s="105">
        <f>'Hillpointe Detail'!T233+'Sandhill Detail'!T233</f>
        <v>49056.685633333327</v>
      </c>
      <c r="U233" s="105">
        <f>'Hillpointe Detail'!U233+'Sandhill Detail'!U233</f>
        <v>45000.215633333319</v>
      </c>
      <c r="V233" s="105">
        <f>'Hillpointe Detail'!V233+'Sandhill Detail'!V233</f>
        <v>44911.445633333322</v>
      </c>
      <c r="W233" s="105">
        <f>'Hillpointe Detail'!W233+'Sandhill Detail'!W233</f>
        <v>45970.485633333323</v>
      </c>
      <c r="X233" s="105">
        <f>'Hillpointe Detail'!X233+'Sandhill Detail'!X233</f>
        <v>51153.585633333321</v>
      </c>
      <c r="Y233" s="105">
        <f>'Hillpointe Detail'!Y233+'Sandhill Detail'!Y233</f>
        <v>46260.665783333316</v>
      </c>
      <c r="Z233" s="105">
        <f>'Hillpointe Detail'!Z233+'Sandhill Detail'!Z233</f>
        <v>46260.665783333316</v>
      </c>
      <c r="AA233" s="105">
        <f>'Hillpointe Detail'!AA233+'Sandhill Detail'!AA233</f>
        <v>46260.665783333316</v>
      </c>
      <c r="AB233" s="105">
        <f>'Hillpointe Detail'!AB233+'Sandhill Detail'!AB233</f>
        <v>88592.61261666668</v>
      </c>
      <c r="AC233" s="105">
        <f>'Hillpointe Detail'!AC233+'Sandhill Detail'!AC233</f>
        <v>0</v>
      </c>
      <c r="AD233" s="105">
        <f>'Hillpointe Detail'!AD233+'Sandhill Detail'!AD233</f>
        <v>0</v>
      </c>
      <c r="AE233" s="105">
        <f>'Hillpointe Detail'!AE233+'Sandhill Detail'!AE233</f>
        <v>0</v>
      </c>
      <c r="AF233" s="105">
        <f>'Hillpointe Detail'!AF233+'Sandhill Detail'!AF233</f>
        <v>0</v>
      </c>
      <c r="AG233" s="105">
        <f>'Hillpointe Detail'!AG233+'Sandhill Detail'!AG233</f>
        <v>0</v>
      </c>
      <c r="AH233" s="105">
        <f>'Hillpointe Detail'!AH233+'Sandhill Detail'!AH233</f>
        <v>0</v>
      </c>
      <c r="AI233" s="105">
        <f>'Hillpointe Detail'!AI233+'Sandhill Detail'!AI233</f>
        <v>0</v>
      </c>
      <c r="AJ233" s="105">
        <f>'Hillpointe Detail'!AJ233+'Sandhill Detail'!AJ233</f>
        <v>0</v>
      </c>
      <c r="AK233" s="105">
        <f>'Hillpointe Detail'!AK233+'Sandhill Detail'!AK233</f>
        <v>0</v>
      </c>
      <c r="AL233" s="105">
        <f>'Hillpointe Detail'!AL233+'Sandhill Detail'!AL233</f>
        <v>0</v>
      </c>
      <c r="AM233" s="105">
        <f>'Hillpointe Detail'!AM233+'Sandhill Detail'!AM233</f>
        <v>0</v>
      </c>
      <c r="AN233" s="105">
        <f>'Hillpointe Detail'!AN233+'Sandhill Detail'!AN233</f>
        <v>0</v>
      </c>
      <c r="AO233" s="105">
        <f>'Hillpointe Detail'!AO233+'Sandhill Detail'!AO233</f>
        <v>0</v>
      </c>
      <c r="AP233" s="105">
        <f>'Hillpointe Detail'!AP233+'Sandhill Detail'!AP233</f>
        <v>0</v>
      </c>
      <c r="AQ233" s="105">
        <f>'Hillpointe Detail'!AQ233+'Sandhill Detail'!AQ233</f>
        <v>0</v>
      </c>
      <c r="AR233" s="105">
        <f>'Hillpointe Detail'!AR233+'Sandhill Detail'!AR233</f>
        <v>0</v>
      </c>
      <c r="AS233" s="105">
        <f>'Hillpointe Detail'!AS233+'Sandhill Detail'!AS233</f>
        <v>0</v>
      </c>
      <c r="AT233" s="105">
        <f>'Hillpointe Detail'!AT233+'Sandhill Detail'!AT233</f>
        <v>0</v>
      </c>
      <c r="AU233" s="105">
        <f>'Hillpointe Detail'!AU233+'Sandhill Detail'!AU233</f>
        <v>0</v>
      </c>
      <c r="AV233" s="105">
        <f>'Hillpointe Detail'!AV233+'Sandhill Detail'!AV233</f>
        <v>0</v>
      </c>
      <c r="AW233" s="105">
        <f>'Hillpointe Detail'!AW233+'Sandhill Detail'!AW233</f>
        <v>0</v>
      </c>
      <c r="AX233" s="105">
        <f>'Hillpointe Detail'!AX233+'Sandhill Detail'!AX233</f>
        <v>0</v>
      </c>
      <c r="AY233" s="105">
        <f>'Hillpointe Detail'!AY233+'Sandhill Detail'!AY233</f>
        <v>0</v>
      </c>
      <c r="AZ233" s="105">
        <f>'Hillpointe Detail'!AZ233+'Sandhill Detail'!AZ233</f>
        <v>0</v>
      </c>
      <c r="BA233" s="105">
        <f>'Hillpointe Detail'!BA233+'Sandhill Detail'!BA233</f>
        <v>0</v>
      </c>
      <c r="BB233" s="105">
        <f>'Hillpointe Detail'!BB233+'Sandhill Detail'!BB233</f>
        <v>0</v>
      </c>
      <c r="BC233" s="105">
        <f>'Hillpointe Detail'!BC233+'Sandhill Detail'!BC233</f>
        <v>0</v>
      </c>
      <c r="BD233" s="105">
        <f>'Hillpointe Detail'!BD233+'Sandhill Detail'!BD233</f>
        <v>0</v>
      </c>
      <c r="BE233" s="105">
        <f>'Hillpointe Detail'!BE233+'Sandhill Detail'!BE233</f>
        <v>0</v>
      </c>
      <c r="BF233" s="105">
        <f>'Hillpointe Detail'!BF233+'Sandhill Detail'!BF233</f>
        <v>0</v>
      </c>
      <c r="BG233" s="105">
        <f>'Hillpointe Detail'!BG233+'Sandhill Detail'!BG233</f>
        <v>0</v>
      </c>
      <c r="BH233" s="105">
        <f>'Hillpointe Detail'!BH233+'Sandhill Detail'!BH233</f>
        <v>0</v>
      </c>
      <c r="BI233" s="105">
        <f>'Hillpointe Detail'!BI233+'Sandhill Detail'!BI233</f>
        <v>0</v>
      </c>
      <c r="BJ233" s="105">
        <f>'Hillpointe Detail'!BJ233+'Sandhill Detail'!BJ233</f>
        <v>0</v>
      </c>
      <c r="BK233" s="105">
        <f>'Hillpointe Detail'!BK233+'Sandhill Detail'!BK233</f>
        <v>0</v>
      </c>
      <c r="BL233" s="105">
        <f>'Hillpointe Detail'!BL233+'Sandhill Detail'!BL233</f>
        <v>0</v>
      </c>
      <c r="BM233" s="105">
        <f>'Hillpointe Detail'!BM233+'Sandhill Detail'!BM233</f>
        <v>0</v>
      </c>
      <c r="BN233" s="105">
        <f>'Hillpointe Detail'!BN233+'Sandhill Detail'!BN233</f>
        <v>0</v>
      </c>
      <c r="BO233" s="105">
        <f>'Hillpointe Detail'!BO233+'Sandhill Detail'!BO233</f>
        <v>0</v>
      </c>
      <c r="BP233" s="105">
        <f>'Hillpointe Detail'!BP233+'Sandhill Detail'!BP233</f>
        <v>0</v>
      </c>
      <c r="BQ233" s="105">
        <f>'Hillpointe Detail'!BQ233+'Sandhill Detail'!BQ233</f>
        <v>0</v>
      </c>
      <c r="BR233" s="105">
        <f>'Hillpointe Detail'!BR233+'Sandhill Detail'!BR233</f>
        <v>0</v>
      </c>
      <c r="BS233" s="105">
        <f>'Hillpointe Detail'!BS233+'Sandhill Detail'!BS233</f>
        <v>0</v>
      </c>
      <c r="BT233" s="105">
        <f>'Hillpointe Detail'!BT233+'Sandhill Detail'!BT233</f>
        <v>0</v>
      </c>
      <c r="BU233" s="105">
        <f>'Hillpointe Detail'!BU233+'Sandhill Detail'!BU233</f>
        <v>0</v>
      </c>
      <c r="BV233" s="105">
        <f>'Hillpointe Detail'!BV233+'Sandhill Detail'!BV233</f>
        <v>0</v>
      </c>
      <c r="BW233" s="105">
        <f>'Hillpointe Detail'!BW233+'Sandhill Detail'!BW233</f>
        <v>0</v>
      </c>
      <c r="BX233" s="105">
        <f>'Hillpointe Detail'!BX233+'Sandhill Detail'!BX233</f>
        <v>0</v>
      </c>
      <c r="BZ233" s="8">
        <f t="shared" si="159"/>
        <v>46260.665783333316</v>
      </c>
      <c r="CA233" s="8">
        <f t="shared" si="160"/>
        <v>468728.71948333312</v>
      </c>
    </row>
    <row r="234" spans="1:79" x14ac:dyDescent="0.3">
      <c r="A234" t="str">
        <f t="shared" si="158"/>
        <v>Lease</v>
      </c>
      <c r="B234" s="10"/>
      <c r="C234" s="105"/>
      <c r="D234" s="105"/>
      <c r="E234" s="105">
        <f>'Hillpointe Detail'!E234+'Sandhill Detail'!E234</f>
        <v>34035.5</v>
      </c>
      <c r="F234" s="105">
        <f>'Hillpointe Detail'!F234+'Sandhill Detail'!F234</f>
        <v>34035.5</v>
      </c>
      <c r="G234" s="105">
        <f>'Hillpointe Detail'!G234+'Sandhill Detail'!G234</f>
        <v>34035.5</v>
      </c>
      <c r="H234" s="105">
        <f>'Hillpointe Detail'!H234+'Sandhill Detail'!H234</f>
        <v>34035.5</v>
      </c>
      <c r="I234" s="105">
        <f>'Hillpointe Detail'!I234+'Sandhill Detail'!I234</f>
        <v>34035.5</v>
      </c>
      <c r="J234" s="105">
        <f>'Hillpointe Detail'!J234+'Sandhill Detail'!J234</f>
        <v>34035.5</v>
      </c>
      <c r="K234" s="105">
        <f>'Hillpointe Detail'!K234+'Sandhill Detail'!K234</f>
        <v>34035.5</v>
      </c>
      <c r="L234" s="105">
        <f>'Hillpointe Detail'!L234+'Sandhill Detail'!L234</f>
        <v>34035.5</v>
      </c>
      <c r="M234" s="105">
        <f>'Hillpointe Detail'!M234+'Sandhill Detail'!M234</f>
        <v>34035.5</v>
      </c>
      <c r="N234" s="105">
        <f>'Hillpointe Detail'!N234+'Sandhill Detail'!N234</f>
        <v>34035.5</v>
      </c>
      <c r="O234" s="105">
        <f>'Hillpointe Detail'!O234+'Sandhill Detail'!O234</f>
        <v>34035.5</v>
      </c>
      <c r="P234" s="105">
        <f>'Hillpointe Detail'!P234+'Sandhill Detail'!P234</f>
        <v>34035.5</v>
      </c>
      <c r="Q234" s="105">
        <f>'Hillpointe Detail'!Q234+'Sandhill Detail'!Q234</f>
        <v>61268.22</v>
      </c>
      <c r="R234" s="105">
        <f>'Hillpointe Detail'!R234+'Sandhill Detail'!R234</f>
        <v>61268.22</v>
      </c>
      <c r="S234" s="105">
        <f>'Hillpointe Detail'!S234+'Sandhill Detail'!S234</f>
        <v>61268.22</v>
      </c>
      <c r="T234" s="105">
        <f>'Hillpointe Detail'!T234+'Sandhill Detail'!T234</f>
        <v>61268.22</v>
      </c>
      <c r="U234" s="105">
        <f>'Hillpointe Detail'!U234+'Sandhill Detail'!U234</f>
        <v>61268.22</v>
      </c>
      <c r="V234" s="105">
        <f>'Hillpointe Detail'!V234+'Sandhill Detail'!V234</f>
        <v>61268.22</v>
      </c>
      <c r="W234" s="105">
        <f>'Hillpointe Detail'!W234+'Sandhill Detail'!W234</f>
        <v>61268.22</v>
      </c>
      <c r="X234" s="105">
        <f>'Hillpointe Detail'!X234+'Sandhill Detail'!X234</f>
        <v>61268.22</v>
      </c>
      <c r="Y234" s="105">
        <f>'Hillpointe Detail'!Y234+'Sandhill Detail'!Y234</f>
        <v>61268.22</v>
      </c>
      <c r="Z234" s="105">
        <f>'Hillpointe Detail'!Z234+'Sandhill Detail'!Z234</f>
        <v>61268.22</v>
      </c>
      <c r="AA234" s="105">
        <f>'Hillpointe Detail'!AA234+'Sandhill Detail'!AA234</f>
        <v>61268.22</v>
      </c>
      <c r="AB234" s="105">
        <f>'Hillpointe Detail'!AB234+'Sandhill Detail'!AB234</f>
        <v>61268.22</v>
      </c>
      <c r="AC234" s="105">
        <f>'Hillpointe Detail'!AC234+'Sandhill Detail'!AC234</f>
        <v>0</v>
      </c>
      <c r="AD234" s="105">
        <f>'Hillpointe Detail'!AD234+'Sandhill Detail'!AD234</f>
        <v>0</v>
      </c>
      <c r="AE234" s="105">
        <f>'Hillpointe Detail'!AE234+'Sandhill Detail'!AE234</f>
        <v>0</v>
      </c>
      <c r="AF234" s="105">
        <f>'Hillpointe Detail'!AF234+'Sandhill Detail'!AF234</f>
        <v>0</v>
      </c>
      <c r="AG234" s="105">
        <f>'Hillpointe Detail'!AG234+'Sandhill Detail'!AG234</f>
        <v>0</v>
      </c>
      <c r="AH234" s="105">
        <f>'Hillpointe Detail'!AH234+'Sandhill Detail'!AH234</f>
        <v>0</v>
      </c>
      <c r="AI234" s="105">
        <f>'Hillpointe Detail'!AI234+'Sandhill Detail'!AI234</f>
        <v>0</v>
      </c>
      <c r="AJ234" s="105">
        <f>'Hillpointe Detail'!AJ234+'Sandhill Detail'!AJ234</f>
        <v>0</v>
      </c>
      <c r="AK234" s="105">
        <f>'Hillpointe Detail'!AK234+'Sandhill Detail'!AK234</f>
        <v>0</v>
      </c>
      <c r="AL234" s="105">
        <f>'Hillpointe Detail'!AL234+'Sandhill Detail'!AL234</f>
        <v>0</v>
      </c>
      <c r="AM234" s="105">
        <f>'Hillpointe Detail'!AM234+'Sandhill Detail'!AM234</f>
        <v>0</v>
      </c>
      <c r="AN234" s="105">
        <f>'Hillpointe Detail'!AN234+'Sandhill Detail'!AN234</f>
        <v>0</v>
      </c>
      <c r="AO234" s="105">
        <f>'Hillpointe Detail'!AO234+'Sandhill Detail'!AO234</f>
        <v>0</v>
      </c>
      <c r="AP234" s="105">
        <f>'Hillpointe Detail'!AP234+'Sandhill Detail'!AP234</f>
        <v>0</v>
      </c>
      <c r="AQ234" s="105">
        <f>'Hillpointe Detail'!AQ234+'Sandhill Detail'!AQ234</f>
        <v>0</v>
      </c>
      <c r="AR234" s="105">
        <f>'Hillpointe Detail'!AR234+'Sandhill Detail'!AR234</f>
        <v>0</v>
      </c>
      <c r="AS234" s="105">
        <f>'Hillpointe Detail'!AS234+'Sandhill Detail'!AS234</f>
        <v>0</v>
      </c>
      <c r="AT234" s="105">
        <f>'Hillpointe Detail'!AT234+'Sandhill Detail'!AT234</f>
        <v>0</v>
      </c>
      <c r="AU234" s="105">
        <f>'Hillpointe Detail'!AU234+'Sandhill Detail'!AU234</f>
        <v>0</v>
      </c>
      <c r="AV234" s="105">
        <f>'Hillpointe Detail'!AV234+'Sandhill Detail'!AV234</f>
        <v>0</v>
      </c>
      <c r="AW234" s="105">
        <f>'Hillpointe Detail'!AW234+'Sandhill Detail'!AW234</f>
        <v>0</v>
      </c>
      <c r="AX234" s="105">
        <f>'Hillpointe Detail'!AX234+'Sandhill Detail'!AX234</f>
        <v>0</v>
      </c>
      <c r="AY234" s="105">
        <f>'Hillpointe Detail'!AY234+'Sandhill Detail'!AY234</f>
        <v>0</v>
      </c>
      <c r="AZ234" s="105">
        <f>'Hillpointe Detail'!AZ234+'Sandhill Detail'!AZ234</f>
        <v>0</v>
      </c>
      <c r="BA234" s="105">
        <f>'Hillpointe Detail'!BA234+'Sandhill Detail'!BA234</f>
        <v>0</v>
      </c>
      <c r="BB234" s="105">
        <f>'Hillpointe Detail'!BB234+'Sandhill Detail'!BB234</f>
        <v>0</v>
      </c>
      <c r="BC234" s="105">
        <f>'Hillpointe Detail'!BC234+'Sandhill Detail'!BC234</f>
        <v>0</v>
      </c>
      <c r="BD234" s="105">
        <f>'Hillpointe Detail'!BD234+'Sandhill Detail'!BD234</f>
        <v>0</v>
      </c>
      <c r="BE234" s="105">
        <f>'Hillpointe Detail'!BE234+'Sandhill Detail'!BE234</f>
        <v>0</v>
      </c>
      <c r="BF234" s="105">
        <f>'Hillpointe Detail'!BF234+'Sandhill Detail'!BF234</f>
        <v>0</v>
      </c>
      <c r="BG234" s="105">
        <f>'Hillpointe Detail'!BG234+'Sandhill Detail'!BG234</f>
        <v>0</v>
      </c>
      <c r="BH234" s="105">
        <f>'Hillpointe Detail'!BH234+'Sandhill Detail'!BH234</f>
        <v>0</v>
      </c>
      <c r="BI234" s="105">
        <f>'Hillpointe Detail'!BI234+'Sandhill Detail'!BI234</f>
        <v>0</v>
      </c>
      <c r="BJ234" s="105">
        <f>'Hillpointe Detail'!BJ234+'Sandhill Detail'!BJ234</f>
        <v>0</v>
      </c>
      <c r="BK234" s="105">
        <f>'Hillpointe Detail'!BK234+'Sandhill Detail'!BK234</f>
        <v>0</v>
      </c>
      <c r="BL234" s="105">
        <f>'Hillpointe Detail'!BL234+'Sandhill Detail'!BL234</f>
        <v>0</v>
      </c>
      <c r="BM234" s="105">
        <f>'Hillpointe Detail'!BM234+'Sandhill Detail'!BM234</f>
        <v>0</v>
      </c>
      <c r="BN234" s="105">
        <f>'Hillpointe Detail'!BN234+'Sandhill Detail'!BN234</f>
        <v>0</v>
      </c>
      <c r="BO234" s="105">
        <f>'Hillpointe Detail'!BO234+'Sandhill Detail'!BO234</f>
        <v>0</v>
      </c>
      <c r="BP234" s="105">
        <f>'Hillpointe Detail'!BP234+'Sandhill Detail'!BP234</f>
        <v>0</v>
      </c>
      <c r="BQ234" s="105">
        <f>'Hillpointe Detail'!BQ234+'Sandhill Detail'!BQ234</f>
        <v>0</v>
      </c>
      <c r="BR234" s="105">
        <f>'Hillpointe Detail'!BR234+'Sandhill Detail'!BR234</f>
        <v>0</v>
      </c>
      <c r="BS234" s="105">
        <f>'Hillpointe Detail'!BS234+'Sandhill Detail'!BS234</f>
        <v>0</v>
      </c>
      <c r="BT234" s="105">
        <f>'Hillpointe Detail'!BT234+'Sandhill Detail'!BT234</f>
        <v>0</v>
      </c>
      <c r="BU234" s="105">
        <f>'Hillpointe Detail'!BU234+'Sandhill Detail'!BU234</f>
        <v>0</v>
      </c>
      <c r="BV234" s="105">
        <f>'Hillpointe Detail'!BV234+'Sandhill Detail'!BV234</f>
        <v>0</v>
      </c>
      <c r="BW234" s="105">
        <f>'Hillpointe Detail'!BW234+'Sandhill Detail'!BW234</f>
        <v>0</v>
      </c>
      <c r="BX234" s="105">
        <f>'Hillpointe Detail'!BX234+'Sandhill Detail'!BX234</f>
        <v>0</v>
      </c>
      <c r="BZ234" s="8">
        <f t="shared" si="159"/>
        <v>61268.22</v>
      </c>
      <c r="CA234" s="8">
        <f t="shared" si="160"/>
        <v>673950.41999999981</v>
      </c>
    </row>
    <row r="235" spans="1:79" x14ac:dyDescent="0.3">
      <c r="A235" t="str">
        <f t="shared" si="158"/>
        <v>Utilities</v>
      </c>
      <c r="B235" s="10"/>
      <c r="C235" s="105"/>
      <c r="D235" s="105"/>
      <c r="E235" s="105">
        <f>'Hillpointe Detail'!E235+'Sandhill Detail'!E235</f>
        <v>6805</v>
      </c>
      <c r="F235" s="105">
        <f>'Hillpointe Detail'!F235+'Sandhill Detail'!F235</f>
        <v>6805</v>
      </c>
      <c r="G235" s="105">
        <f>'Hillpointe Detail'!G235+'Sandhill Detail'!G235</f>
        <v>6805</v>
      </c>
      <c r="H235" s="105">
        <f>'Hillpointe Detail'!H235+'Sandhill Detail'!H235</f>
        <v>6805</v>
      </c>
      <c r="I235" s="105">
        <f>'Hillpointe Detail'!I235+'Sandhill Detail'!I235</f>
        <v>6805</v>
      </c>
      <c r="J235" s="105">
        <f>'Hillpointe Detail'!J235+'Sandhill Detail'!J235</f>
        <v>6805</v>
      </c>
      <c r="K235" s="105">
        <f>'Hillpointe Detail'!K235+'Sandhill Detail'!K235</f>
        <v>6805</v>
      </c>
      <c r="L235" s="105">
        <f>'Hillpointe Detail'!L235+'Sandhill Detail'!L235</f>
        <v>6805</v>
      </c>
      <c r="M235" s="105">
        <f>'Hillpointe Detail'!M235+'Sandhill Detail'!M235</f>
        <v>6805</v>
      </c>
      <c r="N235" s="105">
        <f>'Hillpointe Detail'!N235+'Sandhill Detail'!N235</f>
        <v>6805</v>
      </c>
      <c r="O235" s="105">
        <f>'Hillpointe Detail'!O235+'Sandhill Detail'!O235</f>
        <v>6805</v>
      </c>
      <c r="P235" s="105">
        <f>'Hillpointe Detail'!P235+'Sandhill Detail'!P235</f>
        <v>6805</v>
      </c>
      <c r="Q235" s="105">
        <f>'Hillpointe Detail'!Q235+'Sandhill Detail'!Q235</f>
        <v>7021.7469000000001</v>
      </c>
      <c r="R235" s="105">
        <f>'Hillpointe Detail'!R235+'Sandhill Detail'!R235</f>
        <v>7179.2339000000011</v>
      </c>
      <c r="S235" s="105">
        <f>'Hillpointe Detail'!S235+'Sandhill Detail'!S235</f>
        <v>8158.7021000000004</v>
      </c>
      <c r="T235" s="105">
        <f>'Hillpointe Detail'!T235+'Sandhill Detail'!T235</f>
        <v>10726.0183</v>
      </c>
      <c r="U235" s="105">
        <f>'Hillpointe Detail'!U235+'Sandhill Detail'!U235</f>
        <v>3216.1956</v>
      </c>
      <c r="V235" s="105">
        <f>'Hillpointe Detail'!V235+'Sandhill Detail'!V235</f>
        <v>8150.3179</v>
      </c>
      <c r="W235" s="105">
        <f>'Hillpointe Detail'!W235+'Sandhill Detail'!W235</f>
        <v>4422.9127000000008</v>
      </c>
      <c r="X235" s="105">
        <f>'Hillpointe Detail'!X235+'Sandhill Detail'!X235</f>
        <v>3276.8110999999981</v>
      </c>
      <c r="Y235" s="105">
        <f>'Hillpointe Detail'!Y235+'Sandhill Detail'!Y235</f>
        <v>5919.2094933333337</v>
      </c>
      <c r="Z235" s="105">
        <f>'Hillpointe Detail'!Z235+'Sandhill Detail'!Z235</f>
        <v>5919.2094933333337</v>
      </c>
      <c r="AA235" s="105">
        <f>'Hillpointe Detail'!AA235+'Sandhill Detail'!AA235</f>
        <v>7464.2094933333337</v>
      </c>
      <c r="AB235" s="105">
        <f>'Hillpointe Detail'!AB235+'Sandhill Detail'!AB235</f>
        <v>5797.456283333333</v>
      </c>
      <c r="AC235" s="105">
        <f>'Hillpointe Detail'!AC235+'Sandhill Detail'!AC235</f>
        <v>0</v>
      </c>
      <c r="AD235" s="105">
        <f>'Hillpointe Detail'!AD235+'Sandhill Detail'!AD235</f>
        <v>0</v>
      </c>
      <c r="AE235" s="105">
        <f>'Hillpointe Detail'!AE235+'Sandhill Detail'!AE235</f>
        <v>0</v>
      </c>
      <c r="AF235" s="105">
        <f>'Hillpointe Detail'!AF235+'Sandhill Detail'!AF235</f>
        <v>0</v>
      </c>
      <c r="AG235" s="105">
        <f>'Hillpointe Detail'!AG235+'Sandhill Detail'!AG235</f>
        <v>0</v>
      </c>
      <c r="AH235" s="105">
        <f>'Hillpointe Detail'!AH235+'Sandhill Detail'!AH235</f>
        <v>0</v>
      </c>
      <c r="AI235" s="105">
        <f>'Hillpointe Detail'!AI235+'Sandhill Detail'!AI235</f>
        <v>0</v>
      </c>
      <c r="AJ235" s="105">
        <f>'Hillpointe Detail'!AJ235+'Sandhill Detail'!AJ235</f>
        <v>0</v>
      </c>
      <c r="AK235" s="105">
        <f>'Hillpointe Detail'!AK235+'Sandhill Detail'!AK235</f>
        <v>0</v>
      </c>
      <c r="AL235" s="105">
        <f>'Hillpointe Detail'!AL235+'Sandhill Detail'!AL235</f>
        <v>0</v>
      </c>
      <c r="AM235" s="105">
        <f>'Hillpointe Detail'!AM235+'Sandhill Detail'!AM235</f>
        <v>0</v>
      </c>
      <c r="AN235" s="105">
        <f>'Hillpointe Detail'!AN235+'Sandhill Detail'!AN235</f>
        <v>0</v>
      </c>
      <c r="AO235" s="105">
        <f>'Hillpointe Detail'!AO235+'Sandhill Detail'!AO235</f>
        <v>0</v>
      </c>
      <c r="AP235" s="105">
        <f>'Hillpointe Detail'!AP235+'Sandhill Detail'!AP235</f>
        <v>0</v>
      </c>
      <c r="AQ235" s="105">
        <f>'Hillpointe Detail'!AQ235+'Sandhill Detail'!AQ235</f>
        <v>0</v>
      </c>
      <c r="AR235" s="105">
        <f>'Hillpointe Detail'!AR235+'Sandhill Detail'!AR235</f>
        <v>0</v>
      </c>
      <c r="AS235" s="105">
        <f>'Hillpointe Detail'!AS235+'Sandhill Detail'!AS235</f>
        <v>0</v>
      </c>
      <c r="AT235" s="105">
        <f>'Hillpointe Detail'!AT235+'Sandhill Detail'!AT235</f>
        <v>0</v>
      </c>
      <c r="AU235" s="105">
        <f>'Hillpointe Detail'!AU235+'Sandhill Detail'!AU235</f>
        <v>0</v>
      </c>
      <c r="AV235" s="105">
        <f>'Hillpointe Detail'!AV235+'Sandhill Detail'!AV235</f>
        <v>0</v>
      </c>
      <c r="AW235" s="105">
        <f>'Hillpointe Detail'!AW235+'Sandhill Detail'!AW235</f>
        <v>0</v>
      </c>
      <c r="AX235" s="105">
        <f>'Hillpointe Detail'!AX235+'Sandhill Detail'!AX235</f>
        <v>0</v>
      </c>
      <c r="AY235" s="105">
        <f>'Hillpointe Detail'!AY235+'Sandhill Detail'!AY235</f>
        <v>0</v>
      </c>
      <c r="AZ235" s="105">
        <f>'Hillpointe Detail'!AZ235+'Sandhill Detail'!AZ235</f>
        <v>0</v>
      </c>
      <c r="BA235" s="105">
        <f>'Hillpointe Detail'!BA235+'Sandhill Detail'!BA235</f>
        <v>0</v>
      </c>
      <c r="BB235" s="105">
        <f>'Hillpointe Detail'!BB235+'Sandhill Detail'!BB235</f>
        <v>0</v>
      </c>
      <c r="BC235" s="105">
        <f>'Hillpointe Detail'!BC235+'Sandhill Detail'!BC235</f>
        <v>0</v>
      </c>
      <c r="BD235" s="105">
        <f>'Hillpointe Detail'!BD235+'Sandhill Detail'!BD235</f>
        <v>0</v>
      </c>
      <c r="BE235" s="105">
        <f>'Hillpointe Detail'!BE235+'Sandhill Detail'!BE235</f>
        <v>0</v>
      </c>
      <c r="BF235" s="105">
        <f>'Hillpointe Detail'!BF235+'Sandhill Detail'!BF235</f>
        <v>0</v>
      </c>
      <c r="BG235" s="105">
        <f>'Hillpointe Detail'!BG235+'Sandhill Detail'!BG235</f>
        <v>0</v>
      </c>
      <c r="BH235" s="105">
        <f>'Hillpointe Detail'!BH235+'Sandhill Detail'!BH235</f>
        <v>0</v>
      </c>
      <c r="BI235" s="105">
        <f>'Hillpointe Detail'!BI235+'Sandhill Detail'!BI235</f>
        <v>0</v>
      </c>
      <c r="BJ235" s="105">
        <f>'Hillpointe Detail'!BJ235+'Sandhill Detail'!BJ235</f>
        <v>0</v>
      </c>
      <c r="BK235" s="105">
        <f>'Hillpointe Detail'!BK235+'Sandhill Detail'!BK235</f>
        <v>0</v>
      </c>
      <c r="BL235" s="105">
        <f>'Hillpointe Detail'!BL235+'Sandhill Detail'!BL235</f>
        <v>0</v>
      </c>
      <c r="BM235" s="105">
        <f>'Hillpointe Detail'!BM235+'Sandhill Detail'!BM235</f>
        <v>0</v>
      </c>
      <c r="BN235" s="105">
        <f>'Hillpointe Detail'!BN235+'Sandhill Detail'!BN235</f>
        <v>0</v>
      </c>
      <c r="BO235" s="105">
        <f>'Hillpointe Detail'!BO235+'Sandhill Detail'!BO235</f>
        <v>0</v>
      </c>
      <c r="BP235" s="105">
        <f>'Hillpointe Detail'!BP235+'Sandhill Detail'!BP235</f>
        <v>0</v>
      </c>
      <c r="BQ235" s="105">
        <f>'Hillpointe Detail'!BQ235+'Sandhill Detail'!BQ235</f>
        <v>0</v>
      </c>
      <c r="BR235" s="105">
        <f>'Hillpointe Detail'!BR235+'Sandhill Detail'!BR235</f>
        <v>0</v>
      </c>
      <c r="BS235" s="105">
        <f>'Hillpointe Detail'!BS235+'Sandhill Detail'!BS235</f>
        <v>0</v>
      </c>
      <c r="BT235" s="105">
        <f>'Hillpointe Detail'!BT235+'Sandhill Detail'!BT235</f>
        <v>0</v>
      </c>
      <c r="BU235" s="105">
        <f>'Hillpointe Detail'!BU235+'Sandhill Detail'!BU235</f>
        <v>0</v>
      </c>
      <c r="BV235" s="105">
        <f>'Hillpointe Detail'!BV235+'Sandhill Detail'!BV235</f>
        <v>0</v>
      </c>
      <c r="BW235" s="105">
        <f>'Hillpointe Detail'!BW235+'Sandhill Detail'!BW235</f>
        <v>0</v>
      </c>
      <c r="BX235" s="105">
        <f>'Hillpointe Detail'!BX235+'Sandhill Detail'!BX235</f>
        <v>0</v>
      </c>
      <c r="BZ235" s="8">
        <f t="shared" si="159"/>
        <v>7464.2094933333337</v>
      </c>
      <c r="CA235" s="8">
        <f t="shared" si="160"/>
        <v>71454.566980000003</v>
      </c>
    </row>
    <row r="236" spans="1:79" x14ac:dyDescent="0.3">
      <c r="A236" t="str">
        <f t="shared" si="158"/>
        <v>Repairs/Maint</v>
      </c>
      <c r="B236" s="10"/>
      <c r="C236" s="105"/>
      <c r="D236" s="105"/>
      <c r="E236" s="105">
        <f>'Hillpointe Detail'!E236+'Sandhill Detail'!E236</f>
        <v>9185.33</v>
      </c>
      <c r="F236" s="105">
        <f>'Hillpointe Detail'!F236+'Sandhill Detail'!F236</f>
        <v>9185.33</v>
      </c>
      <c r="G236" s="105">
        <f>'Hillpointe Detail'!G236+'Sandhill Detail'!G236</f>
        <v>9185.33</v>
      </c>
      <c r="H236" s="105">
        <f>'Hillpointe Detail'!H236+'Sandhill Detail'!H236</f>
        <v>9185.33</v>
      </c>
      <c r="I236" s="105">
        <f>'Hillpointe Detail'!I236+'Sandhill Detail'!I236</f>
        <v>9185.33</v>
      </c>
      <c r="J236" s="105">
        <f>'Hillpointe Detail'!J236+'Sandhill Detail'!J236</f>
        <v>9185.33</v>
      </c>
      <c r="K236" s="105">
        <f>'Hillpointe Detail'!K236+'Sandhill Detail'!K236</f>
        <v>9185.33</v>
      </c>
      <c r="L236" s="105">
        <f>'Hillpointe Detail'!L236+'Sandhill Detail'!L236</f>
        <v>9185.33</v>
      </c>
      <c r="M236" s="105">
        <f>'Hillpointe Detail'!M236+'Sandhill Detail'!M236</f>
        <v>9185.33</v>
      </c>
      <c r="N236" s="105">
        <f>'Hillpointe Detail'!N236+'Sandhill Detail'!N236</f>
        <v>9185.33</v>
      </c>
      <c r="O236" s="105">
        <f>'Hillpointe Detail'!O236+'Sandhill Detail'!O236</f>
        <v>9185.33</v>
      </c>
      <c r="P236" s="105">
        <f>'Hillpointe Detail'!P236+'Sandhill Detail'!P236</f>
        <v>9185.33</v>
      </c>
      <c r="Q236" s="105">
        <f>'Hillpointe Detail'!Q236+'Sandhill Detail'!Q236</f>
        <v>3393.85</v>
      </c>
      <c r="R236" s="105">
        <f>'Hillpointe Detail'!R236+'Sandhill Detail'!R236</f>
        <v>7734.2287999999999</v>
      </c>
      <c r="S236" s="105">
        <f>'Hillpointe Detail'!S236+'Sandhill Detail'!S236</f>
        <v>5364.24</v>
      </c>
      <c r="T236" s="105">
        <f>'Hillpointe Detail'!T236+'Sandhill Detail'!T236</f>
        <v>3855.4754000000003</v>
      </c>
      <c r="U236" s="105">
        <f>'Hillpointe Detail'!U236+'Sandhill Detail'!U236</f>
        <v>4765.0581000000002</v>
      </c>
      <c r="V236" s="105">
        <f>'Hillpointe Detail'!V236+'Sandhill Detail'!V236</f>
        <v>1704.135</v>
      </c>
      <c r="W236" s="105">
        <f>'Hillpointe Detail'!W236+'Sandhill Detail'!W236</f>
        <v>627.27</v>
      </c>
      <c r="X236" s="105">
        <f>'Hillpointe Detail'!X236+'Sandhill Detail'!X236</f>
        <v>1431.6999999999998</v>
      </c>
      <c r="Y236" s="105">
        <f>'Hillpointe Detail'!Y236+'Sandhill Detail'!Y236</f>
        <v>2957.9797500000004</v>
      </c>
      <c r="Z236" s="105">
        <f>'Hillpointe Detail'!Z236+'Sandhill Detail'!Z236</f>
        <v>2957.9797500000004</v>
      </c>
      <c r="AA236" s="105">
        <f>'Hillpointe Detail'!AA236+'Sandhill Detail'!AA236</f>
        <v>2957.9797500000004</v>
      </c>
      <c r="AB236" s="105">
        <f>'Hillpointe Detail'!AB236+'Sandhill Detail'!AB236</f>
        <v>2957.9797500000004</v>
      </c>
      <c r="AC236" s="105">
        <f>'Hillpointe Detail'!AC236+'Sandhill Detail'!AC236</f>
        <v>0</v>
      </c>
      <c r="AD236" s="105">
        <f>'Hillpointe Detail'!AD236+'Sandhill Detail'!AD236</f>
        <v>0</v>
      </c>
      <c r="AE236" s="105">
        <f>'Hillpointe Detail'!AE236+'Sandhill Detail'!AE236</f>
        <v>0</v>
      </c>
      <c r="AF236" s="105">
        <f>'Hillpointe Detail'!AF236+'Sandhill Detail'!AF236</f>
        <v>0</v>
      </c>
      <c r="AG236" s="105">
        <f>'Hillpointe Detail'!AG236+'Sandhill Detail'!AG236</f>
        <v>0</v>
      </c>
      <c r="AH236" s="105">
        <f>'Hillpointe Detail'!AH236+'Sandhill Detail'!AH236</f>
        <v>0</v>
      </c>
      <c r="AI236" s="105">
        <f>'Hillpointe Detail'!AI236+'Sandhill Detail'!AI236</f>
        <v>0</v>
      </c>
      <c r="AJ236" s="105">
        <f>'Hillpointe Detail'!AJ236+'Sandhill Detail'!AJ236</f>
        <v>0</v>
      </c>
      <c r="AK236" s="105">
        <f>'Hillpointe Detail'!AK236+'Sandhill Detail'!AK236</f>
        <v>0</v>
      </c>
      <c r="AL236" s="105">
        <f>'Hillpointe Detail'!AL236+'Sandhill Detail'!AL236</f>
        <v>0</v>
      </c>
      <c r="AM236" s="105">
        <f>'Hillpointe Detail'!AM236+'Sandhill Detail'!AM236</f>
        <v>0</v>
      </c>
      <c r="AN236" s="105">
        <f>'Hillpointe Detail'!AN236+'Sandhill Detail'!AN236</f>
        <v>0</v>
      </c>
      <c r="AO236" s="105">
        <f>'Hillpointe Detail'!AO236+'Sandhill Detail'!AO236</f>
        <v>0</v>
      </c>
      <c r="AP236" s="105">
        <f>'Hillpointe Detail'!AP236+'Sandhill Detail'!AP236</f>
        <v>0</v>
      </c>
      <c r="AQ236" s="105">
        <f>'Hillpointe Detail'!AQ236+'Sandhill Detail'!AQ236</f>
        <v>0</v>
      </c>
      <c r="AR236" s="105">
        <f>'Hillpointe Detail'!AR236+'Sandhill Detail'!AR236</f>
        <v>0</v>
      </c>
      <c r="AS236" s="105">
        <f>'Hillpointe Detail'!AS236+'Sandhill Detail'!AS236</f>
        <v>0</v>
      </c>
      <c r="AT236" s="105">
        <f>'Hillpointe Detail'!AT236+'Sandhill Detail'!AT236</f>
        <v>0</v>
      </c>
      <c r="AU236" s="105">
        <f>'Hillpointe Detail'!AU236+'Sandhill Detail'!AU236</f>
        <v>0</v>
      </c>
      <c r="AV236" s="105">
        <f>'Hillpointe Detail'!AV236+'Sandhill Detail'!AV236</f>
        <v>0</v>
      </c>
      <c r="AW236" s="105">
        <f>'Hillpointe Detail'!AW236+'Sandhill Detail'!AW236</f>
        <v>0</v>
      </c>
      <c r="AX236" s="105">
        <f>'Hillpointe Detail'!AX236+'Sandhill Detail'!AX236</f>
        <v>0</v>
      </c>
      <c r="AY236" s="105">
        <f>'Hillpointe Detail'!AY236+'Sandhill Detail'!AY236</f>
        <v>0</v>
      </c>
      <c r="AZ236" s="105">
        <f>'Hillpointe Detail'!AZ236+'Sandhill Detail'!AZ236</f>
        <v>0</v>
      </c>
      <c r="BA236" s="105">
        <f>'Hillpointe Detail'!BA236+'Sandhill Detail'!BA236</f>
        <v>0</v>
      </c>
      <c r="BB236" s="105">
        <f>'Hillpointe Detail'!BB236+'Sandhill Detail'!BB236</f>
        <v>0</v>
      </c>
      <c r="BC236" s="105">
        <f>'Hillpointe Detail'!BC236+'Sandhill Detail'!BC236</f>
        <v>0</v>
      </c>
      <c r="BD236" s="105">
        <f>'Hillpointe Detail'!BD236+'Sandhill Detail'!BD236</f>
        <v>0</v>
      </c>
      <c r="BE236" s="105">
        <f>'Hillpointe Detail'!BE236+'Sandhill Detail'!BE236</f>
        <v>0</v>
      </c>
      <c r="BF236" s="105">
        <f>'Hillpointe Detail'!BF236+'Sandhill Detail'!BF236</f>
        <v>0</v>
      </c>
      <c r="BG236" s="105">
        <f>'Hillpointe Detail'!BG236+'Sandhill Detail'!BG236</f>
        <v>0</v>
      </c>
      <c r="BH236" s="105">
        <f>'Hillpointe Detail'!BH236+'Sandhill Detail'!BH236</f>
        <v>0</v>
      </c>
      <c r="BI236" s="105">
        <f>'Hillpointe Detail'!BI236+'Sandhill Detail'!BI236</f>
        <v>0</v>
      </c>
      <c r="BJ236" s="105">
        <f>'Hillpointe Detail'!BJ236+'Sandhill Detail'!BJ236</f>
        <v>0</v>
      </c>
      <c r="BK236" s="105">
        <f>'Hillpointe Detail'!BK236+'Sandhill Detail'!BK236</f>
        <v>0</v>
      </c>
      <c r="BL236" s="105">
        <f>'Hillpointe Detail'!BL236+'Sandhill Detail'!BL236</f>
        <v>0</v>
      </c>
      <c r="BM236" s="105">
        <f>'Hillpointe Detail'!BM236+'Sandhill Detail'!BM236</f>
        <v>0</v>
      </c>
      <c r="BN236" s="105">
        <f>'Hillpointe Detail'!BN236+'Sandhill Detail'!BN236</f>
        <v>0</v>
      </c>
      <c r="BO236" s="105">
        <f>'Hillpointe Detail'!BO236+'Sandhill Detail'!BO236</f>
        <v>0</v>
      </c>
      <c r="BP236" s="105">
        <f>'Hillpointe Detail'!BP236+'Sandhill Detail'!BP236</f>
        <v>0</v>
      </c>
      <c r="BQ236" s="105">
        <f>'Hillpointe Detail'!BQ236+'Sandhill Detail'!BQ236</f>
        <v>0</v>
      </c>
      <c r="BR236" s="105">
        <f>'Hillpointe Detail'!BR236+'Sandhill Detail'!BR236</f>
        <v>0</v>
      </c>
      <c r="BS236" s="105">
        <f>'Hillpointe Detail'!BS236+'Sandhill Detail'!BS236</f>
        <v>0</v>
      </c>
      <c r="BT236" s="105">
        <f>'Hillpointe Detail'!BT236+'Sandhill Detail'!BT236</f>
        <v>0</v>
      </c>
      <c r="BU236" s="105">
        <f>'Hillpointe Detail'!BU236+'Sandhill Detail'!BU236</f>
        <v>0</v>
      </c>
      <c r="BV236" s="105">
        <f>'Hillpointe Detail'!BV236+'Sandhill Detail'!BV236</f>
        <v>0</v>
      </c>
      <c r="BW236" s="105">
        <f>'Hillpointe Detail'!BW236+'Sandhill Detail'!BW236</f>
        <v>0</v>
      </c>
      <c r="BX236" s="105">
        <f>'Hillpointe Detail'!BX236+'Sandhill Detail'!BX236</f>
        <v>0</v>
      </c>
      <c r="BZ236" s="8">
        <f t="shared" si="159"/>
        <v>2957.9797500000004</v>
      </c>
      <c r="CA236" s="8">
        <f t="shared" si="160"/>
        <v>37749.896549999998</v>
      </c>
    </row>
    <row r="237" spans="1:79" x14ac:dyDescent="0.3">
      <c r="A237" t="str">
        <f t="shared" si="158"/>
        <v>Supplies</v>
      </c>
      <c r="B237" s="10"/>
      <c r="C237" s="105"/>
      <c r="D237" s="105"/>
      <c r="E237" s="105">
        <f>'Hillpointe Detail'!E237+'Sandhill Detail'!E237</f>
        <v>183.82999999999998</v>
      </c>
      <c r="F237" s="105">
        <f>'Hillpointe Detail'!F237+'Sandhill Detail'!F237</f>
        <v>183.82999999999998</v>
      </c>
      <c r="G237" s="105">
        <f>'Hillpointe Detail'!G237+'Sandhill Detail'!G237</f>
        <v>183.82999999999998</v>
      </c>
      <c r="H237" s="105">
        <f>'Hillpointe Detail'!H237+'Sandhill Detail'!H237</f>
        <v>183.82999999999998</v>
      </c>
      <c r="I237" s="105">
        <f>'Hillpointe Detail'!I237+'Sandhill Detail'!I237</f>
        <v>183.82999999999998</v>
      </c>
      <c r="J237" s="105">
        <f>'Hillpointe Detail'!J237+'Sandhill Detail'!J237</f>
        <v>183.82999999999998</v>
      </c>
      <c r="K237" s="105">
        <f>'Hillpointe Detail'!K237+'Sandhill Detail'!K237</f>
        <v>183.82999999999998</v>
      </c>
      <c r="L237" s="105">
        <f>'Hillpointe Detail'!L237+'Sandhill Detail'!L237</f>
        <v>183.82999999999998</v>
      </c>
      <c r="M237" s="105">
        <f>'Hillpointe Detail'!M237+'Sandhill Detail'!M237</f>
        <v>183.82999999999998</v>
      </c>
      <c r="N237" s="105">
        <f>'Hillpointe Detail'!N237+'Sandhill Detail'!N237</f>
        <v>183.82999999999998</v>
      </c>
      <c r="O237" s="105">
        <f>'Hillpointe Detail'!O237+'Sandhill Detail'!O237</f>
        <v>183.82999999999998</v>
      </c>
      <c r="P237" s="105">
        <f>'Hillpointe Detail'!P237+'Sandhill Detail'!P237</f>
        <v>183.82999999999998</v>
      </c>
      <c r="Q237" s="105">
        <f>'Hillpointe Detail'!Q237+'Sandhill Detail'!Q237</f>
        <v>803.66779999999994</v>
      </c>
      <c r="R237" s="105">
        <f>'Hillpointe Detail'!R237+'Sandhill Detail'!R237</f>
        <v>1136.6256000000001</v>
      </c>
      <c r="S237" s="105">
        <f>'Hillpointe Detail'!S237+'Sandhill Detail'!S237</f>
        <v>1980.0205000000001</v>
      </c>
      <c r="T237" s="105">
        <f>'Hillpointe Detail'!T237+'Sandhill Detail'!T237</f>
        <v>8966.8813000000009</v>
      </c>
      <c r="U237" s="105">
        <f>'Hillpointe Detail'!U237+'Sandhill Detail'!U237</f>
        <v>596.48329999999999</v>
      </c>
      <c r="V237" s="105">
        <f>'Hillpointe Detail'!V237+'Sandhill Detail'!V237</f>
        <v>388.78380000000004</v>
      </c>
      <c r="W237" s="105">
        <f>'Hillpointe Detail'!W237+'Sandhill Detail'!W237</f>
        <v>727.50960000000009</v>
      </c>
      <c r="X237" s="105">
        <f>'Hillpointe Detail'!X237+'Sandhill Detail'!X237</f>
        <v>139.50319999999911</v>
      </c>
      <c r="Y237" s="105">
        <f>'Hillpointe Detail'!Y237+'Sandhill Detail'!Y237</f>
        <v>2423.5350666666668</v>
      </c>
      <c r="Z237" s="105">
        <f>'Hillpointe Detail'!Z237+'Sandhill Detail'!Z237</f>
        <v>2423.5350666666668</v>
      </c>
      <c r="AA237" s="105">
        <f>'Hillpointe Detail'!AA237+'Sandhill Detail'!AA237</f>
        <v>2423.5350666666668</v>
      </c>
      <c r="AB237" s="105">
        <f>'Hillpointe Detail'!AB237+'Sandhill Detail'!AB237</f>
        <v>2274.5575833333337</v>
      </c>
      <c r="AC237" s="105">
        <f>'Hillpointe Detail'!AC237+'Sandhill Detail'!AC237</f>
        <v>0</v>
      </c>
      <c r="AD237" s="105">
        <f>'Hillpointe Detail'!AD237+'Sandhill Detail'!AD237</f>
        <v>0</v>
      </c>
      <c r="AE237" s="105">
        <f>'Hillpointe Detail'!AE237+'Sandhill Detail'!AE237</f>
        <v>0</v>
      </c>
      <c r="AF237" s="105">
        <f>'Hillpointe Detail'!AF237+'Sandhill Detail'!AF237</f>
        <v>0</v>
      </c>
      <c r="AG237" s="105">
        <f>'Hillpointe Detail'!AG237+'Sandhill Detail'!AG237</f>
        <v>0</v>
      </c>
      <c r="AH237" s="105">
        <f>'Hillpointe Detail'!AH237+'Sandhill Detail'!AH237</f>
        <v>0</v>
      </c>
      <c r="AI237" s="105">
        <f>'Hillpointe Detail'!AI237+'Sandhill Detail'!AI237</f>
        <v>0</v>
      </c>
      <c r="AJ237" s="105">
        <f>'Hillpointe Detail'!AJ237+'Sandhill Detail'!AJ237</f>
        <v>0</v>
      </c>
      <c r="AK237" s="105">
        <f>'Hillpointe Detail'!AK237+'Sandhill Detail'!AK237</f>
        <v>0</v>
      </c>
      <c r="AL237" s="105">
        <f>'Hillpointe Detail'!AL237+'Sandhill Detail'!AL237</f>
        <v>0</v>
      </c>
      <c r="AM237" s="105">
        <f>'Hillpointe Detail'!AM237+'Sandhill Detail'!AM237</f>
        <v>0</v>
      </c>
      <c r="AN237" s="105">
        <f>'Hillpointe Detail'!AN237+'Sandhill Detail'!AN237</f>
        <v>0</v>
      </c>
      <c r="AO237" s="105">
        <f>'Hillpointe Detail'!AO237+'Sandhill Detail'!AO237</f>
        <v>0</v>
      </c>
      <c r="AP237" s="105">
        <f>'Hillpointe Detail'!AP237+'Sandhill Detail'!AP237</f>
        <v>0</v>
      </c>
      <c r="AQ237" s="105">
        <f>'Hillpointe Detail'!AQ237+'Sandhill Detail'!AQ237</f>
        <v>0</v>
      </c>
      <c r="AR237" s="105">
        <f>'Hillpointe Detail'!AR237+'Sandhill Detail'!AR237</f>
        <v>0</v>
      </c>
      <c r="AS237" s="105">
        <f>'Hillpointe Detail'!AS237+'Sandhill Detail'!AS237</f>
        <v>0</v>
      </c>
      <c r="AT237" s="105">
        <f>'Hillpointe Detail'!AT237+'Sandhill Detail'!AT237</f>
        <v>0</v>
      </c>
      <c r="AU237" s="105">
        <f>'Hillpointe Detail'!AU237+'Sandhill Detail'!AU237</f>
        <v>0</v>
      </c>
      <c r="AV237" s="105">
        <f>'Hillpointe Detail'!AV237+'Sandhill Detail'!AV237</f>
        <v>0</v>
      </c>
      <c r="AW237" s="105">
        <f>'Hillpointe Detail'!AW237+'Sandhill Detail'!AW237</f>
        <v>0</v>
      </c>
      <c r="AX237" s="105">
        <f>'Hillpointe Detail'!AX237+'Sandhill Detail'!AX237</f>
        <v>0</v>
      </c>
      <c r="AY237" s="105">
        <f>'Hillpointe Detail'!AY237+'Sandhill Detail'!AY237</f>
        <v>0</v>
      </c>
      <c r="AZ237" s="105">
        <f>'Hillpointe Detail'!AZ237+'Sandhill Detail'!AZ237</f>
        <v>0</v>
      </c>
      <c r="BA237" s="105">
        <f>'Hillpointe Detail'!BA237+'Sandhill Detail'!BA237</f>
        <v>0</v>
      </c>
      <c r="BB237" s="105">
        <f>'Hillpointe Detail'!BB237+'Sandhill Detail'!BB237</f>
        <v>0</v>
      </c>
      <c r="BC237" s="105">
        <f>'Hillpointe Detail'!BC237+'Sandhill Detail'!BC237</f>
        <v>0</v>
      </c>
      <c r="BD237" s="105">
        <f>'Hillpointe Detail'!BD237+'Sandhill Detail'!BD237</f>
        <v>0</v>
      </c>
      <c r="BE237" s="105">
        <f>'Hillpointe Detail'!BE237+'Sandhill Detail'!BE237</f>
        <v>0</v>
      </c>
      <c r="BF237" s="105">
        <f>'Hillpointe Detail'!BF237+'Sandhill Detail'!BF237</f>
        <v>0</v>
      </c>
      <c r="BG237" s="105">
        <f>'Hillpointe Detail'!BG237+'Sandhill Detail'!BG237</f>
        <v>0</v>
      </c>
      <c r="BH237" s="105">
        <f>'Hillpointe Detail'!BH237+'Sandhill Detail'!BH237</f>
        <v>0</v>
      </c>
      <c r="BI237" s="105">
        <f>'Hillpointe Detail'!BI237+'Sandhill Detail'!BI237</f>
        <v>0</v>
      </c>
      <c r="BJ237" s="105">
        <f>'Hillpointe Detail'!BJ237+'Sandhill Detail'!BJ237</f>
        <v>0</v>
      </c>
      <c r="BK237" s="105">
        <f>'Hillpointe Detail'!BK237+'Sandhill Detail'!BK237</f>
        <v>0</v>
      </c>
      <c r="BL237" s="105">
        <f>'Hillpointe Detail'!BL237+'Sandhill Detail'!BL237</f>
        <v>0</v>
      </c>
      <c r="BM237" s="105">
        <f>'Hillpointe Detail'!BM237+'Sandhill Detail'!BM237</f>
        <v>0</v>
      </c>
      <c r="BN237" s="105">
        <f>'Hillpointe Detail'!BN237+'Sandhill Detail'!BN237</f>
        <v>0</v>
      </c>
      <c r="BO237" s="105">
        <f>'Hillpointe Detail'!BO237+'Sandhill Detail'!BO237</f>
        <v>0</v>
      </c>
      <c r="BP237" s="105">
        <f>'Hillpointe Detail'!BP237+'Sandhill Detail'!BP237</f>
        <v>0</v>
      </c>
      <c r="BQ237" s="105">
        <f>'Hillpointe Detail'!BQ237+'Sandhill Detail'!BQ237</f>
        <v>0</v>
      </c>
      <c r="BR237" s="105">
        <f>'Hillpointe Detail'!BR237+'Sandhill Detail'!BR237</f>
        <v>0</v>
      </c>
      <c r="BS237" s="105">
        <f>'Hillpointe Detail'!BS237+'Sandhill Detail'!BS237</f>
        <v>0</v>
      </c>
      <c r="BT237" s="105">
        <f>'Hillpointe Detail'!BT237+'Sandhill Detail'!BT237</f>
        <v>0</v>
      </c>
      <c r="BU237" s="105">
        <f>'Hillpointe Detail'!BU237+'Sandhill Detail'!BU237</f>
        <v>0</v>
      </c>
      <c r="BV237" s="105">
        <f>'Hillpointe Detail'!BV237+'Sandhill Detail'!BV237</f>
        <v>0</v>
      </c>
      <c r="BW237" s="105">
        <f>'Hillpointe Detail'!BW237+'Sandhill Detail'!BW237</f>
        <v>0</v>
      </c>
      <c r="BX237" s="105">
        <f>'Hillpointe Detail'!BX237+'Sandhill Detail'!BX237</f>
        <v>0</v>
      </c>
      <c r="BZ237" s="8">
        <f t="shared" si="159"/>
        <v>2423.5350666666668</v>
      </c>
      <c r="CA237" s="8">
        <f t="shared" si="160"/>
        <v>22010.080300000001</v>
      </c>
    </row>
    <row r="238" spans="1:79" x14ac:dyDescent="0.3">
      <c r="A238" t="str">
        <f t="shared" si="158"/>
        <v>Curriculum</v>
      </c>
      <c r="B238" s="10"/>
      <c r="C238" s="105"/>
      <c r="D238" s="105"/>
      <c r="E238" s="105">
        <f>'Hillpointe Detail'!E238+'Sandhill Detail'!E238</f>
        <v>4368.0333333333338</v>
      </c>
      <c r="F238" s="105">
        <f>'Hillpointe Detail'!F238+'Sandhill Detail'!F238</f>
        <v>4368.0333333333338</v>
      </c>
      <c r="G238" s="105">
        <f>'Hillpointe Detail'!G238+'Sandhill Detail'!G238</f>
        <v>4368.0333333333338</v>
      </c>
      <c r="H238" s="105">
        <f>'Hillpointe Detail'!H238+'Sandhill Detail'!H238</f>
        <v>4368.0333333333338</v>
      </c>
      <c r="I238" s="105">
        <f>'Hillpointe Detail'!I238+'Sandhill Detail'!I238</f>
        <v>4368.0333333333338</v>
      </c>
      <c r="J238" s="105">
        <f>'Hillpointe Detail'!J238+'Sandhill Detail'!J238</f>
        <v>4368.0333333333338</v>
      </c>
      <c r="K238" s="105">
        <f>'Hillpointe Detail'!K238+'Sandhill Detail'!K238</f>
        <v>4368.0333333333338</v>
      </c>
      <c r="L238" s="105">
        <f>'Hillpointe Detail'!L238+'Sandhill Detail'!L238</f>
        <v>4368.0333333333338</v>
      </c>
      <c r="M238" s="105">
        <f>'Hillpointe Detail'!M238+'Sandhill Detail'!M238</f>
        <v>4368.0333333333338</v>
      </c>
      <c r="N238" s="105">
        <f>'Hillpointe Detail'!N238+'Sandhill Detail'!N238</f>
        <v>4368.0333333333338</v>
      </c>
      <c r="O238" s="105">
        <f>'Hillpointe Detail'!O238+'Sandhill Detail'!O238</f>
        <v>4368.0333333333338</v>
      </c>
      <c r="P238" s="105">
        <f>'Hillpointe Detail'!P238+'Sandhill Detail'!P238</f>
        <v>4368.0333333333338</v>
      </c>
      <c r="Q238" s="105">
        <f>'Hillpointe Detail'!Q238+'Sandhill Detail'!Q238</f>
        <v>860.05000000000007</v>
      </c>
      <c r="R238" s="105">
        <f>'Hillpointe Detail'!R238+'Sandhill Detail'!R238</f>
        <v>6719.8333000000002</v>
      </c>
      <c r="S238" s="105">
        <f>'Hillpointe Detail'!S238+'Sandhill Detail'!S238</f>
        <v>51145.607899999995</v>
      </c>
      <c r="T238" s="105">
        <f>'Hillpointe Detail'!T238+'Sandhill Detail'!T238</f>
        <v>11269.6317</v>
      </c>
      <c r="U238" s="105">
        <f>'Hillpointe Detail'!U238+'Sandhill Detail'!U238</f>
        <v>4336.2999999999993</v>
      </c>
      <c r="V238" s="105">
        <f>'Hillpointe Detail'!V238+'Sandhill Detail'!V238</f>
        <v>2558.6436000000003</v>
      </c>
      <c r="W238" s="105">
        <f>'Hillpointe Detail'!W238+'Sandhill Detail'!W238</f>
        <v>381.1</v>
      </c>
      <c r="X238" s="105">
        <f>'Hillpointe Detail'!X238+'Sandhill Detail'!X238</f>
        <v>1358.745100000003</v>
      </c>
      <c r="Y238" s="105">
        <f>'Hillpointe Detail'!Y238+'Sandhill Detail'!Y238</f>
        <v>1880.0634142857145</v>
      </c>
      <c r="Z238" s="105">
        <f>'Hillpointe Detail'!Z238+'Sandhill Detail'!Z238</f>
        <v>1880.0634142857145</v>
      </c>
      <c r="AA238" s="105">
        <f>'Hillpointe Detail'!AA238+'Sandhill Detail'!AA238</f>
        <v>1880.0634142857145</v>
      </c>
      <c r="AB238" s="105">
        <f>'Hillpointe Detail'!AB238+'Sandhill Detail'!AB238</f>
        <v>1880.0634142857145</v>
      </c>
      <c r="AC238" s="105">
        <f>'Hillpointe Detail'!AC238+'Sandhill Detail'!AC238</f>
        <v>0</v>
      </c>
      <c r="AD238" s="105">
        <f>'Hillpointe Detail'!AD238+'Sandhill Detail'!AD238</f>
        <v>0</v>
      </c>
      <c r="AE238" s="105">
        <f>'Hillpointe Detail'!AE238+'Sandhill Detail'!AE238</f>
        <v>0</v>
      </c>
      <c r="AF238" s="105">
        <f>'Hillpointe Detail'!AF238+'Sandhill Detail'!AF238</f>
        <v>0</v>
      </c>
      <c r="AG238" s="105">
        <f>'Hillpointe Detail'!AG238+'Sandhill Detail'!AG238</f>
        <v>0</v>
      </c>
      <c r="AH238" s="105">
        <f>'Hillpointe Detail'!AH238+'Sandhill Detail'!AH238</f>
        <v>0</v>
      </c>
      <c r="AI238" s="105">
        <f>'Hillpointe Detail'!AI238+'Sandhill Detail'!AI238</f>
        <v>0</v>
      </c>
      <c r="AJ238" s="105">
        <f>'Hillpointe Detail'!AJ238+'Sandhill Detail'!AJ238</f>
        <v>0</v>
      </c>
      <c r="AK238" s="105">
        <f>'Hillpointe Detail'!AK238+'Sandhill Detail'!AK238</f>
        <v>0</v>
      </c>
      <c r="AL238" s="105">
        <f>'Hillpointe Detail'!AL238+'Sandhill Detail'!AL238</f>
        <v>0</v>
      </c>
      <c r="AM238" s="105">
        <f>'Hillpointe Detail'!AM238+'Sandhill Detail'!AM238</f>
        <v>0</v>
      </c>
      <c r="AN238" s="105">
        <f>'Hillpointe Detail'!AN238+'Sandhill Detail'!AN238</f>
        <v>0</v>
      </c>
      <c r="AO238" s="105">
        <f>'Hillpointe Detail'!AO238+'Sandhill Detail'!AO238</f>
        <v>0</v>
      </c>
      <c r="AP238" s="105">
        <f>'Hillpointe Detail'!AP238+'Sandhill Detail'!AP238</f>
        <v>0</v>
      </c>
      <c r="AQ238" s="105">
        <f>'Hillpointe Detail'!AQ238+'Sandhill Detail'!AQ238</f>
        <v>0</v>
      </c>
      <c r="AR238" s="105">
        <f>'Hillpointe Detail'!AR238+'Sandhill Detail'!AR238</f>
        <v>0</v>
      </c>
      <c r="AS238" s="105">
        <f>'Hillpointe Detail'!AS238+'Sandhill Detail'!AS238</f>
        <v>0</v>
      </c>
      <c r="AT238" s="105">
        <f>'Hillpointe Detail'!AT238+'Sandhill Detail'!AT238</f>
        <v>0</v>
      </c>
      <c r="AU238" s="105">
        <f>'Hillpointe Detail'!AU238+'Sandhill Detail'!AU238</f>
        <v>0</v>
      </c>
      <c r="AV238" s="105">
        <f>'Hillpointe Detail'!AV238+'Sandhill Detail'!AV238</f>
        <v>0</v>
      </c>
      <c r="AW238" s="105">
        <f>'Hillpointe Detail'!AW238+'Sandhill Detail'!AW238</f>
        <v>0</v>
      </c>
      <c r="AX238" s="105">
        <f>'Hillpointe Detail'!AX238+'Sandhill Detail'!AX238</f>
        <v>0</v>
      </c>
      <c r="AY238" s="105">
        <f>'Hillpointe Detail'!AY238+'Sandhill Detail'!AY238</f>
        <v>0</v>
      </c>
      <c r="AZ238" s="105">
        <f>'Hillpointe Detail'!AZ238+'Sandhill Detail'!AZ238</f>
        <v>0</v>
      </c>
      <c r="BA238" s="105">
        <f>'Hillpointe Detail'!BA238+'Sandhill Detail'!BA238</f>
        <v>0</v>
      </c>
      <c r="BB238" s="105">
        <f>'Hillpointe Detail'!BB238+'Sandhill Detail'!BB238</f>
        <v>0</v>
      </c>
      <c r="BC238" s="105">
        <f>'Hillpointe Detail'!BC238+'Sandhill Detail'!BC238</f>
        <v>0</v>
      </c>
      <c r="BD238" s="105">
        <f>'Hillpointe Detail'!BD238+'Sandhill Detail'!BD238</f>
        <v>0</v>
      </c>
      <c r="BE238" s="105">
        <f>'Hillpointe Detail'!BE238+'Sandhill Detail'!BE238</f>
        <v>0</v>
      </c>
      <c r="BF238" s="105">
        <f>'Hillpointe Detail'!BF238+'Sandhill Detail'!BF238</f>
        <v>0</v>
      </c>
      <c r="BG238" s="105">
        <f>'Hillpointe Detail'!BG238+'Sandhill Detail'!BG238</f>
        <v>0</v>
      </c>
      <c r="BH238" s="105">
        <f>'Hillpointe Detail'!BH238+'Sandhill Detail'!BH238</f>
        <v>0</v>
      </c>
      <c r="BI238" s="105">
        <f>'Hillpointe Detail'!BI238+'Sandhill Detail'!BI238</f>
        <v>0</v>
      </c>
      <c r="BJ238" s="105">
        <f>'Hillpointe Detail'!BJ238+'Sandhill Detail'!BJ238</f>
        <v>0</v>
      </c>
      <c r="BK238" s="105">
        <f>'Hillpointe Detail'!BK238+'Sandhill Detail'!BK238</f>
        <v>0</v>
      </c>
      <c r="BL238" s="105">
        <f>'Hillpointe Detail'!BL238+'Sandhill Detail'!BL238</f>
        <v>0</v>
      </c>
      <c r="BM238" s="105">
        <f>'Hillpointe Detail'!BM238+'Sandhill Detail'!BM238</f>
        <v>0</v>
      </c>
      <c r="BN238" s="105">
        <f>'Hillpointe Detail'!BN238+'Sandhill Detail'!BN238</f>
        <v>0</v>
      </c>
      <c r="BO238" s="105">
        <f>'Hillpointe Detail'!BO238+'Sandhill Detail'!BO238</f>
        <v>0</v>
      </c>
      <c r="BP238" s="105">
        <f>'Hillpointe Detail'!BP238+'Sandhill Detail'!BP238</f>
        <v>0</v>
      </c>
      <c r="BQ238" s="105">
        <f>'Hillpointe Detail'!BQ238+'Sandhill Detail'!BQ238</f>
        <v>0</v>
      </c>
      <c r="BR238" s="105">
        <f>'Hillpointe Detail'!BR238+'Sandhill Detail'!BR238</f>
        <v>0</v>
      </c>
      <c r="BS238" s="105">
        <f>'Hillpointe Detail'!BS238+'Sandhill Detail'!BS238</f>
        <v>0</v>
      </c>
      <c r="BT238" s="105">
        <f>'Hillpointe Detail'!BT238+'Sandhill Detail'!BT238</f>
        <v>0</v>
      </c>
      <c r="BU238" s="105">
        <f>'Hillpointe Detail'!BU238+'Sandhill Detail'!BU238</f>
        <v>0</v>
      </c>
      <c r="BV238" s="105">
        <f>'Hillpointe Detail'!BV238+'Sandhill Detail'!BV238</f>
        <v>0</v>
      </c>
      <c r="BW238" s="105">
        <f>'Hillpointe Detail'!BW238+'Sandhill Detail'!BW238</f>
        <v>0</v>
      </c>
      <c r="BX238" s="105">
        <f>'Hillpointe Detail'!BX238+'Sandhill Detail'!BX238</f>
        <v>0</v>
      </c>
      <c r="BZ238" s="8">
        <f t="shared" si="159"/>
        <v>1880.0634142857145</v>
      </c>
      <c r="CA238" s="8">
        <f t="shared" si="160"/>
        <v>84270.101842857155</v>
      </c>
    </row>
    <row r="239" spans="1:79" x14ac:dyDescent="0.3">
      <c r="A239" t="str">
        <f t="shared" si="158"/>
        <v>Insurance</v>
      </c>
      <c r="B239" s="10"/>
      <c r="C239" s="105"/>
      <c r="D239" s="105"/>
      <c r="E239" s="105">
        <f>'Hillpointe Detail'!E239+'Sandhill Detail'!E239</f>
        <v>4033.33</v>
      </c>
      <c r="F239" s="105">
        <f>'Hillpointe Detail'!F239+'Sandhill Detail'!F239</f>
        <v>4033.33</v>
      </c>
      <c r="G239" s="105">
        <f>'Hillpointe Detail'!G239+'Sandhill Detail'!G239</f>
        <v>4033.33</v>
      </c>
      <c r="H239" s="105">
        <f>'Hillpointe Detail'!H239+'Sandhill Detail'!H239</f>
        <v>4033.33</v>
      </c>
      <c r="I239" s="105">
        <f>'Hillpointe Detail'!I239+'Sandhill Detail'!I239</f>
        <v>4033.33</v>
      </c>
      <c r="J239" s="105">
        <f>'Hillpointe Detail'!J239+'Sandhill Detail'!J239</f>
        <v>4033.33</v>
      </c>
      <c r="K239" s="105">
        <f>'Hillpointe Detail'!K239+'Sandhill Detail'!K239</f>
        <v>4033.33</v>
      </c>
      <c r="L239" s="105">
        <f>'Hillpointe Detail'!L239+'Sandhill Detail'!L239</f>
        <v>4033.33</v>
      </c>
      <c r="M239" s="105">
        <f>'Hillpointe Detail'!M239+'Sandhill Detail'!M239</f>
        <v>4033.33</v>
      </c>
      <c r="N239" s="105">
        <f>'Hillpointe Detail'!N239+'Sandhill Detail'!N239</f>
        <v>4033.33</v>
      </c>
      <c r="O239" s="105">
        <f>'Hillpointe Detail'!O239+'Sandhill Detail'!O239</f>
        <v>4033.33</v>
      </c>
      <c r="P239" s="105">
        <f>'Hillpointe Detail'!P239+'Sandhill Detail'!P239</f>
        <v>4033.33</v>
      </c>
      <c r="Q239" s="105">
        <f>'Hillpointe Detail'!Q239+'Sandhill Detail'!Q239</f>
        <v>25381.644533333332</v>
      </c>
      <c r="R239" s="105">
        <f>'Hillpointe Detail'!R239+'Sandhill Detail'!R239</f>
        <v>25381.644533333332</v>
      </c>
      <c r="S239" s="105">
        <f>'Hillpointe Detail'!S239+'Sandhill Detail'!S239</f>
        <v>25381.644533333332</v>
      </c>
      <c r="T239" s="105">
        <f>'Hillpointe Detail'!T239+'Sandhill Detail'!T239</f>
        <v>25381.644533333332</v>
      </c>
      <c r="U239" s="105">
        <f>'Hillpointe Detail'!U239+'Sandhill Detail'!U239</f>
        <v>25381.644533333332</v>
      </c>
      <c r="V239" s="105">
        <f>'Hillpointe Detail'!V239+'Sandhill Detail'!V239</f>
        <v>25381.644533333332</v>
      </c>
      <c r="W239" s="105">
        <f>'Hillpointe Detail'!W239+'Sandhill Detail'!W239</f>
        <v>25381.644533333332</v>
      </c>
      <c r="X239" s="105">
        <f>'Hillpointe Detail'!X239+'Sandhill Detail'!X239</f>
        <v>25381.644533333332</v>
      </c>
      <c r="Y239" s="105">
        <f>'Hillpointe Detail'!Y239+'Sandhill Detail'!Y239</f>
        <v>25381.644533333332</v>
      </c>
      <c r="Z239" s="105">
        <f>'Hillpointe Detail'!Z239+'Sandhill Detail'!Z239</f>
        <v>25381.644533333332</v>
      </c>
      <c r="AA239" s="105">
        <f>'Hillpointe Detail'!AA239+'Sandhill Detail'!AA239</f>
        <v>25381.644533333332</v>
      </c>
      <c r="AB239" s="105">
        <f>'Hillpointe Detail'!AB239+'Sandhill Detail'!AB239</f>
        <v>25381.644533333332</v>
      </c>
      <c r="AC239" s="105">
        <f>'Hillpointe Detail'!AC239+'Sandhill Detail'!AC239</f>
        <v>0</v>
      </c>
      <c r="AD239" s="105">
        <f>'Hillpointe Detail'!AD239+'Sandhill Detail'!AD239</f>
        <v>0</v>
      </c>
      <c r="AE239" s="105">
        <f>'Hillpointe Detail'!AE239+'Sandhill Detail'!AE239</f>
        <v>0</v>
      </c>
      <c r="AF239" s="105">
        <f>'Hillpointe Detail'!AF239+'Sandhill Detail'!AF239</f>
        <v>0</v>
      </c>
      <c r="AG239" s="105">
        <f>'Hillpointe Detail'!AG239+'Sandhill Detail'!AG239</f>
        <v>0</v>
      </c>
      <c r="AH239" s="105">
        <f>'Hillpointe Detail'!AH239+'Sandhill Detail'!AH239</f>
        <v>0</v>
      </c>
      <c r="AI239" s="105">
        <f>'Hillpointe Detail'!AI239+'Sandhill Detail'!AI239</f>
        <v>0</v>
      </c>
      <c r="AJ239" s="105">
        <f>'Hillpointe Detail'!AJ239+'Sandhill Detail'!AJ239</f>
        <v>0</v>
      </c>
      <c r="AK239" s="105">
        <f>'Hillpointe Detail'!AK239+'Sandhill Detail'!AK239</f>
        <v>0</v>
      </c>
      <c r="AL239" s="105">
        <f>'Hillpointe Detail'!AL239+'Sandhill Detail'!AL239</f>
        <v>0</v>
      </c>
      <c r="AM239" s="105">
        <f>'Hillpointe Detail'!AM239+'Sandhill Detail'!AM239</f>
        <v>0</v>
      </c>
      <c r="AN239" s="105">
        <f>'Hillpointe Detail'!AN239+'Sandhill Detail'!AN239</f>
        <v>0</v>
      </c>
      <c r="AO239" s="105">
        <f>'Hillpointe Detail'!AO239+'Sandhill Detail'!AO239</f>
        <v>0</v>
      </c>
      <c r="AP239" s="105">
        <f>'Hillpointe Detail'!AP239+'Sandhill Detail'!AP239</f>
        <v>0</v>
      </c>
      <c r="AQ239" s="105">
        <f>'Hillpointe Detail'!AQ239+'Sandhill Detail'!AQ239</f>
        <v>0</v>
      </c>
      <c r="AR239" s="105">
        <f>'Hillpointe Detail'!AR239+'Sandhill Detail'!AR239</f>
        <v>0</v>
      </c>
      <c r="AS239" s="105">
        <f>'Hillpointe Detail'!AS239+'Sandhill Detail'!AS239</f>
        <v>0</v>
      </c>
      <c r="AT239" s="105">
        <f>'Hillpointe Detail'!AT239+'Sandhill Detail'!AT239</f>
        <v>0</v>
      </c>
      <c r="AU239" s="105">
        <f>'Hillpointe Detail'!AU239+'Sandhill Detail'!AU239</f>
        <v>0</v>
      </c>
      <c r="AV239" s="105">
        <f>'Hillpointe Detail'!AV239+'Sandhill Detail'!AV239</f>
        <v>0</v>
      </c>
      <c r="AW239" s="105">
        <f>'Hillpointe Detail'!AW239+'Sandhill Detail'!AW239</f>
        <v>0</v>
      </c>
      <c r="AX239" s="105">
        <f>'Hillpointe Detail'!AX239+'Sandhill Detail'!AX239</f>
        <v>0</v>
      </c>
      <c r="AY239" s="105">
        <f>'Hillpointe Detail'!AY239+'Sandhill Detail'!AY239</f>
        <v>0</v>
      </c>
      <c r="AZ239" s="105">
        <f>'Hillpointe Detail'!AZ239+'Sandhill Detail'!AZ239</f>
        <v>0</v>
      </c>
      <c r="BA239" s="105">
        <f>'Hillpointe Detail'!BA239+'Sandhill Detail'!BA239</f>
        <v>0</v>
      </c>
      <c r="BB239" s="105">
        <f>'Hillpointe Detail'!BB239+'Sandhill Detail'!BB239</f>
        <v>0</v>
      </c>
      <c r="BC239" s="105">
        <f>'Hillpointe Detail'!BC239+'Sandhill Detail'!BC239</f>
        <v>0</v>
      </c>
      <c r="BD239" s="105">
        <f>'Hillpointe Detail'!BD239+'Sandhill Detail'!BD239</f>
        <v>0</v>
      </c>
      <c r="BE239" s="105">
        <f>'Hillpointe Detail'!BE239+'Sandhill Detail'!BE239</f>
        <v>0</v>
      </c>
      <c r="BF239" s="105">
        <f>'Hillpointe Detail'!BF239+'Sandhill Detail'!BF239</f>
        <v>0</v>
      </c>
      <c r="BG239" s="105">
        <f>'Hillpointe Detail'!BG239+'Sandhill Detail'!BG239</f>
        <v>0</v>
      </c>
      <c r="BH239" s="105">
        <f>'Hillpointe Detail'!BH239+'Sandhill Detail'!BH239</f>
        <v>0</v>
      </c>
      <c r="BI239" s="105">
        <f>'Hillpointe Detail'!BI239+'Sandhill Detail'!BI239</f>
        <v>0</v>
      </c>
      <c r="BJ239" s="105">
        <f>'Hillpointe Detail'!BJ239+'Sandhill Detail'!BJ239</f>
        <v>0</v>
      </c>
      <c r="BK239" s="105">
        <f>'Hillpointe Detail'!BK239+'Sandhill Detail'!BK239</f>
        <v>0</v>
      </c>
      <c r="BL239" s="105">
        <f>'Hillpointe Detail'!BL239+'Sandhill Detail'!BL239</f>
        <v>0</v>
      </c>
      <c r="BM239" s="105">
        <f>'Hillpointe Detail'!BM239+'Sandhill Detail'!BM239</f>
        <v>0</v>
      </c>
      <c r="BN239" s="105">
        <f>'Hillpointe Detail'!BN239+'Sandhill Detail'!BN239</f>
        <v>0</v>
      </c>
      <c r="BO239" s="105">
        <f>'Hillpointe Detail'!BO239+'Sandhill Detail'!BO239</f>
        <v>0</v>
      </c>
      <c r="BP239" s="105">
        <f>'Hillpointe Detail'!BP239+'Sandhill Detail'!BP239</f>
        <v>0</v>
      </c>
      <c r="BQ239" s="105">
        <f>'Hillpointe Detail'!BQ239+'Sandhill Detail'!BQ239</f>
        <v>0</v>
      </c>
      <c r="BR239" s="105">
        <f>'Hillpointe Detail'!BR239+'Sandhill Detail'!BR239</f>
        <v>0</v>
      </c>
      <c r="BS239" s="105">
        <f>'Hillpointe Detail'!BS239+'Sandhill Detail'!BS239</f>
        <v>0</v>
      </c>
      <c r="BT239" s="105">
        <f>'Hillpointe Detail'!BT239+'Sandhill Detail'!BT239</f>
        <v>0</v>
      </c>
      <c r="BU239" s="105">
        <f>'Hillpointe Detail'!BU239+'Sandhill Detail'!BU239</f>
        <v>0</v>
      </c>
      <c r="BV239" s="105">
        <f>'Hillpointe Detail'!BV239+'Sandhill Detail'!BV239</f>
        <v>0</v>
      </c>
      <c r="BW239" s="105">
        <f>'Hillpointe Detail'!BW239+'Sandhill Detail'!BW239</f>
        <v>0</v>
      </c>
      <c r="BX239" s="105">
        <f>'Hillpointe Detail'!BX239+'Sandhill Detail'!BX239</f>
        <v>0</v>
      </c>
      <c r="BZ239" s="8">
        <f t="shared" si="159"/>
        <v>25381.644533333332</v>
      </c>
      <c r="CA239" s="8">
        <f t="shared" si="160"/>
        <v>279198.08986666671</v>
      </c>
    </row>
    <row r="240" spans="1:79" x14ac:dyDescent="0.3">
      <c r="A240" t="str">
        <f t="shared" si="158"/>
        <v>Computers</v>
      </c>
      <c r="B240" s="10"/>
      <c r="C240" s="105"/>
      <c r="D240" s="105"/>
      <c r="E240" s="105">
        <f>'Hillpointe Detail'!E240+'Sandhill Detail'!E240</f>
        <v>275.27999999999997</v>
      </c>
      <c r="F240" s="105">
        <f>'Hillpointe Detail'!F240+'Sandhill Detail'!F240</f>
        <v>275.27999999999997</v>
      </c>
      <c r="G240" s="105">
        <f>'Hillpointe Detail'!G240+'Sandhill Detail'!G240</f>
        <v>275.27999999999997</v>
      </c>
      <c r="H240" s="105">
        <f>'Hillpointe Detail'!H240+'Sandhill Detail'!H240</f>
        <v>275.27999999999997</v>
      </c>
      <c r="I240" s="105">
        <f>'Hillpointe Detail'!I240+'Sandhill Detail'!I240</f>
        <v>275.27999999999997</v>
      </c>
      <c r="J240" s="105">
        <f>'Hillpointe Detail'!J240+'Sandhill Detail'!J240</f>
        <v>275.27999999999997</v>
      </c>
      <c r="K240" s="105">
        <f>'Hillpointe Detail'!K240+'Sandhill Detail'!K240</f>
        <v>275.27999999999997</v>
      </c>
      <c r="L240" s="105">
        <f>'Hillpointe Detail'!L240+'Sandhill Detail'!L240</f>
        <v>275.27999999999997</v>
      </c>
      <c r="M240" s="105">
        <f>'Hillpointe Detail'!M240+'Sandhill Detail'!M240</f>
        <v>275.27999999999997</v>
      </c>
      <c r="N240" s="105">
        <f>'Hillpointe Detail'!N240+'Sandhill Detail'!N240</f>
        <v>275.27999999999997</v>
      </c>
      <c r="O240" s="105">
        <f>'Hillpointe Detail'!O240+'Sandhill Detail'!O240</f>
        <v>275.27999999999997</v>
      </c>
      <c r="P240" s="105">
        <f>'Hillpointe Detail'!P240+'Sandhill Detail'!P240</f>
        <v>275.27999999999997</v>
      </c>
      <c r="Q240" s="105">
        <f>'Hillpointe Detail'!Q240+'Sandhill Detail'!Q240</f>
        <v>78.125500000000002</v>
      </c>
      <c r="R240" s="105">
        <f>'Hillpointe Detail'!R240+'Sandhill Detail'!R240</f>
        <v>772.50000000000011</v>
      </c>
      <c r="S240" s="105">
        <f>'Hillpointe Detail'!S240+'Sandhill Detail'!S240</f>
        <v>0</v>
      </c>
      <c r="T240" s="105">
        <f>'Hillpointe Detail'!T240+'Sandhill Detail'!T240</f>
        <v>1855.03</v>
      </c>
      <c r="U240" s="105">
        <f>'Hillpointe Detail'!U240+'Sandhill Detail'!U240</f>
        <v>2854.748</v>
      </c>
      <c r="V240" s="105">
        <f>'Hillpointe Detail'!V240+'Sandhill Detail'!V240</f>
        <v>31.23</v>
      </c>
      <c r="W240" s="105">
        <f>'Hillpointe Detail'!W240+'Sandhill Detail'!W240</f>
        <v>182.77</v>
      </c>
      <c r="X240" s="105">
        <f>'Hillpointe Detail'!X240+'Sandhill Detail'!X240</f>
        <v>8923.689699999999</v>
      </c>
      <c r="Y240" s="105">
        <f>'Hillpointe Detail'!Y240+'Sandhill Detail'!Y240</f>
        <v>1037.8463333333334</v>
      </c>
      <c r="Z240" s="105">
        <f>'Hillpointe Detail'!Z240+'Sandhill Detail'!Z240</f>
        <v>1037.8463333333334</v>
      </c>
      <c r="AA240" s="105">
        <f>'Hillpointe Detail'!AA240+'Sandhill Detail'!AA240</f>
        <v>1037.8463333333334</v>
      </c>
      <c r="AB240" s="105">
        <f>'Hillpointe Detail'!AB240+'Sandhill Detail'!AB240</f>
        <v>1037.8463333333334</v>
      </c>
      <c r="AC240" s="105">
        <f>'Hillpointe Detail'!AC240+'Sandhill Detail'!AC240</f>
        <v>0</v>
      </c>
      <c r="AD240" s="105">
        <f>'Hillpointe Detail'!AD240+'Sandhill Detail'!AD240</f>
        <v>0</v>
      </c>
      <c r="AE240" s="105">
        <f>'Hillpointe Detail'!AE240+'Sandhill Detail'!AE240</f>
        <v>0</v>
      </c>
      <c r="AF240" s="105">
        <f>'Hillpointe Detail'!AF240+'Sandhill Detail'!AF240</f>
        <v>0</v>
      </c>
      <c r="AG240" s="105">
        <f>'Hillpointe Detail'!AG240+'Sandhill Detail'!AG240</f>
        <v>0</v>
      </c>
      <c r="AH240" s="105">
        <f>'Hillpointe Detail'!AH240+'Sandhill Detail'!AH240</f>
        <v>0</v>
      </c>
      <c r="AI240" s="105">
        <f>'Hillpointe Detail'!AI240+'Sandhill Detail'!AI240</f>
        <v>0</v>
      </c>
      <c r="AJ240" s="105">
        <f>'Hillpointe Detail'!AJ240+'Sandhill Detail'!AJ240</f>
        <v>0</v>
      </c>
      <c r="AK240" s="105">
        <f>'Hillpointe Detail'!AK240+'Sandhill Detail'!AK240</f>
        <v>0</v>
      </c>
      <c r="AL240" s="105">
        <f>'Hillpointe Detail'!AL240+'Sandhill Detail'!AL240</f>
        <v>0</v>
      </c>
      <c r="AM240" s="105">
        <f>'Hillpointe Detail'!AM240+'Sandhill Detail'!AM240</f>
        <v>0</v>
      </c>
      <c r="AN240" s="105">
        <f>'Hillpointe Detail'!AN240+'Sandhill Detail'!AN240</f>
        <v>0</v>
      </c>
      <c r="AO240" s="105">
        <f>'Hillpointe Detail'!AO240+'Sandhill Detail'!AO240</f>
        <v>0</v>
      </c>
      <c r="AP240" s="105">
        <f>'Hillpointe Detail'!AP240+'Sandhill Detail'!AP240</f>
        <v>0</v>
      </c>
      <c r="AQ240" s="105">
        <f>'Hillpointe Detail'!AQ240+'Sandhill Detail'!AQ240</f>
        <v>0</v>
      </c>
      <c r="AR240" s="105">
        <f>'Hillpointe Detail'!AR240+'Sandhill Detail'!AR240</f>
        <v>0</v>
      </c>
      <c r="AS240" s="105">
        <f>'Hillpointe Detail'!AS240+'Sandhill Detail'!AS240</f>
        <v>0</v>
      </c>
      <c r="AT240" s="105">
        <f>'Hillpointe Detail'!AT240+'Sandhill Detail'!AT240</f>
        <v>0</v>
      </c>
      <c r="AU240" s="105">
        <f>'Hillpointe Detail'!AU240+'Sandhill Detail'!AU240</f>
        <v>0</v>
      </c>
      <c r="AV240" s="105">
        <f>'Hillpointe Detail'!AV240+'Sandhill Detail'!AV240</f>
        <v>0</v>
      </c>
      <c r="AW240" s="105">
        <f>'Hillpointe Detail'!AW240+'Sandhill Detail'!AW240</f>
        <v>0</v>
      </c>
      <c r="AX240" s="105">
        <f>'Hillpointe Detail'!AX240+'Sandhill Detail'!AX240</f>
        <v>0</v>
      </c>
      <c r="AY240" s="105">
        <f>'Hillpointe Detail'!AY240+'Sandhill Detail'!AY240</f>
        <v>0</v>
      </c>
      <c r="AZ240" s="105">
        <f>'Hillpointe Detail'!AZ240+'Sandhill Detail'!AZ240</f>
        <v>0</v>
      </c>
      <c r="BA240" s="105">
        <f>'Hillpointe Detail'!BA240+'Sandhill Detail'!BA240</f>
        <v>0</v>
      </c>
      <c r="BB240" s="105">
        <f>'Hillpointe Detail'!BB240+'Sandhill Detail'!BB240</f>
        <v>0</v>
      </c>
      <c r="BC240" s="105">
        <f>'Hillpointe Detail'!BC240+'Sandhill Detail'!BC240</f>
        <v>0</v>
      </c>
      <c r="BD240" s="105">
        <f>'Hillpointe Detail'!BD240+'Sandhill Detail'!BD240</f>
        <v>0</v>
      </c>
      <c r="BE240" s="105">
        <f>'Hillpointe Detail'!BE240+'Sandhill Detail'!BE240</f>
        <v>0</v>
      </c>
      <c r="BF240" s="105">
        <f>'Hillpointe Detail'!BF240+'Sandhill Detail'!BF240</f>
        <v>0</v>
      </c>
      <c r="BG240" s="105">
        <f>'Hillpointe Detail'!BG240+'Sandhill Detail'!BG240</f>
        <v>0</v>
      </c>
      <c r="BH240" s="105">
        <f>'Hillpointe Detail'!BH240+'Sandhill Detail'!BH240</f>
        <v>0</v>
      </c>
      <c r="BI240" s="105">
        <f>'Hillpointe Detail'!BI240+'Sandhill Detail'!BI240</f>
        <v>0</v>
      </c>
      <c r="BJ240" s="105">
        <f>'Hillpointe Detail'!BJ240+'Sandhill Detail'!BJ240</f>
        <v>0</v>
      </c>
      <c r="BK240" s="105">
        <f>'Hillpointe Detail'!BK240+'Sandhill Detail'!BK240</f>
        <v>0</v>
      </c>
      <c r="BL240" s="105">
        <f>'Hillpointe Detail'!BL240+'Sandhill Detail'!BL240</f>
        <v>0</v>
      </c>
      <c r="BM240" s="105">
        <f>'Hillpointe Detail'!BM240+'Sandhill Detail'!BM240</f>
        <v>0</v>
      </c>
      <c r="BN240" s="105">
        <f>'Hillpointe Detail'!BN240+'Sandhill Detail'!BN240</f>
        <v>0</v>
      </c>
      <c r="BO240" s="105">
        <f>'Hillpointe Detail'!BO240+'Sandhill Detail'!BO240</f>
        <v>0</v>
      </c>
      <c r="BP240" s="105">
        <f>'Hillpointe Detail'!BP240+'Sandhill Detail'!BP240</f>
        <v>0</v>
      </c>
      <c r="BQ240" s="105">
        <f>'Hillpointe Detail'!BQ240+'Sandhill Detail'!BQ240</f>
        <v>0</v>
      </c>
      <c r="BR240" s="105">
        <f>'Hillpointe Detail'!BR240+'Sandhill Detail'!BR240</f>
        <v>0</v>
      </c>
      <c r="BS240" s="105">
        <f>'Hillpointe Detail'!BS240+'Sandhill Detail'!BS240</f>
        <v>0</v>
      </c>
      <c r="BT240" s="105">
        <f>'Hillpointe Detail'!BT240+'Sandhill Detail'!BT240</f>
        <v>0</v>
      </c>
      <c r="BU240" s="105">
        <f>'Hillpointe Detail'!BU240+'Sandhill Detail'!BU240</f>
        <v>0</v>
      </c>
      <c r="BV240" s="105">
        <f>'Hillpointe Detail'!BV240+'Sandhill Detail'!BV240</f>
        <v>0</v>
      </c>
      <c r="BW240" s="105">
        <f>'Hillpointe Detail'!BW240+'Sandhill Detail'!BW240</f>
        <v>0</v>
      </c>
      <c r="BX240" s="105">
        <f>'Hillpointe Detail'!BX240+'Sandhill Detail'!BX240</f>
        <v>0</v>
      </c>
      <c r="BZ240" s="8">
        <f t="shared" si="159"/>
        <v>1037.8463333333334</v>
      </c>
      <c r="CA240" s="8">
        <f t="shared" si="160"/>
        <v>17811.6322</v>
      </c>
    </row>
    <row r="241" spans="1:88" x14ac:dyDescent="0.3">
      <c r="A241" t="str">
        <f t="shared" si="158"/>
        <v>Prof. Serv.</v>
      </c>
      <c r="B241" s="10"/>
      <c r="C241" s="105"/>
      <c r="D241" s="105"/>
      <c r="E241" s="105">
        <f>'Hillpointe Detail'!E241+'Sandhill Detail'!E241</f>
        <v>4166.666666666667</v>
      </c>
      <c r="F241" s="105">
        <f>'Hillpointe Detail'!F241+'Sandhill Detail'!F241</f>
        <v>4166.666666666667</v>
      </c>
      <c r="G241" s="105">
        <f>'Hillpointe Detail'!G241+'Sandhill Detail'!G241</f>
        <v>4166.666666666667</v>
      </c>
      <c r="H241" s="105">
        <f>'Hillpointe Detail'!H241+'Sandhill Detail'!H241</f>
        <v>4166.666666666667</v>
      </c>
      <c r="I241" s="105">
        <f>'Hillpointe Detail'!I241+'Sandhill Detail'!I241</f>
        <v>4166.666666666667</v>
      </c>
      <c r="J241" s="105">
        <f>'Hillpointe Detail'!J241+'Sandhill Detail'!J241</f>
        <v>4166.666666666667</v>
      </c>
      <c r="K241" s="105">
        <f>'Hillpointe Detail'!K241+'Sandhill Detail'!K241</f>
        <v>4166.666666666667</v>
      </c>
      <c r="L241" s="105">
        <f>'Hillpointe Detail'!L241+'Sandhill Detail'!L241</f>
        <v>4166.666666666667</v>
      </c>
      <c r="M241" s="105">
        <f>'Hillpointe Detail'!M241+'Sandhill Detail'!M241</f>
        <v>4166.666666666667</v>
      </c>
      <c r="N241" s="105">
        <f>'Hillpointe Detail'!N241+'Sandhill Detail'!N241</f>
        <v>4166.666666666667</v>
      </c>
      <c r="O241" s="105">
        <f>'Hillpointe Detail'!O241+'Sandhill Detail'!O241</f>
        <v>4166.666666666667</v>
      </c>
      <c r="P241" s="105">
        <f>'Hillpointe Detail'!P241+'Sandhill Detail'!P241</f>
        <v>4166.666666666667</v>
      </c>
      <c r="Q241" s="105">
        <f>'Hillpointe Detail'!Q241+'Sandhill Detail'!Q241</f>
        <v>6481.2544000000007</v>
      </c>
      <c r="R241" s="105">
        <f>'Hillpointe Detail'!R241+'Sandhill Detail'!R241</f>
        <v>972.0625</v>
      </c>
      <c r="S241" s="105">
        <f>'Hillpointe Detail'!S241+'Sandhill Detail'!S241</f>
        <v>4835.0480000000007</v>
      </c>
      <c r="T241" s="105">
        <f>'Hillpointe Detail'!T241+'Sandhill Detail'!T241</f>
        <v>20449.7745</v>
      </c>
      <c r="U241" s="105">
        <f>'Hillpointe Detail'!U241+'Sandhill Detail'!U241</f>
        <v>23160.991999999998</v>
      </c>
      <c r="V241" s="105">
        <f>'Hillpointe Detail'!V241+'Sandhill Detail'!V241</f>
        <v>4581.3645000000006</v>
      </c>
      <c r="W241" s="105">
        <f>'Hillpointe Detail'!W241+'Sandhill Detail'!W241</f>
        <v>16485.598999999998</v>
      </c>
      <c r="X241" s="105">
        <f>'Hillpointe Detail'!X241+'Sandhill Detail'!X241</f>
        <v>13592.273200000001</v>
      </c>
      <c r="Y241" s="105">
        <f>'Hillpointe Detail'!Y241+'Sandhill Detail'!Y241</f>
        <v>12718.657583333334</v>
      </c>
      <c r="Z241" s="105">
        <f>'Hillpointe Detail'!Z241+'Sandhill Detail'!Z241</f>
        <v>12718.657583333334</v>
      </c>
      <c r="AA241" s="105">
        <f>'Hillpointe Detail'!AA241+'Sandhill Detail'!AA241</f>
        <v>12718.657583333334</v>
      </c>
      <c r="AB241" s="105">
        <f>'Hillpointe Detail'!AB241+'Sandhill Detail'!AB241</f>
        <v>12718.657583333334</v>
      </c>
      <c r="AC241" s="105">
        <f>'Hillpointe Detail'!AC241+'Sandhill Detail'!AC241</f>
        <v>0</v>
      </c>
      <c r="AD241" s="105">
        <f>'Hillpointe Detail'!AD241+'Sandhill Detail'!AD241</f>
        <v>0</v>
      </c>
      <c r="AE241" s="105">
        <f>'Hillpointe Detail'!AE241+'Sandhill Detail'!AE241</f>
        <v>0</v>
      </c>
      <c r="AF241" s="105">
        <f>'Hillpointe Detail'!AF241+'Sandhill Detail'!AF241</f>
        <v>0</v>
      </c>
      <c r="AG241" s="105">
        <f>'Hillpointe Detail'!AG241+'Sandhill Detail'!AG241</f>
        <v>0</v>
      </c>
      <c r="AH241" s="105">
        <f>'Hillpointe Detail'!AH241+'Sandhill Detail'!AH241</f>
        <v>0</v>
      </c>
      <c r="AI241" s="105">
        <f>'Hillpointe Detail'!AI241+'Sandhill Detail'!AI241</f>
        <v>0</v>
      </c>
      <c r="AJ241" s="105">
        <f>'Hillpointe Detail'!AJ241+'Sandhill Detail'!AJ241</f>
        <v>0</v>
      </c>
      <c r="AK241" s="105">
        <f>'Hillpointe Detail'!AK241+'Sandhill Detail'!AK241</f>
        <v>0</v>
      </c>
      <c r="AL241" s="105">
        <f>'Hillpointe Detail'!AL241+'Sandhill Detail'!AL241</f>
        <v>0</v>
      </c>
      <c r="AM241" s="105">
        <f>'Hillpointe Detail'!AM241+'Sandhill Detail'!AM241</f>
        <v>0</v>
      </c>
      <c r="AN241" s="105">
        <f>'Hillpointe Detail'!AN241+'Sandhill Detail'!AN241</f>
        <v>0</v>
      </c>
      <c r="AO241" s="105">
        <f>'Hillpointe Detail'!AO241+'Sandhill Detail'!AO241</f>
        <v>0</v>
      </c>
      <c r="AP241" s="105">
        <f>'Hillpointe Detail'!AP241+'Sandhill Detail'!AP241</f>
        <v>0</v>
      </c>
      <c r="AQ241" s="105">
        <f>'Hillpointe Detail'!AQ241+'Sandhill Detail'!AQ241</f>
        <v>0</v>
      </c>
      <c r="AR241" s="105">
        <f>'Hillpointe Detail'!AR241+'Sandhill Detail'!AR241</f>
        <v>0</v>
      </c>
      <c r="AS241" s="105">
        <f>'Hillpointe Detail'!AS241+'Sandhill Detail'!AS241</f>
        <v>0</v>
      </c>
      <c r="AT241" s="105">
        <f>'Hillpointe Detail'!AT241+'Sandhill Detail'!AT241</f>
        <v>0</v>
      </c>
      <c r="AU241" s="105">
        <f>'Hillpointe Detail'!AU241+'Sandhill Detail'!AU241</f>
        <v>0</v>
      </c>
      <c r="AV241" s="105">
        <f>'Hillpointe Detail'!AV241+'Sandhill Detail'!AV241</f>
        <v>0</v>
      </c>
      <c r="AW241" s="105">
        <f>'Hillpointe Detail'!AW241+'Sandhill Detail'!AW241</f>
        <v>0</v>
      </c>
      <c r="AX241" s="105">
        <f>'Hillpointe Detail'!AX241+'Sandhill Detail'!AX241</f>
        <v>0</v>
      </c>
      <c r="AY241" s="105">
        <f>'Hillpointe Detail'!AY241+'Sandhill Detail'!AY241</f>
        <v>0</v>
      </c>
      <c r="AZ241" s="105">
        <f>'Hillpointe Detail'!AZ241+'Sandhill Detail'!AZ241</f>
        <v>0</v>
      </c>
      <c r="BA241" s="105">
        <f>'Hillpointe Detail'!BA241+'Sandhill Detail'!BA241</f>
        <v>0</v>
      </c>
      <c r="BB241" s="105">
        <f>'Hillpointe Detail'!BB241+'Sandhill Detail'!BB241</f>
        <v>0</v>
      </c>
      <c r="BC241" s="105">
        <f>'Hillpointe Detail'!BC241+'Sandhill Detail'!BC241</f>
        <v>0</v>
      </c>
      <c r="BD241" s="105">
        <f>'Hillpointe Detail'!BD241+'Sandhill Detail'!BD241</f>
        <v>0</v>
      </c>
      <c r="BE241" s="105">
        <f>'Hillpointe Detail'!BE241+'Sandhill Detail'!BE241</f>
        <v>0</v>
      </c>
      <c r="BF241" s="105">
        <f>'Hillpointe Detail'!BF241+'Sandhill Detail'!BF241</f>
        <v>0</v>
      </c>
      <c r="BG241" s="105">
        <f>'Hillpointe Detail'!BG241+'Sandhill Detail'!BG241</f>
        <v>0</v>
      </c>
      <c r="BH241" s="105">
        <f>'Hillpointe Detail'!BH241+'Sandhill Detail'!BH241</f>
        <v>0</v>
      </c>
      <c r="BI241" s="105">
        <f>'Hillpointe Detail'!BI241+'Sandhill Detail'!BI241</f>
        <v>0</v>
      </c>
      <c r="BJ241" s="105">
        <f>'Hillpointe Detail'!BJ241+'Sandhill Detail'!BJ241</f>
        <v>0</v>
      </c>
      <c r="BK241" s="105">
        <f>'Hillpointe Detail'!BK241+'Sandhill Detail'!BK241</f>
        <v>0</v>
      </c>
      <c r="BL241" s="105">
        <f>'Hillpointe Detail'!BL241+'Sandhill Detail'!BL241</f>
        <v>0</v>
      </c>
      <c r="BM241" s="105">
        <f>'Hillpointe Detail'!BM241+'Sandhill Detail'!BM241</f>
        <v>0</v>
      </c>
      <c r="BN241" s="105">
        <f>'Hillpointe Detail'!BN241+'Sandhill Detail'!BN241</f>
        <v>0</v>
      </c>
      <c r="BO241" s="105">
        <f>'Hillpointe Detail'!BO241+'Sandhill Detail'!BO241</f>
        <v>0</v>
      </c>
      <c r="BP241" s="105">
        <f>'Hillpointe Detail'!BP241+'Sandhill Detail'!BP241</f>
        <v>0</v>
      </c>
      <c r="BQ241" s="105">
        <f>'Hillpointe Detail'!BQ241+'Sandhill Detail'!BQ241</f>
        <v>0</v>
      </c>
      <c r="BR241" s="105">
        <f>'Hillpointe Detail'!BR241+'Sandhill Detail'!BR241</f>
        <v>0</v>
      </c>
      <c r="BS241" s="105">
        <f>'Hillpointe Detail'!BS241+'Sandhill Detail'!BS241</f>
        <v>0</v>
      </c>
      <c r="BT241" s="105">
        <f>'Hillpointe Detail'!BT241+'Sandhill Detail'!BT241</f>
        <v>0</v>
      </c>
      <c r="BU241" s="105">
        <f>'Hillpointe Detail'!BU241+'Sandhill Detail'!BU241</f>
        <v>0</v>
      </c>
      <c r="BV241" s="105">
        <f>'Hillpointe Detail'!BV241+'Sandhill Detail'!BV241</f>
        <v>0</v>
      </c>
      <c r="BW241" s="105">
        <f>'Hillpointe Detail'!BW241+'Sandhill Detail'!BW241</f>
        <v>0</v>
      </c>
      <c r="BX241" s="105">
        <f>'Hillpointe Detail'!BX241+'Sandhill Detail'!BX241</f>
        <v>0</v>
      </c>
      <c r="BZ241" s="8">
        <f t="shared" si="159"/>
        <v>12718.657583333334</v>
      </c>
      <c r="CA241" s="8">
        <f t="shared" si="160"/>
        <v>128714.34084999999</v>
      </c>
    </row>
    <row r="242" spans="1:88" x14ac:dyDescent="0.3">
      <c r="A242" t="str">
        <f t="shared" si="158"/>
        <v>Cleaning Serv.</v>
      </c>
      <c r="B242" s="10"/>
      <c r="C242" s="105"/>
      <c r="D242" s="105"/>
      <c r="E242" s="105">
        <f>'Hillpointe Detail'!E242+'Sandhill Detail'!E242</f>
        <v>3166.666666666667</v>
      </c>
      <c r="F242" s="105">
        <f>'Hillpointe Detail'!F242+'Sandhill Detail'!F242</f>
        <v>3166.666666666667</v>
      </c>
      <c r="G242" s="105">
        <f>'Hillpointe Detail'!G242+'Sandhill Detail'!G242</f>
        <v>3166.666666666667</v>
      </c>
      <c r="H242" s="105">
        <f>'Hillpointe Detail'!H242+'Sandhill Detail'!H242</f>
        <v>3166.666666666667</v>
      </c>
      <c r="I242" s="105">
        <f>'Hillpointe Detail'!I242+'Sandhill Detail'!I242</f>
        <v>3166.666666666667</v>
      </c>
      <c r="J242" s="105">
        <f>'Hillpointe Detail'!J242+'Sandhill Detail'!J242</f>
        <v>3166.666666666667</v>
      </c>
      <c r="K242" s="105">
        <f>'Hillpointe Detail'!K242+'Sandhill Detail'!K242</f>
        <v>3166.666666666667</v>
      </c>
      <c r="L242" s="105">
        <f>'Hillpointe Detail'!L242+'Sandhill Detail'!L242</f>
        <v>3166.666666666667</v>
      </c>
      <c r="M242" s="105">
        <f>'Hillpointe Detail'!M242+'Sandhill Detail'!M242</f>
        <v>3166.666666666667</v>
      </c>
      <c r="N242" s="105">
        <f>'Hillpointe Detail'!N242+'Sandhill Detail'!N242</f>
        <v>3166.666666666667</v>
      </c>
      <c r="O242" s="105">
        <f>'Hillpointe Detail'!O242+'Sandhill Detail'!O242</f>
        <v>3166.666666666667</v>
      </c>
      <c r="P242" s="105">
        <f>'Hillpointe Detail'!P242+'Sandhill Detail'!P242</f>
        <v>3166.666666666667</v>
      </c>
      <c r="Q242" s="105">
        <f>'Hillpointe Detail'!Q242+'Sandhill Detail'!Q242</f>
        <v>0</v>
      </c>
      <c r="R242" s="105">
        <f>'Hillpointe Detail'!R242+'Sandhill Detail'!R242</f>
        <v>2764.4170000000004</v>
      </c>
      <c r="S242" s="105">
        <f>'Hillpointe Detail'!S242+'Sandhill Detail'!S242</f>
        <v>0</v>
      </c>
      <c r="T242" s="105">
        <f>'Hillpointe Detail'!T242+'Sandhill Detail'!T242</f>
        <v>1064.2063000000001</v>
      </c>
      <c r="U242" s="105">
        <f>'Hillpointe Detail'!U242+'Sandhill Detail'!U242</f>
        <v>486.5102</v>
      </c>
      <c r="V242" s="105">
        <f>'Hillpointe Detail'!V242+'Sandhill Detail'!V242</f>
        <v>0</v>
      </c>
      <c r="W242" s="105">
        <f>'Hillpointe Detail'!W242+'Sandhill Detail'!W242</f>
        <v>1704.9075</v>
      </c>
      <c r="X242" s="105">
        <f>'Hillpointe Detail'!X242+'Sandhill Detail'!X242</f>
        <v>2546.9221999999995</v>
      </c>
      <c r="Y242" s="105">
        <f>'Hillpointe Detail'!Y242+'Sandhill Detail'!Y242</f>
        <v>1243.7958738095238</v>
      </c>
      <c r="Z242" s="105">
        <f>'Hillpointe Detail'!Z242+'Sandhill Detail'!Z242</f>
        <v>1243.7958738095238</v>
      </c>
      <c r="AA242" s="105">
        <f>'Hillpointe Detail'!AA242+'Sandhill Detail'!AA242</f>
        <v>1243.7958738095238</v>
      </c>
      <c r="AB242" s="105">
        <f>'Hillpointe Detail'!AB242+'Sandhill Detail'!AB242</f>
        <v>1243.7958738095238</v>
      </c>
      <c r="AC242" s="105">
        <f>'Hillpointe Detail'!AC242+'Sandhill Detail'!AC242</f>
        <v>0</v>
      </c>
      <c r="AD242" s="105">
        <f>'Hillpointe Detail'!AD242+'Sandhill Detail'!AD242</f>
        <v>0</v>
      </c>
      <c r="AE242" s="105">
        <f>'Hillpointe Detail'!AE242+'Sandhill Detail'!AE242</f>
        <v>0</v>
      </c>
      <c r="AF242" s="105">
        <f>'Hillpointe Detail'!AF242+'Sandhill Detail'!AF242</f>
        <v>0</v>
      </c>
      <c r="AG242" s="105">
        <f>'Hillpointe Detail'!AG242+'Sandhill Detail'!AG242</f>
        <v>0</v>
      </c>
      <c r="AH242" s="105">
        <f>'Hillpointe Detail'!AH242+'Sandhill Detail'!AH242</f>
        <v>0</v>
      </c>
      <c r="AI242" s="105">
        <f>'Hillpointe Detail'!AI242+'Sandhill Detail'!AI242</f>
        <v>0</v>
      </c>
      <c r="AJ242" s="105">
        <f>'Hillpointe Detail'!AJ242+'Sandhill Detail'!AJ242</f>
        <v>0</v>
      </c>
      <c r="AK242" s="105">
        <f>'Hillpointe Detail'!AK242+'Sandhill Detail'!AK242</f>
        <v>0</v>
      </c>
      <c r="AL242" s="105">
        <f>'Hillpointe Detail'!AL242+'Sandhill Detail'!AL242</f>
        <v>0</v>
      </c>
      <c r="AM242" s="105">
        <f>'Hillpointe Detail'!AM242+'Sandhill Detail'!AM242</f>
        <v>0</v>
      </c>
      <c r="AN242" s="105">
        <f>'Hillpointe Detail'!AN242+'Sandhill Detail'!AN242</f>
        <v>0</v>
      </c>
      <c r="AO242" s="105">
        <f>'Hillpointe Detail'!AO242+'Sandhill Detail'!AO242</f>
        <v>0</v>
      </c>
      <c r="AP242" s="105">
        <f>'Hillpointe Detail'!AP242+'Sandhill Detail'!AP242</f>
        <v>0</v>
      </c>
      <c r="AQ242" s="105">
        <f>'Hillpointe Detail'!AQ242+'Sandhill Detail'!AQ242</f>
        <v>0</v>
      </c>
      <c r="AR242" s="105">
        <f>'Hillpointe Detail'!AR242+'Sandhill Detail'!AR242</f>
        <v>0</v>
      </c>
      <c r="AS242" s="105">
        <f>'Hillpointe Detail'!AS242+'Sandhill Detail'!AS242</f>
        <v>0</v>
      </c>
      <c r="AT242" s="105">
        <f>'Hillpointe Detail'!AT242+'Sandhill Detail'!AT242</f>
        <v>0</v>
      </c>
      <c r="AU242" s="105">
        <f>'Hillpointe Detail'!AU242+'Sandhill Detail'!AU242</f>
        <v>0</v>
      </c>
      <c r="AV242" s="105">
        <f>'Hillpointe Detail'!AV242+'Sandhill Detail'!AV242</f>
        <v>0</v>
      </c>
      <c r="AW242" s="105">
        <f>'Hillpointe Detail'!AW242+'Sandhill Detail'!AW242</f>
        <v>0</v>
      </c>
      <c r="AX242" s="105">
        <f>'Hillpointe Detail'!AX242+'Sandhill Detail'!AX242</f>
        <v>0</v>
      </c>
      <c r="AY242" s="105">
        <f>'Hillpointe Detail'!AY242+'Sandhill Detail'!AY242</f>
        <v>0</v>
      </c>
      <c r="AZ242" s="105">
        <f>'Hillpointe Detail'!AZ242+'Sandhill Detail'!AZ242</f>
        <v>0</v>
      </c>
      <c r="BA242" s="105">
        <f>'Hillpointe Detail'!BA242+'Sandhill Detail'!BA242</f>
        <v>0</v>
      </c>
      <c r="BB242" s="105">
        <f>'Hillpointe Detail'!BB242+'Sandhill Detail'!BB242</f>
        <v>0</v>
      </c>
      <c r="BC242" s="105">
        <f>'Hillpointe Detail'!BC242+'Sandhill Detail'!BC242</f>
        <v>0</v>
      </c>
      <c r="BD242" s="105">
        <f>'Hillpointe Detail'!BD242+'Sandhill Detail'!BD242</f>
        <v>0</v>
      </c>
      <c r="BE242" s="105">
        <f>'Hillpointe Detail'!BE242+'Sandhill Detail'!BE242</f>
        <v>0</v>
      </c>
      <c r="BF242" s="105">
        <f>'Hillpointe Detail'!BF242+'Sandhill Detail'!BF242</f>
        <v>0</v>
      </c>
      <c r="BG242" s="105">
        <f>'Hillpointe Detail'!BG242+'Sandhill Detail'!BG242</f>
        <v>0</v>
      </c>
      <c r="BH242" s="105">
        <f>'Hillpointe Detail'!BH242+'Sandhill Detail'!BH242</f>
        <v>0</v>
      </c>
      <c r="BI242" s="105">
        <f>'Hillpointe Detail'!BI242+'Sandhill Detail'!BI242</f>
        <v>0</v>
      </c>
      <c r="BJ242" s="105">
        <f>'Hillpointe Detail'!BJ242+'Sandhill Detail'!BJ242</f>
        <v>0</v>
      </c>
      <c r="BK242" s="105">
        <f>'Hillpointe Detail'!BK242+'Sandhill Detail'!BK242</f>
        <v>0</v>
      </c>
      <c r="BL242" s="105">
        <f>'Hillpointe Detail'!BL242+'Sandhill Detail'!BL242</f>
        <v>0</v>
      </c>
      <c r="BM242" s="105">
        <f>'Hillpointe Detail'!BM242+'Sandhill Detail'!BM242</f>
        <v>0</v>
      </c>
      <c r="BN242" s="105">
        <f>'Hillpointe Detail'!BN242+'Sandhill Detail'!BN242</f>
        <v>0</v>
      </c>
      <c r="BO242" s="105">
        <f>'Hillpointe Detail'!BO242+'Sandhill Detail'!BO242</f>
        <v>0</v>
      </c>
      <c r="BP242" s="105">
        <f>'Hillpointe Detail'!BP242+'Sandhill Detail'!BP242</f>
        <v>0</v>
      </c>
      <c r="BQ242" s="105">
        <f>'Hillpointe Detail'!BQ242+'Sandhill Detail'!BQ242</f>
        <v>0</v>
      </c>
      <c r="BR242" s="105">
        <f>'Hillpointe Detail'!BR242+'Sandhill Detail'!BR242</f>
        <v>0</v>
      </c>
      <c r="BS242" s="105">
        <f>'Hillpointe Detail'!BS242+'Sandhill Detail'!BS242</f>
        <v>0</v>
      </c>
      <c r="BT242" s="105">
        <f>'Hillpointe Detail'!BT242+'Sandhill Detail'!BT242</f>
        <v>0</v>
      </c>
      <c r="BU242" s="105">
        <f>'Hillpointe Detail'!BU242+'Sandhill Detail'!BU242</f>
        <v>0</v>
      </c>
      <c r="BV242" s="105">
        <f>'Hillpointe Detail'!BV242+'Sandhill Detail'!BV242</f>
        <v>0</v>
      </c>
      <c r="BW242" s="105">
        <f>'Hillpointe Detail'!BW242+'Sandhill Detail'!BW242</f>
        <v>0</v>
      </c>
      <c r="BX242" s="105">
        <f>'Hillpointe Detail'!BX242+'Sandhill Detail'!BX242</f>
        <v>0</v>
      </c>
      <c r="BZ242" s="8">
        <f t="shared" si="159"/>
        <v>1243.7958738095238</v>
      </c>
      <c r="CA242" s="8">
        <f t="shared" si="160"/>
        <v>12298.350821428572</v>
      </c>
    </row>
    <row r="243" spans="1:88" x14ac:dyDescent="0.3">
      <c r="A243" t="str">
        <f t="shared" si="158"/>
        <v>DAP Payroll</v>
      </c>
      <c r="B243" s="10"/>
      <c r="C243" s="105"/>
      <c r="D243" s="105"/>
      <c r="E243" s="105">
        <f>'Hillpointe Detail'!E243+'Sandhill Detail'!E243</f>
        <v>2992</v>
      </c>
      <c r="F243" s="105">
        <f>'Hillpointe Detail'!F243+'Sandhill Detail'!F243</f>
        <v>2992</v>
      </c>
      <c r="G243" s="105">
        <f>'Hillpointe Detail'!G243+'Sandhill Detail'!G243</f>
        <v>2992</v>
      </c>
      <c r="H243" s="105">
        <f>'Hillpointe Detail'!H243+'Sandhill Detail'!H243</f>
        <v>2992</v>
      </c>
      <c r="I243" s="105">
        <f>'Hillpointe Detail'!I243+'Sandhill Detail'!I243</f>
        <v>2992</v>
      </c>
      <c r="J243" s="105">
        <f>'Hillpointe Detail'!J243+'Sandhill Detail'!J243</f>
        <v>2992</v>
      </c>
      <c r="K243" s="105">
        <f>'Hillpointe Detail'!K243+'Sandhill Detail'!K243</f>
        <v>2992</v>
      </c>
      <c r="L243" s="105">
        <f>'Hillpointe Detail'!L243+'Sandhill Detail'!L243</f>
        <v>2992</v>
      </c>
      <c r="M243" s="105">
        <f>'Hillpointe Detail'!M243+'Sandhill Detail'!M243</f>
        <v>2992</v>
      </c>
      <c r="N243" s="105">
        <f>'Hillpointe Detail'!N243+'Sandhill Detail'!N243</f>
        <v>2992</v>
      </c>
      <c r="O243" s="105">
        <f>'Hillpointe Detail'!O243+'Sandhill Detail'!O243</f>
        <v>2992</v>
      </c>
      <c r="P243" s="105">
        <f>'Hillpointe Detail'!P243+'Sandhill Detail'!P243</f>
        <v>2992</v>
      </c>
      <c r="Q243" s="105">
        <f>'Hillpointe Detail'!Q243+'Sandhill Detail'!Q243</f>
        <v>0</v>
      </c>
      <c r="R243" s="105">
        <f>'Hillpointe Detail'!R243+'Sandhill Detail'!R243</f>
        <v>0</v>
      </c>
      <c r="S243" s="105">
        <f>'Hillpointe Detail'!S243+'Sandhill Detail'!S243</f>
        <v>0</v>
      </c>
      <c r="T243" s="105">
        <f>'Hillpointe Detail'!T243+'Sandhill Detail'!T243</f>
        <v>0</v>
      </c>
      <c r="U243" s="105">
        <f>'Hillpointe Detail'!U243+'Sandhill Detail'!U243</f>
        <v>0</v>
      </c>
      <c r="V243" s="105">
        <f>'Hillpointe Detail'!V243+'Sandhill Detail'!V243</f>
        <v>0</v>
      </c>
      <c r="W243" s="105">
        <f>'Hillpointe Detail'!W243+'Sandhill Detail'!W243</f>
        <v>0</v>
      </c>
      <c r="X243" s="105">
        <f>'Hillpointe Detail'!X243+'Sandhill Detail'!X243</f>
        <v>0</v>
      </c>
      <c r="Y243" s="105">
        <f>'Hillpointe Detail'!Y243+'Sandhill Detail'!Y243</f>
        <v>0</v>
      </c>
      <c r="Z243" s="105">
        <f>'Hillpointe Detail'!Z243+'Sandhill Detail'!Z243</f>
        <v>0</v>
      </c>
      <c r="AA243" s="105">
        <f>'Hillpointe Detail'!AA243+'Sandhill Detail'!AA243</f>
        <v>0</v>
      </c>
      <c r="AB243" s="105">
        <f>'Hillpointe Detail'!AB243+'Sandhill Detail'!AB243</f>
        <v>0</v>
      </c>
      <c r="AC243" s="105">
        <f>'Hillpointe Detail'!AC243+'Sandhill Detail'!AC243</f>
        <v>0</v>
      </c>
      <c r="AD243" s="105">
        <f>'Hillpointe Detail'!AD243+'Sandhill Detail'!AD243</f>
        <v>0</v>
      </c>
      <c r="AE243" s="105">
        <f>'Hillpointe Detail'!AE243+'Sandhill Detail'!AE243</f>
        <v>0</v>
      </c>
      <c r="AF243" s="105">
        <f>'Hillpointe Detail'!AF243+'Sandhill Detail'!AF243</f>
        <v>0</v>
      </c>
      <c r="AG243" s="105">
        <f>'Hillpointe Detail'!AG243+'Sandhill Detail'!AG243</f>
        <v>0</v>
      </c>
      <c r="AH243" s="105">
        <f>'Hillpointe Detail'!AH243+'Sandhill Detail'!AH243</f>
        <v>0</v>
      </c>
      <c r="AI243" s="105">
        <f>'Hillpointe Detail'!AI243+'Sandhill Detail'!AI243</f>
        <v>0</v>
      </c>
      <c r="AJ243" s="105">
        <f>'Hillpointe Detail'!AJ243+'Sandhill Detail'!AJ243</f>
        <v>0</v>
      </c>
      <c r="AK243" s="105">
        <f>'Hillpointe Detail'!AK243+'Sandhill Detail'!AK243</f>
        <v>0</v>
      </c>
      <c r="AL243" s="105">
        <f>'Hillpointe Detail'!AL243+'Sandhill Detail'!AL243</f>
        <v>0</v>
      </c>
      <c r="AM243" s="105">
        <f>'Hillpointe Detail'!AM243+'Sandhill Detail'!AM243</f>
        <v>0</v>
      </c>
      <c r="AN243" s="105">
        <f>'Hillpointe Detail'!AN243+'Sandhill Detail'!AN243</f>
        <v>0</v>
      </c>
      <c r="AO243" s="105">
        <f>'Hillpointe Detail'!AO243+'Sandhill Detail'!AO243</f>
        <v>0</v>
      </c>
      <c r="AP243" s="105">
        <f>'Hillpointe Detail'!AP243+'Sandhill Detail'!AP243</f>
        <v>0</v>
      </c>
      <c r="AQ243" s="105">
        <f>'Hillpointe Detail'!AQ243+'Sandhill Detail'!AQ243</f>
        <v>0</v>
      </c>
      <c r="AR243" s="105">
        <f>'Hillpointe Detail'!AR243+'Sandhill Detail'!AR243</f>
        <v>0</v>
      </c>
      <c r="AS243" s="105">
        <f>'Hillpointe Detail'!AS243+'Sandhill Detail'!AS243</f>
        <v>0</v>
      </c>
      <c r="AT243" s="105">
        <f>'Hillpointe Detail'!AT243+'Sandhill Detail'!AT243</f>
        <v>0</v>
      </c>
      <c r="AU243" s="105">
        <f>'Hillpointe Detail'!AU243+'Sandhill Detail'!AU243</f>
        <v>0</v>
      </c>
      <c r="AV243" s="105">
        <f>'Hillpointe Detail'!AV243+'Sandhill Detail'!AV243</f>
        <v>0</v>
      </c>
      <c r="AW243" s="105">
        <f>'Hillpointe Detail'!AW243+'Sandhill Detail'!AW243</f>
        <v>0</v>
      </c>
      <c r="AX243" s="105">
        <f>'Hillpointe Detail'!AX243+'Sandhill Detail'!AX243</f>
        <v>0</v>
      </c>
      <c r="AY243" s="105">
        <f>'Hillpointe Detail'!AY243+'Sandhill Detail'!AY243</f>
        <v>0</v>
      </c>
      <c r="AZ243" s="105">
        <f>'Hillpointe Detail'!AZ243+'Sandhill Detail'!AZ243</f>
        <v>0</v>
      </c>
      <c r="BA243" s="105">
        <f>'Hillpointe Detail'!BA243+'Sandhill Detail'!BA243</f>
        <v>0</v>
      </c>
      <c r="BB243" s="105">
        <f>'Hillpointe Detail'!BB243+'Sandhill Detail'!BB243</f>
        <v>0</v>
      </c>
      <c r="BC243" s="105">
        <f>'Hillpointe Detail'!BC243+'Sandhill Detail'!BC243</f>
        <v>0</v>
      </c>
      <c r="BD243" s="105">
        <f>'Hillpointe Detail'!BD243+'Sandhill Detail'!BD243</f>
        <v>0</v>
      </c>
      <c r="BE243" s="105">
        <f>'Hillpointe Detail'!BE243+'Sandhill Detail'!BE243</f>
        <v>0</v>
      </c>
      <c r="BF243" s="105">
        <f>'Hillpointe Detail'!BF243+'Sandhill Detail'!BF243</f>
        <v>0</v>
      </c>
      <c r="BG243" s="105">
        <f>'Hillpointe Detail'!BG243+'Sandhill Detail'!BG243</f>
        <v>0</v>
      </c>
      <c r="BH243" s="105">
        <f>'Hillpointe Detail'!BH243+'Sandhill Detail'!BH243</f>
        <v>0</v>
      </c>
      <c r="BI243" s="105">
        <f>'Hillpointe Detail'!BI243+'Sandhill Detail'!BI243</f>
        <v>0</v>
      </c>
      <c r="BJ243" s="105">
        <f>'Hillpointe Detail'!BJ243+'Sandhill Detail'!BJ243</f>
        <v>0</v>
      </c>
      <c r="BK243" s="105">
        <f>'Hillpointe Detail'!BK243+'Sandhill Detail'!BK243</f>
        <v>0</v>
      </c>
      <c r="BL243" s="105">
        <f>'Hillpointe Detail'!BL243+'Sandhill Detail'!BL243</f>
        <v>0</v>
      </c>
      <c r="BM243" s="105">
        <f>'Hillpointe Detail'!BM243+'Sandhill Detail'!BM243</f>
        <v>0</v>
      </c>
      <c r="BN243" s="105">
        <f>'Hillpointe Detail'!BN243+'Sandhill Detail'!BN243</f>
        <v>0</v>
      </c>
      <c r="BO243" s="105">
        <f>'Hillpointe Detail'!BO243+'Sandhill Detail'!BO243</f>
        <v>0</v>
      </c>
      <c r="BP243" s="105">
        <f>'Hillpointe Detail'!BP243+'Sandhill Detail'!BP243</f>
        <v>0</v>
      </c>
      <c r="BQ243" s="105">
        <f>'Hillpointe Detail'!BQ243+'Sandhill Detail'!BQ243</f>
        <v>0</v>
      </c>
      <c r="BR243" s="105">
        <f>'Hillpointe Detail'!BR243+'Sandhill Detail'!BR243</f>
        <v>0</v>
      </c>
      <c r="BS243" s="105">
        <f>'Hillpointe Detail'!BS243+'Sandhill Detail'!BS243</f>
        <v>0</v>
      </c>
      <c r="BT243" s="105">
        <f>'Hillpointe Detail'!BT243+'Sandhill Detail'!BT243</f>
        <v>0</v>
      </c>
      <c r="BU243" s="105">
        <f>'Hillpointe Detail'!BU243+'Sandhill Detail'!BU243</f>
        <v>0</v>
      </c>
      <c r="BV243" s="105">
        <f>'Hillpointe Detail'!BV243+'Sandhill Detail'!BV243</f>
        <v>0</v>
      </c>
      <c r="BW243" s="105">
        <f>'Hillpointe Detail'!BW243+'Sandhill Detail'!BW243</f>
        <v>0</v>
      </c>
      <c r="BX243" s="105">
        <f>'Hillpointe Detail'!BX243+'Sandhill Detail'!BX243</f>
        <v>0</v>
      </c>
      <c r="BZ243" s="8">
        <f t="shared" si="159"/>
        <v>0</v>
      </c>
      <c r="CA243" s="8">
        <f t="shared" si="160"/>
        <v>0</v>
      </c>
    </row>
    <row r="244" spans="1:88" x14ac:dyDescent="0.3">
      <c r="A244" t="str">
        <f t="shared" si="158"/>
        <v>Depreciation</v>
      </c>
      <c r="B244" s="10"/>
      <c r="C244" s="105"/>
      <c r="D244" s="105"/>
      <c r="E244" s="105">
        <f>'Hillpointe Detail'!E244+'Sandhill Detail'!E244</f>
        <v>0</v>
      </c>
      <c r="F244" s="105">
        <f>'Hillpointe Detail'!F244+'Sandhill Detail'!F244</f>
        <v>0</v>
      </c>
      <c r="G244" s="105">
        <f>'Hillpointe Detail'!G244+'Sandhill Detail'!G244</f>
        <v>0</v>
      </c>
      <c r="H244" s="105">
        <f>'Hillpointe Detail'!H244+'Sandhill Detail'!H244</f>
        <v>0</v>
      </c>
      <c r="I244" s="105">
        <f>'Hillpointe Detail'!I244+'Sandhill Detail'!I244</f>
        <v>0</v>
      </c>
      <c r="J244" s="105">
        <f>'Hillpointe Detail'!J244+'Sandhill Detail'!J244</f>
        <v>0</v>
      </c>
      <c r="K244" s="105">
        <f>'Hillpointe Detail'!K244+'Sandhill Detail'!K244</f>
        <v>0</v>
      </c>
      <c r="L244" s="105">
        <f>'Hillpointe Detail'!L244+'Sandhill Detail'!L244</f>
        <v>0</v>
      </c>
      <c r="M244" s="105">
        <f>'Hillpointe Detail'!M244+'Sandhill Detail'!M244</f>
        <v>0</v>
      </c>
      <c r="N244" s="105">
        <f>'Hillpointe Detail'!N244+'Sandhill Detail'!N244</f>
        <v>0</v>
      </c>
      <c r="O244" s="105">
        <f>'Hillpointe Detail'!O244+'Sandhill Detail'!O244</f>
        <v>0</v>
      </c>
      <c r="P244" s="105">
        <f>'Hillpointe Detail'!P244+'Sandhill Detail'!P244</f>
        <v>0</v>
      </c>
      <c r="Q244" s="105">
        <f>'Hillpointe Detail'!Q244+'Sandhill Detail'!Q244</f>
        <v>283.33999999999997</v>
      </c>
      <c r="R244" s="105">
        <f>'Hillpointe Detail'!R244+'Sandhill Detail'!R244</f>
        <v>283.33999999999997</v>
      </c>
      <c r="S244" s="105">
        <f>'Hillpointe Detail'!S244+'Sandhill Detail'!S244</f>
        <v>283.33999999999997</v>
      </c>
      <c r="T244" s="105">
        <f>'Hillpointe Detail'!T244+'Sandhill Detail'!T244</f>
        <v>283.33999999999997</v>
      </c>
      <c r="U244" s="105">
        <f>'Hillpointe Detail'!U244+'Sandhill Detail'!U244</f>
        <v>283.33999999999997</v>
      </c>
      <c r="V244" s="105">
        <f>'Hillpointe Detail'!V244+'Sandhill Detail'!V244</f>
        <v>283.33999999999997</v>
      </c>
      <c r="W244" s="105">
        <f>'Hillpointe Detail'!W244+'Sandhill Detail'!W244</f>
        <v>283.33999999999997</v>
      </c>
      <c r="X244" s="105">
        <f>'Hillpointe Detail'!X244+'Sandhill Detail'!X244</f>
        <v>283.34000000000003</v>
      </c>
      <c r="Y244" s="105">
        <f>'Hillpointe Detail'!Y244+'Sandhill Detail'!Y244</f>
        <v>283.33999999999997</v>
      </c>
      <c r="Z244" s="105">
        <f>'Hillpointe Detail'!Z244+'Sandhill Detail'!Z244</f>
        <v>283.33999999999997</v>
      </c>
      <c r="AA244" s="105">
        <f>'Hillpointe Detail'!AA244+'Sandhill Detail'!AA244</f>
        <v>283.33999999999997</v>
      </c>
      <c r="AB244" s="105">
        <f>'Hillpointe Detail'!AB244+'Sandhill Detail'!AB244</f>
        <v>283.33999999999997</v>
      </c>
      <c r="AC244" s="105">
        <f>'Hillpointe Detail'!AC244+'Sandhill Detail'!AC244</f>
        <v>0</v>
      </c>
      <c r="AD244" s="105">
        <f>'Hillpointe Detail'!AD244+'Sandhill Detail'!AD244</f>
        <v>0</v>
      </c>
      <c r="AE244" s="105">
        <f>'Hillpointe Detail'!AE244+'Sandhill Detail'!AE244</f>
        <v>0</v>
      </c>
      <c r="AF244" s="105">
        <f>'Hillpointe Detail'!AF244+'Sandhill Detail'!AF244</f>
        <v>0</v>
      </c>
      <c r="AG244" s="105">
        <f>'Hillpointe Detail'!AG244+'Sandhill Detail'!AG244</f>
        <v>0</v>
      </c>
      <c r="AH244" s="105">
        <f>'Hillpointe Detail'!AH244+'Sandhill Detail'!AH244</f>
        <v>0</v>
      </c>
      <c r="AI244" s="105">
        <f>'Hillpointe Detail'!AI244+'Sandhill Detail'!AI244</f>
        <v>0</v>
      </c>
      <c r="AJ244" s="105">
        <f>'Hillpointe Detail'!AJ244+'Sandhill Detail'!AJ244</f>
        <v>0</v>
      </c>
      <c r="AK244" s="105">
        <f>'Hillpointe Detail'!AK244+'Sandhill Detail'!AK244</f>
        <v>0</v>
      </c>
      <c r="AL244" s="105">
        <f>'Hillpointe Detail'!AL244+'Sandhill Detail'!AL244</f>
        <v>0</v>
      </c>
      <c r="AM244" s="105">
        <f>'Hillpointe Detail'!AM244+'Sandhill Detail'!AM244</f>
        <v>0</v>
      </c>
      <c r="AN244" s="105">
        <f>'Hillpointe Detail'!AN244+'Sandhill Detail'!AN244</f>
        <v>0</v>
      </c>
      <c r="AO244" s="105">
        <f>'Hillpointe Detail'!AO244+'Sandhill Detail'!AO244</f>
        <v>0</v>
      </c>
      <c r="AP244" s="105">
        <f>'Hillpointe Detail'!AP244+'Sandhill Detail'!AP244</f>
        <v>0</v>
      </c>
      <c r="AQ244" s="105">
        <f>'Hillpointe Detail'!AQ244+'Sandhill Detail'!AQ244</f>
        <v>0</v>
      </c>
      <c r="AR244" s="105">
        <f>'Hillpointe Detail'!AR244+'Sandhill Detail'!AR244</f>
        <v>0</v>
      </c>
      <c r="AS244" s="105">
        <f>'Hillpointe Detail'!AS244+'Sandhill Detail'!AS244</f>
        <v>0</v>
      </c>
      <c r="AT244" s="105">
        <f>'Hillpointe Detail'!AT244+'Sandhill Detail'!AT244</f>
        <v>0</v>
      </c>
      <c r="AU244" s="105">
        <f>'Hillpointe Detail'!AU244+'Sandhill Detail'!AU244</f>
        <v>0</v>
      </c>
      <c r="AV244" s="105">
        <f>'Hillpointe Detail'!AV244+'Sandhill Detail'!AV244</f>
        <v>0</v>
      </c>
      <c r="AW244" s="105">
        <f>'Hillpointe Detail'!AW244+'Sandhill Detail'!AW244</f>
        <v>0</v>
      </c>
      <c r="AX244" s="105">
        <f>'Hillpointe Detail'!AX244+'Sandhill Detail'!AX244</f>
        <v>0</v>
      </c>
      <c r="AY244" s="105">
        <f>'Hillpointe Detail'!AY244+'Sandhill Detail'!AY244</f>
        <v>0</v>
      </c>
      <c r="AZ244" s="105">
        <f>'Hillpointe Detail'!AZ244+'Sandhill Detail'!AZ244</f>
        <v>0</v>
      </c>
      <c r="BA244" s="105">
        <f>'Hillpointe Detail'!BA244+'Sandhill Detail'!BA244</f>
        <v>0</v>
      </c>
      <c r="BB244" s="105">
        <f>'Hillpointe Detail'!BB244+'Sandhill Detail'!BB244</f>
        <v>0</v>
      </c>
      <c r="BC244" s="105">
        <f>'Hillpointe Detail'!BC244+'Sandhill Detail'!BC244</f>
        <v>0</v>
      </c>
      <c r="BD244" s="105">
        <f>'Hillpointe Detail'!BD244+'Sandhill Detail'!BD244</f>
        <v>0</v>
      </c>
      <c r="BE244" s="105">
        <f>'Hillpointe Detail'!BE244+'Sandhill Detail'!BE244</f>
        <v>0</v>
      </c>
      <c r="BF244" s="105">
        <f>'Hillpointe Detail'!BF244+'Sandhill Detail'!BF244</f>
        <v>0</v>
      </c>
      <c r="BG244" s="105">
        <f>'Hillpointe Detail'!BG244+'Sandhill Detail'!BG244</f>
        <v>0</v>
      </c>
      <c r="BH244" s="105">
        <f>'Hillpointe Detail'!BH244+'Sandhill Detail'!BH244</f>
        <v>0</v>
      </c>
      <c r="BI244" s="105">
        <f>'Hillpointe Detail'!BI244+'Sandhill Detail'!BI244</f>
        <v>0</v>
      </c>
      <c r="BJ244" s="105">
        <f>'Hillpointe Detail'!BJ244+'Sandhill Detail'!BJ244</f>
        <v>0</v>
      </c>
      <c r="BK244" s="105">
        <f>'Hillpointe Detail'!BK244+'Sandhill Detail'!BK244</f>
        <v>0</v>
      </c>
      <c r="BL244" s="105">
        <f>'Hillpointe Detail'!BL244+'Sandhill Detail'!BL244</f>
        <v>0</v>
      </c>
      <c r="BM244" s="105">
        <f>'Hillpointe Detail'!BM244+'Sandhill Detail'!BM244</f>
        <v>0</v>
      </c>
      <c r="BN244" s="105">
        <f>'Hillpointe Detail'!BN244+'Sandhill Detail'!BN244</f>
        <v>0</v>
      </c>
      <c r="BO244" s="105">
        <f>'Hillpointe Detail'!BO244+'Sandhill Detail'!BO244</f>
        <v>0</v>
      </c>
      <c r="BP244" s="105">
        <f>'Hillpointe Detail'!BP244+'Sandhill Detail'!BP244</f>
        <v>0</v>
      </c>
      <c r="BQ244" s="105">
        <f>'Hillpointe Detail'!BQ244+'Sandhill Detail'!BQ244</f>
        <v>0</v>
      </c>
      <c r="BR244" s="105">
        <f>'Hillpointe Detail'!BR244+'Sandhill Detail'!BR244</f>
        <v>0</v>
      </c>
      <c r="BS244" s="105">
        <f>'Hillpointe Detail'!BS244+'Sandhill Detail'!BS244</f>
        <v>0</v>
      </c>
      <c r="BT244" s="105">
        <f>'Hillpointe Detail'!BT244+'Sandhill Detail'!BT244</f>
        <v>0</v>
      </c>
      <c r="BU244" s="105">
        <f>'Hillpointe Detail'!BU244+'Sandhill Detail'!BU244</f>
        <v>0</v>
      </c>
      <c r="BV244" s="105">
        <f>'Hillpointe Detail'!BV244+'Sandhill Detail'!BV244</f>
        <v>0</v>
      </c>
      <c r="BW244" s="105">
        <f>'Hillpointe Detail'!BW244+'Sandhill Detail'!BW244</f>
        <v>0</v>
      </c>
      <c r="BX244" s="105">
        <f>'Hillpointe Detail'!BX244+'Sandhill Detail'!BX244</f>
        <v>0</v>
      </c>
      <c r="BZ244" s="8">
        <f t="shared" si="159"/>
        <v>283.33999999999997</v>
      </c>
      <c r="CA244" s="8">
        <f t="shared" si="160"/>
        <v>3116.7400000000002</v>
      </c>
    </row>
    <row r="245" spans="1:88" x14ac:dyDescent="0.3">
      <c r="A245" t="str">
        <f t="shared" si="158"/>
        <v>Interest</v>
      </c>
      <c r="B245" s="10"/>
      <c r="C245" s="105"/>
      <c r="D245" s="105"/>
      <c r="E245" s="105">
        <f>'Hillpointe Detail'!E245+'Sandhill Detail'!E245</f>
        <v>0</v>
      </c>
      <c r="F245" s="105">
        <f>'Hillpointe Detail'!F245+'Sandhill Detail'!F245</f>
        <v>0</v>
      </c>
      <c r="G245" s="105">
        <f>'Hillpointe Detail'!G245+'Sandhill Detail'!G245</f>
        <v>0</v>
      </c>
      <c r="H245" s="105">
        <f>'Hillpointe Detail'!H245+'Sandhill Detail'!H245</f>
        <v>0</v>
      </c>
      <c r="I245" s="105">
        <f>'Hillpointe Detail'!I245+'Sandhill Detail'!I245</f>
        <v>0</v>
      </c>
      <c r="J245" s="105">
        <f>'Hillpointe Detail'!J245+'Sandhill Detail'!J245</f>
        <v>0</v>
      </c>
      <c r="K245" s="105">
        <f>'Hillpointe Detail'!K245+'Sandhill Detail'!K245</f>
        <v>0</v>
      </c>
      <c r="L245" s="105">
        <f>'Hillpointe Detail'!L245+'Sandhill Detail'!L245</f>
        <v>0</v>
      </c>
      <c r="M245" s="105">
        <f>'Hillpointe Detail'!M245+'Sandhill Detail'!M245</f>
        <v>0</v>
      </c>
      <c r="N245" s="105">
        <f>'Hillpointe Detail'!N245+'Sandhill Detail'!N245</f>
        <v>0</v>
      </c>
      <c r="O245" s="105">
        <f>'Hillpointe Detail'!O245+'Sandhill Detail'!O245</f>
        <v>0</v>
      </c>
      <c r="P245" s="105">
        <f>'Hillpointe Detail'!P245+'Sandhill Detail'!P245</f>
        <v>0</v>
      </c>
      <c r="Q245" s="105">
        <f>'Hillpointe Detail'!Q245+'Sandhill Detail'!Q245</f>
        <v>0</v>
      </c>
      <c r="R245" s="105">
        <f>'Hillpointe Detail'!R245+'Sandhill Detail'!R245</f>
        <v>0</v>
      </c>
      <c r="S245" s="105">
        <f>'Hillpointe Detail'!S245+'Sandhill Detail'!S245</f>
        <v>0</v>
      </c>
      <c r="T245" s="105">
        <f>'Hillpointe Detail'!T245+'Sandhill Detail'!T245</f>
        <v>0</v>
      </c>
      <c r="U245" s="105">
        <f>'Hillpointe Detail'!U245+'Sandhill Detail'!U245</f>
        <v>0</v>
      </c>
      <c r="V245" s="105">
        <f>'Hillpointe Detail'!V245+'Sandhill Detail'!V245</f>
        <v>0</v>
      </c>
      <c r="W245" s="105">
        <f>'Hillpointe Detail'!W245+'Sandhill Detail'!W245</f>
        <v>0</v>
      </c>
      <c r="X245" s="105">
        <f>'Hillpointe Detail'!X245+'Sandhill Detail'!X245</f>
        <v>0</v>
      </c>
      <c r="Y245" s="105">
        <f>'Hillpointe Detail'!Y245+'Sandhill Detail'!Y245</f>
        <v>0</v>
      </c>
      <c r="Z245" s="105">
        <f>'Hillpointe Detail'!Z245+'Sandhill Detail'!Z245</f>
        <v>0</v>
      </c>
      <c r="AA245" s="105">
        <f>'Hillpointe Detail'!AA245+'Sandhill Detail'!AA245</f>
        <v>0</v>
      </c>
      <c r="AB245" s="105">
        <f>'Hillpointe Detail'!AB245+'Sandhill Detail'!AB245</f>
        <v>0</v>
      </c>
      <c r="AC245" s="105">
        <f>'Hillpointe Detail'!AC245+'Sandhill Detail'!AC245</f>
        <v>0</v>
      </c>
      <c r="AD245" s="105">
        <f>'Hillpointe Detail'!AD245+'Sandhill Detail'!AD245</f>
        <v>0</v>
      </c>
      <c r="AE245" s="105">
        <f>'Hillpointe Detail'!AE245+'Sandhill Detail'!AE245</f>
        <v>0</v>
      </c>
      <c r="AF245" s="105">
        <f>'Hillpointe Detail'!AF245+'Sandhill Detail'!AF245</f>
        <v>0</v>
      </c>
      <c r="AG245" s="105">
        <f>'Hillpointe Detail'!AG245+'Sandhill Detail'!AG245</f>
        <v>0</v>
      </c>
      <c r="AH245" s="105">
        <f>'Hillpointe Detail'!AH245+'Sandhill Detail'!AH245</f>
        <v>0</v>
      </c>
      <c r="AI245" s="105">
        <f>'Hillpointe Detail'!AI245+'Sandhill Detail'!AI245</f>
        <v>0</v>
      </c>
      <c r="AJ245" s="105">
        <f>'Hillpointe Detail'!AJ245+'Sandhill Detail'!AJ245</f>
        <v>0</v>
      </c>
      <c r="AK245" s="105">
        <f>'Hillpointe Detail'!AK245+'Sandhill Detail'!AK245</f>
        <v>0</v>
      </c>
      <c r="AL245" s="105">
        <f>'Hillpointe Detail'!AL245+'Sandhill Detail'!AL245</f>
        <v>0</v>
      </c>
      <c r="AM245" s="105">
        <f>'Hillpointe Detail'!AM245+'Sandhill Detail'!AM245</f>
        <v>0</v>
      </c>
      <c r="AN245" s="105">
        <f>'Hillpointe Detail'!AN245+'Sandhill Detail'!AN245</f>
        <v>0</v>
      </c>
      <c r="AO245" s="105">
        <f>'Hillpointe Detail'!AO245+'Sandhill Detail'!AO245</f>
        <v>0</v>
      </c>
      <c r="AP245" s="105">
        <f>'Hillpointe Detail'!AP245+'Sandhill Detail'!AP245</f>
        <v>0</v>
      </c>
      <c r="AQ245" s="105">
        <f>'Hillpointe Detail'!AQ245+'Sandhill Detail'!AQ245</f>
        <v>0</v>
      </c>
      <c r="AR245" s="105">
        <f>'Hillpointe Detail'!AR245+'Sandhill Detail'!AR245</f>
        <v>0</v>
      </c>
      <c r="AS245" s="105">
        <f>'Hillpointe Detail'!AS245+'Sandhill Detail'!AS245</f>
        <v>0</v>
      </c>
      <c r="AT245" s="105">
        <f>'Hillpointe Detail'!AT245+'Sandhill Detail'!AT245</f>
        <v>0</v>
      </c>
      <c r="AU245" s="105">
        <f>'Hillpointe Detail'!AU245+'Sandhill Detail'!AU245</f>
        <v>0</v>
      </c>
      <c r="AV245" s="105">
        <f>'Hillpointe Detail'!AV245+'Sandhill Detail'!AV245</f>
        <v>0</v>
      </c>
      <c r="AW245" s="105">
        <f>'Hillpointe Detail'!AW245+'Sandhill Detail'!AW245</f>
        <v>0</v>
      </c>
      <c r="AX245" s="105">
        <f>'Hillpointe Detail'!AX245+'Sandhill Detail'!AX245</f>
        <v>0</v>
      </c>
      <c r="AY245" s="105">
        <f>'Hillpointe Detail'!AY245+'Sandhill Detail'!AY245</f>
        <v>0</v>
      </c>
      <c r="AZ245" s="105">
        <f>'Hillpointe Detail'!AZ245+'Sandhill Detail'!AZ245</f>
        <v>0</v>
      </c>
      <c r="BA245" s="105">
        <f>'Hillpointe Detail'!BA245+'Sandhill Detail'!BA245</f>
        <v>0</v>
      </c>
      <c r="BB245" s="105">
        <f>'Hillpointe Detail'!BB245+'Sandhill Detail'!BB245</f>
        <v>0</v>
      </c>
      <c r="BC245" s="105">
        <f>'Hillpointe Detail'!BC245+'Sandhill Detail'!BC245</f>
        <v>0</v>
      </c>
      <c r="BD245" s="105">
        <f>'Hillpointe Detail'!BD245+'Sandhill Detail'!BD245</f>
        <v>0</v>
      </c>
      <c r="BE245" s="105">
        <f>'Hillpointe Detail'!BE245+'Sandhill Detail'!BE245</f>
        <v>0</v>
      </c>
      <c r="BF245" s="105">
        <f>'Hillpointe Detail'!BF245+'Sandhill Detail'!BF245</f>
        <v>0</v>
      </c>
      <c r="BG245" s="105">
        <f>'Hillpointe Detail'!BG245+'Sandhill Detail'!BG245</f>
        <v>0</v>
      </c>
      <c r="BH245" s="105">
        <f>'Hillpointe Detail'!BH245+'Sandhill Detail'!BH245</f>
        <v>0</v>
      </c>
      <c r="BI245" s="105">
        <f>'Hillpointe Detail'!BI245+'Sandhill Detail'!BI245</f>
        <v>0</v>
      </c>
      <c r="BJ245" s="105">
        <f>'Hillpointe Detail'!BJ245+'Sandhill Detail'!BJ245</f>
        <v>0</v>
      </c>
      <c r="BK245" s="105">
        <f>'Hillpointe Detail'!BK245+'Sandhill Detail'!BK245</f>
        <v>0</v>
      </c>
      <c r="BL245" s="105">
        <f>'Hillpointe Detail'!BL245+'Sandhill Detail'!BL245</f>
        <v>0</v>
      </c>
      <c r="BM245" s="105">
        <f>'Hillpointe Detail'!BM245+'Sandhill Detail'!BM245</f>
        <v>0</v>
      </c>
      <c r="BN245" s="105">
        <f>'Hillpointe Detail'!BN245+'Sandhill Detail'!BN245</f>
        <v>0</v>
      </c>
      <c r="BO245" s="105">
        <f>'Hillpointe Detail'!BO245+'Sandhill Detail'!BO245</f>
        <v>0</v>
      </c>
      <c r="BP245" s="105">
        <f>'Hillpointe Detail'!BP245+'Sandhill Detail'!BP245</f>
        <v>0</v>
      </c>
      <c r="BQ245" s="105">
        <f>'Hillpointe Detail'!BQ245+'Sandhill Detail'!BQ245</f>
        <v>0</v>
      </c>
      <c r="BR245" s="105">
        <f>'Hillpointe Detail'!BR245+'Sandhill Detail'!BR245</f>
        <v>0</v>
      </c>
      <c r="BS245" s="105">
        <f>'Hillpointe Detail'!BS245+'Sandhill Detail'!BS245</f>
        <v>0</v>
      </c>
      <c r="BT245" s="105">
        <f>'Hillpointe Detail'!BT245+'Sandhill Detail'!BT245</f>
        <v>0</v>
      </c>
      <c r="BU245" s="105">
        <f>'Hillpointe Detail'!BU245+'Sandhill Detail'!BU245</f>
        <v>0</v>
      </c>
      <c r="BV245" s="105">
        <f>'Hillpointe Detail'!BV245+'Sandhill Detail'!BV245</f>
        <v>0</v>
      </c>
      <c r="BW245" s="105">
        <f>'Hillpointe Detail'!BW245+'Sandhill Detail'!BW245</f>
        <v>0</v>
      </c>
      <c r="BX245" s="105">
        <f>'Hillpointe Detail'!BX245+'Sandhill Detail'!BX245</f>
        <v>0</v>
      </c>
      <c r="BZ245" s="8">
        <f t="shared" si="159"/>
        <v>0</v>
      </c>
      <c r="CA245" s="8">
        <f t="shared" si="160"/>
        <v>0</v>
      </c>
    </row>
    <row r="246" spans="1:88" x14ac:dyDescent="0.3">
      <c r="A246" t="str">
        <f t="shared" si="158"/>
        <v>Misc.</v>
      </c>
      <c r="B246" s="10"/>
      <c r="C246" s="105"/>
      <c r="D246" s="105"/>
      <c r="E246" s="105">
        <f>'Hillpointe Detail'!E246+'Sandhill Detail'!E246</f>
        <v>2000.46</v>
      </c>
      <c r="F246" s="105">
        <f>'Hillpointe Detail'!F246+'Sandhill Detail'!F246</f>
        <v>2000.46</v>
      </c>
      <c r="G246" s="105">
        <f>'Hillpointe Detail'!G246+'Sandhill Detail'!G246</f>
        <v>2000.46</v>
      </c>
      <c r="H246" s="105">
        <f>'Hillpointe Detail'!H246+'Sandhill Detail'!H246</f>
        <v>2000.46</v>
      </c>
      <c r="I246" s="105">
        <f>'Hillpointe Detail'!I246+'Sandhill Detail'!I246</f>
        <v>2000.46</v>
      </c>
      <c r="J246" s="105">
        <f>'Hillpointe Detail'!J246+'Sandhill Detail'!J246</f>
        <v>2000.46</v>
      </c>
      <c r="K246" s="105">
        <f>'Hillpointe Detail'!K246+'Sandhill Detail'!K246</f>
        <v>2000.46</v>
      </c>
      <c r="L246" s="105">
        <f>'Hillpointe Detail'!L246+'Sandhill Detail'!L246</f>
        <v>2000.46</v>
      </c>
      <c r="M246" s="105">
        <f>'Hillpointe Detail'!M246+'Sandhill Detail'!M246</f>
        <v>2000.46</v>
      </c>
      <c r="N246" s="105">
        <f>'Hillpointe Detail'!N246+'Sandhill Detail'!N246</f>
        <v>2000.46</v>
      </c>
      <c r="O246" s="105">
        <f>'Hillpointe Detail'!O246+'Sandhill Detail'!O246</f>
        <v>2000.46</v>
      </c>
      <c r="P246" s="105">
        <f>'Hillpointe Detail'!P246+'Sandhill Detail'!P246</f>
        <v>2000.46</v>
      </c>
      <c r="Q246" s="105">
        <f>'Hillpointe Detail'!Q246+'Sandhill Detail'!Q246</f>
        <v>283.91000000000003</v>
      </c>
      <c r="R246" s="105">
        <f>'Hillpointe Detail'!R246+'Sandhill Detail'!R246</f>
        <v>5025.75</v>
      </c>
      <c r="S246" s="105">
        <f>'Hillpointe Detail'!S246+'Sandhill Detail'!S246</f>
        <v>6613.0187999999998</v>
      </c>
      <c r="T246" s="105">
        <f>'Hillpointe Detail'!T246+'Sandhill Detail'!T246</f>
        <v>5515.9753999999994</v>
      </c>
      <c r="U246" s="105">
        <f>'Hillpointe Detail'!U246+'Sandhill Detail'!U246</f>
        <v>5383.9578000000001</v>
      </c>
      <c r="V246" s="105">
        <f>'Hillpointe Detail'!V246+'Sandhill Detail'!V246</f>
        <v>5000</v>
      </c>
      <c r="W246" s="105">
        <f>'Hillpointe Detail'!W246+'Sandhill Detail'!W246</f>
        <v>7120.34</v>
      </c>
      <c r="X246" s="105">
        <f>'Hillpointe Detail'!X246+'Sandhill Detail'!X246</f>
        <v>6008.9645999999993</v>
      </c>
      <c r="Y246" s="105">
        <f>'Hillpointe Detail'!Y246+'Sandhill Detail'!Y246</f>
        <v>5940.3760999999995</v>
      </c>
      <c r="Z246" s="105">
        <f>'Hillpointe Detail'!Z246+'Sandhill Detail'!Z246</f>
        <v>5940.3760999999995</v>
      </c>
      <c r="AA246" s="105">
        <f>'Hillpointe Detail'!AA246+'Sandhill Detail'!AA246</f>
        <v>5940.3760999999995</v>
      </c>
      <c r="AB246" s="105">
        <f>'Hillpointe Detail'!AB246+'Sandhill Detail'!AB246</f>
        <v>49.649433333333334</v>
      </c>
      <c r="AC246" s="105">
        <f>'Hillpointe Detail'!AC246+'Sandhill Detail'!AC246</f>
        <v>0</v>
      </c>
      <c r="AD246" s="105">
        <f>'Hillpointe Detail'!AD246+'Sandhill Detail'!AD246</f>
        <v>0</v>
      </c>
      <c r="AE246" s="105">
        <f>'Hillpointe Detail'!AE246+'Sandhill Detail'!AE246</f>
        <v>0</v>
      </c>
      <c r="AF246" s="105">
        <f>'Hillpointe Detail'!AF246+'Sandhill Detail'!AF246</f>
        <v>0</v>
      </c>
      <c r="AG246" s="105">
        <f>'Hillpointe Detail'!AG246+'Sandhill Detail'!AG246</f>
        <v>0</v>
      </c>
      <c r="AH246" s="105">
        <f>'Hillpointe Detail'!AH246+'Sandhill Detail'!AH246</f>
        <v>0</v>
      </c>
      <c r="AI246" s="105">
        <f>'Hillpointe Detail'!AI246+'Sandhill Detail'!AI246</f>
        <v>0</v>
      </c>
      <c r="AJ246" s="105">
        <f>'Hillpointe Detail'!AJ246+'Sandhill Detail'!AJ246</f>
        <v>0</v>
      </c>
      <c r="AK246" s="105">
        <f>'Hillpointe Detail'!AK246+'Sandhill Detail'!AK246</f>
        <v>0</v>
      </c>
      <c r="AL246" s="105">
        <f>'Hillpointe Detail'!AL246+'Sandhill Detail'!AL246</f>
        <v>0</v>
      </c>
      <c r="AM246" s="105">
        <f>'Hillpointe Detail'!AM246+'Sandhill Detail'!AM246</f>
        <v>0</v>
      </c>
      <c r="AN246" s="105">
        <f>'Hillpointe Detail'!AN246+'Sandhill Detail'!AN246</f>
        <v>0</v>
      </c>
      <c r="AO246" s="105">
        <f>'Hillpointe Detail'!AO246+'Sandhill Detail'!AO246</f>
        <v>0</v>
      </c>
      <c r="AP246" s="105">
        <f>'Hillpointe Detail'!AP246+'Sandhill Detail'!AP246</f>
        <v>0</v>
      </c>
      <c r="AQ246" s="105">
        <f>'Hillpointe Detail'!AQ246+'Sandhill Detail'!AQ246</f>
        <v>0</v>
      </c>
      <c r="AR246" s="105">
        <f>'Hillpointe Detail'!AR246+'Sandhill Detail'!AR246</f>
        <v>0</v>
      </c>
      <c r="AS246" s="105">
        <f>'Hillpointe Detail'!AS246+'Sandhill Detail'!AS246</f>
        <v>0</v>
      </c>
      <c r="AT246" s="105">
        <f>'Hillpointe Detail'!AT246+'Sandhill Detail'!AT246</f>
        <v>0</v>
      </c>
      <c r="AU246" s="105">
        <f>'Hillpointe Detail'!AU246+'Sandhill Detail'!AU246</f>
        <v>0</v>
      </c>
      <c r="AV246" s="105">
        <f>'Hillpointe Detail'!AV246+'Sandhill Detail'!AV246</f>
        <v>0</v>
      </c>
      <c r="AW246" s="105">
        <f>'Hillpointe Detail'!AW246+'Sandhill Detail'!AW246</f>
        <v>0</v>
      </c>
      <c r="AX246" s="105">
        <f>'Hillpointe Detail'!AX246+'Sandhill Detail'!AX246</f>
        <v>0</v>
      </c>
      <c r="AY246" s="105">
        <f>'Hillpointe Detail'!AY246+'Sandhill Detail'!AY246</f>
        <v>0</v>
      </c>
      <c r="AZ246" s="105">
        <f>'Hillpointe Detail'!AZ246+'Sandhill Detail'!AZ246</f>
        <v>0</v>
      </c>
      <c r="BA246" s="105">
        <f>'Hillpointe Detail'!BA246+'Sandhill Detail'!BA246</f>
        <v>0</v>
      </c>
      <c r="BB246" s="105">
        <f>'Hillpointe Detail'!BB246+'Sandhill Detail'!BB246</f>
        <v>0</v>
      </c>
      <c r="BC246" s="105">
        <f>'Hillpointe Detail'!BC246+'Sandhill Detail'!BC246</f>
        <v>0</v>
      </c>
      <c r="BD246" s="105">
        <f>'Hillpointe Detail'!BD246+'Sandhill Detail'!BD246</f>
        <v>0</v>
      </c>
      <c r="BE246" s="105">
        <f>'Hillpointe Detail'!BE246+'Sandhill Detail'!BE246</f>
        <v>0</v>
      </c>
      <c r="BF246" s="105">
        <f>'Hillpointe Detail'!BF246+'Sandhill Detail'!BF246</f>
        <v>0</v>
      </c>
      <c r="BG246" s="105">
        <f>'Hillpointe Detail'!BG246+'Sandhill Detail'!BG246</f>
        <v>0</v>
      </c>
      <c r="BH246" s="105">
        <f>'Hillpointe Detail'!BH246+'Sandhill Detail'!BH246</f>
        <v>0</v>
      </c>
      <c r="BI246" s="105">
        <f>'Hillpointe Detail'!BI246+'Sandhill Detail'!BI246</f>
        <v>0</v>
      </c>
      <c r="BJ246" s="105">
        <f>'Hillpointe Detail'!BJ246+'Sandhill Detail'!BJ246</f>
        <v>0</v>
      </c>
      <c r="BK246" s="105">
        <f>'Hillpointe Detail'!BK246+'Sandhill Detail'!BK246</f>
        <v>0</v>
      </c>
      <c r="BL246" s="105">
        <f>'Hillpointe Detail'!BL246+'Sandhill Detail'!BL246</f>
        <v>0</v>
      </c>
      <c r="BM246" s="105">
        <f>'Hillpointe Detail'!BM246+'Sandhill Detail'!BM246</f>
        <v>0</v>
      </c>
      <c r="BN246" s="105">
        <f>'Hillpointe Detail'!BN246+'Sandhill Detail'!BN246</f>
        <v>0</v>
      </c>
      <c r="BO246" s="105">
        <f>'Hillpointe Detail'!BO246+'Sandhill Detail'!BO246</f>
        <v>0</v>
      </c>
      <c r="BP246" s="105">
        <f>'Hillpointe Detail'!BP246+'Sandhill Detail'!BP246</f>
        <v>0</v>
      </c>
      <c r="BQ246" s="105">
        <f>'Hillpointe Detail'!BQ246+'Sandhill Detail'!BQ246</f>
        <v>0</v>
      </c>
      <c r="BR246" s="105">
        <f>'Hillpointe Detail'!BR246+'Sandhill Detail'!BR246</f>
        <v>0</v>
      </c>
      <c r="BS246" s="105">
        <f>'Hillpointe Detail'!BS246+'Sandhill Detail'!BS246</f>
        <v>0</v>
      </c>
      <c r="BT246" s="105">
        <f>'Hillpointe Detail'!BT246+'Sandhill Detail'!BT246</f>
        <v>0</v>
      </c>
      <c r="BU246" s="105">
        <f>'Hillpointe Detail'!BU246+'Sandhill Detail'!BU246</f>
        <v>0</v>
      </c>
      <c r="BV246" s="105">
        <f>'Hillpointe Detail'!BV246+'Sandhill Detail'!BV246</f>
        <v>0</v>
      </c>
      <c r="BW246" s="105">
        <f>'Hillpointe Detail'!BW246+'Sandhill Detail'!BW246</f>
        <v>0</v>
      </c>
      <c r="BX246" s="105">
        <f>'Hillpointe Detail'!BX246+'Sandhill Detail'!BX246</f>
        <v>0</v>
      </c>
      <c r="BZ246" s="8">
        <f t="shared" si="159"/>
        <v>5940.3760999999995</v>
      </c>
      <c r="CA246" s="8">
        <f t="shared" si="160"/>
        <v>58773.044900000001</v>
      </c>
    </row>
    <row r="247" spans="1:88" ht="3" customHeight="1" x14ac:dyDescent="0.3">
      <c r="B247" s="10"/>
      <c r="C247" s="19"/>
      <c r="D247" s="19"/>
      <c r="E247" s="19"/>
      <c r="F247" s="19"/>
      <c r="G247" s="19"/>
      <c r="H247" s="19"/>
      <c r="I247" s="19"/>
      <c r="J247" s="19"/>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Z247" s="7"/>
      <c r="CA247" s="7"/>
    </row>
    <row r="248" spans="1:88" x14ac:dyDescent="0.3">
      <c r="A248" s="1" t="s">
        <v>116</v>
      </c>
      <c r="B248" s="10"/>
      <c r="C248" s="8"/>
      <c r="D248" s="8"/>
      <c r="E248" s="8">
        <f t="shared" ref="E248:P248" si="161">SUM(E232:E247)</f>
        <v>222269.4166666666</v>
      </c>
      <c r="F248" s="8">
        <f t="shared" si="161"/>
        <v>222269.4166666666</v>
      </c>
      <c r="G248" s="8">
        <f t="shared" si="161"/>
        <v>222269.4166666666</v>
      </c>
      <c r="H248" s="8">
        <f t="shared" si="161"/>
        <v>222269.4166666666</v>
      </c>
      <c r="I248" s="8">
        <f t="shared" si="161"/>
        <v>222269.4166666666</v>
      </c>
      <c r="J248" s="8">
        <f t="shared" si="161"/>
        <v>222269.4166666666</v>
      </c>
      <c r="K248" s="8">
        <f t="shared" si="161"/>
        <v>222269.4166666666</v>
      </c>
      <c r="L248" s="8">
        <f t="shared" si="161"/>
        <v>222269.4166666666</v>
      </c>
      <c r="M248" s="8">
        <f t="shared" si="161"/>
        <v>222269.4166666666</v>
      </c>
      <c r="N248" s="8">
        <f t="shared" si="161"/>
        <v>222269.4166666666</v>
      </c>
      <c r="O248" s="8">
        <f t="shared" si="161"/>
        <v>222269.4166666666</v>
      </c>
      <c r="P248" s="8">
        <f t="shared" si="161"/>
        <v>222269.4166666666</v>
      </c>
      <c r="Q248" s="8">
        <f t="shared" ref="Q248:AN248" si="162">SUM(Q232:Q247)</f>
        <v>107653.90073333334</v>
      </c>
      <c r="R248" s="8">
        <f t="shared" si="162"/>
        <v>323078.6923</v>
      </c>
      <c r="S248" s="8">
        <f t="shared" si="162"/>
        <v>369384.40219999995</v>
      </c>
      <c r="T248" s="8">
        <f t="shared" si="162"/>
        <v>357762.47540000011</v>
      </c>
      <c r="U248" s="8">
        <f t="shared" si="162"/>
        <v>334803.25750000001</v>
      </c>
      <c r="V248" s="8">
        <f t="shared" si="162"/>
        <v>316028.71730000002</v>
      </c>
      <c r="W248" s="8">
        <f t="shared" si="162"/>
        <v>322625.69129999995</v>
      </c>
      <c r="X248" s="8">
        <f t="shared" si="162"/>
        <v>333434.99159999989</v>
      </c>
      <c r="Y248" s="8">
        <f t="shared" si="162"/>
        <v>325384.92626476195</v>
      </c>
      <c r="Z248" s="8">
        <f t="shared" si="162"/>
        <v>325384.92626476195</v>
      </c>
      <c r="AA248" s="8">
        <f t="shared" si="162"/>
        <v>326929.92626476195</v>
      </c>
      <c r="AB248" s="8">
        <f t="shared" si="162"/>
        <v>517625.00807142863</v>
      </c>
      <c r="AC248" s="8">
        <f t="shared" si="162"/>
        <v>0</v>
      </c>
      <c r="AD248" s="8">
        <f t="shared" si="162"/>
        <v>0</v>
      </c>
      <c r="AE248" s="8">
        <f t="shared" si="162"/>
        <v>0</v>
      </c>
      <c r="AF248" s="8">
        <f t="shared" si="162"/>
        <v>0</v>
      </c>
      <c r="AG248" s="8">
        <f t="shared" si="162"/>
        <v>0</v>
      </c>
      <c r="AH248" s="8">
        <f t="shared" si="162"/>
        <v>0</v>
      </c>
      <c r="AI248" s="8">
        <f t="shared" si="162"/>
        <v>0</v>
      </c>
      <c r="AJ248" s="8">
        <f t="shared" si="162"/>
        <v>0</v>
      </c>
      <c r="AK248" s="8">
        <f t="shared" si="162"/>
        <v>0</v>
      </c>
      <c r="AL248" s="8">
        <f t="shared" si="162"/>
        <v>0</v>
      </c>
      <c r="AM248" s="8">
        <f t="shared" si="162"/>
        <v>0</v>
      </c>
      <c r="AN248" s="8">
        <f t="shared" si="162"/>
        <v>0</v>
      </c>
      <c r="AO248" s="8">
        <f t="shared" ref="AO248:AZ248" si="163">SUM(AO232:AO247)</f>
        <v>0</v>
      </c>
      <c r="AP248" s="8">
        <f t="shared" si="163"/>
        <v>0</v>
      </c>
      <c r="AQ248" s="8">
        <f t="shared" si="163"/>
        <v>0</v>
      </c>
      <c r="AR248" s="8">
        <f t="shared" si="163"/>
        <v>0</v>
      </c>
      <c r="AS248" s="8">
        <f t="shared" si="163"/>
        <v>0</v>
      </c>
      <c r="AT248" s="8">
        <f t="shared" si="163"/>
        <v>0</v>
      </c>
      <c r="AU248" s="8">
        <f t="shared" si="163"/>
        <v>0</v>
      </c>
      <c r="AV248" s="8">
        <f t="shared" si="163"/>
        <v>0</v>
      </c>
      <c r="AW248" s="8">
        <f t="shared" si="163"/>
        <v>0</v>
      </c>
      <c r="AX248" s="8">
        <f t="shared" si="163"/>
        <v>0</v>
      </c>
      <c r="AY248" s="8">
        <f t="shared" si="163"/>
        <v>0</v>
      </c>
      <c r="AZ248" s="8">
        <f t="shared" si="163"/>
        <v>0</v>
      </c>
      <c r="BA248" s="8">
        <f t="shared" ref="BA248:BX248" si="164">SUM(BA232:BA247)</f>
        <v>0</v>
      </c>
      <c r="BB248" s="8">
        <f t="shared" si="164"/>
        <v>0</v>
      </c>
      <c r="BC248" s="8">
        <f t="shared" si="164"/>
        <v>0</v>
      </c>
      <c r="BD248" s="8">
        <f t="shared" si="164"/>
        <v>0</v>
      </c>
      <c r="BE248" s="8">
        <f t="shared" si="164"/>
        <v>0</v>
      </c>
      <c r="BF248" s="8">
        <f t="shared" si="164"/>
        <v>0</v>
      </c>
      <c r="BG248" s="8">
        <f t="shared" si="164"/>
        <v>0</v>
      </c>
      <c r="BH248" s="8">
        <f t="shared" si="164"/>
        <v>0</v>
      </c>
      <c r="BI248" s="8">
        <f t="shared" si="164"/>
        <v>0</v>
      </c>
      <c r="BJ248" s="8">
        <f t="shared" si="164"/>
        <v>0</v>
      </c>
      <c r="BK248" s="8">
        <f t="shared" si="164"/>
        <v>0</v>
      </c>
      <c r="BL248" s="8">
        <f t="shared" si="164"/>
        <v>0</v>
      </c>
      <c r="BM248" s="8">
        <f t="shared" si="164"/>
        <v>0</v>
      </c>
      <c r="BN248" s="8">
        <f t="shared" si="164"/>
        <v>0</v>
      </c>
      <c r="BO248" s="8">
        <f t="shared" si="164"/>
        <v>0</v>
      </c>
      <c r="BP248" s="8">
        <f t="shared" si="164"/>
        <v>0</v>
      </c>
      <c r="BQ248" s="8">
        <f t="shared" si="164"/>
        <v>0</v>
      </c>
      <c r="BR248" s="8">
        <f t="shared" si="164"/>
        <v>0</v>
      </c>
      <c r="BS248" s="8">
        <f t="shared" si="164"/>
        <v>0</v>
      </c>
      <c r="BT248" s="8">
        <f t="shared" si="164"/>
        <v>0</v>
      </c>
      <c r="BU248" s="8">
        <f t="shared" si="164"/>
        <v>0</v>
      </c>
      <c r="BV248" s="8">
        <f t="shared" si="164"/>
        <v>0</v>
      </c>
      <c r="BW248" s="8">
        <f t="shared" si="164"/>
        <v>0</v>
      </c>
      <c r="BX248" s="8">
        <f t="shared" si="164"/>
        <v>0</v>
      </c>
      <c r="BZ248" s="8">
        <f>SUM(BZ232:BZ247)</f>
        <v>326929.92626476195</v>
      </c>
      <c r="CA248" s="8">
        <f>SUM(CA232:CA247)</f>
        <v>3442471.9071276188</v>
      </c>
    </row>
    <row r="249" spans="1:88" x14ac:dyDescent="0.3">
      <c r="A249" s="20" t="s">
        <v>118</v>
      </c>
      <c r="B249" s="10"/>
      <c r="C249" s="22"/>
      <c r="D249" s="22"/>
      <c r="E249" s="22">
        <f t="shared" ref="E249:AN249" si="165">E231-E248</f>
        <v>61738.64750000005</v>
      </c>
      <c r="F249" s="22">
        <f t="shared" si="165"/>
        <v>61738.64750000005</v>
      </c>
      <c r="G249" s="22">
        <f t="shared" si="165"/>
        <v>61738.64750000005</v>
      </c>
      <c r="H249" s="22">
        <f t="shared" si="165"/>
        <v>61738.64750000005</v>
      </c>
      <c r="I249" s="22">
        <f t="shared" si="165"/>
        <v>61738.64750000005</v>
      </c>
      <c r="J249" s="22">
        <f t="shared" si="165"/>
        <v>61738.64750000005</v>
      </c>
      <c r="K249" s="22">
        <f t="shared" si="165"/>
        <v>61738.64750000005</v>
      </c>
      <c r="L249" s="22">
        <f t="shared" si="165"/>
        <v>61738.64750000005</v>
      </c>
      <c r="M249" s="22">
        <f t="shared" si="165"/>
        <v>61738.64750000005</v>
      </c>
      <c r="N249" s="22">
        <f t="shared" si="165"/>
        <v>61738.64750000005</v>
      </c>
      <c r="O249" s="22">
        <f t="shared" si="165"/>
        <v>61738.64750000005</v>
      </c>
      <c r="P249" s="22">
        <f t="shared" si="165"/>
        <v>61738.64750000005</v>
      </c>
      <c r="Q249" s="22">
        <f t="shared" si="165"/>
        <v>169648.22926666666</v>
      </c>
      <c r="R249" s="22">
        <f t="shared" si="165"/>
        <v>505131.26769999997</v>
      </c>
      <c r="S249" s="22">
        <f t="shared" si="165"/>
        <v>-19578.00219999993</v>
      </c>
      <c r="T249" s="22">
        <f t="shared" si="165"/>
        <v>-13256.715400000103</v>
      </c>
      <c r="U249" s="22">
        <f t="shared" si="165"/>
        <v>11260.532499999972</v>
      </c>
      <c r="V249" s="22">
        <f t="shared" si="165"/>
        <v>10467.912699999986</v>
      </c>
      <c r="W249" s="22">
        <f t="shared" si="165"/>
        <v>4191.2387000000454</v>
      </c>
      <c r="X249" s="22">
        <f t="shared" si="165"/>
        <v>29485.278400000127</v>
      </c>
      <c r="Y249" s="22">
        <f t="shared" si="165"/>
        <v>1355.6673066666117</v>
      </c>
      <c r="Z249" s="22">
        <f t="shared" si="165"/>
        <v>1365.6673066666117</v>
      </c>
      <c r="AA249" s="22">
        <f t="shared" si="165"/>
        <v>30183.757306666637</v>
      </c>
      <c r="AB249" s="22">
        <f t="shared" si="165"/>
        <v>-192759.17735714291</v>
      </c>
      <c r="AC249" s="22">
        <f t="shared" si="165"/>
        <v>0</v>
      </c>
      <c r="AD249" s="22">
        <f t="shared" si="165"/>
        <v>0</v>
      </c>
      <c r="AE249" s="22">
        <f t="shared" si="165"/>
        <v>0</v>
      </c>
      <c r="AF249" s="22">
        <f t="shared" si="165"/>
        <v>0</v>
      </c>
      <c r="AG249" s="22">
        <f t="shared" si="165"/>
        <v>0</v>
      </c>
      <c r="AH249" s="22">
        <f t="shared" si="165"/>
        <v>0</v>
      </c>
      <c r="AI249" s="22">
        <f t="shared" si="165"/>
        <v>0</v>
      </c>
      <c r="AJ249" s="22">
        <f t="shared" si="165"/>
        <v>0</v>
      </c>
      <c r="AK249" s="22">
        <f t="shared" si="165"/>
        <v>0</v>
      </c>
      <c r="AL249" s="22">
        <f t="shared" si="165"/>
        <v>0</v>
      </c>
      <c r="AM249" s="22">
        <f t="shared" si="165"/>
        <v>0</v>
      </c>
      <c r="AN249" s="22">
        <f t="shared" si="165"/>
        <v>0</v>
      </c>
      <c r="AO249" s="22">
        <f t="shared" ref="AO249:AZ249" si="166">AO231-AO248</f>
        <v>0</v>
      </c>
      <c r="AP249" s="22">
        <f t="shared" si="166"/>
        <v>0</v>
      </c>
      <c r="AQ249" s="22">
        <f t="shared" si="166"/>
        <v>0</v>
      </c>
      <c r="AR249" s="22">
        <f t="shared" si="166"/>
        <v>0</v>
      </c>
      <c r="AS249" s="22">
        <f t="shared" si="166"/>
        <v>0</v>
      </c>
      <c r="AT249" s="22">
        <f t="shared" si="166"/>
        <v>0</v>
      </c>
      <c r="AU249" s="22">
        <f t="shared" si="166"/>
        <v>0</v>
      </c>
      <c r="AV249" s="22">
        <f t="shared" si="166"/>
        <v>0</v>
      </c>
      <c r="AW249" s="22">
        <f t="shared" si="166"/>
        <v>0</v>
      </c>
      <c r="AX249" s="22">
        <f t="shared" si="166"/>
        <v>0</v>
      </c>
      <c r="AY249" s="22">
        <f t="shared" si="166"/>
        <v>0</v>
      </c>
      <c r="AZ249" s="22">
        <f t="shared" si="166"/>
        <v>0</v>
      </c>
      <c r="BA249" s="22">
        <f t="shared" ref="BA249:BX249" si="167">BA231-BA248</f>
        <v>0</v>
      </c>
      <c r="BB249" s="22">
        <f t="shared" si="167"/>
        <v>0</v>
      </c>
      <c r="BC249" s="22">
        <f t="shared" si="167"/>
        <v>0</v>
      </c>
      <c r="BD249" s="22">
        <f t="shared" si="167"/>
        <v>0</v>
      </c>
      <c r="BE249" s="22">
        <f t="shared" si="167"/>
        <v>0</v>
      </c>
      <c r="BF249" s="22">
        <f t="shared" si="167"/>
        <v>0</v>
      </c>
      <c r="BG249" s="22">
        <f t="shared" si="167"/>
        <v>0</v>
      </c>
      <c r="BH249" s="22">
        <f t="shared" si="167"/>
        <v>0</v>
      </c>
      <c r="BI249" s="22">
        <f t="shared" si="167"/>
        <v>0</v>
      </c>
      <c r="BJ249" s="22">
        <f t="shared" si="167"/>
        <v>0</v>
      </c>
      <c r="BK249" s="22">
        <f t="shared" si="167"/>
        <v>0</v>
      </c>
      <c r="BL249" s="22">
        <f t="shared" si="167"/>
        <v>0</v>
      </c>
      <c r="BM249" s="22">
        <f t="shared" si="167"/>
        <v>0</v>
      </c>
      <c r="BN249" s="22">
        <f t="shared" si="167"/>
        <v>0</v>
      </c>
      <c r="BO249" s="22">
        <f t="shared" si="167"/>
        <v>0</v>
      </c>
      <c r="BP249" s="22">
        <f t="shared" si="167"/>
        <v>0</v>
      </c>
      <c r="BQ249" s="22">
        <f t="shared" si="167"/>
        <v>0</v>
      </c>
      <c r="BR249" s="22">
        <f t="shared" si="167"/>
        <v>0</v>
      </c>
      <c r="BS249" s="22">
        <f t="shared" si="167"/>
        <v>0</v>
      </c>
      <c r="BT249" s="22">
        <f t="shared" si="167"/>
        <v>0</v>
      </c>
      <c r="BU249" s="22">
        <f t="shared" si="167"/>
        <v>0</v>
      </c>
      <c r="BV249" s="22">
        <f t="shared" si="167"/>
        <v>0</v>
      </c>
      <c r="BW249" s="22">
        <f t="shared" si="167"/>
        <v>0</v>
      </c>
      <c r="BX249" s="22">
        <f t="shared" si="167"/>
        <v>0</v>
      </c>
      <c r="BZ249" s="22">
        <f>BZ231-BZ248</f>
        <v>30183.757306666637</v>
      </c>
      <c r="CA249" s="22">
        <f>CA231-CA248</f>
        <v>730254.83358666673</v>
      </c>
    </row>
    <row r="250" spans="1:88" x14ac:dyDescent="0.3">
      <c r="A250" s="1"/>
      <c r="B250" s="1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row>
    <row r="251" spans="1:88" x14ac:dyDescent="0.3">
      <c r="A251" s="20" t="s">
        <v>152</v>
      </c>
      <c r="B251" s="10">
        <v>2</v>
      </c>
      <c r="C251" s="6">
        <f>B251+1</f>
        <v>3</v>
      </c>
      <c r="D251" s="6">
        <f t="shared" ref="D251:BO251" si="168">C251+1</f>
        <v>4</v>
      </c>
      <c r="E251" s="6">
        <f t="shared" si="168"/>
        <v>5</v>
      </c>
      <c r="F251" s="6">
        <f t="shared" si="168"/>
        <v>6</v>
      </c>
      <c r="G251" s="6">
        <f t="shared" si="168"/>
        <v>7</v>
      </c>
      <c r="H251" s="6">
        <f t="shared" si="168"/>
        <v>8</v>
      </c>
      <c r="I251" s="6">
        <f t="shared" si="168"/>
        <v>9</v>
      </c>
      <c r="J251" s="6">
        <f t="shared" si="168"/>
        <v>10</v>
      </c>
      <c r="K251" s="6">
        <f t="shared" si="168"/>
        <v>11</v>
      </c>
      <c r="L251" s="6">
        <f t="shared" si="168"/>
        <v>12</v>
      </c>
      <c r="M251" s="6">
        <f t="shared" si="168"/>
        <v>13</v>
      </c>
      <c r="N251" s="6">
        <f t="shared" si="168"/>
        <v>14</v>
      </c>
      <c r="O251" s="6">
        <f t="shared" si="168"/>
        <v>15</v>
      </c>
      <c r="P251" s="6">
        <f t="shared" si="168"/>
        <v>16</v>
      </c>
      <c r="Q251" s="6">
        <f t="shared" si="168"/>
        <v>17</v>
      </c>
      <c r="R251" s="6">
        <f t="shared" si="168"/>
        <v>18</v>
      </c>
      <c r="S251" s="6">
        <f t="shared" si="168"/>
        <v>19</v>
      </c>
      <c r="T251" s="6">
        <f t="shared" si="168"/>
        <v>20</v>
      </c>
      <c r="U251" s="6">
        <f t="shared" si="168"/>
        <v>21</v>
      </c>
      <c r="V251" s="6">
        <f t="shared" si="168"/>
        <v>22</v>
      </c>
      <c r="W251" s="6">
        <f t="shared" si="168"/>
        <v>23</v>
      </c>
      <c r="X251" s="6">
        <f t="shared" si="168"/>
        <v>24</v>
      </c>
      <c r="Y251" s="6">
        <f t="shared" si="168"/>
        <v>25</v>
      </c>
      <c r="Z251" s="6">
        <f t="shared" si="168"/>
        <v>26</v>
      </c>
      <c r="AA251" s="6">
        <f t="shared" si="168"/>
        <v>27</v>
      </c>
      <c r="AB251" s="6">
        <f t="shared" si="168"/>
        <v>28</v>
      </c>
      <c r="AC251" s="6">
        <f t="shared" si="168"/>
        <v>29</v>
      </c>
      <c r="AD251" s="6">
        <f t="shared" si="168"/>
        <v>30</v>
      </c>
      <c r="AE251" s="6">
        <f t="shared" si="168"/>
        <v>31</v>
      </c>
      <c r="AF251" s="6">
        <f t="shared" si="168"/>
        <v>32</v>
      </c>
      <c r="AG251" s="6">
        <f t="shared" si="168"/>
        <v>33</v>
      </c>
      <c r="AH251" s="6">
        <f t="shared" si="168"/>
        <v>34</v>
      </c>
      <c r="AI251" s="6">
        <f t="shared" si="168"/>
        <v>35</v>
      </c>
      <c r="AJ251" s="6">
        <f t="shared" si="168"/>
        <v>36</v>
      </c>
      <c r="AK251" s="6">
        <f t="shared" si="168"/>
        <v>37</v>
      </c>
      <c r="AL251" s="6">
        <f t="shared" si="168"/>
        <v>38</v>
      </c>
      <c r="AM251" s="6">
        <f t="shared" si="168"/>
        <v>39</v>
      </c>
      <c r="AN251" s="6">
        <f t="shared" si="168"/>
        <v>40</v>
      </c>
      <c r="AO251" s="6">
        <f t="shared" si="168"/>
        <v>41</v>
      </c>
      <c r="AP251" s="6">
        <f t="shared" si="168"/>
        <v>42</v>
      </c>
      <c r="AQ251" s="6">
        <f t="shared" si="168"/>
        <v>43</v>
      </c>
      <c r="AR251" s="6">
        <f t="shared" si="168"/>
        <v>44</v>
      </c>
      <c r="AS251" s="6">
        <f t="shared" si="168"/>
        <v>45</v>
      </c>
      <c r="AT251" s="6">
        <f t="shared" si="168"/>
        <v>46</v>
      </c>
      <c r="AU251" s="6">
        <f t="shared" si="168"/>
        <v>47</v>
      </c>
      <c r="AV251" s="6">
        <f t="shared" si="168"/>
        <v>48</v>
      </c>
      <c r="AW251" s="6">
        <f t="shared" si="168"/>
        <v>49</v>
      </c>
      <c r="AX251" s="6">
        <f t="shared" si="168"/>
        <v>50</v>
      </c>
      <c r="AY251" s="6">
        <f t="shared" si="168"/>
        <v>51</v>
      </c>
      <c r="AZ251" s="6">
        <f t="shared" si="168"/>
        <v>52</v>
      </c>
      <c r="BA251" s="6">
        <f t="shared" si="168"/>
        <v>53</v>
      </c>
      <c r="BB251" s="6">
        <f t="shared" si="168"/>
        <v>54</v>
      </c>
      <c r="BC251" s="6">
        <f t="shared" si="168"/>
        <v>55</v>
      </c>
      <c r="BD251" s="6">
        <f t="shared" si="168"/>
        <v>56</v>
      </c>
      <c r="BE251" s="6">
        <f t="shared" si="168"/>
        <v>57</v>
      </c>
      <c r="BF251" s="6">
        <f t="shared" si="168"/>
        <v>58</v>
      </c>
      <c r="BG251" s="6">
        <f t="shared" si="168"/>
        <v>59</v>
      </c>
      <c r="BH251" s="6">
        <f t="shared" si="168"/>
        <v>60</v>
      </c>
      <c r="BI251" s="6">
        <f t="shared" si="168"/>
        <v>61</v>
      </c>
      <c r="BJ251" s="6">
        <f t="shared" si="168"/>
        <v>62</v>
      </c>
      <c r="BK251" s="6">
        <f t="shared" si="168"/>
        <v>63</v>
      </c>
      <c r="BL251" s="6">
        <f t="shared" si="168"/>
        <v>64</v>
      </c>
      <c r="BM251" s="6">
        <f t="shared" si="168"/>
        <v>65</v>
      </c>
      <c r="BN251" s="6">
        <f t="shared" si="168"/>
        <v>66</v>
      </c>
      <c r="BO251" s="6">
        <f t="shared" si="168"/>
        <v>67</v>
      </c>
      <c r="BP251" s="6">
        <f t="shared" ref="BP251:CJ251" si="169">BO251+1</f>
        <v>68</v>
      </c>
      <c r="BQ251" s="6">
        <f t="shared" si="169"/>
        <v>69</v>
      </c>
      <c r="BR251" s="6">
        <f t="shared" si="169"/>
        <v>70</v>
      </c>
      <c r="BS251" s="6">
        <f t="shared" si="169"/>
        <v>71</v>
      </c>
      <c r="BT251" s="6">
        <f t="shared" si="169"/>
        <v>72</v>
      </c>
      <c r="BU251" s="6">
        <f t="shared" si="169"/>
        <v>73</v>
      </c>
      <c r="BV251" s="6">
        <f t="shared" si="169"/>
        <v>74</v>
      </c>
      <c r="BW251" s="6">
        <f t="shared" si="169"/>
        <v>75</v>
      </c>
      <c r="BX251" s="6">
        <f t="shared" si="169"/>
        <v>76</v>
      </c>
      <c r="BY251" s="6">
        <f t="shared" si="169"/>
        <v>77</v>
      </c>
      <c r="BZ251" s="6">
        <f t="shared" si="169"/>
        <v>78</v>
      </c>
      <c r="CA251" s="6">
        <f t="shared" si="169"/>
        <v>79</v>
      </c>
      <c r="CB251" s="6">
        <f t="shared" si="169"/>
        <v>80</v>
      </c>
      <c r="CC251" s="6">
        <f t="shared" si="169"/>
        <v>81</v>
      </c>
      <c r="CD251" s="6">
        <f t="shared" si="169"/>
        <v>82</v>
      </c>
      <c r="CE251" s="6">
        <f t="shared" si="169"/>
        <v>83</v>
      </c>
      <c r="CF251" s="6">
        <f t="shared" si="169"/>
        <v>84</v>
      </c>
      <c r="CG251" s="6">
        <f t="shared" si="169"/>
        <v>85</v>
      </c>
      <c r="CH251" s="6">
        <f t="shared" si="169"/>
        <v>86</v>
      </c>
      <c r="CI251" s="6">
        <f t="shared" si="169"/>
        <v>87</v>
      </c>
      <c r="CJ251" s="6">
        <f t="shared" si="169"/>
        <v>88</v>
      </c>
    </row>
    <row r="252" spans="1:88" x14ac:dyDescent="0.3">
      <c r="A252" t="s">
        <v>121</v>
      </c>
      <c r="B252" s="10"/>
      <c r="C252" s="6"/>
      <c r="D252" s="6"/>
      <c r="E252" s="6">
        <f>IF(E$4=Support!$A$17,1,0)</f>
        <v>0</v>
      </c>
      <c r="F252" s="6">
        <f>IF(F$4=Support!$A$17,1,0)</f>
        <v>0</v>
      </c>
      <c r="G252" s="6">
        <f>IF(G$4=Support!$A$17,1,0)</f>
        <v>0</v>
      </c>
      <c r="H252" s="6">
        <f>IF(H$4=Support!$A$17,1,0)</f>
        <v>0</v>
      </c>
      <c r="I252" s="6">
        <f>IF(I$4=Support!$A$17,1,0)</f>
        <v>0</v>
      </c>
      <c r="J252" s="6">
        <f>IF(J$4=Support!$A$17,1,0)</f>
        <v>0</v>
      </c>
      <c r="K252" s="6">
        <f>IF(K$4=Support!$A$17,1,0)</f>
        <v>0</v>
      </c>
      <c r="L252" s="6">
        <f>IF(L$4=Support!$A$17,1,0)</f>
        <v>0</v>
      </c>
      <c r="M252" s="6">
        <f>IF(M$4=Support!$A$17,1,0)</f>
        <v>0</v>
      </c>
      <c r="N252" s="6">
        <f>IF(N$4=Support!$A$17,1,0)</f>
        <v>0</v>
      </c>
      <c r="O252" s="6">
        <f>IF(O$4=Support!$A$17,1,0)</f>
        <v>0</v>
      </c>
      <c r="P252" s="6">
        <f>IF(P$4=Support!$A$17,1,0)</f>
        <v>0</v>
      </c>
      <c r="Q252" s="6">
        <f>IF(Q$4=Support!$A$17,1,0)</f>
        <v>0</v>
      </c>
      <c r="R252" s="6">
        <f>IF(R$4=Support!$A$17,1,0)</f>
        <v>0</v>
      </c>
      <c r="S252" s="6">
        <f>IF(S$4=Support!$A$17,1,0)</f>
        <v>0</v>
      </c>
      <c r="T252" s="6">
        <f>IF(T$4=Support!$A$17,1,0)</f>
        <v>0</v>
      </c>
      <c r="U252" s="6">
        <f>IF(U$4=Support!$A$17,1,0)</f>
        <v>0</v>
      </c>
      <c r="V252" s="6">
        <f>IF(V$4=Support!$A$17,1,0)</f>
        <v>0</v>
      </c>
      <c r="W252" s="6">
        <f>IF(W$4=Support!$A$17,1,0)</f>
        <v>0</v>
      </c>
      <c r="X252" s="6">
        <f>IF(X$4=Support!$A$17,1,0)</f>
        <v>0</v>
      </c>
      <c r="Y252" s="6">
        <f>IF(Y$4=Support!$A$17,1,0)</f>
        <v>0</v>
      </c>
      <c r="Z252" s="6">
        <f>IF(Z$4=Support!$A$17,1,0)</f>
        <v>0</v>
      </c>
      <c r="AA252" s="6">
        <f>IF(AA$4=Support!$A$17,1,0)</f>
        <v>1</v>
      </c>
      <c r="AB252" s="6">
        <f>IF(AB$4=Support!$A$17,1,0)</f>
        <v>0</v>
      </c>
      <c r="AC252" s="6">
        <f>IF(AC$4=Support!$A$17,1,0)</f>
        <v>0</v>
      </c>
      <c r="AD252" s="6">
        <f>IF(AD$4=Support!$A$17,1,0)</f>
        <v>0</v>
      </c>
      <c r="AE252" s="6">
        <f>IF(AE$4=Support!$A$17,1,0)</f>
        <v>0</v>
      </c>
      <c r="AF252" s="6">
        <f>IF(AF$4=Support!$A$17,1,0)</f>
        <v>0</v>
      </c>
      <c r="AG252" s="6">
        <f>IF(AG$4=Support!$A$17,1,0)</f>
        <v>0</v>
      </c>
      <c r="AH252" s="6">
        <f>IF(AH$4=Support!$A$17,1,0)</f>
        <v>0</v>
      </c>
      <c r="AI252" s="6">
        <f>IF(AI$4=Support!$A$17,1,0)</f>
        <v>0</v>
      </c>
      <c r="AJ252" s="6">
        <f>IF(AJ$4=Support!$A$17,1,0)</f>
        <v>0</v>
      </c>
      <c r="AK252" s="6">
        <f>IF(AK$4=Support!$A$17,1,0)</f>
        <v>0</v>
      </c>
      <c r="AL252" s="6">
        <f>IF(AL$4=Support!$A$17,1,0)</f>
        <v>0</v>
      </c>
      <c r="AM252" s="6">
        <f>IF(AM$4=Support!$A$17,1,0)</f>
        <v>0</v>
      </c>
      <c r="AN252" s="6">
        <f>IF(AN$4=Support!$A$17,1,0)</f>
        <v>0</v>
      </c>
      <c r="AO252" s="6">
        <f>IF(AO$4=Support!$A$17,1,0)</f>
        <v>0</v>
      </c>
      <c r="AP252" s="6">
        <f>IF(AP$4=Support!$A$17,1,0)</f>
        <v>0</v>
      </c>
      <c r="AQ252" s="6">
        <f>IF(AQ$4=Support!$A$17,1,0)</f>
        <v>0</v>
      </c>
      <c r="AR252" s="6">
        <f>IF(AR$4=Support!$A$17,1,0)</f>
        <v>0</v>
      </c>
      <c r="AS252" s="6">
        <f>IF(AS$4=Support!$A$17,1,0)</f>
        <v>0</v>
      </c>
      <c r="AT252" s="6">
        <f>IF(AT$4=Support!$A$17,1,0)</f>
        <v>0</v>
      </c>
      <c r="AU252" s="6">
        <f>IF(AU$4=Support!$A$17,1,0)</f>
        <v>0</v>
      </c>
      <c r="AV252" s="6">
        <f>IF(AV$4=Support!$A$17,1,0)</f>
        <v>0</v>
      </c>
      <c r="AW252" s="6">
        <f>IF(AW$4=Support!$A$17,1,0)</f>
        <v>0</v>
      </c>
      <c r="AX252" s="6">
        <f>IF(AX$4=Support!$A$17,1,0)</f>
        <v>0</v>
      </c>
      <c r="AY252" s="6">
        <f>IF(AY$4=Support!$A$17,1,0)</f>
        <v>0</v>
      </c>
      <c r="AZ252" s="6">
        <f>IF(AZ$4=Support!$A$17,1,0)</f>
        <v>0</v>
      </c>
      <c r="BA252" s="6">
        <f>IF(BA$4=Support!$A$17,1,0)</f>
        <v>0</v>
      </c>
      <c r="BB252" s="6">
        <f>IF(BB$4=Support!$A$17,1,0)</f>
        <v>0</v>
      </c>
      <c r="BC252" s="6">
        <f>IF(BC$4=Support!$A$17,1,0)</f>
        <v>0</v>
      </c>
      <c r="BD252" s="6">
        <f>IF(BD$4=Support!$A$17,1,0)</f>
        <v>0</v>
      </c>
      <c r="BE252" s="6">
        <f>IF(BE$4=Support!$A$17,1,0)</f>
        <v>0</v>
      </c>
      <c r="BF252" s="6">
        <f>IF(BF$4=Support!$A$17,1,0)</f>
        <v>0</v>
      </c>
      <c r="BG252" s="6">
        <f>IF(BG$4=Support!$A$17,1,0)</f>
        <v>0</v>
      </c>
      <c r="BH252" s="6">
        <f>IF(BH$4=Support!$A$17,1,0)</f>
        <v>0</v>
      </c>
      <c r="BI252" s="6">
        <f>IF(BI$4=Support!$A$17,1,0)</f>
        <v>0</v>
      </c>
      <c r="BJ252" s="6">
        <f>IF(BJ$4=Support!$A$17,1,0)</f>
        <v>0</v>
      </c>
      <c r="BK252" s="6">
        <f>IF(BK$4=Support!$A$17,1,0)</f>
        <v>0</v>
      </c>
      <c r="BL252" s="6">
        <f>IF(BL$4=Support!$A$17,1,0)</f>
        <v>0</v>
      </c>
      <c r="BM252" s="6">
        <f>IF(BM$4=Support!$A$17,1,0)</f>
        <v>0</v>
      </c>
      <c r="BN252" s="6">
        <f>IF(BN$4=Support!$A$17,1,0)</f>
        <v>0</v>
      </c>
      <c r="BO252" s="6">
        <f>IF(BO$4=Support!$A$17,1,0)</f>
        <v>0</v>
      </c>
      <c r="BP252" s="6">
        <f>IF(BP$4=Support!$A$17,1,0)</f>
        <v>0</v>
      </c>
      <c r="BQ252" s="6">
        <f>IF(BQ$4=Support!$A$17,1,0)</f>
        <v>0</v>
      </c>
      <c r="BR252" s="6">
        <f>IF(BR$4=Support!$A$17,1,0)</f>
        <v>0</v>
      </c>
      <c r="BS252" s="6">
        <f>IF(BS$4=Support!$A$17,1,0)</f>
        <v>0</v>
      </c>
      <c r="BT252" s="6">
        <f>IF(BT$4=Support!$A$17,1,0)</f>
        <v>0</v>
      </c>
      <c r="BU252" s="6">
        <f>IF(BU$4=Support!$A$17,1,0)</f>
        <v>0</v>
      </c>
      <c r="BV252" s="6">
        <f>IF(BV$4=Support!$A$17,1,0)</f>
        <v>0</v>
      </c>
      <c r="BW252" s="6">
        <f>IF(BW$4=Support!$A$17,1,0)</f>
        <v>0</v>
      </c>
      <c r="BX252" s="6">
        <f>IF(BX$4=Support!$A$17,1,0)</f>
        <v>0</v>
      </c>
    </row>
    <row r="253" spans="1:88" x14ac:dyDescent="0.3">
      <c r="A253" t="s">
        <v>153</v>
      </c>
      <c r="B253" s="10"/>
      <c r="C253" s="6"/>
      <c r="D253" s="6"/>
      <c r="E253" s="6">
        <v>0</v>
      </c>
      <c r="F253" s="6">
        <v>0</v>
      </c>
      <c r="G253" s="6">
        <v>0</v>
      </c>
      <c r="H253" s="6">
        <v>0</v>
      </c>
      <c r="I253" s="6">
        <v>0</v>
      </c>
      <c r="J253" s="6">
        <v>0</v>
      </c>
      <c r="K253" s="6">
        <v>0</v>
      </c>
      <c r="L253" s="6">
        <v>0</v>
      </c>
      <c r="M253" s="6">
        <v>0</v>
      </c>
      <c r="N253" s="6">
        <v>0</v>
      </c>
      <c r="O253" s="6">
        <v>0</v>
      </c>
      <c r="P253" s="6">
        <v>0</v>
      </c>
      <c r="Q253" s="6">
        <f>IF(Q4&lt;=Support!$A$17,1,0)</f>
        <v>1</v>
      </c>
      <c r="R253" s="6">
        <f>IF(R4&lt;=Support!$A$17,1,0)</f>
        <v>1</v>
      </c>
      <c r="S253" s="6">
        <f>IF(S4&lt;=Support!$A$17,1,0)</f>
        <v>1</v>
      </c>
      <c r="T253" s="6">
        <f>IF(T4&lt;=Support!$A$17,1,0)</f>
        <v>1</v>
      </c>
      <c r="U253" s="6">
        <f>IF(U4&lt;=Support!$A$17,1,0)</f>
        <v>1</v>
      </c>
      <c r="V253" s="6">
        <f>IF(V4&lt;=Support!$A$17,1,0)</f>
        <v>1</v>
      </c>
      <c r="W253" s="6">
        <f>IF(W4&lt;=Support!$A$17,1,0)</f>
        <v>1</v>
      </c>
      <c r="X253" s="6">
        <f>IF(X4&lt;=Support!$A$17,1,0)</f>
        <v>1</v>
      </c>
      <c r="Y253" s="6">
        <f>IF(Y4&lt;=Support!$A$17,1,0)</f>
        <v>1</v>
      </c>
      <c r="Z253" s="6">
        <f>IF(Z4&lt;=Support!$A$17,1,0)</f>
        <v>1</v>
      </c>
      <c r="AA253" s="6">
        <f>IF(AA4&lt;=Support!$A$17,1,0)</f>
        <v>1</v>
      </c>
      <c r="AB253" s="6">
        <f>IF(AB4&lt;=Support!$A$17,1,0)</f>
        <v>0</v>
      </c>
      <c r="AC253" s="6">
        <f>IF(AC4&lt;=Support!$A$17,1,0)</f>
        <v>0</v>
      </c>
      <c r="AD253" s="6">
        <f>IF(AD4&lt;=Support!$A$17,1,0)</f>
        <v>0</v>
      </c>
      <c r="AE253" s="6">
        <f>IF(AE4&lt;=Support!$A$17,1,0)</f>
        <v>0</v>
      </c>
      <c r="AF253" s="6">
        <f>IF(AF4&lt;=Support!$A$17,1,0)</f>
        <v>0</v>
      </c>
      <c r="AG253" s="6">
        <f>IF(AG4&lt;=Support!$A$17,1,0)</f>
        <v>0</v>
      </c>
      <c r="AH253" s="6">
        <f>IF(AH4&lt;=Support!$A$17,1,0)</f>
        <v>0</v>
      </c>
      <c r="AI253" s="6">
        <f>IF(AI4&lt;=Support!$A$17,1,0)</f>
        <v>0</v>
      </c>
      <c r="AJ253" s="6">
        <f>IF(AJ4&lt;=Support!$A$17,1,0)</f>
        <v>0</v>
      </c>
      <c r="AK253" s="6">
        <f>IF(AK4&lt;=Support!$A$17,1,0)</f>
        <v>0</v>
      </c>
      <c r="AL253" s="6">
        <f>IF(AL4&lt;=Support!$A$17,1,0)</f>
        <v>0</v>
      </c>
      <c r="AM253" s="6">
        <f>IF(AM4&lt;=Support!$A$17,1,0)</f>
        <v>0</v>
      </c>
      <c r="AN253" s="6">
        <f>IF(AN4&lt;=Support!$A$17,1,0)</f>
        <v>0</v>
      </c>
      <c r="AO253" s="6">
        <f>IF(AO4&lt;=Support!$A$17,1,0)</f>
        <v>0</v>
      </c>
      <c r="AP253" s="6">
        <f>IF(AP4&lt;=Support!$A$17,1,0)</f>
        <v>0</v>
      </c>
      <c r="AQ253" s="6">
        <f>IF(AQ4&lt;=Support!$A$17,1,0)</f>
        <v>0</v>
      </c>
      <c r="AR253" s="6">
        <f>IF(AR4&lt;=Support!$A$17,1,0)</f>
        <v>0</v>
      </c>
      <c r="AS253" s="6">
        <f>IF(AS4&lt;=Support!$A$17,1,0)</f>
        <v>0</v>
      </c>
      <c r="AT253" s="6">
        <f>IF(AT4&lt;=Support!$A$17,1,0)</f>
        <v>0</v>
      </c>
      <c r="AU253" s="6">
        <f>IF(AU4&lt;=Support!$A$17,1,0)</f>
        <v>0</v>
      </c>
      <c r="AV253" s="6">
        <f>IF(AV4&lt;=Support!$A$17,1,0)</f>
        <v>0</v>
      </c>
      <c r="AW253" s="6">
        <f>IF(AW4&lt;=Support!$A$17,1,0)</f>
        <v>0</v>
      </c>
      <c r="AX253" s="6">
        <f>IF(AX4&lt;=Support!$A$17,1,0)</f>
        <v>0</v>
      </c>
      <c r="AY253" s="6">
        <f>IF(AY4&lt;=Support!$A$17,1,0)</f>
        <v>0</v>
      </c>
      <c r="AZ253" s="6">
        <f>IF(AZ4&lt;=Support!$A$17,1,0)</f>
        <v>0</v>
      </c>
      <c r="BA253" s="6">
        <f>IF(BA4&lt;=Support!$A$17,1,0)</f>
        <v>0</v>
      </c>
      <c r="BB253" s="6">
        <f>IF(BB4&lt;=Support!$A$17,1,0)</f>
        <v>0</v>
      </c>
      <c r="BC253" s="6">
        <f>IF(BC4&lt;=Support!$A$17,1,0)</f>
        <v>0</v>
      </c>
      <c r="BD253" s="6">
        <f>IF(BD4&lt;=Support!$A$17,1,0)</f>
        <v>0</v>
      </c>
      <c r="BE253" s="6">
        <f>IF(BE4&lt;=Support!$A$17,1,0)</f>
        <v>0</v>
      </c>
      <c r="BF253" s="6">
        <f>IF(BF4&lt;=Support!$A$17,1,0)</f>
        <v>0</v>
      </c>
      <c r="BG253" s="6">
        <f>IF(BG4&lt;=Support!$A$17,1,0)</f>
        <v>0</v>
      </c>
      <c r="BH253" s="6">
        <f>IF(BH4&lt;=Support!$A$17,1,0)</f>
        <v>0</v>
      </c>
      <c r="BI253" s="6">
        <f>IF(BI4&lt;=Support!$A$17,1,0)</f>
        <v>0</v>
      </c>
      <c r="BJ253" s="6">
        <f>IF(BJ4&lt;=Support!$A$17,1,0)</f>
        <v>0</v>
      </c>
      <c r="BK253" s="6">
        <f>IF(BK4&lt;=Support!$A$17,1,0)</f>
        <v>0</v>
      </c>
      <c r="BL253" s="6">
        <f>IF(BL4&lt;=Support!$A$17,1,0)</f>
        <v>0</v>
      </c>
      <c r="BM253" s="6">
        <f>IF(BM4&lt;=Support!$A$17,1,0)</f>
        <v>0</v>
      </c>
      <c r="BN253" s="6">
        <f>IF(BN4&lt;=Support!$A$17,1,0)</f>
        <v>0</v>
      </c>
      <c r="BO253" s="6">
        <f>IF(BO4&lt;=Support!$A$17,1,0)</f>
        <v>0</v>
      </c>
      <c r="BP253" s="6">
        <f>IF(BP4&lt;=Support!$A$17,1,0)</f>
        <v>0</v>
      </c>
      <c r="BQ253" s="6">
        <f>IF(BQ4&lt;=Support!$A$17,1,0)</f>
        <v>0</v>
      </c>
      <c r="BR253" s="6">
        <f>IF(BR4&lt;=Support!$A$17,1,0)</f>
        <v>0</v>
      </c>
      <c r="BS253" s="6">
        <f>IF(BS4&lt;=Support!$A$17,1,0)</f>
        <v>0</v>
      </c>
      <c r="BT253" s="6">
        <f>IF(BT4&lt;=Support!$A$17,1,0)</f>
        <v>0</v>
      </c>
      <c r="BU253" s="6">
        <f>IF(BU4&lt;=Support!$A$17,1,0)</f>
        <v>0</v>
      </c>
      <c r="BV253" s="6">
        <f>IF(BV4&lt;=Support!$A$17,1,0)</f>
        <v>0</v>
      </c>
      <c r="BW253" s="6">
        <f>IF(BW4&lt;=Support!$A$17,1,0)</f>
        <v>0</v>
      </c>
      <c r="BX253" s="6">
        <f>IF(BX4&lt;=Support!$A$17,1,0)</f>
        <v>0</v>
      </c>
    </row>
    <row r="254" spans="1:88" x14ac:dyDescent="0.3">
      <c r="B254" s="10"/>
    </row>
    <row r="255" spans="1:88" x14ac:dyDescent="0.3">
      <c r="B255" s="10"/>
      <c r="F255" s="13"/>
      <c r="G255" s="13"/>
      <c r="H255" s="13"/>
      <c r="I255" s="13"/>
      <c r="J255" s="13"/>
    </row>
    <row r="256" spans="1:88" x14ac:dyDescent="0.3">
      <c r="B256" s="10"/>
      <c r="C256" s="10"/>
      <c r="D256" s="10"/>
      <c r="F256" s="13"/>
      <c r="G256" s="13"/>
      <c r="H256" s="13"/>
      <c r="I256" s="13"/>
      <c r="J256" s="13"/>
    </row>
    <row r="257" spans="1:79" x14ac:dyDescent="0.3">
      <c r="B257" s="6"/>
      <c r="C257" s="6"/>
      <c r="D257" s="6"/>
      <c r="F257" s="13"/>
      <c r="G257" s="13"/>
      <c r="H257" s="13"/>
      <c r="I257" s="13"/>
      <c r="J257" s="13"/>
    </row>
    <row r="258" spans="1:79" x14ac:dyDescent="0.3">
      <c r="A258" s="10"/>
      <c r="B258" s="10"/>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7"/>
      <c r="BZ258" s="27"/>
      <c r="CA258" s="27"/>
    </row>
    <row r="259" spans="1:79" x14ac:dyDescent="0.3">
      <c r="B259" s="10"/>
    </row>
    <row r="260" spans="1:79" x14ac:dyDescent="0.3">
      <c r="B260" s="6"/>
      <c r="C260" s="6"/>
      <c r="D260" s="6"/>
      <c r="F260" s="13"/>
      <c r="G260" s="13"/>
      <c r="H260" s="13"/>
      <c r="I260" s="13"/>
      <c r="J260" s="13"/>
    </row>
    <row r="261" spans="1:79" x14ac:dyDescent="0.3">
      <c r="B261" s="6"/>
      <c r="C261" s="6"/>
      <c r="D261" s="6"/>
      <c r="F261" s="13"/>
      <c r="G261" s="13"/>
      <c r="H261" s="13"/>
      <c r="I261" s="13"/>
      <c r="J261" s="13"/>
    </row>
    <row r="262" spans="1:79" x14ac:dyDescent="0.3">
      <c r="B262" s="6"/>
      <c r="C262" s="6"/>
      <c r="D262" s="6"/>
    </row>
    <row r="263" spans="1:79" x14ac:dyDescent="0.3">
      <c r="B263" s="6"/>
      <c r="C263" s="6"/>
      <c r="D263" s="6"/>
    </row>
  </sheetData>
  <mergeCells count="3">
    <mergeCell ref="CC2:CJ2"/>
    <mergeCell ref="BZ3:CA3"/>
    <mergeCell ref="BZ2:CA2"/>
  </mergeCells>
  <dataValidations disablePrompts="1" count="2">
    <dataValidation type="list" allowBlank="1" showInputMessage="1" showErrorMessage="1" sqref="C172:D172 B177 B55:B173" xr:uid="{56ED70D5-D080-4E0C-A285-4FA13C05BE58}">
      <formula1>$A$194:$A$209</formula1>
    </dataValidation>
    <dataValidation type="list" allowBlank="1" showInputMessage="1" showErrorMessage="1" sqref="B23:B53" xr:uid="{8E11BBF1-EF22-4420-BBE7-0B24122388C0}">
      <formula1>$A$187:$A$192</formula1>
    </dataValidation>
  </dataValidations>
  <printOptions horizontalCentered="1" verticalCentered="1"/>
  <pageMargins left="0.15" right="0.15" top="0.75" bottom="0.75" header="0.3" footer="0.3"/>
  <pageSetup scale="14" orientation="landscape" horizontalDpi="1200" verticalDpi="1200" r:id="rId1"/>
  <headerFooter>
    <oddFooter>&amp;L&amp;"Bodoni MT,Bold"&amp;10&amp;F&amp;C&amp;10&amp;P of &amp;N&amp;R&amp;10&amp;A</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98D1B-8633-48D2-8C4C-FC822F0AD57C}">
  <sheetPr>
    <pageSetUpPr fitToPage="1"/>
  </sheetPr>
  <dimension ref="A1:CN293"/>
  <sheetViews>
    <sheetView tabSelected="1" zoomScaleNormal="100" workbookViewId="0">
      <pane xSplit="2" ySplit="4" topLeftCell="T87" activePane="bottomRight" state="frozen"/>
      <selection activeCell="CL23" sqref="CL23"/>
      <selection pane="topRight" activeCell="CL23" sqref="CL23"/>
      <selection pane="bottomLeft" activeCell="CL23" sqref="CL23"/>
      <selection pane="bottomRight" activeCell="AA87" sqref="AA87"/>
    </sheetView>
  </sheetViews>
  <sheetFormatPr defaultRowHeight="14.4" x14ac:dyDescent="0.3"/>
  <cols>
    <col min="1" max="1" width="43.5546875" bestFit="1" customWidth="1"/>
    <col min="2" max="2" width="18.77734375" customWidth="1"/>
    <col min="3" max="76" width="9.77734375" customWidth="1"/>
    <col min="77" max="77" width="1.77734375" customWidth="1"/>
    <col min="78" max="79" width="10.77734375" customWidth="1"/>
    <col min="80" max="80" width="1.77734375" customWidth="1"/>
    <col min="81" max="88" width="12.44140625" customWidth="1"/>
  </cols>
  <sheetData>
    <row r="1" spans="1:88" x14ac:dyDescent="0.3">
      <c r="A1" s="1" t="s">
        <v>0</v>
      </c>
      <c r="B1" s="1"/>
      <c r="C1" s="1"/>
      <c r="D1" s="1"/>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8" x14ac:dyDescent="0.3">
      <c r="A2" s="2" t="s">
        <v>399</v>
      </c>
      <c r="B2" s="2"/>
      <c r="C2" s="46" t="str">
        <f>IF(C4&lt;=Support!$A$17,"Actual","Forecast")</f>
        <v>Actual</v>
      </c>
      <c r="D2" s="46" t="str">
        <f>IF(D4&lt;=Support!$A$17,"Actual","Forecast")</f>
        <v>Actual</v>
      </c>
      <c r="E2" s="46" t="str">
        <f>IF(E4&lt;=Support!$A$17,"Actual","Forecast")</f>
        <v>Actual</v>
      </c>
      <c r="F2" s="46" t="str">
        <f>IF(F4&lt;=Support!$A$17,"Actual","Forecast")</f>
        <v>Actual</v>
      </c>
      <c r="G2" s="46" t="str">
        <f>IF(G4&lt;=Support!$A$17,"Actual","Forecast")</f>
        <v>Actual</v>
      </c>
      <c r="H2" s="46" t="str">
        <f>IF(H4&lt;=Support!$A$17,"Actual","Forecast")</f>
        <v>Actual</v>
      </c>
      <c r="I2" s="46" t="str">
        <f>IF(I4&lt;=Support!$A$17,"Actual","Forecast")</f>
        <v>Actual</v>
      </c>
      <c r="J2" s="46" t="str">
        <f>IF(J4&lt;=Support!$A$17,"Actual","Forecast")</f>
        <v>Actual</v>
      </c>
      <c r="K2" s="46" t="str">
        <f>IF(K4&lt;=Support!$A$17,"Actual","Forecast")</f>
        <v>Actual</v>
      </c>
      <c r="L2" s="46" t="str">
        <f>IF(L4&lt;=Support!$A$17,"Actual","Forecast")</f>
        <v>Actual</v>
      </c>
      <c r="M2" s="46" t="str">
        <f>IF(M4&lt;=Support!$A$17,"Actual","Forecast")</f>
        <v>Actual</v>
      </c>
      <c r="N2" s="46" t="str">
        <f>IF(N4&lt;=Support!$A$17,"Actual","Forecast")</f>
        <v>Actual</v>
      </c>
      <c r="O2" s="46" t="str">
        <f>IF(O4&lt;=Support!$A$17,"Actual","Forecast")</f>
        <v>Actual</v>
      </c>
      <c r="P2" s="46" t="str">
        <f>IF(P4&lt;=Support!$A$17,"Actual","Forecast")</f>
        <v>Actual</v>
      </c>
      <c r="Q2" s="46" t="str">
        <f>IF(Q4&lt;=Support!$A$17,"Actual","Forecast")</f>
        <v>Actual</v>
      </c>
      <c r="R2" s="46" t="str">
        <f>IF(R4&lt;=Support!$A$17,"Actual","Forecast")</f>
        <v>Actual</v>
      </c>
      <c r="S2" s="46" t="str">
        <f>IF(S4&lt;=Support!$A$17,"Actual","Forecast")</f>
        <v>Actual</v>
      </c>
      <c r="T2" s="46" t="str">
        <f>IF(T4&lt;=Support!$A$17,"Actual","Forecast")</f>
        <v>Actual</v>
      </c>
      <c r="U2" s="46" t="str">
        <f>IF(U4&lt;=Support!$A$17,"Actual","Forecast")</f>
        <v>Actual</v>
      </c>
      <c r="V2" s="46" t="str">
        <f>IF(V4&lt;=Support!$A$17,"Actual","Forecast")</f>
        <v>Actual</v>
      </c>
      <c r="W2" s="46" t="str">
        <f>IF(W4&lt;=Support!$A$17,"Actual","Forecast")</f>
        <v>Actual</v>
      </c>
      <c r="X2" s="46" t="str">
        <f>IF(X4&lt;=Support!$A$17,"Actual","Forecast")</f>
        <v>Actual</v>
      </c>
      <c r="Y2" s="46" t="str">
        <f>IF(Y4&lt;=Support!$A$17,"Actual","Forecast")</f>
        <v>Actual</v>
      </c>
      <c r="Z2" s="46" t="str">
        <f>IF(Z4&lt;=Support!$A$17,"Actual","Forecast")</f>
        <v>Actual</v>
      </c>
      <c r="AA2" s="46" t="str">
        <f>IF(AA4&lt;=Support!$A$17,"Actual","Forecast")</f>
        <v>Actual</v>
      </c>
      <c r="AB2" s="46" t="str">
        <f>IF(AB4&lt;=Support!$A$17,"Actual","Forecast")</f>
        <v>Forecast</v>
      </c>
      <c r="AC2" s="46" t="str">
        <f>IF(AC4&lt;=Support!$A$17,"Actual","Forecast")</f>
        <v>Forecast</v>
      </c>
      <c r="AD2" s="46" t="str">
        <f>IF(AD4&lt;=Support!$A$17,"Actual","Forecast")</f>
        <v>Forecast</v>
      </c>
      <c r="AE2" s="46" t="str">
        <f>IF(AE4&lt;=Support!$A$17,"Actual","Forecast")</f>
        <v>Forecast</v>
      </c>
      <c r="AF2" s="46" t="str">
        <f>IF(AF4&lt;=Support!$A$17,"Actual","Forecast")</f>
        <v>Forecast</v>
      </c>
      <c r="AG2" s="46" t="str">
        <f>IF(AG4&lt;=Support!$A$17,"Actual","Forecast")</f>
        <v>Forecast</v>
      </c>
      <c r="AH2" s="46" t="str">
        <f>IF(AH4&lt;=Support!$A$17,"Actual","Forecast")</f>
        <v>Forecast</v>
      </c>
      <c r="AI2" s="46" t="str">
        <f>IF(AI4&lt;=Support!$A$17,"Actual","Forecast")</f>
        <v>Forecast</v>
      </c>
      <c r="AJ2" s="46" t="str">
        <f>IF(AJ4&lt;=Support!$A$17,"Actual","Forecast")</f>
        <v>Forecast</v>
      </c>
      <c r="AK2" s="46" t="str">
        <f>IF(AK4&lt;=Support!$A$17,"Actual","Forecast")</f>
        <v>Forecast</v>
      </c>
      <c r="AL2" s="46" t="str">
        <f>IF(AL4&lt;=Support!$A$17,"Actual","Forecast")</f>
        <v>Forecast</v>
      </c>
      <c r="AM2" s="46" t="str">
        <f>IF(AM4&lt;=Support!$A$17,"Actual","Forecast")</f>
        <v>Forecast</v>
      </c>
      <c r="AN2" s="46" t="str">
        <f>IF(AN4&lt;=Support!$A$17,"Actual","Forecast")</f>
        <v>Forecast</v>
      </c>
      <c r="AO2" s="46" t="str">
        <f>IF(AO4&lt;=Support!$A$17,"Actual","Forecast")</f>
        <v>Forecast</v>
      </c>
      <c r="AP2" s="46" t="str">
        <f>IF(AP4&lt;=Support!$A$17,"Actual","Forecast")</f>
        <v>Forecast</v>
      </c>
      <c r="AQ2" s="46" t="str">
        <f>IF(AQ4&lt;=Support!$A$17,"Actual","Forecast")</f>
        <v>Forecast</v>
      </c>
      <c r="AR2" s="46" t="str">
        <f>IF(AR4&lt;=Support!$A$17,"Actual","Forecast")</f>
        <v>Forecast</v>
      </c>
      <c r="AS2" s="46" t="str">
        <f>IF(AS4&lt;=Support!$A$17,"Actual","Forecast")</f>
        <v>Forecast</v>
      </c>
      <c r="AT2" s="46" t="str">
        <f>IF(AT4&lt;=Support!$A$17,"Actual","Forecast")</f>
        <v>Forecast</v>
      </c>
      <c r="AU2" s="46" t="str">
        <f>IF(AU4&lt;=Support!$A$17,"Actual","Forecast")</f>
        <v>Forecast</v>
      </c>
      <c r="AV2" s="46" t="str">
        <f>IF(AV4&lt;=Support!$A$17,"Actual","Forecast")</f>
        <v>Forecast</v>
      </c>
      <c r="AW2" s="46" t="str">
        <f>IF(AW4&lt;=Support!$A$17,"Actual","Forecast")</f>
        <v>Forecast</v>
      </c>
      <c r="AX2" s="46" t="str">
        <f>IF(AX4&lt;=Support!$A$17,"Actual","Forecast")</f>
        <v>Forecast</v>
      </c>
      <c r="AY2" s="46" t="str">
        <f>IF(AY4&lt;=Support!$A$17,"Actual","Forecast")</f>
        <v>Forecast</v>
      </c>
      <c r="AZ2" s="46" t="str">
        <f>IF(AZ4&lt;=Support!$A$17,"Actual","Forecast")</f>
        <v>Forecast</v>
      </c>
      <c r="BA2" s="46" t="str">
        <f>IF(BA4&lt;=Support!$A$17,"Actual","Forecast")</f>
        <v>Forecast</v>
      </c>
      <c r="BB2" s="46" t="str">
        <f>IF(BB4&lt;=Support!$A$17,"Actual","Forecast")</f>
        <v>Forecast</v>
      </c>
      <c r="BC2" s="46" t="str">
        <f>IF(BC4&lt;=Support!$A$17,"Actual","Forecast")</f>
        <v>Forecast</v>
      </c>
      <c r="BD2" s="46" t="str">
        <f>IF(BD4&lt;=Support!$A$17,"Actual","Forecast")</f>
        <v>Forecast</v>
      </c>
      <c r="BE2" s="46" t="str">
        <f>IF(BE4&lt;=Support!$A$17,"Actual","Forecast")</f>
        <v>Forecast</v>
      </c>
      <c r="BF2" s="46" t="str">
        <f>IF(BF4&lt;=Support!$A$17,"Actual","Forecast")</f>
        <v>Forecast</v>
      </c>
      <c r="BG2" s="46" t="str">
        <f>IF(BG4&lt;=Support!$A$17,"Actual","Forecast")</f>
        <v>Forecast</v>
      </c>
      <c r="BH2" s="46" t="str">
        <f>IF(BH4&lt;=Support!$A$17,"Actual","Forecast")</f>
        <v>Forecast</v>
      </c>
      <c r="BI2" s="46" t="str">
        <f>IF(BI4&lt;=Support!$A$17,"Actual","Forecast")</f>
        <v>Forecast</v>
      </c>
      <c r="BJ2" s="46" t="str">
        <f>IF(BJ4&lt;=Support!$A$17,"Actual","Forecast")</f>
        <v>Forecast</v>
      </c>
      <c r="BK2" s="46" t="str">
        <f>IF(BK4&lt;=Support!$A$17,"Actual","Forecast")</f>
        <v>Forecast</v>
      </c>
      <c r="BL2" s="46" t="str">
        <f>IF(BL4&lt;=Support!$A$17,"Actual","Forecast")</f>
        <v>Forecast</v>
      </c>
      <c r="BM2" s="46" t="str">
        <f>IF(BM4&lt;=Support!$A$17,"Actual","Forecast")</f>
        <v>Forecast</v>
      </c>
      <c r="BN2" s="46" t="str">
        <f>IF(BN4&lt;=Support!$A$17,"Actual","Forecast")</f>
        <v>Forecast</v>
      </c>
      <c r="BO2" s="46" t="str">
        <f>IF(BO4&lt;=Support!$A$17,"Actual","Forecast")</f>
        <v>Forecast</v>
      </c>
      <c r="BP2" s="46" t="str">
        <f>IF(BP4&lt;=Support!$A$17,"Actual","Forecast")</f>
        <v>Forecast</v>
      </c>
      <c r="BQ2" s="46" t="str">
        <f>IF(BQ4&lt;=Support!$A$17,"Actual","Forecast")</f>
        <v>Forecast</v>
      </c>
      <c r="BR2" s="46" t="str">
        <f>IF(BR4&lt;=Support!$A$17,"Actual","Forecast")</f>
        <v>Forecast</v>
      </c>
      <c r="BS2" s="46" t="str">
        <f>IF(BS4&lt;=Support!$A$17,"Actual","Forecast")</f>
        <v>Forecast</v>
      </c>
      <c r="BT2" s="46" t="str">
        <f>IF(BT4&lt;=Support!$A$17,"Actual","Forecast")</f>
        <v>Forecast</v>
      </c>
      <c r="BU2" s="46" t="str">
        <f>IF(BU4&lt;=Support!$A$17,"Actual","Forecast")</f>
        <v>Forecast</v>
      </c>
      <c r="BV2" s="46" t="str">
        <f>IF(BV4&lt;=Support!$A$17,"Actual","Forecast")</f>
        <v>Forecast</v>
      </c>
      <c r="BW2" s="46" t="str">
        <f>IF(BW4&lt;=Support!$A$17,"Actual","Forecast")</f>
        <v>Forecast</v>
      </c>
      <c r="BX2" s="46" t="str">
        <f>IF(BX4&lt;=Support!$A$17,"Actual","Forecast")</f>
        <v>Forecast</v>
      </c>
      <c r="BZ2" s="452" t="s">
        <v>309</v>
      </c>
      <c r="CA2" s="452"/>
      <c r="CC2" s="452" t="s">
        <v>310</v>
      </c>
      <c r="CD2" s="452"/>
      <c r="CE2" s="452"/>
      <c r="CF2" s="452"/>
      <c r="CG2" s="452"/>
      <c r="CH2" s="452"/>
      <c r="CI2" s="452"/>
      <c r="CJ2" s="452"/>
    </row>
    <row r="3" spans="1:88" x14ac:dyDescent="0.3">
      <c r="A3" s="2" t="str">
        <f>Cover!A15</f>
        <v>(Bond Scenario)</v>
      </c>
      <c r="B3" s="34" t="s">
        <v>160</v>
      </c>
      <c r="C3" s="154">
        <f>'DCS Detail'!C3</f>
        <v>2019</v>
      </c>
      <c r="D3" s="154">
        <f>'DCS Detail'!D3</f>
        <v>2020</v>
      </c>
      <c r="E3" s="154">
        <f>'DCS Detail'!E3</f>
        <v>2021</v>
      </c>
      <c r="F3" s="154">
        <f>'DCS Detail'!F3</f>
        <v>2021</v>
      </c>
      <c r="G3" s="154">
        <f>'DCS Detail'!G3</f>
        <v>2021</v>
      </c>
      <c r="H3" s="154">
        <f>'DCS Detail'!H3</f>
        <v>2021</v>
      </c>
      <c r="I3" s="154">
        <f>'DCS Detail'!I3</f>
        <v>2021</v>
      </c>
      <c r="J3" s="154">
        <f>'DCS Detail'!J3</f>
        <v>2021</v>
      </c>
      <c r="K3" s="154">
        <f>'DCS Detail'!K3</f>
        <v>2021</v>
      </c>
      <c r="L3" s="154">
        <f>'DCS Detail'!L3</f>
        <v>2021</v>
      </c>
      <c r="M3" s="154">
        <f>'DCS Detail'!M3</f>
        <v>2021</v>
      </c>
      <c r="N3" s="154">
        <f>'DCS Detail'!N3</f>
        <v>2021</v>
      </c>
      <c r="O3" s="154">
        <f>'DCS Detail'!O3</f>
        <v>2021</v>
      </c>
      <c r="P3" s="154">
        <f>'DCS Detail'!P3</f>
        <v>2021</v>
      </c>
      <c r="Q3" s="154">
        <f>'DCS Detail'!Q3</f>
        <v>2022</v>
      </c>
      <c r="R3" s="154">
        <f>'DCS Detail'!R3</f>
        <v>2022</v>
      </c>
      <c r="S3" s="154">
        <f>'DCS Detail'!S3</f>
        <v>2022</v>
      </c>
      <c r="T3" s="154">
        <f>'DCS Detail'!T3</f>
        <v>2022</v>
      </c>
      <c r="U3" s="154">
        <f>'DCS Detail'!U3</f>
        <v>2022</v>
      </c>
      <c r="V3" s="154">
        <f>'DCS Detail'!V3</f>
        <v>2022</v>
      </c>
      <c r="W3" s="154">
        <f>'DCS Detail'!W3</f>
        <v>2022</v>
      </c>
      <c r="X3" s="154">
        <f>'DCS Detail'!X3</f>
        <v>2022</v>
      </c>
      <c r="Y3" s="154">
        <f>'DCS Detail'!Y3</f>
        <v>2022</v>
      </c>
      <c r="Z3" s="154">
        <f>'DCS Detail'!Z3</f>
        <v>2022</v>
      </c>
      <c r="AA3" s="154">
        <f>'DCS Detail'!AA3</f>
        <v>2022</v>
      </c>
      <c r="AB3" s="154">
        <f>'DCS Detail'!AB3</f>
        <v>2022</v>
      </c>
      <c r="AC3" s="154">
        <f>'DCS Detail'!AC3</f>
        <v>2023</v>
      </c>
      <c r="AD3" s="154">
        <f>'DCS Detail'!AD3</f>
        <v>2023</v>
      </c>
      <c r="AE3" s="154">
        <f>'DCS Detail'!AE3</f>
        <v>2023</v>
      </c>
      <c r="AF3" s="154">
        <f>'DCS Detail'!AF3</f>
        <v>2023</v>
      </c>
      <c r="AG3" s="154">
        <f>'DCS Detail'!AG3</f>
        <v>2023</v>
      </c>
      <c r="AH3" s="154">
        <f>'DCS Detail'!AH3</f>
        <v>2023</v>
      </c>
      <c r="AI3" s="154">
        <f>'DCS Detail'!AI3</f>
        <v>2023</v>
      </c>
      <c r="AJ3" s="154">
        <f>'DCS Detail'!AJ3</f>
        <v>2023</v>
      </c>
      <c r="AK3" s="154">
        <f>'DCS Detail'!AK3</f>
        <v>2023</v>
      </c>
      <c r="AL3" s="154">
        <f>'DCS Detail'!AL3</f>
        <v>2023</v>
      </c>
      <c r="AM3" s="154">
        <f>'DCS Detail'!AM3</f>
        <v>2023</v>
      </c>
      <c r="AN3" s="154">
        <f>'DCS Detail'!AN3</f>
        <v>2023</v>
      </c>
      <c r="AO3" s="154">
        <f>'DCS Detail'!AO3</f>
        <v>2024</v>
      </c>
      <c r="AP3" s="154">
        <f>'DCS Detail'!AP3</f>
        <v>2024</v>
      </c>
      <c r="AQ3" s="154">
        <f>'DCS Detail'!AQ3</f>
        <v>2024</v>
      </c>
      <c r="AR3" s="154">
        <f>'DCS Detail'!AR3</f>
        <v>2024</v>
      </c>
      <c r="AS3" s="154">
        <f>'DCS Detail'!AS3</f>
        <v>2024</v>
      </c>
      <c r="AT3" s="154">
        <f>'DCS Detail'!AT3</f>
        <v>2024</v>
      </c>
      <c r="AU3" s="154">
        <f>'DCS Detail'!AU3</f>
        <v>2024</v>
      </c>
      <c r="AV3" s="154">
        <f>'DCS Detail'!AV3</f>
        <v>2024</v>
      </c>
      <c r="AW3" s="154">
        <f>'DCS Detail'!AW3</f>
        <v>2024</v>
      </c>
      <c r="AX3" s="154">
        <f>'DCS Detail'!AX3</f>
        <v>2024</v>
      </c>
      <c r="AY3" s="154">
        <f>'DCS Detail'!AY3</f>
        <v>2024</v>
      </c>
      <c r="AZ3" s="154">
        <f>'DCS Detail'!AZ3</f>
        <v>2024</v>
      </c>
      <c r="BA3" s="154">
        <f>'DCS Detail'!BA3</f>
        <v>2025</v>
      </c>
      <c r="BB3" s="154">
        <f>'DCS Detail'!BB3</f>
        <v>2025</v>
      </c>
      <c r="BC3" s="154">
        <f>'DCS Detail'!BC3</f>
        <v>2025</v>
      </c>
      <c r="BD3" s="154">
        <f>'DCS Detail'!BD3</f>
        <v>2025</v>
      </c>
      <c r="BE3" s="154">
        <f>'DCS Detail'!BE3</f>
        <v>2025</v>
      </c>
      <c r="BF3" s="154">
        <f>'DCS Detail'!BF3</f>
        <v>2025</v>
      </c>
      <c r="BG3" s="154">
        <f>'DCS Detail'!BG3</f>
        <v>2025</v>
      </c>
      <c r="BH3" s="154">
        <f>'DCS Detail'!BH3</f>
        <v>2025</v>
      </c>
      <c r="BI3" s="154">
        <f>'DCS Detail'!BI3</f>
        <v>2025</v>
      </c>
      <c r="BJ3" s="154">
        <f>'DCS Detail'!BJ3</f>
        <v>2025</v>
      </c>
      <c r="BK3" s="154">
        <f>'DCS Detail'!BK3</f>
        <v>2025</v>
      </c>
      <c r="BL3" s="154">
        <f>'DCS Detail'!BL3</f>
        <v>2025</v>
      </c>
      <c r="BM3" s="154">
        <f>'DCS Detail'!BM3</f>
        <v>2026</v>
      </c>
      <c r="BN3" s="154">
        <f>'DCS Detail'!BN3</f>
        <v>2026</v>
      </c>
      <c r="BO3" s="154">
        <f>'DCS Detail'!BO3</f>
        <v>2026</v>
      </c>
      <c r="BP3" s="154">
        <f>'DCS Detail'!BP3</f>
        <v>2026</v>
      </c>
      <c r="BQ3" s="154">
        <f>'DCS Detail'!BQ3</f>
        <v>2026</v>
      </c>
      <c r="BR3" s="154">
        <f>'DCS Detail'!BR3</f>
        <v>2026</v>
      </c>
      <c r="BS3" s="154">
        <f>'DCS Detail'!BS3</f>
        <v>2026</v>
      </c>
      <c r="BT3" s="154">
        <f>'DCS Detail'!BT3</f>
        <v>2026</v>
      </c>
      <c r="BU3" s="154">
        <f>'DCS Detail'!BU3</f>
        <v>2026</v>
      </c>
      <c r="BV3" s="154">
        <f>'DCS Detail'!BV3</f>
        <v>2026</v>
      </c>
      <c r="BW3" s="154">
        <f>'DCS Detail'!BW3</f>
        <v>2026</v>
      </c>
      <c r="BX3" s="154">
        <f>'DCS Detail'!BX3</f>
        <v>2026</v>
      </c>
      <c r="BZ3" s="452" t="s">
        <v>385</v>
      </c>
      <c r="CA3" s="452"/>
      <c r="CC3" s="53">
        <v>2019</v>
      </c>
      <c r="CD3" s="53">
        <f>CC3+1</f>
        <v>2020</v>
      </c>
      <c r="CE3" s="53">
        <f t="shared" ref="CE3:CJ3" si="0">CD3+1</f>
        <v>2021</v>
      </c>
      <c r="CF3" s="53">
        <f t="shared" si="0"/>
        <v>2022</v>
      </c>
      <c r="CG3" s="53">
        <f t="shared" si="0"/>
        <v>2023</v>
      </c>
      <c r="CH3" s="53">
        <f t="shared" si="0"/>
        <v>2024</v>
      </c>
      <c r="CI3" s="53">
        <f t="shared" si="0"/>
        <v>2025</v>
      </c>
      <c r="CJ3" s="53">
        <f t="shared" si="0"/>
        <v>2026</v>
      </c>
    </row>
    <row r="4" spans="1:88" x14ac:dyDescent="0.3">
      <c r="B4" s="4" t="s">
        <v>119</v>
      </c>
      <c r="C4" s="152">
        <v>43646</v>
      </c>
      <c r="D4" s="152">
        <v>44012</v>
      </c>
      <c r="E4" s="3">
        <f t="shared" ref="E4:P4" si="1">EOMONTH(D4,1)</f>
        <v>44043</v>
      </c>
      <c r="F4" s="3">
        <f t="shared" si="1"/>
        <v>44074</v>
      </c>
      <c r="G4" s="3">
        <f>EOMONTH(F4,1)</f>
        <v>44104</v>
      </c>
      <c r="H4" s="3">
        <f t="shared" si="1"/>
        <v>44135</v>
      </c>
      <c r="I4" s="3">
        <f t="shared" si="1"/>
        <v>44165</v>
      </c>
      <c r="J4" s="3">
        <f t="shared" si="1"/>
        <v>44196</v>
      </c>
      <c r="K4" s="3">
        <f t="shared" si="1"/>
        <v>44227</v>
      </c>
      <c r="L4" s="3">
        <f t="shared" si="1"/>
        <v>44255</v>
      </c>
      <c r="M4" s="3">
        <f t="shared" si="1"/>
        <v>44286</v>
      </c>
      <c r="N4" s="3">
        <f t="shared" si="1"/>
        <v>44316</v>
      </c>
      <c r="O4" s="3">
        <f t="shared" si="1"/>
        <v>44347</v>
      </c>
      <c r="P4" s="3">
        <f t="shared" si="1"/>
        <v>44377</v>
      </c>
      <c r="Q4" s="3">
        <f t="shared" ref="Q4" si="2">EOMONTH(P4,1)</f>
        <v>44408</v>
      </c>
      <c r="R4" s="3">
        <f t="shared" ref="R4" si="3">EOMONTH(Q4,1)</f>
        <v>44439</v>
      </c>
      <c r="S4" s="3">
        <f t="shared" ref="S4" si="4">EOMONTH(R4,1)</f>
        <v>44469</v>
      </c>
      <c r="T4" s="3">
        <f t="shared" ref="T4" si="5">EOMONTH(S4,1)</f>
        <v>44500</v>
      </c>
      <c r="U4" s="3">
        <f t="shared" ref="U4" si="6">EOMONTH(T4,1)</f>
        <v>44530</v>
      </c>
      <c r="V4" s="3">
        <f t="shared" ref="V4" si="7">EOMONTH(U4,1)</f>
        <v>44561</v>
      </c>
      <c r="W4" s="3">
        <f t="shared" ref="W4" si="8">EOMONTH(V4,1)</f>
        <v>44592</v>
      </c>
      <c r="X4" s="3">
        <f t="shared" ref="X4" si="9">EOMONTH(W4,1)</f>
        <v>44620</v>
      </c>
      <c r="Y4" s="3">
        <f t="shared" ref="Y4" si="10">EOMONTH(X4,1)</f>
        <v>44651</v>
      </c>
      <c r="Z4" s="3">
        <f t="shared" ref="Z4" si="11">EOMONTH(Y4,1)</f>
        <v>44681</v>
      </c>
      <c r="AA4" s="3">
        <f t="shared" ref="AA4" si="12">EOMONTH(Z4,1)</f>
        <v>44712</v>
      </c>
      <c r="AB4" s="3">
        <f t="shared" ref="AB4" si="13">EOMONTH(AA4,1)</f>
        <v>44742</v>
      </c>
      <c r="AC4" s="3">
        <f t="shared" ref="AC4" si="14">EOMONTH(AB4,1)</f>
        <v>44773</v>
      </c>
      <c r="AD4" s="3">
        <f t="shared" ref="AD4" si="15">EOMONTH(AC4,1)</f>
        <v>44804</v>
      </c>
      <c r="AE4" s="3">
        <f t="shared" ref="AE4" si="16">EOMONTH(AD4,1)</f>
        <v>44834</v>
      </c>
      <c r="AF4" s="3">
        <f t="shared" ref="AF4" si="17">EOMONTH(AE4,1)</f>
        <v>44865</v>
      </c>
      <c r="AG4" s="3">
        <f t="shared" ref="AG4" si="18">EOMONTH(AF4,1)</f>
        <v>44895</v>
      </c>
      <c r="AH4" s="3">
        <f t="shared" ref="AH4" si="19">EOMONTH(AG4,1)</f>
        <v>44926</v>
      </c>
      <c r="AI4" s="3">
        <f t="shared" ref="AI4" si="20">EOMONTH(AH4,1)</f>
        <v>44957</v>
      </c>
      <c r="AJ4" s="3">
        <f t="shared" ref="AJ4" si="21">EOMONTH(AI4,1)</f>
        <v>44985</v>
      </c>
      <c r="AK4" s="3">
        <f t="shared" ref="AK4" si="22">EOMONTH(AJ4,1)</f>
        <v>45016</v>
      </c>
      <c r="AL4" s="3">
        <f t="shared" ref="AL4" si="23">EOMONTH(AK4,1)</f>
        <v>45046</v>
      </c>
      <c r="AM4" s="3">
        <f t="shared" ref="AM4" si="24">EOMONTH(AL4,1)</f>
        <v>45077</v>
      </c>
      <c r="AN4" s="3">
        <f t="shared" ref="AN4" si="25">EOMONTH(AM4,1)</f>
        <v>45107</v>
      </c>
      <c r="AO4" s="3">
        <f t="shared" ref="AO4" si="26">EOMONTH(AN4,1)</f>
        <v>45138</v>
      </c>
      <c r="AP4" s="3">
        <f t="shared" ref="AP4" si="27">EOMONTH(AO4,1)</f>
        <v>45169</v>
      </c>
      <c r="AQ4" s="3">
        <f t="shared" ref="AQ4" si="28">EOMONTH(AP4,1)</f>
        <v>45199</v>
      </c>
      <c r="AR4" s="3">
        <f t="shared" ref="AR4" si="29">EOMONTH(AQ4,1)</f>
        <v>45230</v>
      </c>
      <c r="AS4" s="3">
        <f t="shared" ref="AS4" si="30">EOMONTH(AR4,1)</f>
        <v>45260</v>
      </c>
      <c r="AT4" s="3">
        <f t="shared" ref="AT4" si="31">EOMONTH(AS4,1)</f>
        <v>45291</v>
      </c>
      <c r="AU4" s="3">
        <f t="shared" ref="AU4" si="32">EOMONTH(AT4,1)</f>
        <v>45322</v>
      </c>
      <c r="AV4" s="3">
        <f t="shared" ref="AV4" si="33">EOMONTH(AU4,1)</f>
        <v>45351</v>
      </c>
      <c r="AW4" s="3">
        <f t="shared" ref="AW4" si="34">EOMONTH(AV4,1)</f>
        <v>45382</v>
      </c>
      <c r="AX4" s="3">
        <f t="shared" ref="AX4" si="35">EOMONTH(AW4,1)</f>
        <v>45412</v>
      </c>
      <c r="AY4" s="3">
        <f t="shared" ref="AY4" si="36">EOMONTH(AX4,1)</f>
        <v>45443</v>
      </c>
      <c r="AZ4" s="3">
        <f t="shared" ref="AZ4:BM4" si="37">EOMONTH(AY4,1)</f>
        <v>45473</v>
      </c>
      <c r="BA4" s="3">
        <f t="shared" si="37"/>
        <v>45504</v>
      </c>
      <c r="BB4" s="3">
        <f t="shared" si="37"/>
        <v>45535</v>
      </c>
      <c r="BC4" s="3">
        <f t="shared" si="37"/>
        <v>45565</v>
      </c>
      <c r="BD4" s="3">
        <f t="shared" si="37"/>
        <v>45596</v>
      </c>
      <c r="BE4" s="3">
        <f t="shared" si="37"/>
        <v>45626</v>
      </c>
      <c r="BF4" s="3">
        <f t="shared" si="37"/>
        <v>45657</v>
      </c>
      <c r="BG4" s="3">
        <f t="shared" si="37"/>
        <v>45688</v>
      </c>
      <c r="BH4" s="3">
        <f t="shared" si="37"/>
        <v>45716</v>
      </c>
      <c r="BI4" s="3">
        <f t="shared" si="37"/>
        <v>45747</v>
      </c>
      <c r="BJ4" s="3">
        <f t="shared" si="37"/>
        <v>45777</v>
      </c>
      <c r="BK4" s="3">
        <f t="shared" si="37"/>
        <v>45808</v>
      </c>
      <c r="BL4" s="3">
        <f t="shared" si="37"/>
        <v>45838</v>
      </c>
      <c r="BM4" s="3">
        <f t="shared" si="37"/>
        <v>45869</v>
      </c>
      <c r="BN4" s="3">
        <f t="shared" ref="BN4" si="38">EOMONTH(BM4,1)</f>
        <v>45900</v>
      </c>
      <c r="BO4" s="3">
        <f t="shared" ref="BO4" si="39">EOMONTH(BN4,1)</f>
        <v>45930</v>
      </c>
      <c r="BP4" s="3">
        <f t="shared" ref="BP4" si="40">EOMONTH(BO4,1)</f>
        <v>45961</v>
      </c>
      <c r="BQ4" s="3">
        <f t="shared" ref="BQ4" si="41">EOMONTH(BP4,1)</f>
        <v>45991</v>
      </c>
      <c r="BR4" s="3">
        <f t="shared" ref="BR4" si="42">EOMONTH(BQ4,1)</f>
        <v>46022</v>
      </c>
      <c r="BS4" s="3">
        <f t="shared" ref="BS4" si="43">EOMONTH(BR4,1)</f>
        <v>46053</v>
      </c>
      <c r="BT4" s="3">
        <f t="shared" ref="BT4" si="44">EOMONTH(BS4,1)</f>
        <v>46081</v>
      </c>
      <c r="BU4" s="3">
        <f t="shared" ref="BU4" si="45">EOMONTH(BT4,1)</f>
        <v>46112</v>
      </c>
      <c r="BV4" s="3">
        <f t="shared" ref="BV4" si="46">EOMONTH(BU4,1)</f>
        <v>46142</v>
      </c>
      <c r="BW4" s="3">
        <f t="shared" ref="BW4" si="47">EOMONTH(BV4,1)</f>
        <v>46173</v>
      </c>
      <c r="BX4" s="3">
        <f t="shared" ref="BX4" si="48">EOMONTH(BW4,1)</f>
        <v>46203</v>
      </c>
      <c r="BZ4" s="4" t="s">
        <v>130</v>
      </c>
      <c r="CA4" s="3" t="s">
        <v>129</v>
      </c>
      <c r="CC4" s="3">
        <f>C4</f>
        <v>43646</v>
      </c>
      <c r="CD4" s="3">
        <f>EOMONTH(CC4,12)</f>
        <v>44012</v>
      </c>
      <c r="CE4" s="3">
        <f t="shared" ref="CE4:CJ4" si="49">EOMONTH(CD4,12)</f>
        <v>44377</v>
      </c>
      <c r="CF4" s="3">
        <f t="shared" si="49"/>
        <v>44742</v>
      </c>
      <c r="CG4" s="3">
        <f t="shared" si="49"/>
        <v>45107</v>
      </c>
      <c r="CH4" s="3">
        <f t="shared" si="49"/>
        <v>45473</v>
      </c>
      <c r="CI4" s="3">
        <f t="shared" si="49"/>
        <v>45838</v>
      </c>
      <c r="CJ4" s="3">
        <f t="shared" si="49"/>
        <v>46203</v>
      </c>
    </row>
    <row r="5" spans="1:88" x14ac:dyDescent="0.3">
      <c r="Q5" s="38"/>
    </row>
    <row r="6" spans="1:88" x14ac:dyDescent="0.3">
      <c r="A6" s="23" t="s">
        <v>149</v>
      </c>
      <c r="B6" s="87"/>
      <c r="C6" s="87"/>
      <c r="D6" s="87"/>
      <c r="E6" s="90"/>
      <c r="F6" s="90"/>
      <c r="G6" s="90"/>
      <c r="H6" s="90"/>
      <c r="I6" s="90"/>
      <c r="J6" s="88"/>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1"/>
      <c r="BZ6" s="91"/>
      <c r="CA6" s="91"/>
      <c r="CB6" s="91"/>
      <c r="CC6" s="91"/>
      <c r="CD6" s="91"/>
      <c r="CE6" s="91"/>
      <c r="CF6" s="91"/>
      <c r="CG6" s="91"/>
      <c r="CH6" s="91"/>
      <c r="CI6" s="91"/>
      <c r="CJ6" s="91"/>
    </row>
    <row r="7" spans="1:88" x14ac:dyDescent="0.3">
      <c r="A7" s="108" t="str">
        <f>B7</f>
        <v>Building Capacity</v>
      </c>
      <c r="B7" s="32" t="str">
        <f>IF('DCS Detail'!$B7="","",'DCS Detail'!$B7)</f>
        <v>Building Capacity</v>
      </c>
      <c r="C7" s="101">
        <f>14*28</f>
        <v>392</v>
      </c>
      <c r="D7" s="100">
        <f t="shared" ref="D7:Q7" si="50">C7</f>
        <v>392</v>
      </c>
      <c r="E7" s="100">
        <f t="shared" si="50"/>
        <v>392</v>
      </c>
      <c r="F7" s="100">
        <f t="shared" si="50"/>
        <v>392</v>
      </c>
      <c r="G7" s="100">
        <f>F7</f>
        <v>392</v>
      </c>
      <c r="H7" s="100">
        <f t="shared" si="50"/>
        <v>392</v>
      </c>
      <c r="I7" s="100">
        <f t="shared" si="50"/>
        <v>392</v>
      </c>
      <c r="J7" s="100">
        <f t="shared" si="50"/>
        <v>392</v>
      </c>
      <c r="K7" s="100">
        <f t="shared" si="50"/>
        <v>392</v>
      </c>
      <c r="L7" s="100">
        <f t="shared" si="50"/>
        <v>392</v>
      </c>
      <c r="M7" s="100">
        <f t="shared" si="50"/>
        <v>392</v>
      </c>
      <c r="N7" s="100">
        <f t="shared" si="50"/>
        <v>392</v>
      </c>
      <c r="O7" s="100">
        <f t="shared" si="50"/>
        <v>392</v>
      </c>
      <c r="P7" s="100">
        <f t="shared" si="50"/>
        <v>392</v>
      </c>
      <c r="Q7" s="100">
        <f t="shared" si="50"/>
        <v>392</v>
      </c>
      <c r="R7" s="101">
        <f>16*28</f>
        <v>448</v>
      </c>
      <c r="S7" s="100">
        <f t="shared" ref="S7" si="51">R7</f>
        <v>448</v>
      </c>
      <c r="T7" s="100">
        <f t="shared" ref="T7" si="52">S7</f>
        <v>448</v>
      </c>
      <c r="U7" s="100">
        <f t="shared" ref="U7" si="53">T7</f>
        <v>448</v>
      </c>
      <c r="V7" s="100">
        <f t="shared" ref="V7" si="54">U7</f>
        <v>448</v>
      </c>
      <c r="W7" s="100">
        <f t="shared" ref="W7" si="55">V7</f>
        <v>448</v>
      </c>
      <c r="X7" s="100">
        <f t="shared" ref="X7" si="56">W7</f>
        <v>448</v>
      </c>
      <c r="Y7" s="100">
        <f t="shared" ref="Y7" si="57">X7</f>
        <v>448</v>
      </c>
      <c r="Z7" s="100">
        <f t="shared" ref="Z7" si="58">Y7</f>
        <v>448</v>
      </c>
      <c r="AA7" s="100">
        <f t="shared" ref="AA7" si="59">Z7</f>
        <v>448</v>
      </c>
      <c r="AB7" s="100">
        <f t="shared" ref="AB7" si="60">AA7</f>
        <v>448</v>
      </c>
      <c r="AC7" s="100">
        <f t="shared" ref="AC7" si="61">AB7</f>
        <v>448</v>
      </c>
      <c r="AD7" s="100">
        <f t="shared" ref="AD7" si="62">AC7</f>
        <v>448</v>
      </c>
      <c r="AE7" s="100">
        <f t="shared" ref="AE7" si="63">AD7</f>
        <v>448</v>
      </c>
      <c r="AF7" s="100">
        <f t="shared" ref="AF7" si="64">AE7</f>
        <v>448</v>
      </c>
      <c r="AG7" s="100">
        <f t="shared" ref="AG7" si="65">AF7</f>
        <v>448</v>
      </c>
      <c r="AH7" s="100">
        <f t="shared" ref="AH7" si="66">AG7</f>
        <v>448</v>
      </c>
      <c r="AI7" s="100">
        <f t="shared" ref="AI7" si="67">AH7</f>
        <v>448</v>
      </c>
      <c r="AJ7" s="100">
        <f t="shared" ref="AJ7" si="68">AI7</f>
        <v>448</v>
      </c>
      <c r="AK7" s="100">
        <f t="shared" ref="AK7" si="69">AJ7</f>
        <v>448</v>
      </c>
      <c r="AL7" s="100">
        <f t="shared" ref="AL7" si="70">AK7</f>
        <v>448</v>
      </c>
      <c r="AM7" s="100">
        <f t="shared" ref="AM7" si="71">AL7</f>
        <v>448</v>
      </c>
      <c r="AN7" s="100">
        <f t="shared" ref="AN7" si="72">AM7</f>
        <v>448</v>
      </c>
      <c r="AO7" s="100">
        <f t="shared" ref="AO7" si="73">AN7</f>
        <v>448</v>
      </c>
      <c r="AP7" s="124">
        <f>19*28</f>
        <v>532</v>
      </c>
      <c r="AQ7" s="100">
        <f t="shared" ref="AQ7" si="74">AP7</f>
        <v>532</v>
      </c>
      <c r="AR7" s="100">
        <f t="shared" ref="AR7" si="75">AQ7</f>
        <v>532</v>
      </c>
      <c r="AS7" s="100">
        <f t="shared" ref="AS7" si="76">AR7</f>
        <v>532</v>
      </c>
      <c r="AT7" s="100">
        <f t="shared" ref="AT7" si="77">AS7</f>
        <v>532</v>
      </c>
      <c r="AU7" s="100">
        <f t="shared" ref="AU7" si="78">AT7</f>
        <v>532</v>
      </c>
      <c r="AV7" s="100">
        <f t="shared" ref="AV7" si="79">AU7</f>
        <v>532</v>
      </c>
      <c r="AW7" s="100">
        <f t="shared" ref="AW7" si="80">AV7</f>
        <v>532</v>
      </c>
      <c r="AX7" s="100">
        <f t="shared" ref="AX7" si="81">AW7</f>
        <v>532</v>
      </c>
      <c r="AY7" s="100">
        <f t="shared" ref="AY7" si="82">AX7</f>
        <v>532</v>
      </c>
      <c r="AZ7" s="100">
        <f t="shared" ref="AZ7" si="83">AY7</f>
        <v>532</v>
      </c>
      <c r="BA7" s="100">
        <f t="shared" ref="BA7" si="84">AZ7</f>
        <v>532</v>
      </c>
      <c r="BB7" s="100">
        <f t="shared" ref="BB7" si="85">BA7</f>
        <v>532</v>
      </c>
      <c r="BC7" s="100">
        <f t="shared" ref="BC7" si="86">BB7</f>
        <v>532</v>
      </c>
      <c r="BD7" s="100">
        <f t="shared" ref="BD7" si="87">BC7</f>
        <v>532</v>
      </c>
      <c r="BE7" s="100">
        <f t="shared" ref="BE7" si="88">BD7</f>
        <v>532</v>
      </c>
      <c r="BF7" s="100">
        <f t="shared" ref="BF7" si="89">BE7</f>
        <v>532</v>
      </c>
      <c r="BG7" s="100">
        <f t="shared" ref="BG7" si="90">BF7</f>
        <v>532</v>
      </c>
      <c r="BH7" s="100">
        <f t="shared" ref="BH7" si="91">BG7</f>
        <v>532</v>
      </c>
      <c r="BI7" s="100">
        <f t="shared" ref="BI7" si="92">BH7</f>
        <v>532</v>
      </c>
      <c r="BJ7" s="100">
        <f t="shared" ref="BJ7" si="93">BI7</f>
        <v>532</v>
      </c>
      <c r="BK7" s="100">
        <f t="shared" ref="BK7" si="94">BJ7</f>
        <v>532</v>
      </c>
      <c r="BL7" s="100">
        <f t="shared" ref="BL7" si="95">BK7</f>
        <v>532</v>
      </c>
      <c r="BM7" s="100">
        <f t="shared" ref="BM7" si="96">BL7</f>
        <v>532</v>
      </c>
      <c r="BN7" s="100">
        <f t="shared" ref="BN7" si="97">BM7</f>
        <v>532</v>
      </c>
      <c r="BO7" s="100">
        <f t="shared" ref="BO7" si="98">BN7</f>
        <v>532</v>
      </c>
      <c r="BP7" s="100">
        <f t="shared" ref="BP7" si="99">BO7</f>
        <v>532</v>
      </c>
      <c r="BQ7" s="100">
        <f t="shared" ref="BQ7" si="100">BP7</f>
        <v>532</v>
      </c>
      <c r="BR7" s="100">
        <f t="shared" ref="BR7" si="101">BQ7</f>
        <v>532</v>
      </c>
      <c r="BS7" s="100">
        <f t="shared" ref="BS7" si="102">BR7</f>
        <v>532</v>
      </c>
      <c r="BT7" s="100">
        <f t="shared" ref="BT7" si="103">BS7</f>
        <v>532</v>
      </c>
      <c r="BU7" s="100">
        <f t="shared" ref="BU7" si="104">BT7</f>
        <v>532</v>
      </c>
      <c r="BV7" s="100">
        <f t="shared" ref="BV7" si="105">BU7</f>
        <v>532</v>
      </c>
      <c r="BW7" s="100">
        <f t="shared" ref="BW7" si="106">BV7</f>
        <v>532</v>
      </c>
      <c r="BX7" s="100">
        <f t="shared" ref="BX7" si="107">BW7</f>
        <v>532</v>
      </c>
      <c r="BY7" s="27"/>
      <c r="BZ7" s="379">
        <f>SUMIF($B$252:$BY$252,1,$B7:$BY7)</f>
        <v>448</v>
      </c>
      <c r="CA7" s="379">
        <f>SUMIF($B$252:$BY$252,1,$B7:$BY7)</f>
        <v>448</v>
      </c>
      <c r="CB7" s="97"/>
      <c r="CC7" s="380">
        <f t="shared" ref="CC7:CJ7" si="108">SUMIF($C$4:$BY$4,CC$4,$C7:$BY7)</f>
        <v>392</v>
      </c>
      <c r="CD7" s="380">
        <f t="shared" si="108"/>
        <v>392</v>
      </c>
      <c r="CE7" s="380">
        <f t="shared" si="108"/>
        <v>392</v>
      </c>
      <c r="CF7" s="380">
        <f t="shared" si="108"/>
        <v>448</v>
      </c>
      <c r="CG7" s="380">
        <f t="shared" si="108"/>
        <v>448</v>
      </c>
      <c r="CH7" s="380">
        <f t="shared" si="108"/>
        <v>532</v>
      </c>
      <c r="CI7" s="380">
        <f t="shared" si="108"/>
        <v>532</v>
      </c>
      <c r="CJ7" s="380">
        <f t="shared" si="108"/>
        <v>532</v>
      </c>
    </row>
    <row r="8" spans="1:88" x14ac:dyDescent="0.3">
      <c r="A8" s="108"/>
      <c r="B8" s="32"/>
      <c r="C8" s="101"/>
      <c r="D8" s="100"/>
      <c r="E8" s="100"/>
      <c r="F8" s="100"/>
      <c r="G8" s="100"/>
      <c r="H8" s="100"/>
      <c r="I8" s="100"/>
      <c r="J8" s="100"/>
      <c r="K8" s="100"/>
      <c r="L8" s="100"/>
      <c r="M8" s="100"/>
      <c r="N8" s="100"/>
      <c r="O8" s="100"/>
      <c r="P8" s="100"/>
      <c r="Q8" s="100"/>
      <c r="R8" s="101"/>
      <c r="S8" s="100"/>
      <c r="T8" s="100"/>
      <c r="U8" s="100"/>
      <c r="V8" s="100"/>
      <c r="W8" s="100"/>
      <c r="X8" s="100"/>
      <c r="Y8" s="100"/>
      <c r="Z8" s="100"/>
      <c r="AA8" s="100"/>
      <c r="AB8" s="100"/>
      <c r="AC8" s="100"/>
      <c r="AD8" s="100"/>
      <c r="AE8" s="100"/>
      <c r="AF8" s="100"/>
      <c r="AG8" s="100"/>
      <c r="AH8" s="100"/>
      <c r="AI8" s="100"/>
      <c r="AJ8" s="100"/>
      <c r="AK8" s="100"/>
      <c r="AL8" s="100"/>
      <c r="AM8" s="100"/>
      <c r="AN8" s="100"/>
      <c r="AO8" s="100"/>
      <c r="AP8" s="124"/>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27"/>
      <c r="BZ8" s="379"/>
      <c r="CA8" s="379"/>
      <c r="CB8" s="97"/>
      <c r="CC8" s="380"/>
      <c r="CD8" s="380"/>
      <c r="CE8" s="380"/>
      <c r="CF8" s="380"/>
      <c r="CG8" s="380"/>
      <c r="CH8" s="380"/>
      <c r="CI8" s="380"/>
      <c r="CJ8" s="380"/>
    </row>
    <row r="9" spans="1:88" x14ac:dyDescent="0.3">
      <c r="A9" s="127" t="s">
        <v>361</v>
      </c>
      <c r="B9" s="32"/>
      <c r="C9" s="101"/>
      <c r="D9" s="101"/>
      <c r="E9" s="101"/>
      <c r="F9" s="100"/>
      <c r="G9" s="100"/>
      <c r="H9" s="100"/>
      <c r="I9" s="100"/>
      <c r="J9" s="100"/>
      <c r="K9" s="100"/>
      <c r="L9" s="100"/>
      <c r="M9" s="100"/>
      <c r="N9" s="100"/>
      <c r="O9" s="100"/>
      <c r="P9" s="100"/>
      <c r="Q9" s="101"/>
      <c r="R9" s="101"/>
      <c r="S9" s="101"/>
      <c r="T9" s="124"/>
      <c r="U9" s="124"/>
      <c r="V9" s="124"/>
      <c r="W9" s="124"/>
      <c r="X9" s="124"/>
      <c r="Y9" s="124"/>
      <c r="Z9" s="124"/>
      <c r="AA9" s="124"/>
      <c r="AB9" s="124"/>
      <c r="AC9" s="124"/>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27"/>
      <c r="BZ9" s="379"/>
      <c r="CA9" s="379"/>
      <c r="CB9" s="97"/>
      <c r="CC9" s="380"/>
      <c r="CD9" s="97"/>
      <c r="CE9" s="97"/>
      <c r="CF9" s="97"/>
      <c r="CG9" s="97"/>
      <c r="CH9" s="97"/>
      <c r="CI9" s="97"/>
      <c r="CJ9" s="97"/>
    </row>
    <row r="10" spans="1:88" x14ac:dyDescent="0.3">
      <c r="A10" s="33" t="str">
        <f t="shared" ref="A10:A19" si="109">B10</f>
        <v>KG</v>
      </c>
      <c r="B10" s="32" t="str">
        <f>IF('DCS Detail'!$B10="","",'DCS Detail'!$B10)</f>
        <v>KG</v>
      </c>
      <c r="C10" s="101">
        <v>62</v>
      </c>
      <c r="D10" s="101">
        <v>49</v>
      </c>
      <c r="E10" s="101">
        <v>49</v>
      </c>
      <c r="F10" s="101">
        <v>34</v>
      </c>
      <c r="G10" s="101">
        <v>39</v>
      </c>
      <c r="H10" s="101">
        <v>39</v>
      </c>
      <c r="I10" s="101">
        <v>42</v>
      </c>
      <c r="J10" s="101">
        <v>40</v>
      </c>
      <c r="K10" s="101">
        <v>40</v>
      </c>
      <c r="L10" s="101">
        <v>40</v>
      </c>
      <c r="M10" s="101">
        <v>39</v>
      </c>
      <c r="N10" s="101">
        <v>39</v>
      </c>
      <c r="O10" s="101">
        <v>39</v>
      </c>
      <c r="P10" s="101">
        <v>39</v>
      </c>
      <c r="Q10" s="101">
        <v>39</v>
      </c>
      <c r="R10" s="101">
        <v>46</v>
      </c>
      <c r="S10" s="101">
        <v>45</v>
      </c>
      <c r="T10" s="101">
        <v>43</v>
      </c>
      <c r="U10" s="101">
        <v>41</v>
      </c>
      <c r="V10" s="101">
        <v>41</v>
      </c>
      <c r="W10" s="101">
        <v>41</v>
      </c>
      <c r="X10" s="101">
        <v>40</v>
      </c>
      <c r="Y10" s="101">
        <v>39</v>
      </c>
      <c r="Z10" s="101">
        <v>39</v>
      </c>
      <c r="AA10" s="440">
        <f t="shared" ref="AA10:AC18" si="110">ROUND(Z10*(1+AA280),0)</f>
        <v>39</v>
      </c>
      <c r="AB10" s="100">
        <f t="shared" si="110"/>
        <v>39</v>
      </c>
      <c r="AC10" s="100">
        <f t="shared" si="110"/>
        <v>39</v>
      </c>
      <c r="AD10" s="124">
        <f>24+29</f>
        <v>53</v>
      </c>
      <c r="AE10" s="100">
        <f t="shared" ref="AE10:AO10" si="111">ROUND(AD10*(1+AE280),0)</f>
        <v>52</v>
      </c>
      <c r="AF10" s="100">
        <f t="shared" si="111"/>
        <v>51</v>
      </c>
      <c r="AG10" s="100">
        <f t="shared" si="111"/>
        <v>50</v>
      </c>
      <c r="AH10" s="100">
        <f t="shared" si="111"/>
        <v>51</v>
      </c>
      <c r="AI10" s="100">
        <f t="shared" si="111"/>
        <v>53</v>
      </c>
      <c r="AJ10" s="100">
        <f t="shared" si="111"/>
        <v>52</v>
      </c>
      <c r="AK10" s="100">
        <f t="shared" si="111"/>
        <v>52</v>
      </c>
      <c r="AL10" s="100">
        <f t="shared" si="111"/>
        <v>52</v>
      </c>
      <c r="AM10" s="100">
        <f t="shared" si="111"/>
        <v>52</v>
      </c>
      <c r="AN10" s="100">
        <f t="shared" si="111"/>
        <v>52</v>
      </c>
      <c r="AO10" s="100">
        <f t="shared" si="111"/>
        <v>52</v>
      </c>
      <c r="AP10" s="124">
        <v>56</v>
      </c>
      <c r="AQ10" s="100">
        <f t="shared" ref="AQ10:BA10" si="112">ROUND(AP10*(1+AQ280),0)</f>
        <v>55</v>
      </c>
      <c r="AR10" s="100">
        <f t="shared" si="112"/>
        <v>54</v>
      </c>
      <c r="AS10" s="100">
        <f t="shared" si="112"/>
        <v>53</v>
      </c>
      <c r="AT10" s="100">
        <f t="shared" si="112"/>
        <v>54</v>
      </c>
      <c r="AU10" s="100">
        <f t="shared" si="112"/>
        <v>56</v>
      </c>
      <c r="AV10" s="100">
        <f t="shared" si="112"/>
        <v>55</v>
      </c>
      <c r="AW10" s="100">
        <f t="shared" si="112"/>
        <v>55</v>
      </c>
      <c r="AX10" s="100">
        <f t="shared" si="112"/>
        <v>55</v>
      </c>
      <c r="AY10" s="100">
        <f t="shared" si="112"/>
        <v>55</v>
      </c>
      <c r="AZ10" s="100">
        <f t="shared" si="112"/>
        <v>55</v>
      </c>
      <c r="BA10" s="100">
        <f t="shared" si="112"/>
        <v>55</v>
      </c>
      <c r="BB10" s="124">
        <v>56</v>
      </c>
      <c r="BC10" s="100">
        <f t="shared" ref="BC10:BM10" si="113">ROUND(BB10*(1+BC280),0)</f>
        <v>55</v>
      </c>
      <c r="BD10" s="100">
        <f t="shared" si="113"/>
        <v>54</v>
      </c>
      <c r="BE10" s="100">
        <f t="shared" si="113"/>
        <v>53</v>
      </c>
      <c r="BF10" s="100">
        <f t="shared" si="113"/>
        <v>54</v>
      </c>
      <c r="BG10" s="100">
        <f t="shared" si="113"/>
        <v>56</v>
      </c>
      <c r="BH10" s="100">
        <f t="shared" si="113"/>
        <v>55</v>
      </c>
      <c r="BI10" s="100">
        <f t="shared" si="113"/>
        <v>55</v>
      </c>
      <c r="BJ10" s="100">
        <f t="shared" si="113"/>
        <v>55</v>
      </c>
      <c r="BK10" s="100">
        <f t="shared" si="113"/>
        <v>55</v>
      </c>
      <c r="BL10" s="100">
        <f t="shared" si="113"/>
        <v>55</v>
      </c>
      <c r="BM10" s="100">
        <f t="shared" si="113"/>
        <v>55</v>
      </c>
      <c r="BN10" s="124">
        <v>56</v>
      </c>
      <c r="BO10" s="100">
        <f t="shared" ref="BO10:BX10" si="114">ROUND(BN10*(1+BO280),0)</f>
        <v>55</v>
      </c>
      <c r="BP10" s="100">
        <f t="shared" si="114"/>
        <v>54</v>
      </c>
      <c r="BQ10" s="100">
        <f t="shared" si="114"/>
        <v>53</v>
      </c>
      <c r="BR10" s="100">
        <f t="shared" si="114"/>
        <v>54</v>
      </c>
      <c r="BS10" s="100">
        <f t="shared" si="114"/>
        <v>56</v>
      </c>
      <c r="BT10" s="100">
        <f t="shared" si="114"/>
        <v>55</v>
      </c>
      <c r="BU10" s="100">
        <f t="shared" si="114"/>
        <v>55</v>
      </c>
      <c r="BV10" s="100">
        <f t="shared" si="114"/>
        <v>55</v>
      </c>
      <c r="BW10" s="100">
        <f t="shared" si="114"/>
        <v>55</v>
      </c>
      <c r="BX10" s="100">
        <f t="shared" si="114"/>
        <v>55</v>
      </c>
      <c r="BY10" s="27"/>
      <c r="BZ10" s="380">
        <f t="shared" ref="BZ10:CA18" si="115">SUMIF($B$252:$BY$252,1,$B10:$BY10)</f>
        <v>39</v>
      </c>
      <c r="CA10" s="380">
        <f t="shared" si="115"/>
        <v>39</v>
      </c>
      <c r="CB10" s="97"/>
      <c r="CC10" s="380">
        <f t="shared" ref="CC10:CJ18" si="116">SUMIF($C$4:$BY$4,CC$4,$C10:$BY10)</f>
        <v>62</v>
      </c>
      <c r="CD10" s="380">
        <f t="shared" si="116"/>
        <v>49</v>
      </c>
      <c r="CE10" s="380">
        <f t="shared" si="116"/>
        <v>39</v>
      </c>
      <c r="CF10" s="380">
        <f t="shared" si="116"/>
        <v>39</v>
      </c>
      <c r="CG10" s="380">
        <f t="shared" si="116"/>
        <v>52</v>
      </c>
      <c r="CH10" s="380">
        <f t="shared" si="116"/>
        <v>55</v>
      </c>
      <c r="CI10" s="380">
        <f t="shared" si="116"/>
        <v>55</v>
      </c>
      <c r="CJ10" s="380">
        <f t="shared" si="116"/>
        <v>55</v>
      </c>
    </row>
    <row r="11" spans="1:88" x14ac:dyDescent="0.3">
      <c r="A11" s="33" t="str">
        <f t="shared" si="109"/>
        <v>First</v>
      </c>
      <c r="B11" s="32" t="str">
        <f>IF('DCS Detail'!$B11="","",'DCS Detail'!$B11)</f>
        <v>First</v>
      </c>
      <c r="C11" s="101">
        <v>18</v>
      </c>
      <c r="D11" s="101">
        <v>56</v>
      </c>
      <c r="E11" s="101">
        <v>56</v>
      </c>
      <c r="F11" s="101">
        <v>50</v>
      </c>
      <c r="G11" s="101">
        <v>50</v>
      </c>
      <c r="H11" s="101">
        <v>50</v>
      </c>
      <c r="I11" s="101">
        <v>50</v>
      </c>
      <c r="J11" s="101">
        <v>50</v>
      </c>
      <c r="K11" s="101">
        <v>49</v>
      </c>
      <c r="L11" s="101">
        <v>48</v>
      </c>
      <c r="M11" s="101">
        <v>48</v>
      </c>
      <c r="N11" s="101">
        <v>49</v>
      </c>
      <c r="O11" s="101">
        <v>49</v>
      </c>
      <c r="P11" s="101">
        <v>49</v>
      </c>
      <c r="Q11" s="101">
        <v>49</v>
      </c>
      <c r="R11" s="101">
        <v>42</v>
      </c>
      <c r="S11" s="101">
        <v>42</v>
      </c>
      <c r="T11" s="101">
        <v>40</v>
      </c>
      <c r="U11" s="101">
        <v>41</v>
      </c>
      <c r="V11" s="101">
        <v>41</v>
      </c>
      <c r="W11" s="101">
        <v>43</v>
      </c>
      <c r="X11" s="101">
        <v>43</v>
      </c>
      <c r="Y11" s="101">
        <v>44</v>
      </c>
      <c r="Z11" s="101">
        <v>44</v>
      </c>
      <c r="AA11" s="440">
        <f t="shared" si="110"/>
        <v>44</v>
      </c>
      <c r="AB11" s="100">
        <f t="shared" si="110"/>
        <v>44</v>
      </c>
      <c r="AC11" s="100">
        <f t="shared" si="110"/>
        <v>44</v>
      </c>
      <c r="AD11" s="124">
        <f>42+11</f>
        <v>53</v>
      </c>
      <c r="AE11" s="100">
        <f t="shared" ref="AE11:AO11" si="117">ROUND(AD11*(1+AE281),0)</f>
        <v>53</v>
      </c>
      <c r="AF11" s="100">
        <f t="shared" si="117"/>
        <v>50</v>
      </c>
      <c r="AG11" s="100">
        <f t="shared" si="117"/>
        <v>51</v>
      </c>
      <c r="AH11" s="100">
        <f t="shared" si="117"/>
        <v>51</v>
      </c>
      <c r="AI11" s="100">
        <f t="shared" si="117"/>
        <v>53</v>
      </c>
      <c r="AJ11" s="100">
        <f t="shared" si="117"/>
        <v>53</v>
      </c>
      <c r="AK11" s="100">
        <f t="shared" si="117"/>
        <v>53</v>
      </c>
      <c r="AL11" s="100">
        <f t="shared" si="117"/>
        <v>53</v>
      </c>
      <c r="AM11" s="100">
        <f t="shared" si="117"/>
        <v>53</v>
      </c>
      <c r="AN11" s="100">
        <f t="shared" si="117"/>
        <v>53</v>
      </c>
      <c r="AO11" s="100">
        <f t="shared" si="117"/>
        <v>53</v>
      </c>
      <c r="AP11" s="124">
        <v>56</v>
      </c>
      <c r="AQ11" s="100">
        <f t="shared" ref="AQ11:BA11" si="118">ROUND(AP11*(1+AQ281),0)</f>
        <v>56</v>
      </c>
      <c r="AR11" s="100">
        <f t="shared" si="118"/>
        <v>53</v>
      </c>
      <c r="AS11" s="100">
        <f t="shared" si="118"/>
        <v>54</v>
      </c>
      <c r="AT11" s="100">
        <f t="shared" si="118"/>
        <v>54</v>
      </c>
      <c r="AU11" s="100">
        <f t="shared" si="118"/>
        <v>56</v>
      </c>
      <c r="AV11" s="100">
        <f t="shared" si="118"/>
        <v>56</v>
      </c>
      <c r="AW11" s="100">
        <f t="shared" si="118"/>
        <v>56</v>
      </c>
      <c r="AX11" s="100">
        <f t="shared" si="118"/>
        <v>56</v>
      </c>
      <c r="AY11" s="100">
        <f t="shared" si="118"/>
        <v>56</v>
      </c>
      <c r="AZ11" s="100">
        <f t="shared" si="118"/>
        <v>56</v>
      </c>
      <c r="BA11" s="100">
        <f t="shared" si="118"/>
        <v>56</v>
      </c>
      <c r="BB11" s="124">
        <v>56</v>
      </c>
      <c r="BC11" s="100">
        <f t="shared" ref="BC11:BM11" si="119">ROUND(BB11*(1+BC281),0)</f>
        <v>56</v>
      </c>
      <c r="BD11" s="100">
        <f t="shared" si="119"/>
        <v>53</v>
      </c>
      <c r="BE11" s="100">
        <f t="shared" si="119"/>
        <v>54</v>
      </c>
      <c r="BF11" s="100">
        <f t="shared" si="119"/>
        <v>54</v>
      </c>
      <c r="BG11" s="100">
        <f t="shared" si="119"/>
        <v>56</v>
      </c>
      <c r="BH11" s="100">
        <f t="shared" si="119"/>
        <v>56</v>
      </c>
      <c r="BI11" s="100">
        <f t="shared" si="119"/>
        <v>56</v>
      </c>
      <c r="BJ11" s="100">
        <f t="shared" si="119"/>
        <v>56</v>
      </c>
      <c r="BK11" s="100">
        <f t="shared" si="119"/>
        <v>56</v>
      </c>
      <c r="BL11" s="100">
        <f t="shared" si="119"/>
        <v>56</v>
      </c>
      <c r="BM11" s="100">
        <f t="shared" si="119"/>
        <v>56</v>
      </c>
      <c r="BN11" s="124">
        <v>56</v>
      </c>
      <c r="BO11" s="100">
        <f t="shared" ref="BO11:BX11" si="120">ROUND(BN11*(1+BO281),0)</f>
        <v>56</v>
      </c>
      <c r="BP11" s="100">
        <f t="shared" si="120"/>
        <v>53</v>
      </c>
      <c r="BQ11" s="100">
        <f t="shared" si="120"/>
        <v>54</v>
      </c>
      <c r="BR11" s="100">
        <f t="shared" si="120"/>
        <v>54</v>
      </c>
      <c r="BS11" s="100">
        <f t="shared" si="120"/>
        <v>56</v>
      </c>
      <c r="BT11" s="100">
        <f t="shared" si="120"/>
        <v>56</v>
      </c>
      <c r="BU11" s="100">
        <f t="shared" si="120"/>
        <v>56</v>
      </c>
      <c r="BV11" s="100">
        <f t="shared" si="120"/>
        <v>56</v>
      </c>
      <c r="BW11" s="100">
        <f t="shared" si="120"/>
        <v>56</v>
      </c>
      <c r="BX11" s="100">
        <f t="shared" si="120"/>
        <v>56</v>
      </c>
      <c r="BY11" s="27"/>
      <c r="BZ11" s="380">
        <f t="shared" si="115"/>
        <v>44</v>
      </c>
      <c r="CA11" s="380">
        <f t="shared" si="115"/>
        <v>44</v>
      </c>
      <c r="CB11" s="97"/>
      <c r="CC11" s="380">
        <f t="shared" si="116"/>
        <v>18</v>
      </c>
      <c r="CD11" s="380">
        <f t="shared" si="116"/>
        <v>56</v>
      </c>
      <c r="CE11" s="380">
        <f t="shared" si="116"/>
        <v>49</v>
      </c>
      <c r="CF11" s="380">
        <f t="shared" si="116"/>
        <v>44</v>
      </c>
      <c r="CG11" s="380">
        <f t="shared" si="116"/>
        <v>53</v>
      </c>
      <c r="CH11" s="380">
        <f t="shared" si="116"/>
        <v>56</v>
      </c>
      <c r="CI11" s="380">
        <f t="shared" si="116"/>
        <v>56</v>
      </c>
      <c r="CJ11" s="380">
        <f t="shared" si="116"/>
        <v>56</v>
      </c>
    </row>
    <row r="12" spans="1:88" x14ac:dyDescent="0.3">
      <c r="A12" s="33" t="str">
        <f t="shared" si="109"/>
        <v>Second</v>
      </c>
      <c r="B12" s="32" t="str">
        <f>IF('DCS Detail'!$B12="","",'DCS Detail'!$B12)</f>
        <v>Second</v>
      </c>
      <c r="C12" s="101">
        <v>22</v>
      </c>
      <c r="D12" s="101">
        <v>18</v>
      </c>
      <c r="E12" s="101">
        <v>18</v>
      </c>
      <c r="F12" s="101">
        <v>50</v>
      </c>
      <c r="G12" s="101">
        <v>50</v>
      </c>
      <c r="H12" s="101">
        <v>48</v>
      </c>
      <c r="I12" s="101">
        <v>49</v>
      </c>
      <c r="J12" s="101">
        <v>49</v>
      </c>
      <c r="K12" s="101">
        <v>48</v>
      </c>
      <c r="L12" s="101">
        <v>48</v>
      </c>
      <c r="M12" s="101">
        <v>47</v>
      </c>
      <c r="N12" s="101">
        <v>46</v>
      </c>
      <c r="O12" s="101">
        <v>46</v>
      </c>
      <c r="P12" s="101">
        <v>46</v>
      </c>
      <c r="Q12" s="101">
        <v>46</v>
      </c>
      <c r="R12" s="101">
        <v>56</v>
      </c>
      <c r="S12" s="101">
        <v>54</v>
      </c>
      <c r="T12" s="101">
        <v>55</v>
      </c>
      <c r="U12" s="101">
        <v>55</v>
      </c>
      <c r="V12" s="101">
        <v>54</v>
      </c>
      <c r="W12" s="101">
        <v>53</v>
      </c>
      <c r="X12" s="101">
        <v>52</v>
      </c>
      <c r="Y12" s="101">
        <v>52</v>
      </c>
      <c r="Z12" s="101">
        <v>52</v>
      </c>
      <c r="AA12" s="440">
        <f t="shared" si="110"/>
        <v>52</v>
      </c>
      <c r="AB12" s="100">
        <f t="shared" si="110"/>
        <v>52</v>
      </c>
      <c r="AC12" s="100">
        <f t="shared" si="110"/>
        <v>52</v>
      </c>
      <c r="AD12" s="124">
        <f>42+9</f>
        <v>51</v>
      </c>
      <c r="AE12" s="100">
        <f t="shared" ref="AE12:AO12" si="121">ROUND(AD12*(1+AE282),0)</f>
        <v>49</v>
      </c>
      <c r="AF12" s="100">
        <f t="shared" si="121"/>
        <v>50</v>
      </c>
      <c r="AG12" s="100">
        <f t="shared" si="121"/>
        <v>50</v>
      </c>
      <c r="AH12" s="100">
        <f t="shared" si="121"/>
        <v>49</v>
      </c>
      <c r="AI12" s="100">
        <f t="shared" si="121"/>
        <v>50</v>
      </c>
      <c r="AJ12" s="100">
        <f t="shared" si="121"/>
        <v>49</v>
      </c>
      <c r="AK12" s="100">
        <f t="shared" si="121"/>
        <v>48</v>
      </c>
      <c r="AL12" s="100">
        <f t="shared" si="121"/>
        <v>49</v>
      </c>
      <c r="AM12" s="100">
        <f t="shared" si="121"/>
        <v>49</v>
      </c>
      <c r="AN12" s="100">
        <f t="shared" si="121"/>
        <v>49</v>
      </c>
      <c r="AO12" s="100">
        <f t="shared" si="121"/>
        <v>49</v>
      </c>
      <c r="AP12" s="124">
        <v>56</v>
      </c>
      <c r="AQ12" s="100">
        <f t="shared" ref="AQ12:BA12" si="122">ROUND(AP12*(1+AQ282),0)</f>
        <v>54</v>
      </c>
      <c r="AR12" s="100">
        <f t="shared" si="122"/>
        <v>55</v>
      </c>
      <c r="AS12" s="100">
        <f t="shared" si="122"/>
        <v>55</v>
      </c>
      <c r="AT12" s="100">
        <f t="shared" si="122"/>
        <v>54</v>
      </c>
      <c r="AU12" s="100">
        <f t="shared" si="122"/>
        <v>55</v>
      </c>
      <c r="AV12" s="100">
        <f t="shared" si="122"/>
        <v>54</v>
      </c>
      <c r="AW12" s="100">
        <f t="shared" si="122"/>
        <v>53</v>
      </c>
      <c r="AX12" s="100">
        <f t="shared" si="122"/>
        <v>54</v>
      </c>
      <c r="AY12" s="100">
        <f t="shared" si="122"/>
        <v>54</v>
      </c>
      <c r="AZ12" s="100">
        <f t="shared" si="122"/>
        <v>54</v>
      </c>
      <c r="BA12" s="100">
        <f t="shared" si="122"/>
        <v>54</v>
      </c>
      <c r="BB12" s="124">
        <v>56</v>
      </c>
      <c r="BC12" s="100">
        <f t="shared" ref="BC12:BM12" si="123">ROUND(BB12*(1+BC282),0)</f>
        <v>54</v>
      </c>
      <c r="BD12" s="100">
        <f t="shared" si="123"/>
        <v>55</v>
      </c>
      <c r="BE12" s="100">
        <f t="shared" si="123"/>
        <v>55</v>
      </c>
      <c r="BF12" s="100">
        <f t="shared" si="123"/>
        <v>54</v>
      </c>
      <c r="BG12" s="100">
        <f t="shared" si="123"/>
        <v>55</v>
      </c>
      <c r="BH12" s="100">
        <f t="shared" si="123"/>
        <v>54</v>
      </c>
      <c r="BI12" s="100">
        <f t="shared" si="123"/>
        <v>53</v>
      </c>
      <c r="BJ12" s="100">
        <f t="shared" si="123"/>
        <v>54</v>
      </c>
      <c r="BK12" s="100">
        <f t="shared" si="123"/>
        <v>54</v>
      </c>
      <c r="BL12" s="100">
        <f t="shared" si="123"/>
        <v>54</v>
      </c>
      <c r="BM12" s="100">
        <f t="shared" si="123"/>
        <v>54</v>
      </c>
      <c r="BN12" s="124">
        <v>56</v>
      </c>
      <c r="BO12" s="100">
        <f t="shared" ref="BO12:BX12" si="124">ROUND(BN12*(1+BO282),0)</f>
        <v>54</v>
      </c>
      <c r="BP12" s="100">
        <f t="shared" si="124"/>
        <v>55</v>
      </c>
      <c r="BQ12" s="100">
        <f t="shared" si="124"/>
        <v>55</v>
      </c>
      <c r="BR12" s="100">
        <f t="shared" si="124"/>
        <v>54</v>
      </c>
      <c r="BS12" s="100">
        <f t="shared" si="124"/>
        <v>55</v>
      </c>
      <c r="BT12" s="100">
        <f t="shared" si="124"/>
        <v>54</v>
      </c>
      <c r="BU12" s="100">
        <f t="shared" si="124"/>
        <v>53</v>
      </c>
      <c r="BV12" s="100">
        <f t="shared" si="124"/>
        <v>54</v>
      </c>
      <c r="BW12" s="100">
        <f t="shared" si="124"/>
        <v>54</v>
      </c>
      <c r="BX12" s="100">
        <f t="shared" si="124"/>
        <v>54</v>
      </c>
      <c r="BY12" s="27"/>
      <c r="BZ12" s="380">
        <f t="shared" si="115"/>
        <v>52</v>
      </c>
      <c r="CA12" s="380">
        <f t="shared" si="115"/>
        <v>52</v>
      </c>
      <c r="CB12" s="97"/>
      <c r="CC12" s="380">
        <f t="shared" si="116"/>
        <v>22</v>
      </c>
      <c r="CD12" s="380">
        <f t="shared" si="116"/>
        <v>18</v>
      </c>
      <c r="CE12" s="380">
        <f t="shared" si="116"/>
        <v>46</v>
      </c>
      <c r="CF12" s="380">
        <f t="shared" si="116"/>
        <v>52</v>
      </c>
      <c r="CG12" s="380">
        <f t="shared" si="116"/>
        <v>49</v>
      </c>
      <c r="CH12" s="380">
        <f t="shared" si="116"/>
        <v>54</v>
      </c>
      <c r="CI12" s="380">
        <f t="shared" si="116"/>
        <v>54</v>
      </c>
      <c r="CJ12" s="380">
        <f t="shared" si="116"/>
        <v>54</v>
      </c>
    </row>
    <row r="13" spans="1:88" x14ac:dyDescent="0.3">
      <c r="A13" s="33" t="str">
        <f t="shared" si="109"/>
        <v>Third</v>
      </c>
      <c r="B13" s="32" t="str">
        <f>IF('DCS Detail'!$B13="","",'DCS Detail'!$B13)</f>
        <v>Third</v>
      </c>
      <c r="C13" s="101">
        <v>35</v>
      </c>
      <c r="D13" s="101">
        <v>24</v>
      </c>
      <c r="E13" s="101">
        <v>24</v>
      </c>
      <c r="F13" s="101">
        <v>23</v>
      </c>
      <c r="G13" s="101">
        <v>22</v>
      </c>
      <c r="H13" s="101">
        <v>23</v>
      </c>
      <c r="I13" s="101">
        <v>25</v>
      </c>
      <c r="J13" s="101">
        <v>25</v>
      </c>
      <c r="K13" s="101">
        <v>25</v>
      </c>
      <c r="L13" s="101">
        <v>26</v>
      </c>
      <c r="M13" s="101">
        <v>26</v>
      </c>
      <c r="N13" s="101">
        <v>26</v>
      </c>
      <c r="O13" s="101">
        <v>26</v>
      </c>
      <c r="P13" s="101">
        <v>26</v>
      </c>
      <c r="Q13" s="101">
        <v>26</v>
      </c>
      <c r="R13" s="101">
        <v>43</v>
      </c>
      <c r="S13" s="101">
        <v>42</v>
      </c>
      <c r="T13" s="101">
        <v>42</v>
      </c>
      <c r="U13" s="101">
        <v>41</v>
      </c>
      <c r="V13" s="101">
        <v>40</v>
      </c>
      <c r="W13" s="101">
        <v>40</v>
      </c>
      <c r="X13" s="101">
        <v>40</v>
      </c>
      <c r="Y13" s="101">
        <v>40</v>
      </c>
      <c r="Z13" s="101">
        <v>40</v>
      </c>
      <c r="AA13" s="440">
        <f t="shared" si="110"/>
        <v>40</v>
      </c>
      <c r="AB13" s="100">
        <f t="shared" si="110"/>
        <v>40</v>
      </c>
      <c r="AC13" s="100">
        <f t="shared" si="110"/>
        <v>40</v>
      </c>
      <c r="AD13" s="124">
        <f>54+0</f>
        <v>54</v>
      </c>
      <c r="AE13" s="100">
        <f t="shared" ref="AE13:AO13" si="125">ROUND(AD13*(1+AE283),0)</f>
        <v>53</v>
      </c>
      <c r="AF13" s="100">
        <f t="shared" si="125"/>
        <v>53</v>
      </c>
      <c r="AG13" s="100">
        <f t="shared" si="125"/>
        <v>53</v>
      </c>
      <c r="AH13" s="100">
        <f t="shared" si="125"/>
        <v>52</v>
      </c>
      <c r="AI13" s="100">
        <f t="shared" si="125"/>
        <v>52</v>
      </c>
      <c r="AJ13" s="100">
        <f t="shared" si="125"/>
        <v>52</v>
      </c>
      <c r="AK13" s="100">
        <f t="shared" si="125"/>
        <v>52</v>
      </c>
      <c r="AL13" s="100">
        <f t="shared" si="125"/>
        <v>52</v>
      </c>
      <c r="AM13" s="100">
        <f t="shared" si="125"/>
        <v>52</v>
      </c>
      <c r="AN13" s="100">
        <f t="shared" si="125"/>
        <v>52</v>
      </c>
      <c r="AO13" s="100">
        <f t="shared" si="125"/>
        <v>52</v>
      </c>
      <c r="AP13" s="124">
        <v>56</v>
      </c>
      <c r="AQ13" s="100">
        <f t="shared" ref="AQ13:BA13" si="126">ROUND(AP13*(1+AQ283),0)</f>
        <v>55</v>
      </c>
      <c r="AR13" s="100">
        <f t="shared" si="126"/>
        <v>55</v>
      </c>
      <c r="AS13" s="100">
        <f t="shared" si="126"/>
        <v>55</v>
      </c>
      <c r="AT13" s="100">
        <f t="shared" si="126"/>
        <v>54</v>
      </c>
      <c r="AU13" s="100">
        <f t="shared" si="126"/>
        <v>54</v>
      </c>
      <c r="AV13" s="100">
        <f t="shared" si="126"/>
        <v>54</v>
      </c>
      <c r="AW13" s="100">
        <f t="shared" si="126"/>
        <v>54</v>
      </c>
      <c r="AX13" s="100">
        <f t="shared" si="126"/>
        <v>54</v>
      </c>
      <c r="AY13" s="100">
        <f t="shared" si="126"/>
        <v>54</v>
      </c>
      <c r="AZ13" s="100">
        <f t="shared" si="126"/>
        <v>54</v>
      </c>
      <c r="BA13" s="100">
        <f t="shared" si="126"/>
        <v>54</v>
      </c>
      <c r="BB13" s="124">
        <v>56</v>
      </c>
      <c r="BC13" s="100">
        <f t="shared" ref="BC13:BM13" si="127">ROUND(BB13*(1+BC283),0)</f>
        <v>55</v>
      </c>
      <c r="BD13" s="100">
        <f t="shared" si="127"/>
        <v>55</v>
      </c>
      <c r="BE13" s="100">
        <f t="shared" si="127"/>
        <v>55</v>
      </c>
      <c r="BF13" s="100">
        <f t="shared" si="127"/>
        <v>54</v>
      </c>
      <c r="BG13" s="100">
        <f t="shared" si="127"/>
        <v>54</v>
      </c>
      <c r="BH13" s="100">
        <f t="shared" si="127"/>
        <v>54</v>
      </c>
      <c r="BI13" s="100">
        <f t="shared" si="127"/>
        <v>54</v>
      </c>
      <c r="BJ13" s="100">
        <f t="shared" si="127"/>
        <v>54</v>
      </c>
      <c r="BK13" s="100">
        <f t="shared" si="127"/>
        <v>54</v>
      </c>
      <c r="BL13" s="100">
        <f t="shared" si="127"/>
        <v>54</v>
      </c>
      <c r="BM13" s="100">
        <f t="shared" si="127"/>
        <v>54</v>
      </c>
      <c r="BN13" s="124">
        <v>56</v>
      </c>
      <c r="BO13" s="100">
        <f t="shared" ref="BO13:BX13" si="128">ROUND(BN13*(1+BO283),0)</f>
        <v>55</v>
      </c>
      <c r="BP13" s="100">
        <f t="shared" si="128"/>
        <v>55</v>
      </c>
      <c r="BQ13" s="100">
        <f t="shared" si="128"/>
        <v>55</v>
      </c>
      <c r="BR13" s="100">
        <f t="shared" si="128"/>
        <v>54</v>
      </c>
      <c r="BS13" s="100">
        <f t="shared" si="128"/>
        <v>54</v>
      </c>
      <c r="BT13" s="100">
        <f t="shared" si="128"/>
        <v>54</v>
      </c>
      <c r="BU13" s="100">
        <f t="shared" si="128"/>
        <v>54</v>
      </c>
      <c r="BV13" s="100">
        <f t="shared" si="128"/>
        <v>54</v>
      </c>
      <c r="BW13" s="100">
        <f t="shared" si="128"/>
        <v>54</v>
      </c>
      <c r="BX13" s="100">
        <f t="shared" si="128"/>
        <v>54</v>
      </c>
      <c r="BY13" s="27"/>
      <c r="BZ13" s="380">
        <f t="shared" si="115"/>
        <v>40</v>
      </c>
      <c r="CA13" s="380">
        <f t="shared" si="115"/>
        <v>40</v>
      </c>
      <c r="CB13" s="97"/>
      <c r="CC13" s="380">
        <f t="shared" si="116"/>
        <v>35</v>
      </c>
      <c r="CD13" s="380">
        <f t="shared" si="116"/>
        <v>24</v>
      </c>
      <c r="CE13" s="380">
        <f t="shared" si="116"/>
        <v>26</v>
      </c>
      <c r="CF13" s="380">
        <f t="shared" si="116"/>
        <v>40</v>
      </c>
      <c r="CG13" s="380">
        <f t="shared" si="116"/>
        <v>52</v>
      </c>
      <c r="CH13" s="380">
        <f t="shared" si="116"/>
        <v>54</v>
      </c>
      <c r="CI13" s="380">
        <f t="shared" si="116"/>
        <v>54</v>
      </c>
      <c r="CJ13" s="380">
        <f t="shared" si="116"/>
        <v>54</v>
      </c>
    </row>
    <row r="14" spans="1:88" x14ac:dyDescent="0.3">
      <c r="A14" s="33" t="str">
        <f t="shared" si="109"/>
        <v>Fourth</v>
      </c>
      <c r="B14" s="32" t="str">
        <f>IF('DCS Detail'!$B14="","",'DCS Detail'!$B14)</f>
        <v>Fourth</v>
      </c>
      <c r="C14" s="101">
        <v>26</v>
      </c>
      <c r="D14" s="101">
        <v>40</v>
      </c>
      <c r="E14" s="101">
        <v>40</v>
      </c>
      <c r="F14" s="101">
        <v>24</v>
      </c>
      <c r="G14" s="101">
        <v>24</v>
      </c>
      <c r="H14" s="101">
        <v>23</v>
      </c>
      <c r="I14" s="101">
        <v>24</v>
      </c>
      <c r="J14" s="101">
        <v>24</v>
      </c>
      <c r="K14" s="101">
        <v>24</v>
      </c>
      <c r="L14" s="101">
        <v>25</v>
      </c>
      <c r="M14" s="101">
        <v>25</v>
      </c>
      <c r="N14" s="101">
        <v>25</v>
      </c>
      <c r="O14" s="101">
        <v>25</v>
      </c>
      <c r="P14" s="101">
        <v>25</v>
      </c>
      <c r="Q14" s="101">
        <v>25</v>
      </c>
      <c r="R14" s="101">
        <v>24</v>
      </c>
      <c r="S14" s="101">
        <v>24</v>
      </c>
      <c r="T14" s="101">
        <v>25</v>
      </c>
      <c r="U14" s="101">
        <v>25</v>
      </c>
      <c r="V14" s="101">
        <v>25</v>
      </c>
      <c r="W14" s="101">
        <v>25</v>
      </c>
      <c r="X14" s="101">
        <v>25</v>
      </c>
      <c r="Y14" s="101">
        <v>25</v>
      </c>
      <c r="Z14" s="101">
        <v>25</v>
      </c>
      <c r="AA14" s="440">
        <f t="shared" si="110"/>
        <v>25</v>
      </c>
      <c r="AB14" s="100">
        <f t="shared" si="110"/>
        <v>25</v>
      </c>
      <c r="AC14" s="100">
        <f t="shared" si="110"/>
        <v>25</v>
      </c>
      <c r="AD14" s="124">
        <f>43+19</f>
        <v>62</v>
      </c>
      <c r="AE14" s="100">
        <f t="shared" ref="AE14:AO14" si="129">ROUND(AD14*(1+AE284),0)</f>
        <v>62</v>
      </c>
      <c r="AF14" s="100">
        <f t="shared" si="129"/>
        <v>62</v>
      </c>
      <c r="AG14" s="100">
        <f t="shared" si="129"/>
        <v>62</v>
      </c>
      <c r="AH14" s="100">
        <f t="shared" si="129"/>
        <v>62</v>
      </c>
      <c r="AI14" s="100">
        <f t="shared" si="129"/>
        <v>62</v>
      </c>
      <c r="AJ14" s="100">
        <f t="shared" si="129"/>
        <v>62</v>
      </c>
      <c r="AK14" s="100">
        <f t="shared" si="129"/>
        <v>62</v>
      </c>
      <c r="AL14" s="100">
        <f t="shared" si="129"/>
        <v>62</v>
      </c>
      <c r="AM14" s="100">
        <f t="shared" si="129"/>
        <v>62</v>
      </c>
      <c r="AN14" s="100">
        <f t="shared" si="129"/>
        <v>62</v>
      </c>
      <c r="AO14" s="100">
        <f t="shared" si="129"/>
        <v>62</v>
      </c>
      <c r="AP14" s="124">
        <v>56</v>
      </c>
      <c r="AQ14" s="100">
        <f t="shared" ref="AQ14:BA14" si="130">ROUND(AP14*(1+AQ284),0)</f>
        <v>56</v>
      </c>
      <c r="AR14" s="100">
        <f t="shared" si="130"/>
        <v>56</v>
      </c>
      <c r="AS14" s="100">
        <f t="shared" si="130"/>
        <v>56</v>
      </c>
      <c r="AT14" s="100">
        <f t="shared" si="130"/>
        <v>56</v>
      </c>
      <c r="AU14" s="100">
        <f t="shared" si="130"/>
        <v>56</v>
      </c>
      <c r="AV14" s="100">
        <f t="shared" si="130"/>
        <v>56</v>
      </c>
      <c r="AW14" s="100">
        <f t="shared" si="130"/>
        <v>56</v>
      </c>
      <c r="AX14" s="100">
        <f t="shared" si="130"/>
        <v>56</v>
      </c>
      <c r="AY14" s="100">
        <f t="shared" si="130"/>
        <v>56</v>
      </c>
      <c r="AZ14" s="100">
        <f t="shared" si="130"/>
        <v>56</v>
      </c>
      <c r="BA14" s="100">
        <f t="shared" si="130"/>
        <v>56</v>
      </c>
      <c r="BB14" s="124">
        <v>56</v>
      </c>
      <c r="BC14" s="100">
        <f t="shared" ref="BC14:BM14" si="131">ROUND(BB14*(1+BC284),0)</f>
        <v>56</v>
      </c>
      <c r="BD14" s="100">
        <f t="shared" si="131"/>
        <v>56</v>
      </c>
      <c r="BE14" s="100">
        <f t="shared" si="131"/>
        <v>56</v>
      </c>
      <c r="BF14" s="100">
        <f t="shared" si="131"/>
        <v>56</v>
      </c>
      <c r="BG14" s="100">
        <f t="shared" si="131"/>
        <v>56</v>
      </c>
      <c r="BH14" s="100">
        <f t="shared" si="131"/>
        <v>56</v>
      </c>
      <c r="BI14" s="100">
        <f t="shared" si="131"/>
        <v>56</v>
      </c>
      <c r="BJ14" s="100">
        <f t="shared" si="131"/>
        <v>56</v>
      </c>
      <c r="BK14" s="100">
        <f t="shared" si="131"/>
        <v>56</v>
      </c>
      <c r="BL14" s="100">
        <f t="shared" si="131"/>
        <v>56</v>
      </c>
      <c r="BM14" s="100">
        <f t="shared" si="131"/>
        <v>56</v>
      </c>
      <c r="BN14" s="124">
        <v>56</v>
      </c>
      <c r="BO14" s="100">
        <f t="shared" ref="BO14:BX14" si="132">ROUND(BN14*(1+BO284),0)</f>
        <v>56</v>
      </c>
      <c r="BP14" s="100">
        <f t="shared" si="132"/>
        <v>56</v>
      </c>
      <c r="BQ14" s="100">
        <f t="shared" si="132"/>
        <v>56</v>
      </c>
      <c r="BR14" s="100">
        <f t="shared" si="132"/>
        <v>56</v>
      </c>
      <c r="BS14" s="100">
        <f t="shared" si="132"/>
        <v>56</v>
      </c>
      <c r="BT14" s="100">
        <f t="shared" si="132"/>
        <v>56</v>
      </c>
      <c r="BU14" s="100">
        <f t="shared" si="132"/>
        <v>56</v>
      </c>
      <c r="BV14" s="100">
        <f t="shared" si="132"/>
        <v>56</v>
      </c>
      <c r="BW14" s="100">
        <f t="shared" si="132"/>
        <v>56</v>
      </c>
      <c r="BX14" s="100">
        <f t="shared" si="132"/>
        <v>56</v>
      </c>
      <c r="BY14" s="27"/>
      <c r="BZ14" s="380">
        <f t="shared" si="115"/>
        <v>25</v>
      </c>
      <c r="CA14" s="380">
        <f t="shared" si="115"/>
        <v>25</v>
      </c>
      <c r="CB14" s="97"/>
      <c r="CC14" s="380">
        <f t="shared" si="116"/>
        <v>26</v>
      </c>
      <c r="CD14" s="380">
        <f t="shared" si="116"/>
        <v>40</v>
      </c>
      <c r="CE14" s="380">
        <f t="shared" si="116"/>
        <v>25</v>
      </c>
      <c r="CF14" s="380">
        <f t="shared" si="116"/>
        <v>25</v>
      </c>
      <c r="CG14" s="380">
        <f t="shared" si="116"/>
        <v>62</v>
      </c>
      <c r="CH14" s="380">
        <f t="shared" si="116"/>
        <v>56</v>
      </c>
      <c r="CI14" s="380">
        <f t="shared" si="116"/>
        <v>56</v>
      </c>
      <c r="CJ14" s="380">
        <f t="shared" si="116"/>
        <v>56</v>
      </c>
    </row>
    <row r="15" spans="1:88" x14ac:dyDescent="0.3">
      <c r="A15" s="33" t="str">
        <f t="shared" si="109"/>
        <v>Fifth</v>
      </c>
      <c r="B15" s="32" t="str">
        <f>IF('DCS Detail'!$B15="","",'DCS Detail'!$B15)</f>
        <v>Fifth</v>
      </c>
      <c r="C15" s="101">
        <v>25</v>
      </c>
      <c r="D15" s="101">
        <v>26</v>
      </c>
      <c r="E15" s="101">
        <v>26</v>
      </c>
      <c r="F15" s="101">
        <v>44</v>
      </c>
      <c r="G15" s="101">
        <v>43</v>
      </c>
      <c r="H15" s="101">
        <v>43</v>
      </c>
      <c r="I15" s="101">
        <v>43</v>
      </c>
      <c r="J15" s="101">
        <v>43</v>
      </c>
      <c r="K15" s="101">
        <v>42</v>
      </c>
      <c r="L15" s="101">
        <v>42</v>
      </c>
      <c r="M15" s="101">
        <v>43</v>
      </c>
      <c r="N15" s="101">
        <v>42</v>
      </c>
      <c r="O15" s="101">
        <v>41</v>
      </c>
      <c r="P15" s="101">
        <v>41</v>
      </c>
      <c r="Q15" s="101">
        <v>41</v>
      </c>
      <c r="R15" s="101">
        <v>25</v>
      </c>
      <c r="S15" s="101">
        <v>26</v>
      </c>
      <c r="T15" s="101">
        <v>26</v>
      </c>
      <c r="U15" s="101">
        <v>26</v>
      </c>
      <c r="V15" s="101">
        <v>26</v>
      </c>
      <c r="W15" s="101">
        <v>26</v>
      </c>
      <c r="X15" s="101">
        <v>26</v>
      </c>
      <c r="Y15" s="101">
        <v>25</v>
      </c>
      <c r="Z15" s="101">
        <v>25</v>
      </c>
      <c r="AA15" s="440">
        <f t="shared" si="110"/>
        <v>25</v>
      </c>
      <c r="AB15" s="100">
        <f t="shared" si="110"/>
        <v>25</v>
      </c>
      <c r="AC15" s="100">
        <f t="shared" si="110"/>
        <v>25</v>
      </c>
      <c r="AD15" s="124">
        <f>27+0</f>
        <v>27</v>
      </c>
      <c r="AE15" s="100">
        <f t="shared" ref="AE15:AO15" si="133">ROUND(AD15*(1+AE285),0)</f>
        <v>27</v>
      </c>
      <c r="AF15" s="100">
        <f t="shared" si="133"/>
        <v>27</v>
      </c>
      <c r="AG15" s="100">
        <f t="shared" si="133"/>
        <v>27</v>
      </c>
      <c r="AH15" s="100">
        <f t="shared" si="133"/>
        <v>27</v>
      </c>
      <c r="AI15" s="100">
        <f t="shared" si="133"/>
        <v>27</v>
      </c>
      <c r="AJ15" s="100">
        <f t="shared" si="133"/>
        <v>27</v>
      </c>
      <c r="AK15" s="100">
        <f t="shared" si="133"/>
        <v>28</v>
      </c>
      <c r="AL15" s="100">
        <f t="shared" si="133"/>
        <v>27</v>
      </c>
      <c r="AM15" s="100">
        <f t="shared" si="133"/>
        <v>27</v>
      </c>
      <c r="AN15" s="100">
        <f t="shared" si="133"/>
        <v>27</v>
      </c>
      <c r="AO15" s="100">
        <f t="shared" si="133"/>
        <v>27</v>
      </c>
      <c r="AP15" s="124">
        <f>3*28</f>
        <v>84</v>
      </c>
      <c r="AQ15" s="100">
        <f t="shared" ref="AQ15:BA15" si="134">ROUND(AP15*(1+AQ285),0)</f>
        <v>84</v>
      </c>
      <c r="AR15" s="100">
        <f t="shared" si="134"/>
        <v>84</v>
      </c>
      <c r="AS15" s="100">
        <f t="shared" si="134"/>
        <v>84</v>
      </c>
      <c r="AT15" s="100">
        <f t="shared" si="134"/>
        <v>84</v>
      </c>
      <c r="AU15" s="100">
        <f t="shared" si="134"/>
        <v>84</v>
      </c>
      <c r="AV15" s="100">
        <f t="shared" si="134"/>
        <v>84</v>
      </c>
      <c r="AW15" s="100">
        <f t="shared" si="134"/>
        <v>86</v>
      </c>
      <c r="AX15" s="100">
        <f t="shared" si="134"/>
        <v>84</v>
      </c>
      <c r="AY15" s="100">
        <f t="shared" si="134"/>
        <v>84</v>
      </c>
      <c r="AZ15" s="100">
        <f t="shared" si="134"/>
        <v>84</v>
      </c>
      <c r="BA15" s="100">
        <f t="shared" si="134"/>
        <v>84</v>
      </c>
      <c r="BB15" s="124">
        <v>56</v>
      </c>
      <c r="BC15" s="100">
        <f t="shared" ref="BC15:BM15" si="135">ROUND(BB15*(1+BC285),0)</f>
        <v>56</v>
      </c>
      <c r="BD15" s="100">
        <f t="shared" si="135"/>
        <v>56</v>
      </c>
      <c r="BE15" s="100">
        <f t="shared" si="135"/>
        <v>56</v>
      </c>
      <c r="BF15" s="100">
        <f t="shared" si="135"/>
        <v>56</v>
      </c>
      <c r="BG15" s="100">
        <f t="shared" si="135"/>
        <v>56</v>
      </c>
      <c r="BH15" s="100">
        <f t="shared" si="135"/>
        <v>56</v>
      </c>
      <c r="BI15" s="100">
        <f t="shared" si="135"/>
        <v>57</v>
      </c>
      <c r="BJ15" s="100">
        <f t="shared" si="135"/>
        <v>56</v>
      </c>
      <c r="BK15" s="100">
        <f t="shared" si="135"/>
        <v>56</v>
      </c>
      <c r="BL15" s="100">
        <f t="shared" si="135"/>
        <v>56</v>
      </c>
      <c r="BM15" s="100">
        <f t="shared" si="135"/>
        <v>56</v>
      </c>
      <c r="BN15" s="124">
        <v>56</v>
      </c>
      <c r="BO15" s="100">
        <f t="shared" ref="BO15:BX15" si="136">ROUND(BN15*(1+BO285),0)</f>
        <v>56</v>
      </c>
      <c r="BP15" s="100">
        <f t="shared" si="136"/>
        <v>56</v>
      </c>
      <c r="BQ15" s="100">
        <f t="shared" si="136"/>
        <v>56</v>
      </c>
      <c r="BR15" s="100">
        <f t="shared" si="136"/>
        <v>56</v>
      </c>
      <c r="BS15" s="100">
        <f t="shared" si="136"/>
        <v>56</v>
      </c>
      <c r="BT15" s="100">
        <f t="shared" si="136"/>
        <v>56</v>
      </c>
      <c r="BU15" s="100">
        <f t="shared" si="136"/>
        <v>57</v>
      </c>
      <c r="BV15" s="100">
        <f t="shared" si="136"/>
        <v>56</v>
      </c>
      <c r="BW15" s="100">
        <f t="shared" si="136"/>
        <v>56</v>
      </c>
      <c r="BX15" s="100">
        <f t="shared" si="136"/>
        <v>56</v>
      </c>
      <c r="BY15" s="27"/>
      <c r="BZ15" s="380">
        <f t="shared" si="115"/>
        <v>25</v>
      </c>
      <c r="CA15" s="380">
        <f t="shared" si="115"/>
        <v>25</v>
      </c>
      <c r="CB15" s="97"/>
      <c r="CC15" s="380">
        <f t="shared" si="116"/>
        <v>25</v>
      </c>
      <c r="CD15" s="380">
        <f t="shared" si="116"/>
        <v>26</v>
      </c>
      <c r="CE15" s="380">
        <f t="shared" si="116"/>
        <v>41</v>
      </c>
      <c r="CF15" s="380">
        <f t="shared" si="116"/>
        <v>25</v>
      </c>
      <c r="CG15" s="380">
        <f t="shared" si="116"/>
        <v>27</v>
      </c>
      <c r="CH15" s="380">
        <f t="shared" si="116"/>
        <v>84</v>
      </c>
      <c r="CI15" s="380">
        <f t="shared" si="116"/>
        <v>56</v>
      </c>
      <c r="CJ15" s="380">
        <f t="shared" si="116"/>
        <v>56</v>
      </c>
    </row>
    <row r="16" spans="1:88" x14ac:dyDescent="0.3">
      <c r="A16" s="33" t="str">
        <f t="shared" si="109"/>
        <v>Sixth</v>
      </c>
      <c r="B16" s="32" t="str">
        <f>IF('DCS Detail'!$B16="","",'DCS Detail'!$B16)</f>
        <v>Sixth</v>
      </c>
      <c r="C16" s="101">
        <v>25</v>
      </c>
      <c r="D16" s="101">
        <v>38</v>
      </c>
      <c r="E16" s="101">
        <v>38</v>
      </c>
      <c r="F16" s="101">
        <v>42</v>
      </c>
      <c r="G16" s="101">
        <v>42</v>
      </c>
      <c r="H16" s="101">
        <v>43</v>
      </c>
      <c r="I16" s="101">
        <v>44</v>
      </c>
      <c r="J16" s="101">
        <v>43</v>
      </c>
      <c r="K16" s="101">
        <v>44</v>
      </c>
      <c r="L16" s="101">
        <v>44</v>
      </c>
      <c r="M16" s="101">
        <v>44</v>
      </c>
      <c r="N16" s="101">
        <v>44</v>
      </c>
      <c r="O16" s="101">
        <v>44</v>
      </c>
      <c r="P16" s="101">
        <v>44</v>
      </c>
      <c r="Q16" s="101">
        <v>44</v>
      </c>
      <c r="R16" s="101">
        <v>46</v>
      </c>
      <c r="S16" s="101">
        <v>45</v>
      </c>
      <c r="T16" s="101">
        <v>45</v>
      </c>
      <c r="U16" s="101">
        <v>45</v>
      </c>
      <c r="V16" s="101">
        <v>46</v>
      </c>
      <c r="W16" s="101">
        <v>47</v>
      </c>
      <c r="X16" s="101">
        <v>47</v>
      </c>
      <c r="Y16" s="101">
        <v>47</v>
      </c>
      <c r="Z16" s="101">
        <v>47</v>
      </c>
      <c r="AA16" s="440">
        <f t="shared" si="110"/>
        <v>47</v>
      </c>
      <c r="AB16" s="100">
        <f t="shared" si="110"/>
        <v>47</v>
      </c>
      <c r="AC16" s="100">
        <f t="shared" si="110"/>
        <v>47</v>
      </c>
      <c r="AD16" s="124">
        <f>37+0</f>
        <v>37</v>
      </c>
      <c r="AE16" s="100">
        <f t="shared" ref="AE16:AO16" si="137">ROUND(AD16*(1+AE286),0)</f>
        <v>36</v>
      </c>
      <c r="AF16" s="100">
        <f t="shared" si="137"/>
        <v>36</v>
      </c>
      <c r="AG16" s="100">
        <f t="shared" si="137"/>
        <v>36</v>
      </c>
      <c r="AH16" s="100">
        <f t="shared" si="137"/>
        <v>37</v>
      </c>
      <c r="AI16" s="100">
        <f t="shared" si="137"/>
        <v>38</v>
      </c>
      <c r="AJ16" s="100">
        <f t="shared" si="137"/>
        <v>37</v>
      </c>
      <c r="AK16" s="100">
        <f t="shared" si="137"/>
        <v>37</v>
      </c>
      <c r="AL16" s="100">
        <f t="shared" si="137"/>
        <v>37</v>
      </c>
      <c r="AM16" s="100">
        <f t="shared" si="137"/>
        <v>37</v>
      </c>
      <c r="AN16" s="100">
        <f t="shared" si="137"/>
        <v>37</v>
      </c>
      <c r="AO16" s="100">
        <f t="shared" si="137"/>
        <v>37</v>
      </c>
      <c r="AP16" s="124">
        <v>56</v>
      </c>
      <c r="AQ16" s="100">
        <f t="shared" ref="AQ16:BA16" si="138">ROUND(AP16*(1+AQ286),0)</f>
        <v>55</v>
      </c>
      <c r="AR16" s="100">
        <f t="shared" si="138"/>
        <v>55</v>
      </c>
      <c r="AS16" s="100">
        <f t="shared" si="138"/>
        <v>55</v>
      </c>
      <c r="AT16" s="100">
        <f t="shared" si="138"/>
        <v>56</v>
      </c>
      <c r="AU16" s="100">
        <f t="shared" si="138"/>
        <v>57</v>
      </c>
      <c r="AV16" s="100">
        <f t="shared" si="138"/>
        <v>56</v>
      </c>
      <c r="AW16" s="100">
        <f t="shared" si="138"/>
        <v>56</v>
      </c>
      <c r="AX16" s="100">
        <f t="shared" si="138"/>
        <v>56</v>
      </c>
      <c r="AY16" s="100">
        <f t="shared" si="138"/>
        <v>56</v>
      </c>
      <c r="AZ16" s="100">
        <f t="shared" si="138"/>
        <v>56</v>
      </c>
      <c r="BA16" s="100">
        <f t="shared" si="138"/>
        <v>56</v>
      </c>
      <c r="BB16" s="124">
        <f>3*28</f>
        <v>84</v>
      </c>
      <c r="BC16" s="100">
        <f t="shared" ref="BC16:BM16" si="139">ROUND(BB16*(1+BC286),0)</f>
        <v>82</v>
      </c>
      <c r="BD16" s="100">
        <f t="shared" si="139"/>
        <v>82</v>
      </c>
      <c r="BE16" s="100">
        <f t="shared" si="139"/>
        <v>82</v>
      </c>
      <c r="BF16" s="100">
        <f t="shared" si="139"/>
        <v>84</v>
      </c>
      <c r="BG16" s="100">
        <f t="shared" si="139"/>
        <v>86</v>
      </c>
      <c r="BH16" s="100">
        <f t="shared" si="139"/>
        <v>84</v>
      </c>
      <c r="BI16" s="100">
        <f t="shared" si="139"/>
        <v>84</v>
      </c>
      <c r="BJ16" s="100">
        <f t="shared" si="139"/>
        <v>84</v>
      </c>
      <c r="BK16" s="100">
        <f t="shared" si="139"/>
        <v>84</v>
      </c>
      <c r="BL16" s="100">
        <f t="shared" si="139"/>
        <v>84</v>
      </c>
      <c r="BM16" s="100">
        <f t="shared" si="139"/>
        <v>84</v>
      </c>
      <c r="BN16" s="124">
        <v>56</v>
      </c>
      <c r="BO16" s="100">
        <f t="shared" ref="BO16:BX16" si="140">ROUND(BN16*(1+BO286),0)</f>
        <v>55</v>
      </c>
      <c r="BP16" s="100">
        <f t="shared" si="140"/>
        <v>55</v>
      </c>
      <c r="BQ16" s="100">
        <f t="shared" si="140"/>
        <v>55</v>
      </c>
      <c r="BR16" s="100">
        <f t="shared" si="140"/>
        <v>56</v>
      </c>
      <c r="BS16" s="100">
        <f t="shared" si="140"/>
        <v>57</v>
      </c>
      <c r="BT16" s="100">
        <f t="shared" si="140"/>
        <v>56</v>
      </c>
      <c r="BU16" s="100">
        <f t="shared" si="140"/>
        <v>56</v>
      </c>
      <c r="BV16" s="100">
        <f t="shared" si="140"/>
        <v>56</v>
      </c>
      <c r="BW16" s="100">
        <f t="shared" si="140"/>
        <v>56</v>
      </c>
      <c r="BX16" s="100">
        <f t="shared" si="140"/>
        <v>56</v>
      </c>
      <c r="BY16" s="27"/>
      <c r="BZ16" s="380">
        <f t="shared" si="115"/>
        <v>47</v>
      </c>
      <c r="CA16" s="380">
        <f t="shared" si="115"/>
        <v>47</v>
      </c>
      <c r="CB16" s="97"/>
      <c r="CC16" s="380">
        <f t="shared" si="116"/>
        <v>25</v>
      </c>
      <c r="CD16" s="380">
        <f t="shared" si="116"/>
        <v>38</v>
      </c>
      <c r="CE16" s="380">
        <f t="shared" si="116"/>
        <v>44</v>
      </c>
      <c r="CF16" s="380">
        <f t="shared" si="116"/>
        <v>47</v>
      </c>
      <c r="CG16" s="380">
        <f t="shared" si="116"/>
        <v>37</v>
      </c>
      <c r="CH16" s="380">
        <f t="shared" si="116"/>
        <v>56</v>
      </c>
      <c r="CI16" s="380">
        <f t="shared" si="116"/>
        <v>84</v>
      </c>
      <c r="CJ16" s="380">
        <f t="shared" si="116"/>
        <v>56</v>
      </c>
    </row>
    <row r="17" spans="1:91" x14ac:dyDescent="0.3">
      <c r="A17" s="33" t="str">
        <f t="shared" si="109"/>
        <v>Seventh</v>
      </c>
      <c r="B17" s="32" t="str">
        <f>IF('DCS Detail'!$B17="","",'DCS Detail'!$B17)</f>
        <v>Seventh</v>
      </c>
      <c r="C17" s="101">
        <v>18</v>
      </c>
      <c r="D17" s="101">
        <v>26</v>
      </c>
      <c r="E17" s="101">
        <v>26</v>
      </c>
      <c r="F17" s="101">
        <v>36</v>
      </c>
      <c r="G17" s="101">
        <v>37</v>
      </c>
      <c r="H17" s="101">
        <v>39</v>
      </c>
      <c r="I17" s="101">
        <v>37</v>
      </c>
      <c r="J17" s="101">
        <v>37</v>
      </c>
      <c r="K17" s="101">
        <v>38</v>
      </c>
      <c r="L17" s="101">
        <v>36</v>
      </c>
      <c r="M17" s="101">
        <v>35</v>
      </c>
      <c r="N17" s="101">
        <v>34</v>
      </c>
      <c r="O17" s="101">
        <v>34</v>
      </c>
      <c r="P17" s="101">
        <v>34</v>
      </c>
      <c r="Q17" s="101">
        <v>34</v>
      </c>
      <c r="R17" s="101">
        <v>47</v>
      </c>
      <c r="S17" s="101">
        <v>50</v>
      </c>
      <c r="T17" s="101">
        <v>47</v>
      </c>
      <c r="U17" s="101">
        <v>45</v>
      </c>
      <c r="V17" s="101">
        <v>45</v>
      </c>
      <c r="W17" s="101">
        <v>45</v>
      </c>
      <c r="X17" s="101">
        <v>47</v>
      </c>
      <c r="Y17" s="101">
        <v>47</v>
      </c>
      <c r="Z17" s="101">
        <v>47</v>
      </c>
      <c r="AA17" s="440">
        <f t="shared" si="110"/>
        <v>47</v>
      </c>
      <c r="AB17" s="100">
        <f t="shared" si="110"/>
        <v>47</v>
      </c>
      <c r="AC17" s="100">
        <f t="shared" si="110"/>
        <v>47</v>
      </c>
      <c r="AD17" s="124">
        <f>43+11</f>
        <v>54</v>
      </c>
      <c r="AE17" s="100">
        <f t="shared" ref="AE17:AO17" si="141">ROUND(AD17*(1+AE287),0)</f>
        <v>54</v>
      </c>
      <c r="AF17" s="100">
        <f t="shared" si="141"/>
        <v>54</v>
      </c>
      <c r="AG17" s="100">
        <f t="shared" si="141"/>
        <v>52</v>
      </c>
      <c r="AH17" s="100">
        <f t="shared" si="141"/>
        <v>52</v>
      </c>
      <c r="AI17" s="100">
        <f t="shared" si="141"/>
        <v>52</v>
      </c>
      <c r="AJ17" s="100">
        <f t="shared" si="141"/>
        <v>54</v>
      </c>
      <c r="AK17" s="100">
        <f t="shared" si="141"/>
        <v>54</v>
      </c>
      <c r="AL17" s="100">
        <f t="shared" si="141"/>
        <v>52</v>
      </c>
      <c r="AM17" s="100">
        <f t="shared" si="141"/>
        <v>52</v>
      </c>
      <c r="AN17" s="100">
        <f t="shared" si="141"/>
        <v>52</v>
      </c>
      <c r="AO17" s="100">
        <f t="shared" si="141"/>
        <v>52</v>
      </c>
      <c r="AP17" s="124">
        <v>56</v>
      </c>
      <c r="AQ17" s="100">
        <f t="shared" ref="AQ17:BA17" si="142">ROUND(AP17*(1+AQ287),0)</f>
        <v>56</v>
      </c>
      <c r="AR17" s="100">
        <f t="shared" si="142"/>
        <v>56</v>
      </c>
      <c r="AS17" s="100">
        <f t="shared" si="142"/>
        <v>54</v>
      </c>
      <c r="AT17" s="100">
        <f t="shared" si="142"/>
        <v>54</v>
      </c>
      <c r="AU17" s="100">
        <f t="shared" si="142"/>
        <v>54</v>
      </c>
      <c r="AV17" s="100">
        <f t="shared" si="142"/>
        <v>56</v>
      </c>
      <c r="AW17" s="100">
        <f t="shared" si="142"/>
        <v>56</v>
      </c>
      <c r="AX17" s="100">
        <f t="shared" si="142"/>
        <v>54</v>
      </c>
      <c r="AY17" s="100">
        <f t="shared" si="142"/>
        <v>54</v>
      </c>
      <c r="AZ17" s="100">
        <f t="shared" si="142"/>
        <v>54</v>
      </c>
      <c r="BA17" s="100">
        <f t="shared" si="142"/>
        <v>54</v>
      </c>
      <c r="BB17" s="124">
        <v>56</v>
      </c>
      <c r="BC17" s="100">
        <f t="shared" ref="BC17:BM17" si="143">ROUND(BB17*(1+BC287),0)</f>
        <v>56</v>
      </c>
      <c r="BD17" s="100">
        <f t="shared" si="143"/>
        <v>56</v>
      </c>
      <c r="BE17" s="100">
        <f t="shared" si="143"/>
        <v>54</v>
      </c>
      <c r="BF17" s="100">
        <f t="shared" si="143"/>
        <v>54</v>
      </c>
      <c r="BG17" s="100">
        <f t="shared" si="143"/>
        <v>54</v>
      </c>
      <c r="BH17" s="100">
        <f t="shared" si="143"/>
        <v>56</v>
      </c>
      <c r="BI17" s="100">
        <f t="shared" si="143"/>
        <v>56</v>
      </c>
      <c r="BJ17" s="100">
        <f t="shared" si="143"/>
        <v>54</v>
      </c>
      <c r="BK17" s="100">
        <f t="shared" si="143"/>
        <v>54</v>
      </c>
      <c r="BL17" s="100">
        <f t="shared" si="143"/>
        <v>54</v>
      </c>
      <c r="BM17" s="100">
        <f t="shared" si="143"/>
        <v>54</v>
      </c>
      <c r="BN17" s="124">
        <f>3*28</f>
        <v>84</v>
      </c>
      <c r="BO17" s="100">
        <f t="shared" ref="BO17:BX17" si="144">ROUND(BN17*(1+BO287),0)</f>
        <v>84</v>
      </c>
      <c r="BP17" s="100">
        <f t="shared" si="144"/>
        <v>84</v>
      </c>
      <c r="BQ17" s="100">
        <f t="shared" si="144"/>
        <v>81</v>
      </c>
      <c r="BR17" s="100">
        <f t="shared" si="144"/>
        <v>81</v>
      </c>
      <c r="BS17" s="100">
        <f t="shared" si="144"/>
        <v>81</v>
      </c>
      <c r="BT17" s="100">
        <f t="shared" si="144"/>
        <v>84</v>
      </c>
      <c r="BU17" s="100">
        <f t="shared" si="144"/>
        <v>84</v>
      </c>
      <c r="BV17" s="100">
        <f t="shared" si="144"/>
        <v>82</v>
      </c>
      <c r="BW17" s="100">
        <f t="shared" si="144"/>
        <v>82</v>
      </c>
      <c r="BX17" s="100">
        <f t="shared" si="144"/>
        <v>82</v>
      </c>
      <c r="BY17" s="27"/>
      <c r="BZ17" s="380">
        <f t="shared" si="115"/>
        <v>47</v>
      </c>
      <c r="CA17" s="380">
        <f t="shared" si="115"/>
        <v>47</v>
      </c>
      <c r="CB17" s="97"/>
      <c r="CC17" s="380">
        <f t="shared" si="116"/>
        <v>18</v>
      </c>
      <c r="CD17" s="380">
        <f t="shared" si="116"/>
        <v>26</v>
      </c>
      <c r="CE17" s="380">
        <f t="shared" si="116"/>
        <v>34</v>
      </c>
      <c r="CF17" s="380">
        <f t="shared" si="116"/>
        <v>47</v>
      </c>
      <c r="CG17" s="380">
        <f t="shared" si="116"/>
        <v>52</v>
      </c>
      <c r="CH17" s="380">
        <f t="shared" si="116"/>
        <v>54</v>
      </c>
      <c r="CI17" s="380">
        <f t="shared" si="116"/>
        <v>54</v>
      </c>
      <c r="CJ17" s="380">
        <f t="shared" si="116"/>
        <v>82</v>
      </c>
    </row>
    <row r="18" spans="1:91" x14ac:dyDescent="0.3">
      <c r="A18" s="33" t="str">
        <f t="shared" si="109"/>
        <v>Eighth</v>
      </c>
      <c r="B18" s="32" t="str">
        <f>IF('DCS Detail'!$B18="","",'DCS Detail'!$B18)</f>
        <v>Eighth</v>
      </c>
      <c r="C18" s="101">
        <v>23</v>
      </c>
      <c r="D18" s="101">
        <v>20</v>
      </c>
      <c r="E18" s="101">
        <v>20</v>
      </c>
      <c r="F18" s="101">
        <v>33</v>
      </c>
      <c r="G18" s="101">
        <v>32</v>
      </c>
      <c r="H18" s="101">
        <v>32</v>
      </c>
      <c r="I18" s="101">
        <v>33</v>
      </c>
      <c r="J18" s="101">
        <v>33</v>
      </c>
      <c r="K18" s="101">
        <v>33</v>
      </c>
      <c r="L18" s="101">
        <v>32</v>
      </c>
      <c r="M18" s="101">
        <v>32</v>
      </c>
      <c r="N18" s="101">
        <v>32</v>
      </c>
      <c r="O18" s="101">
        <v>32</v>
      </c>
      <c r="P18" s="101">
        <v>32</v>
      </c>
      <c r="Q18" s="101">
        <v>32</v>
      </c>
      <c r="R18" s="101">
        <v>31</v>
      </c>
      <c r="S18" s="101">
        <v>31</v>
      </c>
      <c r="T18" s="101">
        <v>31</v>
      </c>
      <c r="U18" s="101">
        <v>31</v>
      </c>
      <c r="V18" s="101">
        <v>30</v>
      </c>
      <c r="W18" s="101">
        <v>30</v>
      </c>
      <c r="X18" s="101">
        <v>30</v>
      </c>
      <c r="Y18" s="101">
        <v>30</v>
      </c>
      <c r="Z18" s="101">
        <v>30</v>
      </c>
      <c r="AA18" s="440">
        <f t="shared" si="110"/>
        <v>30</v>
      </c>
      <c r="AB18" s="100">
        <f t="shared" si="110"/>
        <v>30</v>
      </c>
      <c r="AC18" s="100">
        <f t="shared" si="110"/>
        <v>30</v>
      </c>
      <c r="AD18" s="124">
        <f>46+9</f>
        <v>55</v>
      </c>
      <c r="AE18" s="100">
        <f t="shared" ref="AE18:AO18" si="145">ROUND(AD18*(1+AE288),0)</f>
        <v>55</v>
      </c>
      <c r="AF18" s="100">
        <f t="shared" si="145"/>
        <v>55</v>
      </c>
      <c r="AG18" s="100">
        <f t="shared" si="145"/>
        <v>55</v>
      </c>
      <c r="AH18" s="100">
        <f t="shared" si="145"/>
        <v>53</v>
      </c>
      <c r="AI18" s="100">
        <f t="shared" si="145"/>
        <v>53</v>
      </c>
      <c r="AJ18" s="100">
        <f t="shared" si="145"/>
        <v>53</v>
      </c>
      <c r="AK18" s="100">
        <f t="shared" si="145"/>
        <v>53</v>
      </c>
      <c r="AL18" s="100">
        <f t="shared" si="145"/>
        <v>53</v>
      </c>
      <c r="AM18" s="100">
        <f t="shared" si="145"/>
        <v>53</v>
      </c>
      <c r="AN18" s="100">
        <f t="shared" si="145"/>
        <v>53</v>
      </c>
      <c r="AO18" s="100">
        <f t="shared" si="145"/>
        <v>53</v>
      </c>
      <c r="AP18" s="124">
        <v>56</v>
      </c>
      <c r="AQ18" s="100">
        <f t="shared" ref="AQ18:BA18" si="146">ROUND(AP18*(1+AQ288),0)</f>
        <v>56</v>
      </c>
      <c r="AR18" s="100">
        <f t="shared" si="146"/>
        <v>56</v>
      </c>
      <c r="AS18" s="100">
        <f t="shared" si="146"/>
        <v>56</v>
      </c>
      <c r="AT18" s="100">
        <f t="shared" si="146"/>
        <v>54</v>
      </c>
      <c r="AU18" s="100">
        <f t="shared" si="146"/>
        <v>54</v>
      </c>
      <c r="AV18" s="100">
        <f t="shared" si="146"/>
        <v>54</v>
      </c>
      <c r="AW18" s="100">
        <f t="shared" si="146"/>
        <v>54</v>
      </c>
      <c r="AX18" s="100">
        <f t="shared" si="146"/>
        <v>54</v>
      </c>
      <c r="AY18" s="100">
        <f t="shared" si="146"/>
        <v>54</v>
      </c>
      <c r="AZ18" s="100">
        <f t="shared" si="146"/>
        <v>54</v>
      </c>
      <c r="BA18" s="100">
        <f t="shared" si="146"/>
        <v>54</v>
      </c>
      <c r="BB18" s="124">
        <v>56</v>
      </c>
      <c r="BC18" s="100">
        <f t="shared" ref="BC18:BM18" si="147">ROUND(BB18*(1+BC288),0)</f>
        <v>56</v>
      </c>
      <c r="BD18" s="100">
        <f t="shared" si="147"/>
        <v>56</v>
      </c>
      <c r="BE18" s="100">
        <f t="shared" si="147"/>
        <v>56</v>
      </c>
      <c r="BF18" s="100">
        <f t="shared" si="147"/>
        <v>54</v>
      </c>
      <c r="BG18" s="100">
        <f t="shared" si="147"/>
        <v>54</v>
      </c>
      <c r="BH18" s="100">
        <f t="shared" si="147"/>
        <v>54</v>
      </c>
      <c r="BI18" s="100">
        <f t="shared" si="147"/>
        <v>54</v>
      </c>
      <c r="BJ18" s="100">
        <f t="shared" si="147"/>
        <v>54</v>
      </c>
      <c r="BK18" s="100">
        <f t="shared" si="147"/>
        <v>54</v>
      </c>
      <c r="BL18" s="100">
        <f t="shared" si="147"/>
        <v>54</v>
      </c>
      <c r="BM18" s="100">
        <f t="shared" si="147"/>
        <v>54</v>
      </c>
      <c r="BN18" s="124">
        <v>56</v>
      </c>
      <c r="BO18" s="100">
        <f t="shared" ref="BO18:BX18" si="148">ROUND(BN18*(1+BO288),0)</f>
        <v>56</v>
      </c>
      <c r="BP18" s="100">
        <f t="shared" si="148"/>
        <v>56</v>
      </c>
      <c r="BQ18" s="100">
        <f t="shared" si="148"/>
        <v>56</v>
      </c>
      <c r="BR18" s="100">
        <f t="shared" si="148"/>
        <v>54</v>
      </c>
      <c r="BS18" s="100">
        <f t="shared" si="148"/>
        <v>54</v>
      </c>
      <c r="BT18" s="100">
        <f t="shared" si="148"/>
        <v>54</v>
      </c>
      <c r="BU18" s="100">
        <f t="shared" si="148"/>
        <v>54</v>
      </c>
      <c r="BV18" s="100">
        <f t="shared" si="148"/>
        <v>54</v>
      </c>
      <c r="BW18" s="100">
        <f t="shared" si="148"/>
        <v>54</v>
      </c>
      <c r="BX18" s="100">
        <f t="shared" si="148"/>
        <v>54</v>
      </c>
      <c r="BY18" s="27"/>
      <c r="BZ18" s="380">
        <f t="shared" si="115"/>
        <v>30</v>
      </c>
      <c r="CA18" s="380">
        <f t="shared" si="115"/>
        <v>30</v>
      </c>
      <c r="CB18" s="97"/>
      <c r="CC18" s="380">
        <f t="shared" si="116"/>
        <v>23</v>
      </c>
      <c r="CD18" s="380">
        <f t="shared" si="116"/>
        <v>20</v>
      </c>
      <c r="CE18" s="380">
        <f t="shared" si="116"/>
        <v>32</v>
      </c>
      <c r="CF18" s="380">
        <f t="shared" si="116"/>
        <v>30</v>
      </c>
      <c r="CG18" s="380">
        <f t="shared" si="116"/>
        <v>53</v>
      </c>
      <c r="CH18" s="380">
        <f t="shared" si="116"/>
        <v>54</v>
      </c>
      <c r="CI18" s="380">
        <f t="shared" si="116"/>
        <v>54</v>
      </c>
      <c r="CJ18" s="380">
        <f t="shared" si="116"/>
        <v>54</v>
      </c>
    </row>
    <row r="19" spans="1:91" x14ac:dyDescent="0.3">
      <c r="A19" s="127" t="str">
        <f t="shared" si="109"/>
        <v>Enrollees</v>
      </c>
      <c r="B19" s="32" t="str">
        <f>IF('DCS Detail'!$B19="","",'DCS Detail'!$B19)</f>
        <v>Enrollees</v>
      </c>
      <c r="C19" s="128">
        <f t="shared" ref="C19:Y19" si="149">SUM(C10:C18)</f>
        <v>254</v>
      </c>
      <c r="D19" s="128">
        <f t="shared" si="149"/>
        <v>297</v>
      </c>
      <c r="E19" s="128">
        <f t="shared" si="149"/>
        <v>297</v>
      </c>
      <c r="F19" s="128">
        <f t="shared" si="149"/>
        <v>336</v>
      </c>
      <c r="G19" s="128">
        <f t="shared" si="149"/>
        <v>339</v>
      </c>
      <c r="H19" s="128">
        <f t="shared" si="149"/>
        <v>340</v>
      </c>
      <c r="I19" s="128">
        <f t="shared" si="149"/>
        <v>347</v>
      </c>
      <c r="J19" s="128">
        <f t="shared" si="149"/>
        <v>344</v>
      </c>
      <c r="K19" s="128">
        <f t="shared" si="149"/>
        <v>343</v>
      </c>
      <c r="L19" s="128">
        <f t="shared" si="149"/>
        <v>341</v>
      </c>
      <c r="M19" s="128">
        <f t="shared" si="149"/>
        <v>339</v>
      </c>
      <c r="N19" s="128">
        <f t="shared" si="149"/>
        <v>337</v>
      </c>
      <c r="O19" s="128">
        <f t="shared" si="149"/>
        <v>336</v>
      </c>
      <c r="P19" s="128">
        <f t="shared" si="149"/>
        <v>336</v>
      </c>
      <c r="Q19" s="128">
        <f t="shared" si="149"/>
        <v>336</v>
      </c>
      <c r="R19" s="128">
        <f t="shared" si="149"/>
        <v>360</v>
      </c>
      <c r="S19" s="128">
        <f t="shared" si="149"/>
        <v>359</v>
      </c>
      <c r="T19" s="128">
        <f t="shared" si="149"/>
        <v>354</v>
      </c>
      <c r="U19" s="128">
        <f t="shared" si="149"/>
        <v>350</v>
      </c>
      <c r="V19" s="128">
        <f t="shared" si="149"/>
        <v>348</v>
      </c>
      <c r="W19" s="128">
        <f t="shared" si="149"/>
        <v>350</v>
      </c>
      <c r="X19" s="128">
        <f t="shared" si="149"/>
        <v>350</v>
      </c>
      <c r="Y19" s="128">
        <f t="shared" si="149"/>
        <v>349</v>
      </c>
      <c r="Z19" s="128">
        <f t="shared" ref="Z19:AB19" si="150">SUM(Z10:Z18)</f>
        <v>349</v>
      </c>
      <c r="AA19" s="128">
        <f t="shared" si="150"/>
        <v>349</v>
      </c>
      <c r="AB19" s="128">
        <f t="shared" si="150"/>
        <v>349</v>
      </c>
      <c r="AC19" s="128">
        <f t="shared" ref="AC19:AD19" si="151">SUM(AC10:AC18)</f>
        <v>349</v>
      </c>
      <c r="AD19" s="128">
        <f t="shared" si="151"/>
        <v>446</v>
      </c>
      <c r="AE19" s="128">
        <f t="shared" ref="AE19:AO19" si="152">SUM(AE10:AE18)</f>
        <v>441</v>
      </c>
      <c r="AF19" s="128">
        <f t="shared" si="152"/>
        <v>438</v>
      </c>
      <c r="AG19" s="128">
        <f t="shared" si="152"/>
        <v>436</v>
      </c>
      <c r="AH19" s="128">
        <f t="shared" si="152"/>
        <v>434</v>
      </c>
      <c r="AI19" s="128">
        <f t="shared" si="152"/>
        <v>440</v>
      </c>
      <c r="AJ19" s="128">
        <f t="shared" si="152"/>
        <v>439</v>
      </c>
      <c r="AK19" s="128">
        <f t="shared" si="152"/>
        <v>439</v>
      </c>
      <c r="AL19" s="128">
        <f t="shared" si="152"/>
        <v>437</v>
      </c>
      <c r="AM19" s="128">
        <f t="shared" si="152"/>
        <v>437</v>
      </c>
      <c r="AN19" s="128">
        <f t="shared" si="152"/>
        <v>437</v>
      </c>
      <c r="AO19" s="128">
        <f t="shared" si="152"/>
        <v>437</v>
      </c>
      <c r="AP19" s="128">
        <f t="shared" ref="AP19:CA19" si="153">SUM(AP10:AP18)</f>
        <v>532</v>
      </c>
      <c r="AQ19" s="128">
        <f t="shared" si="153"/>
        <v>527</v>
      </c>
      <c r="AR19" s="128">
        <f t="shared" si="153"/>
        <v>524</v>
      </c>
      <c r="AS19" s="128">
        <f t="shared" si="153"/>
        <v>522</v>
      </c>
      <c r="AT19" s="128">
        <f t="shared" si="153"/>
        <v>520</v>
      </c>
      <c r="AU19" s="128">
        <f t="shared" si="153"/>
        <v>526</v>
      </c>
      <c r="AV19" s="128">
        <f t="shared" si="153"/>
        <v>525</v>
      </c>
      <c r="AW19" s="128">
        <f t="shared" si="153"/>
        <v>526</v>
      </c>
      <c r="AX19" s="128">
        <f t="shared" si="153"/>
        <v>523</v>
      </c>
      <c r="AY19" s="128">
        <f t="shared" si="153"/>
        <v>523</v>
      </c>
      <c r="AZ19" s="128">
        <f t="shared" si="153"/>
        <v>523</v>
      </c>
      <c r="BA19" s="128">
        <f t="shared" ref="BA19:BX19" si="154">SUM(BA10:BA18)</f>
        <v>523</v>
      </c>
      <c r="BB19" s="128">
        <f t="shared" si="154"/>
        <v>532</v>
      </c>
      <c r="BC19" s="128">
        <f t="shared" si="154"/>
        <v>526</v>
      </c>
      <c r="BD19" s="128">
        <f t="shared" si="154"/>
        <v>523</v>
      </c>
      <c r="BE19" s="128">
        <f t="shared" si="154"/>
        <v>521</v>
      </c>
      <c r="BF19" s="128">
        <f t="shared" si="154"/>
        <v>520</v>
      </c>
      <c r="BG19" s="128">
        <f t="shared" si="154"/>
        <v>527</v>
      </c>
      <c r="BH19" s="128">
        <f t="shared" si="154"/>
        <v>525</v>
      </c>
      <c r="BI19" s="128">
        <f t="shared" si="154"/>
        <v>525</v>
      </c>
      <c r="BJ19" s="128">
        <f t="shared" si="154"/>
        <v>523</v>
      </c>
      <c r="BK19" s="128">
        <f t="shared" si="154"/>
        <v>523</v>
      </c>
      <c r="BL19" s="128">
        <f t="shared" si="154"/>
        <v>523</v>
      </c>
      <c r="BM19" s="128">
        <f t="shared" si="154"/>
        <v>523</v>
      </c>
      <c r="BN19" s="128">
        <f t="shared" si="154"/>
        <v>532</v>
      </c>
      <c r="BO19" s="128">
        <f t="shared" si="154"/>
        <v>527</v>
      </c>
      <c r="BP19" s="128">
        <f t="shared" si="154"/>
        <v>524</v>
      </c>
      <c r="BQ19" s="128">
        <f t="shared" si="154"/>
        <v>521</v>
      </c>
      <c r="BR19" s="128">
        <f t="shared" si="154"/>
        <v>519</v>
      </c>
      <c r="BS19" s="128">
        <f t="shared" si="154"/>
        <v>525</v>
      </c>
      <c r="BT19" s="128">
        <f t="shared" si="154"/>
        <v>525</v>
      </c>
      <c r="BU19" s="128">
        <f t="shared" si="154"/>
        <v>525</v>
      </c>
      <c r="BV19" s="128">
        <f t="shared" si="154"/>
        <v>523</v>
      </c>
      <c r="BW19" s="128">
        <f t="shared" si="154"/>
        <v>523</v>
      </c>
      <c r="BX19" s="128">
        <f t="shared" si="154"/>
        <v>523</v>
      </c>
      <c r="BY19" s="27"/>
      <c r="BZ19" s="381">
        <f t="shared" si="153"/>
        <v>349</v>
      </c>
      <c r="CA19" s="381">
        <f t="shared" si="153"/>
        <v>349</v>
      </c>
      <c r="CB19" s="97"/>
      <c r="CC19" s="381">
        <f t="shared" ref="CC19:CJ19" si="155">SUM(CC10:CC18)</f>
        <v>254</v>
      </c>
      <c r="CD19" s="381">
        <f t="shared" si="155"/>
        <v>297</v>
      </c>
      <c r="CE19" s="381">
        <f t="shared" si="155"/>
        <v>336</v>
      </c>
      <c r="CF19" s="381">
        <f t="shared" si="155"/>
        <v>349</v>
      </c>
      <c r="CG19" s="381">
        <f t="shared" si="155"/>
        <v>437</v>
      </c>
      <c r="CH19" s="381">
        <f t="shared" si="155"/>
        <v>523</v>
      </c>
      <c r="CI19" s="381">
        <f t="shared" si="155"/>
        <v>523</v>
      </c>
      <c r="CJ19" s="381">
        <f t="shared" si="155"/>
        <v>523</v>
      </c>
    </row>
    <row r="20" spans="1:91" x14ac:dyDescent="0.3">
      <c r="A20" s="415" t="s">
        <v>411</v>
      </c>
      <c r="B20" s="32"/>
      <c r="C20" s="32"/>
      <c r="D20" s="417">
        <f t="shared" ref="D20:X20" si="156">D19/C19-1</f>
        <v>0.16929133858267709</v>
      </c>
      <c r="E20" s="417">
        <f t="shared" si="156"/>
        <v>0</v>
      </c>
      <c r="F20" s="417">
        <f t="shared" si="156"/>
        <v>0.13131313131313127</v>
      </c>
      <c r="G20" s="417">
        <f t="shared" si="156"/>
        <v>8.9285714285713969E-3</v>
      </c>
      <c r="H20" s="417">
        <f t="shared" si="156"/>
        <v>2.9498525073745618E-3</v>
      </c>
      <c r="I20" s="417">
        <f t="shared" si="156"/>
        <v>2.0588235294117574E-2</v>
      </c>
      <c r="J20" s="417">
        <f t="shared" si="156"/>
        <v>-8.6455331412104153E-3</v>
      </c>
      <c r="K20" s="417">
        <f t="shared" si="156"/>
        <v>-2.9069767441860517E-3</v>
      </c>
      <c r="L20" s="417">
        <f t="shared" si="156"/>
        <v>-5.8309037900874383E-3</v>
      </c>
      <c r="M20" s="417">
        <f t="shared" si="156"/>
        <v>-5.8651026392961825E-3</v>
      </c>
      <c r="N20" s="417">
        <f t="shared" si="156"/>
        <v>-5.8997050147492347E-3</v>
      </c>
      <c r="O20" s="417">
        <f t="shared" si="156"/>
        <v>-2.9673590504450953E-3</v>
      </c>
      <c r="P20" s="417">
        <f t="shared" si="156"/>
        <v>0</v>
      </c>
      <c r="Q20" s="417">
        <f t="shared" si="156"/>
        <v>0</v>
      </c>
      <c r="R20" s="417">
        <f t="shared" si="156"/>
        <v>7.1428571428571397E-2</v>
      </c>
      <c r="S20" s="417">
        <f t="shared" si="156"/>
        <v>-2.7777777777777679E-3</v>
      </c>
      <c r="T20" s="417">
        <f t="shared" si="156"/>
        <v>-1.3927576601671321E-2</v>
      </c>
      <c r="U20" s="417">
        <f t="shared" si="156"/>
        <v>-1.1299435028248594E-2</v>
      </c>
      <c r="V20" s="417">
        <f t="shared" si="156"/>
        <v>-5.7142857142856718E-3</v>
      </c>
      <c r="W20" s="417">
        <f t="shared" si="156"/>
        <v>5.7471264367816577E-3</v>
      </c>
      <c r="X20" s="417">
        <f t="shared" si="156"/>
        <v>0</v>
      </c>
      <c r="Y20" s="417">
        <f t="shared" ref="Y20:BX20" si="157">Y19/X19-1</f>
        <v>-2.8571428571428914E-3</v>
      </c>
      <c r="Z20" s="417">
        <f t="shared" si="157"/>
        <v>0</v>
      </c>
      <c r="AA20" s="417">
        <f t="shared" si="157"/>
        <v>0</v>
      </c>
      <c r="AB20" s="417">
        <f t="shared" si="157"/>
        <v>0</v>
      </c>
      <c r="AC20" s="417">
        <f t="shared" si="157"/>
        <v>0</v>
      </c>
      <c r="AD20" s="417">
        <f t="shared" si="157"/>
        <v>0.27793696275071644</v>
      </c>
      <c r="AE20" s="417">
        <f t="shared" si="157"/>
        <v>-1.1210762331838597E-2</v>
      </c>
      <c r="AF20" s="417">
        <f t="shared" si="157"/>
        <v>-6.8027210884353817E-3</v>
      </c>
      <c r="AG20" s="417">
        <f t="shared" si="157"/>
        <v>-4.5662100456621557E-3</v>
      </c>
      <c r="AH20" s="417">
        <f t="shared" si="157"/>
        <v>-4.5871559633027248E-3</v>
      </c>
      <c r="AI20" s="417">
        <f t="shared" si="157"/>
        <v>1.3824884792626779E-2</v>
      </c>
      <c r="AJ20" s="417">
        <f t="shared" si="157"/>
        <v>-2.2727272727273151E-3</v>
      </c>
      <c r="AK20" s="417">
        <f t="shared" si="157"/>
        <v>0</v>
      </c>
      <c r="AL20" s="417">
        <f t="shared" si="157"/>
        <v>-4.5558086560364419E-3</v>
      </c>
      <c r="AM20" s="417">
        <f t="shared" si="157"/>
        <v>0</v>
      </c>
      <c r="AN20" s="417">
        <f t="shared" si="157"/>
        <v>0</v>
      </c>
      <c r="AO20" s="417">
        <f t="shared" si="157"/>
        <v>0</v>
      </c>
      <c r="AP20" s="417">
        <f t="shared" si="157"/>
        <v>0.21739130434782616</v>
      </c>
      <c r="AQ20" s="417">
        <f t="shared" si="157"/>
        <v>-9.3984962406015171E-3</v>
      </c>
      <c r="AR20" s="417">
        <f t="shared" si="157"/>
        <v>-5.6925996204933993E-3</v>
      </c>
      <c r="AS20" s="417">
        <f t="shared" si="157"/>
        <v>-3.8167938931297218E-3</v>
      </c>
      <c r="AT20" s="417">
        <f t="shared" si="157"/>
        <v>-3.8314176245211051E-3</v>
      </c>
      <c r="AU20" s="417">
        <f t="shared" si="157"/>
        <v>1.1538461538461497E-2</v>
      </c>
      <c r="AV20" s="417">
        <f t="shared" si="157"/>
        <v>-1.9011406844106071E-3</v>
      </c>
      <c r="AW20" s="417">
        <f t="shared" si="157"/>
        <v>1.9047619047618536E-3</v>
      </c>
      <c r="AX20" s="417">
        <f t="shared" si="157"/>
        <v>-5.7034220532319324E-3</v>
      </c>
      <c r="AY20" s="417">
        <f t="shared" si="157"/>
        <v>0</v>
      </c>
      <c r="AZ20" s="417">
        <f t="shared" si="157"/>
        <v>0</v>
      </c>
      <c r="BA20" s="417">
        <f t="shared" si="157"/>
        <v>0</v>
      </c>
      <c r="BB20" s="417">
        <f t="shared" si="157"/>
        <v>1.7208413001912115E-2</v>
      </c>
      <c r="BC20" s="417">
        <f t="shared" si="157"/>
        <v>-1.1278195488721776E-2</v>
      </c>
      <c r="BD20" s="417">
        <f t="shared" si="157"/>
        <v>-5.7034220532319324E-3</v>
      </c>
      <c r="BE20" s="417">
        <f t="shared" si="157"/>
        <v>-3.8240917782026429E-3</v>
      </c>
      <c r="BF20" s="417">
        <f t="shared" si="157"/>
        <v>-1.9193857965451588E-3</v>
      </c>
      <c r="BG20" s="417">
        <f t="shared" si="157"/>
        <v>1.3461538461538414E-2</v>
      </c>
      <c r="BH20" s="417">
        <f t="shared" si="157"/>
        <v>-3.7950664136622292E-3</v>
      </c>
      <c r="BI20" s="417">
        <f t="shared" si="157"/>
        <v>0</v>
      </c>
      <c r="BJ20" s="417">
        <f t="shared" si="157"/>
        <v>-3.8095238095238182E-3</v>
      </c>
      <c r="BK20" s="417">
        <f t="shared" si="157"/>
        <v>0</v>
      </c>
      <c r="BL20" s="417">
        <f t="shared" si="157"/>
        <v>0</v>
      </c>
      <c r="BM20" s="417">
        <f t="shared" si="157"/>
        <v>0</v>
      </c>
      <c r="BN20" s="417">
        <f t="shared" si="157"/>
        <v>1.7208413001912115E-2</v>
      </c>
      <c r="BO20" s="417">
        <f t="shared" si="157"/>
        <v>-9.3984962406015171E-3</v>
      </c>
      <c r="BP20" s="417">
        <f t="shared" si="157"/>
        <v>-5.6925996204933993E-3</v>
      </c>
      <c r="BQ20" s="417">
        <f t="shared" si="157"/>
        <v>-5.7251908396946938E-3</v>
      </c>
      <c r="BR20" s="417">
        <f t="shared" si="157"/>
        <v>-3.8387715930902067E-3</v>
      </c>
      <c r="BS20" s="417">
        <f t="shared" si="157"/>
        <v>1.1560693641618602E-2</v>
      </c>
      <c r="BT20" s="417">
        <f t="shared" si="157"/>
        <v>0</v>
      </c>
      <c r="BU20" s="417">
        <f t="shared" si="157"/>
        <v>0</v>
      </c>
      <c r="BV20" s="417">
        <f t="shared" si="157"/>
        <v>-3.8095238095238182E-3</v>
      </c>
      <c r="BW20" s="417">
        <f t="shared" si="157"/>
        <v>0</v>
      </c>
      <c r="BX20" s="417">
        <f t="shared" si="157"/>
        <v>0</v>
      </c>
      <c r="BY20" s="27"/>
      <c r="BZ20" s="382"/>
      <c r="CA20" s="382"/>
      <c r="CB20" s="97"/>
      <c r="CC20" s="382"/>
      <c r="CD20" s="417">
        <f t="shared" ref="CD20:CJ20" si="158">CD19/CC19-1</f>
        <v>0.16929133858267709</v>
      </c>
      <c r="CE20" s="417">
        <f t="shared" si="158"/>
        <v>0.13131313131313127</v>
      </c>
      <c r="CF20" s="417">
        <f t="shared" si="158"/>
        <v>3.8690476190476275E-2</v>
      </c>
      <c r="CG20" s="417">
        <f t="shared" si="158"/>
        <v>0.25214899713467043</v>
      </c>
      <c r="CH20" s="417">
        <f t="shared" si="158"/>
        <v>0.19679633867276891</v>
      </c>
      <c r="CI20" s="417">
        <f t="shared" si="158"/>
        <v>0</v>
      </c>
      <c r="CJ20" s="417">
        <f t="shared" si="158"/>
        <v>0</v>
      </c>
    </row>
    <row r="21" spans="1:91" x14ac:dyDescent="0.3">
      <c r="A21" s="23" t="s">
        <v>150</v>
      </c>
      <c r="B21" s="92"/>
      <c r="C21" s="92"/>
      <c r="D21" s="92"/>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383"/>
      <c r="CA21" s="383"/>
      <c r="CB21" s="384"/>
      <c r="CC21" s="384"/>
      <c r="CD21" s="384"/>
      <c r="CE21" s="384"/>
      <c r="CF21" s="384"/>
      <c r="CG21" s="384"/>
      <c r="CH21" s="384"/>
      <c r="CI21" s="384"/>
      <c r="CJ21" s="384"/>
    </row>
    <row r="22" spans="1:91" x14ac:dyDescent="0.3">
      <c r="A22" s="97" t="str">
        <f>'DCS Detail'!A22</f>
        <v>Income</v>
      </c>
      <c r="B22" s="106"/>
      <c r="C22" s="106"/>
      <c r="D22" s="106"/>
      <c r="BZ22" s="97"/>
      <c r="CA22" s="97"/>
      <c r="CB22" s="97"/>
      <c r="CC22" s="97"/>
      <c r="CD22" s="97"/>
      <c r="CE22" s="97"/>
      <c r="CF22" s="97"/>
      <c r="CG22" s="97"/>
      <c r="CH22" s="97"/>
      <c r="CI22" s="97"/>
      <c r="CJ22" s="97"/>
    </row>
    <row r="23" spans="1:91" x14ac:dyDescent="0.3">
      <c r="A23" s="97" t="str">
        <f>'DCS Detail'!A23</f>
        <v xml:space="preserve">   1500.1 Interest</v>
      </c>
      <c r="B23" s="106" t="str">
        <f>IF('DCS Detail'!$B23="","",'DCS Detail'!$B23)</f>
        <v>Other</v>
      </c>
      <c r="C23" s="106"/>
      <c r="D23" s="106"/>
      <c r="E23" s="18">
        <v>4.13</v>
      </c>
      <c r="F23" s="18">
        <v>2.95</v>
      </c>
      <c r="G23" s="18">
        <v>17.43</v>
      </c>
      <c r="H23" s="18">
        <v>16.010000000000002</v>
      </c>
      <c r="I23" s="18">
        <v>18.8</v>
      </c>
      <c r="J23" s="18">
        <v>18.510000000000002</v>
      </c>
      <c r="K23" s="18">
        <f>21.07*0.78</f>
        <v>16.4346</v>
      </c>
      <c r="L23" s="18">
        <v>15.275400000000005</v>
      </c>
      <c r="M23" s="18">
        <v>16.63</v>
      </c>
      <c r="N23" s="18">
        <v>13.66</v>
      </c>
      <c r="O23" s="18">
        <v>12.29</v>
      </c>
      <c r="P23" s="18">
        <v>20.329999999999998</v>
      </c>
      <c r="Q23" s="18">
        <v>16.010000000000002</v>
      </c>
      <c r="R23" s="18">
        <v>16.329999999999998</v>
      </c>
      <c r="S23" s="18">
        <v>15.3</v>
      </c>
      <c r="T23" s="18">
        <v>14.8</v>
      </c>
      <c r="U23" s="18">
        <v>13.25</v>
      </c>
      <c r="V23" s="18">
        <v>9.7200000000000006</v>
      </c>
      <c r="W23" s="18">
        <v>9.41</v>
      </c>
      <c r="X23" s="18">
        <v>7.64</v>
      </c>
      <c r="Y23" s="18">
        <v>7.54</v>
      </c>
      <c r="Z23" s="18">
        <v>7.02</v>
      </c>
      <c r="AA23" s="18">
        <v>7.29</v>
      </c>
      <c r="AB23" s="36">
        <f t="shared" ref="AB23:AZ23" si="159">P23</f>
        <v>20.329999999999998</v>
      </c>
      <c r="AC23" s="36">
        <f t="shared" si="159"/>
        <v>16.010000000000002</v>
      </c>
      <c r="AD23" s="36">
        <f t="shared" si="159"/>
        <v>16.329999999999998</v>
      </c>
      <c r="AE23" s="36">
        <f t="shared" si="159"/>
        <v>15.3</v>
      </c>
      <c r="AF23" s="36">
        <f t="shared" si="159"/>
        <v>14.8</v>
      </c>
      <c r="AG23" s="36">
        <f t="shared" si="159"/>
        <v>13.25</v>
      </c>
      <c r="AH23" s="36">
        <f t="shared" si="159"/>
        <v>9.7200000000000006</v>
      </c>
      <c r="AI23" s="36">
        <f t="shared" si="159"/>
        <v>9.41</v>
      </c>
      <c r="AJ23" s="36">
        <f t="shared" si="159"/>
        <v>7.64</v>
      </c>
      <c r="AK23" s="36">
        <f t="shared" si="159"/>
        <v>7.54</v>
      </c>
      <c r="AL23" s="36">
        <f t="shared" si="159"/>
        <v>7.02</v>
      </c>
      <c r="AM23" s="36">
        <f t="shared" si="159"/>
        <v>7.29</v>
      </c>
      <c r="AN23" s="36">
        <f t="shared" si="159"/>
        <v>20.329999999999998</v>
      </c>
      <c r="AO23" s="36">
        <f t="shared" si="159"/>
        <v>16.010000000000002</v>
      </c>
      <c r="AP23" s="36">
        <f t="shared" si="159"/>
        <v>16.329999999999998</v>
      </c>
      <c r="AQ23" s="36">
        <f t="shared" si="159"/>
        <v>15.3</v>
      </c>
      <c r="AR23" s="36">
        <f t="shared" si="159"/>
        <v>14.8</v>
      </c>
      <c r="AS23" s="36">
        <f t="shared" si="159"/>
        <v>13.25</v>
      </c>
      <c r="AT23" s="36">
        <f t="shared" si="159"/>
        <v>9.7200000000000006</v>
      </c>
      <c r="AU23" s="36">
        <f t="shared" si="159"/>
        <v>9.41</v>
      </c>
      <c r="AV23" s="36">
        <f t="shared" si="159"/>
        <v>7.64</v>
      </c>
      <c r="AW23" s="36">
        <f t="shared" si="159"/>
        <v>7.54</v>
      </c>
      <c r="AX23" s="36">
        <f t="shared" si="159"/>
        <v>7.02</v>
      </c>
      <c r="AY23" s="36">
        <f t="shared" si="159"/>
        <v>7.29</v>
      </c>
      <c r="AZ23" s="36">
        <f t="shared" si="159"/>
        <v>20.329999999999998</v>
      </c>
      <c r="BA23" s="36">
        <f t="shared" ref="BA23:BA31" si="160">AO23</f>
        <v>16.010000000000002</v>
      </c>
      <c r="BB23" s="36">
        <f t="shared" ref="BB23:BB31" si="161">AP23</f>
        <v>16.329999999999998</v>
      </c>
      <c r="BC23" s="36">
        <f t="shared" ref="BC23:BC31" si="162">AQ23</f>
        <v>15.3</v>
      </c>
      <c r="BD23" s="36">
        <f t="shared" ref="BD23:BD31" si="163">AR23</f>
        <v>14.8</v>
      </c>
      <c r="BE23" s="36">
        <f t="shared" ref="BE23:BE31" si="164">AS23</f>
        <v>13.25</v>
      </c>
      <c r="BF23" s="36">
        <f t="shared" ref="BF23:BF31" si="165">AT23</f>
        <v>9.7200000000000006</v>
      </c>
      <c r="BG23" s="36">
        <f t="shared" ref="BG23:BG31" si="166">AU23</f>
        <v>9.41</v>
      </c>
      <c r="BH23" s="36">
        <f t="shared" ref="BH23:BH31" si="167">AV23</f>
        <v>7.64</v>
      </c>
      <c r="BI23" s="36">
        <f t="shared" ref="BI23:BI31" si="168">AW23</f>
        <v>7.54</v>
      </c>
      <c r="BJ23" s="36">
        <f t="shared" ref="BJ23:BJ31" si="169">AX23</f>
        <v>7.02</v>
      </c>
      <c r="BK23" s="36">
        <f t="shared" ref="BK23:BK31" si="170">AY23</f>
        <v>7.29</v>
      </c>
      <c r="BL23" s="36">
        <f t="shared" ref="BL23:BL31" si="171">AZ23</f>
        <v>20.329999999999998</v>
      </c>
      <c r="BM23" s="36">
        <f t="shared" ref="BM23:BM31" si="172">BA23</f>
        <v>16.010000000000002</v>
      </c>
      <c r="BN23" s="36">
        <f t="shared" ref="BN23:BN31" si="173">BB23</f>
        <v>16.329999999999998</v>
      </c>
      <c r="BO23" s="36">
        <f t="shared" ref="BO23:BO31" si="174">BC23</f>
        <v>15.3</v>
      </c>
      <c r="BP23" s="36">
        <f t="shared" ref="BP23:BP31" si="175">BD23</f>
        <v>14.8</v>
      </c>
      <c r="BQ23" s="36">
        <f t="shared" ref="BQ23:BQ31" si="176">BE23</f>
        <v>13.25</v>
      </c>
      <c r="BR23" s="36">
        <f t="shared" ref="BR23:BR31" si="177">BF23</f>
        <v>9.7200000000000006</v>
      </c>
      <c r="BS23" s="36">
        <f t="shared" ref="BS23:BS31" si="178">BG23</f>
        <v>9.41</v>
      </c>
      <c r="BT23" s="36">
        <f t="shared" ref="BT23:BT31" si="179">BH23</f>
        <v>7.64</v>
      </c>
      <c r="BU23" s="36">
        <f t="shared" ref="BU23:BU31" si="180">BI23</f>
        <v>7.54</v>
      </c>
      <c r="BV23" s="36">
        <f t="shared" ref="BV23:BV31" si="181">BJ23</f>
        <v>7.02</v>
      </c>
      <c r="BW23" s="36">
        <f t="shared" ref="BW23:BW31" si="182">BK23</f>
        <v>7.29</v>
      </c>
      <c r="BX23" s="36">
        <f t="shared" ref="BX23:BX31" si="183">BL23</f>
        <v>20.329999999999998</v>
      </c>
      <c r="BY23" s="8"/>
      <c r="BZ23" s="72">
        <f t="shared" ref="BZ23:BZ57" si="184">SUMIF($B$252:$BY$252,1,$B23:$BY23)</f>
        <v>7.29</v>
      </c>
      <c r="CA23" s="72">
        <f t="shared" ref="CA23:CA57" si="185">SUMIF($B$253:$BY$253,1,$B23:$BY23)</f>
        <v>124.31</v>
      </c>
      <c r="CB23" s="97"/>
      <c r="CC23" s="72">
        <f t="shared" ref="CC23:CJ35" si="186">SUMIF($C$3:$BY$3,CC$3,$C23:$BY23)</f>
        <v>0</v>
      </c>
      <c r="CD23" s="72">
        <f t="shared" si="186"/>
        <v>0</v>
      </c>
      <c r="CE23" s="72">
        <f t="shared" si="186"/>
        <v>172.45</v>
      </c>
      <c r="CF23" s="72">
        <f t="shared" si="186"/>
        <v>144.63999999999999</v>
      </c>
      <c r="CG23" s="72">
        <f t="shared" si="186"/>
        <v>144.63999999999999</v>
      </c>
      <c r="CH23" s="72">
        <f t="shared" si="186"/>
        <v>144.63999999999999</v>
      </c>
      <c r="CI23" s="72">
        <f t="shared" si="186"/>
        <v>144.63999999999999</v>
      </c>
      <c r="CJ23" s="72">
        <f t="shared" si="186"/>
        <v>144.63999999999999</v>
      </c>
      <c r="CL23" s="13"/>
      <c r="CM23" s="13"/>
    </row>
    <row r="24" spans="1:91" x14ac:dyDescent="0.3">
      <c r="A24" s="97" t="str">
        <f>'DCS Detail'!A24</f>
        <v xml:space="preserve">   1750.1 Fundraiser</v>
      </c>
      <c r="B24" s="106" t="str">
        <f>IF('DCS Detail'!$B24="","",'DCS Detail'!$B24)</f>
        <v>Other</v>
      </c>
      <c r="C24" s="106"/>
      <c r="D24" s="106"/>
      <c r="E24" s="18">
        <v>0</v>
      </c>
      <c r="F24" s="18">
        <v>61</v>
      </c>
      <c r="G24" s="18">
        <v>154.04</v>
      </c>
      <c r="H24" s="18">
        <v>0</v>
      </c>
      <c r="I24" s="18">
        <v>142</v>
      </c>
      <c r="J24" s="18">
        <v>4.4000000000000004</v>
      </c>
      <c r="K24" s="18">
        <v>0</v>
      </c>
      <c r="L24" s="18">
        <v>27.000000000000057</v>
      </c>
      <c r="M24" s="18">
        <v>0</v>
      </c>
      <c r="N24" s="18">
        <v>0</v>
      </c>
      <c r="O24" s="18">
        <v>0</v>
      </c>
      <c r="P24" s="18">
        <v>0</v>
      </c>
      <c r="Q24" s="18">
        <v>-556.14</v>
      </c>
      <c r="R24" s="18">
        <v>0</v>
      </c>
      <c r="S24" s="18">
        <v>0</v>
      </c>
      <c r="T24" s="18">
        <v>0</v>
      </c>
      <c r="U24" s="18">
        <v>65</v>
      </c>
      <c r="V24" s="18">
        <v>0</v>
      </c>
      <c r="W24" s="18">
        <v>2639.1</v>
      </c>
      <c r="X24" s="18">
        <v>600.01</v>
      </c>
      <c r="Y24" s="18">
        <v>-815.11</v>
      </c>
      <c r="Z24" s="18">
        <v>0</v>
      </c>
      <c r="AA24" s="18">
        <v>0</v>
      </c>
      <c r="AB24" s="36">
        <f t="shared" ref="AB24:AB31" si="187">P24</f>
        <v>0</v>
      </c>
      <c r="AC24" s="36">
        <f t="shared" ref="AC24:AC31" si="188">Q24</f>
        <v>-556.14</v>
      </c>
      <c r="AD24" s="36">
        <f t="shared" ref="AD24:AD31" si="189">R24</f>
        <v>0</v>
      </c>
      <c r="AE24" s="36">
        <f t="shared" ref="AE24:AE31" si="190">S24</f>
        <v>0</v>
      </c>
      <c r="AF24" s="36">
        <f t="shared" ref="AF24:AF31" si="191">T24</f>
        <v>0</v>
      </c>
      <c r="AG24" s="36">
        <f t="shared" ref="AG24:AG31" si="192">U24</f>
        <v>65</v>
      </c>
      <c r="AH24" s="36">
        <f t="shared" ref="AH24:AH31" si="193">V24</f>
        <v>0</v>
      </c>
      <c r="AI24" s="36">
        <f t="shared" ref="AI24:AI31" si="194">W24</f>
        <v>2639.1</v>
      </c>
      <c r="AJ24" s="36">
        <f t="shared" ref="AJ24:AJ31" si="195">X24</f>
        <v>600.01</v>
      </c>
      <c r="AK24" s="36">
        <f t="shared" ref="AK24:AK31" si="196">Y24</f>
        <v>-815.11</v>
      </c>
      <c r="AL24" s="36">
        <f t="shared" ref="AL24:AL31" si="197">Z24</f>
        <v>0</v>
      </c>
      <c r="AM24" s="36">
        <f t="shared" ref="AM24:AM31" si="198">AA24</f>
        <v>0</v>
      </c>
      <c r="AN24" s="36">
        <f t="shared" ref="AN24:AN31" si="199">AB24</f>
        <v>0</v>
      </c>
      <c r="AO24" s="36">
        <f t="shared" ref="AO24:AO31" si="200">AC24</f>
        <v>-556.14</v>
      </c>
      <c r="AP24" s="36">
        <f t="shared" ref="AP24:AP31" si="201">AD24</f>
        <v>0</v>
      </c>
      <c r="AQ24" s="36">
        <f t="shared" ref="AQ24:AQ31" si="202">AE24</f>
        <v>0</v>
      </c>
      <c r="AR24" s="36">
        <f t="shared" ref="AR24:AR31" si="203">AF24</f>
        <v>0</v>
      </c>
      <c r="AS24" s="36">
        <f t="shared" ref="AS24:AS31" si="204">AG24</f>
        <v>65</v>
      </c>
      <c r="AT24" s="36">
        <f t="shared" ref="AT24:AT31" si="205">AH24</f>
        <v>0</v>
      </c>
      <c r="AU24" s="36">
        <f t="shared" ref="AU24:AU31" si="206">AI24</f>
        <v>2639.1</v>
      </c>
      <c r="AV24" s="36">
        <f t="shared" ref="AV24:AV31" si="207">AJ24</f>
        <v>600.01</v>
      </c>
      <c r="AW24" s="36">
        <f t="shared" ref="AW24:AW31" si="208">AK24</f>
        <v>-815.11</v>
      </c>
      <c r="AX24" s="36">
        <f t="shared" ref="AX24:AX31" si="209">AL24</f>
        <v>0</v>
      </c>
      <c r="AY24" s="36">
        <f t="shared" ref="AY24:AY31" si="210">AM24</f>
        <v>0</v>
      </c>
      <c r="AZ24" s="36">
        <f t="shared" ref="AZ24:AZ31" si="211">AN24</f>
        <v>0</v>
      </c>
      <c r="BA24" s="36">
        <f t="shared" si="160"/>
        <v>-556.14</v>
      </c>
      <c r="BB24" s="36">
        <f t="shared" si="161"/>
        <v>0</v>
      </c>
      <c r="BC24" s="36">
        <f t="shared" si="162"/>
        <v>0</v>
      </c>
      <c r="BD24" s="36">
        <f t="shared" si="163"/>
        <v>0</v>
      </c>
      <c r="BE24" s="36">
        <f t="shared" si="164"/>
        <v>65</v>
      </c>
      <c r="BF24" s="36">
        <f t="shared" si="165"/>
        <v>0</v>
      </c>
      <c r="BG24" s="36">
        <f t="shared" si="166"/>
        <v>2639.1</v>
      </c>
      <c r="BH24" s="36">
        <f t="shared" si="167"/>
        <v>600.01</v>
      </c>
      <c r="BI24" s="36">
        <f t="shared" si="168"/>
        <v>-815.11</v>
      </c>
      <c r="BJ24" s="36">
        <f t="shared" si="169"/>
        <v>0</v>
      </c>
      <c r="BK24" s="36">
        <f t="shared" si="170"/>
        <v>0</v>
      </c>
      <c r="BL24" s="36">
        <f t="shared" si="171"/>
        <v>0</v>
      </c>
      <c r="BM24" s="36">
        <f t="shared" si="172"/>
        <v>-556.14</v>
      </c>
      <c r="BN24" s="36">
        <f t="shared" si="173"/>
        <v>0</v>
      </c>
      <c r="BO24" s="36">
        <f t="shared" si="174"/>
        <v>0</v>
      </c>
      <c r="BP24" s="36">
        <f t="shared" si="175"/>
        <v>0</v>
      </c>
      <c r="BQ24" s="36">
        <f t="shared" si="176"/>
        <v>65</v>
      </c>
      <c r="BR24" s="36">
        <f t="shared" si="177"/>
        <v>0</v>
      </c>
      <c r="BS24" s="36">
        <f t="shared" si="178"/>
        <v>2639.1</v>
      </c>
      <c r="BT24" s="36">
        <f t="shared" si="179"/>
        <v>600.01</v>
      </c>
      <c r="BU24" s="36">
        <f t="shared" si="180"/>
        <v>-815.11</v>
      </c>
      <c r="BV24" s="36">
        <f t="shared" si="181"/>
        <v>0</v>
      </c>
      <c r="BW24" s="36">
        <f t="shared" si="182"/>
        <v>0</v>
      </c>
      <c r="BX24" s="36">
        <f t="shared" si="183"/>
        <v>0</v>
      </c>
      <c r="BY24" s="8"/>
      <c r="BZ24" s="72">
        <f t="shared" si="184"/>
        <v>0</v>
      </c>
      <c r="CA24" s="72">
        <f t="shared" si="185"/>
        <v>1932.8600000000001</v>
      </c>
      <c r="CB24" s="97"/>
      <c r="CC24" s="72">
        <f t="shared" si="186"/>
        <v>0</v>
      </c>
      <c r="CD24" s="72">
        <f t="shared" si="186"/>
        <v>0</v>
      </c>
      <c r="CE24" s="72">
        <f t="shared" si="186"/>
        <v>388.44</v>
      </c>
      <c r="CF24" s="72">
        <f t="shared" si="186"/>
        <v>1932.8600000000001</v>
      </c>
      <c r="CG24" s="72">
        <f t="shared" si="186"/>
        <v>1932.8600000000001</v>
      </c>
      <c r="CH24" s="72">
        <f t="shared" si="186"/>
        <v>1932.8600000000001</v>
      </c>
      <c r="CI24" s="72">
        <f t="shared" si="186"/>
        <v>1932.8600000000001</v>
      </c>
      <c r="CJ24" s="72">
        <f t="shared" si="186"/>
        <v>1932.8600000000001</v>
      </c>
      <c r="CL24" s="13"/>
      <c r="CM24" s="13"/>
    </row>
    <row r="25" spans="1:91" x14ac:dyDescent="0.3">
      <c r="A25" s="97" t="str">
        <f>'DCS Detail'!A25</f>
        <v xml:space="preserve">      1750.13 Fundraiser - Box Tops</v>
      </c>
      <c r="B25" s="106" t="str">
        <f>IF('DCS Detail'!$B25="","",'DCS Detail'!$B25)</f>
        <v>Other</v>
      </c>
      <c r="C25" s="106"/>
      <c r="D25" s="106"/>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36">
        <f t="shared" ref="AB25" si="212">P25</f>
        <v>0</v>
      </c>
      <c r="AC25" s="36">
        <f t="shared" ref="AC25" si="213">Q25</f>
        <v>0</v>
      </c>
      <c r="AD25" s="36">
        <f t="shared" ref="AD25" si="214">R25</f>
        <v>0</v>
      </c>
      <c r="AE25" s="36">
        <f t="shared" ref="AE25" si="215">S25</f>
        <v>0</v>
      </c>
      <c r="AF25" s="36">
        <f t="shared" ref="AF25" si="216">T25</f>
        <v>0</v>
      </c>
      <c r="AG25" s="36">
        <f t="shared" ref="AG25" si="217">U25</f>
        <v>0</v>
      </c>
      <c r="AH25" s="36">
        <f t="shared" ref="AH25" si="218">V25</f>
        <v>0</v>
      </c>
      <c r="AI25" s="36">
        <f t="shared" ref="AI25" si="219">W25</f>
        <v>0</v>
      </c>
      <c r="AJ25" s="36">
        <f t="shared" ref="AJ25" si="220">X25</f>
        <v>0</v>
      </c>
      <c r="AK25" s="36">
        <f t="shared" ref="AK25" si="221">Y25</f>
        <v>0</v>
      </c>
      <c r="AL25" s="36">
        <f t="shared" ref="AL25" si="222">Z25</f>
        <v>0</v>
      </c>
      <c r="AM25" s="36">
        <f t="shared" ref="AM25" si="223">AA25</f>
        <v>0</v>
      </c>
      <c r="AN25" s="36">
        <f t="shared" ref="AN25" si="224">AB25</f>
        <v>0</v>
      </c>
      <c r="AO25" s="36">
        <f t="shared" ref="AO25" si="225">AC25</f>
        <v>0</v>
      </c>
      <c r="AP25" s="36">
        <f t="shared" ref="AP25" si="226">AD25</f>
        <v>0</v>
      </c>
      <c r="AQ25" s="36">
        <f t="shared" ref="AQ25" si="227">AE25</f>
        <v>0</v>
      </c>
      <c r="AR25" s="36">
        <f t="shared" ref="AR25" si="228">AF25</f>
        <v>0</v>
      </c>
      <c r="AS25" s="36">
        <f t="shared" ref="AS25" si="229">AG25</f>
        <v>0</v>
      </c>
      <c r="AT25" s="36">
        <f t="shared" ref="AT25" si="230">AH25</f>
        <v>0</v>
      </c>
      <c r="AU25" s="36">
        <f t="shared" ref="AU25" si="231">AI25</f>
        <v>0</v>
      </c>
      <c r="AV25" s="36">
        <f t="shared" ref="AV25" si="232">AJ25</f>
        <v>0</v>
      </c>
      <c r="AW25" s="36">
        <f t="shared" ref="AW25" si="233">AK25</f>
        <v>0</v>
      </c>
      <c r="AX25" s="36">
        <f t="shared" ref="AX25" si="234">AL25</f>
        <v>0</v>
      </c>
      <c r="AY25" s="36">
        <f t="shared" ref="AY25" si="235">AM25</f>
        <v>0</v>
      </c>
      <c r="AZ25" s="36">
        <f t="shared" ref="AZ25" si="236">AN25</f>
        <v>0</v>
      </c>
      <c r="BA25" s="36">
        <f t="shared" ref="BA25" si="237">AO25</f>
        <v>0</v>
      </c>
      <c r="BB25" s="36">
        <f t="shared" ref="BB25" si="238">AP25</f>
        <v>0</v>
      </c>
      <c r="BC25" s="36">
        <f t="shared" ref="BC25" si="239">AQ25</f>
        <v>0</v>
      </c>
      <c r="BD25" s="36">
        <f t="shared" ref="BD25" si="240">AR25</f>
        <v>0</v>
      </c>
      <c r="BE25" s="36">
        <f t="shared" ref="BE25" si="241">AS25</f>
        <v>0</v>
      </c>
      <c r="BF25" s="36">
        <f t="shared" ref="BF25" si="242">AT25</f>
        <v>0</v>
      </c>
      <c r="BG25" s="36">
        <f t="shared" ref="BG25" si="243">AU25</f>
        <v>0</v>
      </c>
      <c r="BH25" s="36">
        <f t="shared" ref="BH25" si="244">AV25</f>
        <v>0</v>
      </c>
      <c r="BI25" s="36">
        <f t="shared" ref="BI25" si="245">AW25</f>
        <v>0</v>
      </c>
      <c r="BJ25" s="36">
        <f t="shared" ref="BJ25" si="246">AX25</f>
        <v>0</v>
      </c>
      <c r="BK25" s="36">
        <f t="shared" ref="BK25" si="247">AY25</f>
        <v>0</v>
      </c>
      <c r="BL25" s="36">
        <f t="shared" ref="BL25" si="248">AZ25</f>
        <v>0</v>
      </c>
      <c r="BM25" s="36">
        <f t="shared" ref="BM25" si="249">BA25</f>
        <v>0</v>
      </c>
      <c r="BN25" s="36">
        <f t="shared" ref="BN25" si="250">BB25</f>
        <v>0</v>
      </c>
      <c r="BO25" s="36">
        <f t="shared" ref="BO25" si="251">BC25</f>
        <v>0</v>
      </c>
      <c r="BP25" s="36">
        <f t="shared" ref="BP25" si="252">BD25</f>
        <v>0</v>
      </c>
      <c r="BQ25" s="36">
        <f t="shared" ref="BQ25" si="253">BE25</f>
        <v>0</v>
      </c>
      <c r="BR25" s="36">
        <f t="shared" ref="BR25" si="254">BF25</f>
        <v>0</v>
      </c>
      <c r="BS25" s="36">
        <f t="shared" ref="BS25" si="255">BG25</f>
        <v>0</v>
      </c>
      <c r="BT25" s="36">
        <f t="shared" ref="BT25" si="256">BH25</f>
        <v>0</v>
      </c>
      <c r="BU25" s="36">
        <f t="shared" ref="BU25" si="257">BI25</f>
        <v>0</v>
      </c>
      <c r="BV25" s="36">
        <f t="shared" ref="BV25" si="258">BJ25</f>
        <v>0</v>
      </c>
      <c r="BW25" s="36">
        <f t="shared" ref="BW25" si="259">BK25</f>
        <v>0</v>
      </c>
      <c r="BX25" s="36">
        <f t="shared" ref="BX25" si="260">BL25</f>
        <v>0</v>
      </c>
      <c r="BY25" s="8"/>
      <c r="BZ25" s="72">
        <f t="shared" si="184"/>
        <v>0</v>
      </c>
      <c r="CA25" s="72">
        <f t="shared" si="185"/>
        <v>0</v>
      </c>
      <c r="CB25" s="97"/>
      <c r="CC25" s="72">
        <f t="shared" si="186"/>
        <v>0</v>
      </c>
      <c r="CD25" s="72">
        <f t="shared" si="186"/>
        <v>0</v>
      </c>
      <c r="CE25" s="72">
        <f t="shared" si="186"/>
        <v>0</v>
      </c>
      <c r="CF25" s="72">
        <f t="shared" si="186"/>
        <v>0</v>
      </c>
      <c r="CG25" s="72">
        <f t="shared" si="186"/>
        <v>0</v>
      </c>
      <c r="CH25" s="72">
        <f t="shared" si="186"/>
        <v>0</v>
      </c>
      <c r="CI25" s="72">
        <f t="shared" si="186"/>
        <v>0</v>
      </c>
      <c r="CJ25" s="72">
        <f t="shared" si="186"/>
        <v>0</v>
      </c>
      <c r="CL25" s="13"/>
      <c r="CM25" s="13"/>
    </row>
    <row r="26" spans="1:91" x14ac:dyDescent="0.3">
      <c r="A26" s="97" t="str">
        <f>'DCS Detail'!A26</f>
        <v xml:space="preserve">      1750.14 Scholastic Book Fair</v>
      </c>
      <c r="B26" s="106" t="str">
        <f>IF('DCS Detail'!$B26="","",'DCS Detail'!$B26)</f>
        <v>Other</v>
      </c>
      <c r="C26" s="106"/>
      <c r="D26" s="106"/>
      <c r="E26" s="18">
        <v>0</v>
      </c>
      <c r="F26" s="18">
        <v>0</v>
      </c>
      <c r="G26" s="18">
        <v>0</v>
      </c>
      <c r="H26" s="18">
        <v>0</v>
      </c>
      <c r="I26" s="18">
        <v>0</v>
      </c>
      <c r="J26" s="18">
        <v>0</v>
      </c>
      <c r="K26" s="18">
        <v>0</v>
      </c>
      <c r="L26" s="18">
        <v>0</v>
      </c>
      <c r="M26" s="18">
        <v>0</v>
      </c>
      <c r="N26" s="18">
        <v>0</v>
      </c>
      <c r="O26" s="18">
        <v>0</v>
      </c>
      <c r="P26" s="18">
        <v>0</v>
      </c>
      <c r="Q26" s="18">
        <v>0</v>
      </c>
      <c r="R26" s="18">
        <v>0</v>
      </c>
      <c r="S26" s="18">
        <v>754.85</v>
      </c>
      <c r="T26" s="18">
        <v>0</v>
      </c>
      <c r="U26" s="18">
        <v>0</v>
      </c>
      <c r="V26" s="18">
        <v>0</v>
      </c>
      <c r="W26" s="18">
        <v>0</v>
      </c>
      <c r="X26" s="18">
        <v>0</v>
      </c>
      <c r="Y26" s="18">
        <v>0</v>
      </c>
      <c r="Z26" s="18">
        <v>0</v>
      </c>
      <c r="AA26" s="18">
        <v>0</v>
      </c>
      <c r="AB26" s="36">
        <f t="shared" si="187"/>
        <v>0</v>
      </c>
      <c r="AC26" s="36">
        <f t="shared" si="188"/>
        <v>0</v>
      </c>
      <c r="AD26" s="36">
        <f t="shared" si="189"/>
        <v>0</v>
      </c>
      <c r="AE26" s="36">
        <f t="shared" si="190"/>
        <v>754.85</v>
      </c>
      <c r="AF26" s="36">
        <f t="shared" si="191"/>
        <v>0</v>
      </c>
      <c r="AG26" s="36">
        <f t="shared" si="192"/>
        <v>0</v>
      </c>
      <c r="AH26" s="36">
        <f t="shared" si="193"/>
        <v>0</v>
      </c>
      <c r="AI26" s="36">
        <f t="shared" si="194"/>
        <v>0</v>
      </c>
      <c r="AJ26" s="36">
        <f t="shared" si="195"/>
        <v>0</v>
      </c>
      <c r="AK26" s="36">
        <f t="shared" si="196"/>
        <v>0</v>
      </c>
      <c r="AL26" s="36">
        <f t="shared" si="197"/>
        <v>0</v>
      </c>
      <c r="AM26" s="36">
        <f t="shared" si="198"/>
        <v>0</v>
      </c>
      <c r="AN26" s="36">
        <f t="shared" si="199"/>
        <v>0</v>
      </c>
      <c r="AO26" s="36">
        <f t="shared" si="200"/>
        <v>0</v>
      </c>
      <c r="AP26" s="36">
        <f t="shared" si="201"/>
        <v>0</v>
      </c>
      <c r="AQ26" s="36">
        <f t="shared" si="202"/>
        <v>754.85</v>
      </c>
      <c r="AR26" s="36">
        <f t="shared" si="203"/>
        <v>0</v>
      </c>
      <c r="AS26" s="36">
        <f t="shared" si="204"/>
        <v>0</v>
      </c>
      <c r="AT26" s="36">
        <f t="shared" si="205"/>
        <v>0</v>
      </c>
      <c r="AU26" s="36">
        <f t="shared" si="206"/>
        <v>0</v>
      </c>
      <c r="AV26" s="36">
        <f t="shared" si="207"/>
        <v>0</v>
      </c>
      <c r="AW26" s="36">
        <f t="shared" si="208"/>
        <v>0</v>
      </c>
      <c r="AX26" s="36">
        <f t="shared" si="209"/>
        <v>0</v>
      </c>
      <c r="AY26" s="36">
        <f t="shared" si="210"/>
        <v>0</v>
      </c>
      <c r="AZ26" s="36">
        <f t="shared" si="211"/>
        <v>0</v>
      </c>
      <c r="BA26" s="36">
        <f t="shared" si="160"/>
        <v>0</v>
      </c>
      <c r="BB26" s="36">
        <f t="shared" si="161"/>
        <v>0</v>
      </c>
      <c r="BC26" s="36">
        <f t="shared" si="162"/>
        <v>754.85</v>
      </c>
      <c r="BD26" s="36">
        <f t="shared" si="163"/>
        <v>0</v>
      </c>
      <c r="BE26" s="36">
        <f t="shared" si="164"/>
        <v>0</v>
      </c>
      <c r="BF26" s="36">
        <f t="shared" si="165"/>
        <v>0</v>
      </c>
      <c r="BG26" s="36">
        <f t="shared" si="166"/>
        <v>0</v>
      </c>
      <c r="BH26" s="36">
        <f t="shared" si="167"/>
        <v>0</v>
      </c>
      <c r="BI26" s="36">
        <f t="shared" si="168"/>
        <v>0</v>
      </c>
      <c r="BJ26" s="36">
        <f t="shared" si="169"/>
        <v>0</v>
      </c>
      <c r="BK26" s="36">
        <f t="shared" si="170"/>
        <v>0</v>
      </c>
      <c r="BL26" s="36">
        <f t="shared" si="171"/>
        <v>0</v>
      </c>
      <c r="BM26" s="36">
        <f t="shared" si="172"/>
        <v>0</v>
      </c>
      <c r="BN26" s="36">
        <f t="shared" si="173"/>
        <v>0</v>
      </c>
      <c r="BO26" s="36">
        <f t="shared" si="174"/>
        <v>754.85</v>
      </c>
      <c r="BP26" s="36">
        <f t="shared" si="175"/>
        <v>0</v>
      </c>
      <c r="BQ26" s="36">
        <f t="shared" si="176"/>
        <v>0</v>
      </c>
      <c r="BR26" s="36">
        <f t="shared" si="177"/>
        <v>0</v>
      </c>
      <c r="BS26" s="36">
        <f t="shared" si="178"/>
        <v>0</v>
      </c>
      <c r="BT26" s="36">
        <f t="shared" si="179"/>
        <v>0</v>
      </c>
      <c r="BU26" s="36">
        <f t="shared" si="180"/>
        <v>0</v>
      </c>
      <c r="BV26" s="36">
        <f t="shared" si="181"/>
        <v>0</v>
      </c>
      <c r="BW26" s="36">
        <f t="shared" si="182"/>
        <v>0</v>
      </c>
      <c r="BX26" s="36">
        <f t="shared" si="183"/>
        <v>0</v>
      </c>
      <c r="BY26" s="8"/>
      <c r="BZ26" s="72">
        <f t="shared" si="184"/>
        <v>0</v>
      </c>
      <c r="CA26" s="72">
        <f t="shared" si="185"/>
        <v>754.85</v>
      </c>
      <c r="CB26" s="97"/>
      <c r="CC26" s="72">
        <f t="shared" si="186"/>
        <v>0</v>
      </c>
      <c r="CD26" s="72">
        <f t="shared" si="186"/>
        <v>0</v>
      </c>
      <c r="CE26" s="72">
        <f t="shared" si="186"/>
        <v>0</v>
      </c>
      <c r="CF26" s="72">
        <f t="shared" si="186"/>
        <v>754.85</v>
      </c>
      <c r="CG26" s="72">
        <f t="shared" si="186"/>
        <v>754.85</v>
      </c>
      <c r="CH26" s="72">
        <f t="shared" si="186"/>
        <v>754.85</v>
      </c>
      <c r="CI26" s="72">
        <f t="shared" si="186"/>
        <v>754.85</v>
      </c>
      <c r="CJ26" s="72">
        <f t="shared" si="186"/>
        <v>754.85</v>
      </c>
      <c r="CL26" s="13"/>
      <c r="CM26" s="13"/>
    </row>
    <row r="27" spans="1:91" x14ac:dyDescent="0.3">
      <c r="A27" s="97" t="str">
        <f>'DCS Detail'!A27</f>
        <v xml:space="preserve">      1750.19 Fundraiser - Trunk or Treat</v>
      </c>
      <c r="B27" s="106" t="str">
        <f>IF('DCS Detail'!$B27="","",'DCS Detail'!$B27)</f>
        <v>Other</v>
      </c>
      <c r="C27" s="106"/>
      <c r="D27" s="106"/>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36">
        <f t="shared" si="187"/>
        <v>0</v>
      </c>
      <c r="AC27" s="36">
        <f t="shared" si="188"/>
        <v>0</v>
      </c>
      <c r="AD27" s="36">
        <f t="shared" si="189"/>
        <v>0</v>
      </c>
      <c r="AE27" s="36">
        <f t="shared" si="190"/>
        <v>0</v>
      </c>
      <c r="AF27" s="36">
        <f t="shared" si="191"/>
        <v>0</v>
      </c>
      <c r="AG27" s="36">
        <f t="shared" si="192"/>
        <v>0</v>
      </c>
      <c r="AH27" s="36">
        <f t="shared" si="193"/>
        <v>0</v>
      </c>
      <c r="AI27" s="36">
        <f t="shared" si="194"/>
        <v>0</v>
      </c>
      <c r="AJ27" s="36">
        <f t="shared" si="195"/>
        <v>0</v>
      </c>
      <c r="AK27" s="36">
        <f t="shared" si="196"/>
        <v>0</v>
      </c>
      <c r="AL27" s="36">
        <f t="shared" si="197"/>
        <v>0</v>
      </c>
      <c r="AM27" s="36">
        <f t="shared" si="198"/>
        <v>0</v>
      </c>
      <c r="AN27" s="36">
        <f t="shared" si="199"/>
        <v>0</v>
      </c>
      <c r="AO27" s="36">
        <f t="shared" si="200"/>
        <v>0</v>
      </c>
      <c r="AP27" s="36">
        <f t="shared" si="201"/>
        <v>0</v>
      </c>
      <c r="AQ27" s="36">
        <f t="shared" si="202"/>
        <v>0</v>
      </c>
      <c r="AR27" s="36">
        <f t="shared" si="203"/>
        <v>0</v>
      </c>
      <c r="AS27" s="36">
        <f t="shared" si="204"/>
        <v>0</v>
      </c>
      <c r="AT27" s="36">
        <f t="shared" si="205"/>
        <v>0</v>
      </c>
      <c r="AU27" s="36">
        <f t="shared" si="206"/>
        <v>0</v>
      </c>
      <c r="AV27" s="36">
        <f t="shared" si="207"/>
        <v>0</v>
      </c>
      <c r="AW27" s="36">
        <f t="shared" si="208"/>
        <v>0</v>
      </c>
      <c r="AX27" s="36">
        <f t="shared" si="209"/>
        <v>0</v>
      </c>
      <c r="AY27" s="36">
        <f t="shared" si="210"/>
        <v>0</v>
      </c>
      <c r="AZ27" s="36">
        <f t="shared" si="211"/>
        <v>0</v>
      </c>
      <c r="BA27" s="36">
        <f t="shared" si="160"/>
        <v>0</v>
      </c>
      <c r="BB27" s="36">
        <f t="shared" si="161"/>
        <v>0</v>
      </c>
      <c r="BC27" s="36">
        <f t="shared" si="162"/>
        <v>0</v>
      </c>
      <c r="BD27" s="36">
        <f t="shared" si="163"/>
        <v>0</v>
      </c>
      <c r="BE27" s="36">
        <f t="shared" si="164"/>
        <v>0</v>
      </c>
      <c r="BF27" s="36">
        <f t="shared" si="165"/>
        <v>0</v>
      </c>
      <c r="BG27" s="36">
        <f t="shared" si="166"/>
        <v>0</v>
      </c>
      <c r="BH27" s="36">
        <f t="shared" si="167"/>
        <v>0</v>
      </c>
      <c r="BI27" s="36">
        <f t="shared" si="168"/>
        <v>0</v>
      </c>
      <c r="BJ27" s="36">
        <f t="shared" si="169"/>
        <v>0</v>
      </c>
      <c r="BK27" s="36">
        <f t="shared" si="170"/>
        <v>0</v>
      </c>
      <c r="BL27" s="36">
        <f t="shared" si="171"/>
        <v>0</v>
      </c>
      <c r="BM27" s="36">
        <f t="shared" si="172"/>
        <v>0</v>
      </c>
      <c r="BN27" s="36">
        <f t="shared" si="173"/>
        <v>0</v>
      </c>
      <c r="BO27" s="36">
        <f t="shared" si="174"/>
        <v>0</v>
      </c>
      <c r="BP27" s="36">
        <f t="shared" si="175"/>
        <v>0</v>
      </c>
      <c r="BQ27" s="36">
        <f t="shared" si="176"/>
        <v>0</v>
      </c>
      <c r="BR27" s="36">
        <f t="shared" si="177"/>
        <v>0</v>
      </c>
      <c r="BS27" s="36">
        <f t="shared" si="178"/>
        <v>0</v>
      </c>
      <c r="BT27" s="36">
        <f t="shared" si="179"/>
        <v>0</v>
      </c>
      <c r="BU27" s="36">
        <f t="shared" si="180"/>
        <v>0</v>
      </c>
      <c r="BV27" s="36">
        <f t="shared" si="181"/>
        <v>0</v>
      </c>
      <c r="BW27" s="36">
        <f t="shared" si="182"/>
        <v>0</v>
      </c>
      <c r="BX27" s="36">
        <f t="shared" si="183"/>
        <v>0</v>
      </c>
      <c r="BY27" s="8"/>
      <c r="BZ27" s="72">
        <f t="shared" si="184"/>
        <v>0</v>
      </c>
      <c r="CA27" s="72">
        <f t="shared" si="185"/>
        <v>0</v>
      </c>
      <c r="CB27" s="97"/>
      <c r="CC27" s="72">
        <f t="shared" si="186"/>
        <v>0</v>
      </c>
      <c r="CD27" s="72">
        <f t="shared" si="186"/>
        <v>0</v>
      </c>
      <c r="CE27" s="72">
        <f t="shared" si="186"/>
        <v>0</v>
      </c>
      <c r="CF27" s="72">
        <f t="shared" si="186"/>
        <v>0</v>
      </c>
      <c r="CG27" s="72">
        <f t="shared" si="186"/>
        <v>0</v>
      </c>
      <c r="CH27" s="72">
        <f t="shared" si="186"/>
        <v>0</v>
      </c>
      <c r="CI27" s="72">
        <f t="shared" si="186"/>
        <v>0</v>
      </c>
      <c r="CJ27" s="72">
        <f t="shared" si="186"/>
        <v>0</v>
      </c>
      <c r="CL27" s="13"/>
      <c r="CM27" s="13"/>
    </row>
    <row r="28" spans="1:91" x14ac:dyDescent="0.3">
      <c r="A28" s="97" t="str">
        <f>'DCS Detail'!A28</f>
        <v xml:space="preserve">      1750.20 Student Store</v>
      </c>
      <c r="B28" s="106" t="str">
        <f>IF('DCS Detail'!$B28="","",'DCS Detail'!$B28)</f>
        <v>Other</v>
      </c>
      <c r="C28" s="106"/>
      <c r="D28" s="106"/>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915.74</v>
      </c>
      <c r="Z28" s="18">
        <v>271.3</v>
      </c>
      <c r="AA28" s="18">
        <v>472.25</v>
      </c>
      <c r="AB28" s="36">
        <f t="shared" si="187"/>
        <v>0</v>
      </c>
      <c r="AC28" s="36">
        <f t="shared" si="188"/>
        <v>0</v>
      </c>
      <c r="AD28" s="36">
        <f t="shared" si="189"/>
        <v>0</v>
      </c>
      <c r="AE28" s="36">
        <f t="shared" si="190"/>
        <v>0</v>
      </c>
      <c r="AF28" s="36">
        <f t="shared" si="191"/>
        <v>0</v>
      </c>
      <c r="AG28" s="36">
        <f t="shared" si="192"/>
        <v>0</v>
      </c>
      <c r="AH28" s="36">
        <f t="shared" si="193"/>
        <v>0</v>
      </c>
      <c r="AI28" s="36">
        <f t="shared" si="194"/>
        <v>0</v>
      </c>
      <c r="AJ28" s="36">
        <f t="shared" si="195"/>
        <v>0</v>
      </c>
      <c r="AK28" s="36">
        <f t="shared" si="196"/>
        <v>915.74</v>
      </c>
      <c r="AL28" s="36">
        <f t="shared" si="197"/>
        <v>271.3</v>
      </c>
      <c r="AM28" s="36">
        <f t="shared" si="198"/>
        <v>472.25</v>
      </c>
      <c r="AN28" s="36">
        <f t="shared" si="199"/>
        <v>0</v>
      </c>
      <c r="AO28" s="36">
        <f t="shared" si="200"/>
        <v>0</v>
      </c>
      <c r="AP28" s="36">
        <f t="shared" si="201"/>
        <v>0</v>
      </c>
      <c r="AQ28" s="36">
        <f t="shared" si="202"/>
        <v>0</v>
      </c>
      <c r="AR28" s="36">
        <f t="shared" si="203"/>
        <v>0</v>
      </c>
      <c r="AS28" s="36">
        <f t="shared" si="204"/>
        <v>0</v>
      </c>
      <c r="AT28" s="36">
        <f t="shared" si="205"/>
        <v>0</v>
      </c>
      <c r="AU28" s="36">
        <f t="shared" si="206"/>
        <v>0</v>
      </c>
      <c r="AV28" s="36">
        <f t="shared" si="207"/>
        <v>0</v>
      </c>
      <c r="AW28" s="36">
        <f t="shared" si="208"/>
        <v>915.74</v>
      </c>
      <c r="AX28" s="36">
        <f t="shared" si="209"/>
        <v>271.3</v>
      </c>
      <c r="AY28" s="36">
        <f t="shared" si="210"/>
        <v>472.25</v>
      </c>
      <c r="AZ28" s="36">
        <f t="shared" si="211"/>
        <v>0</v>
      </c>
      <c r="BA28" s="36">
        <f t="shared" si="160"/>
        <v>0</v>
      </c>
      <c r="BB28" s="36">
        <f t="shared" si="161"/>
        <v>0</v>
      </c>
      <c r="BC28" s="36">
        <f t="shared" si="162"/>
        <v>0</v>
      </c>
      <c r="BD28" s="36">
        <f t="shared" si="163"/>
        <v>0</v>
      </c>
      <c r="BE28" s="36">
        <f t="shared" si="164"/>
        <v>0</v>
      </c>
      <c r="BF28" s="36">
        <f t="shared" si="165"/>
        <v>0</v>
      </c>
      <c r="BG28" s="36">
        <f t="shared" si="166"/>
        <v>0</v>
      </c>
      <c r="BH28" s="36">
        <f t="shared" si="167"/>
        <v>0</v>
      </c>
      <c r="BI28" s="36">
        <f t="shared" si="168"/>
        <v>915.74</v>
      </c>
      <c r="BJ28" s="36">
        <f t="shared" si="169"/>
        <v>271.3</v>
      </c>
      <c r="BK28" s="36">
        <f t="shared" si="170"/>
        <v>472.25</v>
      </c>
      <c r="BL28" s="36">
        <f t="shared" si="171"/>
        <v>0</v>
      </c>
      <c r="BM28" s="36">
        <f t="shared" si="172"/>
        <v>0</v>
      </c>
      <c r="BN28" s="36">
        <f t="shared" si="173"/>
        <v>0</v>
      </c>
      <c r="BO28" s="36">
        <f t="shared" si="174"/>
        <v>0</v>
      </c>
      <c r="BP28" s="36">
        <f t="shared" si="175"/>
        <v>0</v>
      </c>
      <c r="BQ28" s="36">
        <f t="shared" si="176"/>
        <v>0</v>
      </c>
      <c r="BR28" s="36">
        <f t="shared" si="177"/>
        <v>0</v>
      </c>
      <c r="BS28" s="36">
        <f t="shared" si="178"/>
        <v>0</v>
      </c>
      <c r="BT28" s="36">
        <f t="shared" si="179"/>
        <v>0</v>
      </c>
      <c r="BU28" s="36">
        <f t="shared" si="180"/>
        <v>915.74</v>
      </c>
      <c r="BV28" s="36">
        <f t="shared" si="181"/>
        <v>271.3</v>
      </c>
      <c r="BW28" s="36">
        <f t="shared" si="182"/>
        <v>472.25</v>
      </c>
      <c r="BX28" s="36">
        <f t="shared" si="183"/>
        <v>0</v>
      </c>
      <c r="BY28" s="8"/>
      <c r="BZ28" s="72">
        <f t="shared" si="184"/>
        <v>472.25</v>
      </c>
      <c r="CA28" s="72">
        <f t="shared" si="185"/>
        <v>1659.29</v>
      </c>
      <c r="CB28" s="97"/>
      <c r="CC28" s="72">
        <f t="shared" si="186"/>
        <v>0</v>
      </c>
      <c r="CD28" s="72">
        <f t="shared" si="186"/>
        <v>0</v>
      </c>
      <c r="CE28" s="72">
        <f t="shared" si="186"/>
        <v>0</v>
      </c>
      <c r="CF28" s="72">
        <f t="shared" si="186"/>
        <v>1659.29</v>
      </c>
      <c r="CG28" s="72">
        <f t="shared" si="186"/>
        <v>1659.29</v>
      </c>
      <c r="CH28" s="72">
        <f t="shared" si="186"/>
        <v>1659.29</v>
      </c>
      <c r="CI28" s="72">
        <f t="shared" si="186"/>
        <v>1659.29</v>
      </c>
      <c r="CJ28" s="72">
        <f t="shared" si="186"/>
        <v>1659.29</v>
      </c>
      <c r="CL28" s="13"/>
      <c r="CM28" s="13"/>
    </row>
    <row r="29" spans="1:91" x14ac:dyDescent="0.3">
      <c r="A29" s="97" t="str">
        <f>'DCS Detail'!A29</f>
        <v xml:space="preserve">      1750.30 Farmers Market</v>
      </c>
      <c r="B29" s="106" t="str">
        <f>IF('DCS Detail'!$B29="","",'DCS Detail'!$B29)</f>
        <v>Other</v>
      </c>
      <c r="C29" s="106"/>
      <c r="D29" s="106"/>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513</v>
      </c>
      <c r="AA29" s="18">
        <v>0</v>
      </c>
      <c r="AB29" s="36">
        <f t="shared" ref="AB29" si="261">P29</f>
        <v>0</v>
      </c>
      <c r="AC29" s="36">
        <f t="shared" ref="AC29" si="262">Q29</f>
        <v>0</v>
      </c>
      <c r="AD29" s="36">
        <f t="shared" ref="AD29" si="263">R29</f>
        <v>0</v>
      </c>
      <c r="AE29" s="36">
        <f t="shared" ref="AE29" si="264">S29</f>
        <v>0</v>
      </c>
      <c r="AF29" s="36">
        <f t="shared" ref="AF29" si="265">T29</f>
        <v>0</v>
      </c>
      <c r="AG29" s="36">
        <f t="shared" ref="AG29" si="266">U29</f>
        <v>0</v>
      </c>
      <c r="AH29" s="36">
        <f t="shared" ref="AH29" si="267">V29</f>
        <v>0</v>
      </c>
      <c r="AI29" s="36">
        <f t="shared" ref="AI29" si="268">W29</f>
        <v>0</v>
      </c>
      <c r="AJ29" s="36">
        <f t="shared" ref="AJ29" si="269">X29</f>
        <v>0</v>
      </c>
      <c r="AK29" s="36">
        <f t="shared" ref="AK29" si="270">Y29</f>
        <v>0</v>
      </c>
      <c r="AL29" s="36">
        <f t="shared" ref="AL29" si="271">Z29</f>
        <v>513</v>
      </c>
      <c r="AM29" s="36">
        <f t="shared" ref="AM29" si="272">AA29</f>
        <v>0</v>
      </c>
      <c r="AN29" s="36">
        <f t="shared" ref="AN29" si="273">AB29</f>
        <v>0</v>
      </c>
      <c r="AO29" s="36">
        <f t="shared" ref="AO29" si="274">AC29</f>
        <v>0</v>
      </c>
      <c r="AP29" s="36">
        <f t="shared" ref="AP29" si="275">AD29</f>
        <v>0</v>
      </c>
      <c r="AQ29" s="36">
        <f t="shared" ref="AQ29" si="276">AE29</f>
        <v>0</v>
      </c>
      <c r="AR29" s="36">
        <f t="shared" ref="AR29" si="277">AF29</f>
        <v>0</v>
      </c>
      <c r="AS29" s="36">
        <f t="shared" ref="AS29" si="278">AG29</f>
        <v>0</v>
      </c>
      <c r="AT29" s="36">
        <f t="shared" ref="AT29" si="279">AH29</f>
        <v>0</v>
      </c>
      <c r="AU29" s="36">
        <f t="shared" ref="AU29" si="280">AI29</f>
        <v>0</v>
      </c>
      <c r="AV29" s="36">
        <f t="shared" ref="AV29" si="281">AJ29</f>
        <v>0</v>
      </c>
      <c r="AW29" s="36">
        <f t="shared" ref="AW29" si="282">AK29</f>
        <v>0</v>
      </c>
      <c r="AX29" s="36">
        <f t="shared" ref="AX29" si="283">AL29</f>
        <v>513</v>
      </c>
      <c r="AY29" s="36">
        <f t="shared" ref="AY29" si="284">AM29</f>
        <v>0</v>
      </c>
      <c r="AZ29" s="36">
        <f t="shared" ref="AZ29" si="285">AN29</f>
        <v>0</v>
      </c>
      <c r="BA29" s="36">
        <f t="shared" ref="BA29" si="286">AO29</f>
        <v>0</v>
      </c>
      <c r="BB29" s="36">
        <f t="shared" ref="BB29" si="287">AP29</f>
        <v>0</v>
      </c>
      <c r="BC29" s="36">
        <f t="shared" ref="BC29" si="288">AQ29</f>
        <v>0</v>
      </c>
      <c r="BD29" s="36">
        <f t="shared" ref="BD29" si="289">AR29</f>
        <v>0</v>
      </c>
      <c r="BE29" s="36">
        <f t="shared" ref="BE29" si="290">AS29</f>
        <v>0</v>
      </c>
      <c r="BF29" s="36">
        <f t="shared" ref="BF29" si="291">AT29</f>
        <v>0</v>
      </c>
      <c r="BG29" s="36">
        <f t="shared" ref="BG29" si="292">AU29</f>
        <v>0</v>
      </c>
      <c r="BH29" s="36">
        <f t="shared" ref="BH29" si="293">AV29</f>
        <v>0</v>
      </c>
      <c r="BI29" s="36">
        <f t="shared" ref="BI29" si="294">AW29</f>
        <v>0</v>
      </c>
      <c r="BJ29" s="36">
        <f t="shared" ref="BJ29" si="295">AX29</f>
        <v>513</v>
      </c>
      <c r="BK29" s="36">
        <f t="shared" ref="BK29" si="296">AY29</f>
        <v>0</v>
      </c>
      <c r="BL29" s="36">
        <f t="shared" ref="BL29" si="297">AZ29</f>
        <v>0</v>
      </c>
      <c r="BM29" s="36">
        <f t="shared" ref="BM29" si="298">BA29</f>
        <v>0</v>
      </c>
      <c r="BN29" s="36">
        <f t="shared" ref="BN29" si="299">BB29</f>
        <v>0</v>
      </c>
      <c r="BO29" s="36">
        <f t="shared" ref="BO29" si="300">BC29</f>
        <v>0</v>
      </c>
      <c r="BP29" s="36">
        <f t="shared" ref="BP29" si="301">BD29</f>
        <v>0</v>
      </c>
      <c r="BQ29" s="36">
        <f t="shared" ref="BQ29" si="302">BE29</f>
        <v>0</v>
      </c>
      <c r="BR29" s="36">
        <f t="shared" ref="BR29" si="303">BF29</f>
        <v>0</v>
      </c>
      <c r="BS29" s="36">
        <f t="shared" ref="BS29" si="304">BG29</f>
        <v>0</v>
      </c>
      <c r="BT29" s="36">
        <f t="shared" ref="BT29" si="305">BH29</f>
        <v>0</v>
      </c>
      <c r="BU29" s="36">
        <f t="shared" ref="BU29" si="306">BI29</f>
        <v>0</v>
      </c>
      <c r="BV29" s="36">
        <f t="shared" ref="BV29" si="307">BJ29</f>
        <v>513</v>
      </c>
      <c r="BW29" s="36">
        <f t="shared" ref="BW29" si="308">BK29</f>
        <v>0</v>
      </c>
      <c r="BX29" s="36">
        <f t="shared" ref="BX29" si="309">BL29</f>
        <v>0</v>
      </c>
      <c r="BY29" s="8"/>
      <c r="BZ29" s="72">
        <f t="shared" si="184"/>
        <v>0</v>
      </c>
      <c r="CA29" s="72">
        <f t="shared" si="185"/>
        <v>513</v>
      </c>
      <c r="CB29" s="97"/>
      <c r="CC29" s="72">
        <f t="shared" si="186"/>
        <v>0</v>
      </c>
      <c r="CD29" s="72">
        <f t="shared" si="186"/>
        <v>0</v>
      </c>
      <c r="CE29" s="72">
        <f t="shared" si="186"/>
        <v>0</v>
      </c>
      <c r="CF29" s="72">
        <f t="shared" si="186"/>
        <v>513</v>
      </c>
      <c r="CG29" s="72">
        <f t="shared" si="186"/>
        <v>513</v>
      </c>
      <c r="CH29" s="72">
        <f t="shared" si="186"/>
        <v>513</v>
      </c>
      <c r="CI29" s="72">
        <f t="shared" si="186"/>
        <v>513</v>
      </c>
      <c r="CJ29" s="72">
        <f t="shared" si="186"/>
        <v>513</v>
      </c>
      <c r="CL29" s="13"/>
      <c r="CM29" s="13"/>
    </row>
    <row r="30" spans="1:91" x14ac:dyDescent="0.3">
      <c r="A30" s="97" t="str">
        <f>'DCS Detail'!A30</f>
        <v xml:space="preserve">      1920.3 Field Trip Income</v>
      </c>
      <c r="B30" s="106" t="str">
        <f>IF('DCS Detail'!$B30="","",'DCS Detail'!$B30)</f>
        <v>Other</v>
      </c>
      <c r="C30" s="106">
        <v>0</v>
      </c>
      <c r="D30" s="106">
        <v>0</v>
      </c>
      <c r="E30" s="18">
        <v>0</v>
      </c>
      <c r="F30" s="18">
        <v>0</v>
      </c>
      <c r="G30" s="18">
        <v>0</v>
      </c>
      <c r="H30" s="18">
        <v>0</v>
      </c>
      <c r="I30" s="18">
        <v>0</v>
      </c>
      <c r="J30" s="18">
        <v>0</v>
      </c>
      <c r="K30" s="18">
        <v>0</v>
      </c>
      <c r="L30" s="18">
        <v>0</v>
      </c>
      <c r="M30" s="18">
        <v>215</v>
      </c>
      <c r="N30" s="18">
        <v>0</v>
      </c>
      <c r="O30" s="18">
        <v>0</v>
      </c>
      <c r="P30" s="18">
        <v>0</v>
      </c>
      <c r="Q30" s="18">
        <v>0</v>
      </c>
      <c r="R30" s="18">
        <v>0</v>
      </c>
      <c r="S30" s="18">
        <v>0</v>
      </c>
      <c r="T30" s="18">
        <v>1329.9</v>
      </c>
      <c r="U30" s="18">
        <v>435.25</v>
      </c>
      <c r="V30" s="18">
        <v>0</v>
      </c>
      <c r="W30" s="18">
        <v>520</v>
      </c>
      <c r="X30" s="18">
        <v>300</v>
      </c>
      <c r="Y30" s="18">
        <v>1291</v>
      </c>
      <c r="Z30" s="18">
        <v>231.5</v>
      </c>
      <c r="AA30" s="18">
        <v>15</v>
      </c>
      <c r="AB30" s="36">
        <f t="shared" si="187"/>
        <v>0</v>
      </c>
      <c r="AC30" s="36">
        <f t="shared" si="188"/>
        <v>0</v>
      </c>
      <c r="AD30" s="36">
        <f t="shared" si="189"/>
        <v>0</v>
      </c>
      <c r="AE30" s="36">
        <f t="shared" si="190"/>
        <v>0</v>
      </c>
      <c r="AF30" s="36">
        <f t="shared" si="191"/>
        <v>1329.9</v>
      </c>
      <c r="AG30" s="36">
        <f t="shared" si="192"/>
        <v>435.25</v>
      </c>
      <c r="AH30" s="36">
        <f t="shared" si="193"/>
        <v>0</v>
      </c>
      <c r="AI30" s="36">
        <f t="shared" si="194"/>
        <v>520</v>
      </c>
      <c r="AJ30" s="36">
        <f t="shared" si="195"/>
        <v>300</v>
      </c>
      <c r="AK30" s="36">
        <f t="shared" si="196"/>
        <v>1291</v>
      </c>
      <c r="AL30" s="36">
        <f t="shared" si="197"/>
        <v>231.5</v>
      </c>
      <c r="AM30" s="36">
        <f t="shared" si="198"/>
        <v>15</v>
      </c>
      <c r="AN30" s="36">
        <f t="shared" si="199"/>
        <v>0</v>
      </c>
      <c r="AO30" s="36">
        <f t="shared" si="200"/>
        <v>0</v>
      </c>
      <c r="AP30" s="36">
        <f t="shared" si="201"/>
        <v>0</v>
      </c>
      <c r="AQ30" s="36">
        <f t="shared" si="202"/>
        <v>0</v>
      </c>
      <c r="AR30" s="36">
        <f t="shared" si="203"/>
        <v>1329.9</v>
      </c>
      <c r="AS30" s="36">
        <f t="shared" si="204"/>
        <v>435.25</v>
      </c>
      <c r="AT30" s="36">
        <f t="shared" si="205"/>
        <v>0</v>
      </c>
      <c r="AU30" s="36">
        <f t="shared" si="206"/>
        <v>520</v>
      </c>
      <c r="AV30" s="36">
        <f t="shared" si="207"/>
        <v>300</v>
      </c>
      <c r="AW30" s="36">
        <f t="shared" si="208"/>
        <v>1291</v>
      </c>
      <c r="AX30" s="36">
        <f t="shared" si="209"/>
        <v>231.5</v>
      </c>
      <c r="AY30" s="36">
        <f t="shared" si="210"/>
        <v>15</v>
      </c>
      <c r="AZ30" s="36">
        <f t="shared" si="211"/>
        <v>0</v>
      </c>
      <c r="BA30" s="36">
        <f t="shared" si="160"/>
        <v>0</v>
      </c>
      <c r="BB30" s="36">
        <f t="shared" si="161"/>
        <v>0</v>
      </c>
      <c r="BC30" s="36">
        <f t="shared" si="162"/>
        <v>0</v>
      </c>
      <c r="BD30" s="36">
        <f t="shared" si="163"/>
        <v>1329.9</v>
      </c>
      <c r="BE30" s="36">
        <f t="shared" si="164"/>
        <v>435.25</v>
      </c>
      <c r="BF30" s="36">
        <f t="shared" si="165"/>
        <v>0</v>
      </c>
      <c r="BG30" s="36">
        <f t="shared" si="166"/>
        <v>520</v>
      </c>
      <c r="BH30" s="36">
        <f t="shared" si="167"/>
        <v>300</v>
      </c>
      <c r="BI30" s="36">
        <f t="shared" si="168"/>
        <v>1291</v>
      </c>
      <c r="BJ30" s="36">
        <f t="shared" si="169"/>
        <v>231.5</v>
      </c>
      <c r="BK30" s="36">
        <f t="shared" si="170"/>
        <v>15</v>
      </c>
      <c r="BL30" s="36">
        <f t="shared" si="171"/>
        <v>0</v>
      </c>
      <c r="BM30" s="36">
        <f t="shared" si="172"/>
        <v>0</v>
      </c>
      <c r="BN30" s="36">
        <f t="shared" si="173"/>
        <v>0</v>
      </c>
      <c r="BO30" s="36">
        <f t="shared" si="174"/>
        <v>0</v>
      </c>
      <c r="BP30" s="36">
        <f t="shared" si="175"/>
        <v>1329.9</v>
      </c>
      <c r="BQ30" s="36">
        <f t="shared" si="176"/>
        <v>435.25</v>
      </c>
      <c r="BR30" s="36">
        <f t="shared" si="177"/>
        <v>0</v>
      </c>
      <c r="BS30" s="36">
        <f t="shared" si="178"/>
        <v>520</v>
      </c>
      <c r="BT30" s="36">
        <f t="shared" si="179"/>
        <v>300</v>
      </c>
      <c r="BU30" s="36">
        <f t="shared" si="180"/>
        <v>1291</v>
      </c>
      <c r="BV30" s="36">
        <f t="shared" si="181"/>
        <v>231.5</v>
      </c>
      <c r="BW30" s="36">
        <f t="shared" si="182"/>
        <v>15</v>
      </c>
      <c r="BX30" s="36">
        <f t="shared" si="183"/>
        <v>0</v>
      </c>
      <c r="BY30" s="8"/>
      <c r="BZ30" s="72">
        <f t="shared" si="184"/>
        <v>15</v>
      </c>
      <c r="CA30" s="72">
        <f t="shared" si="185"/>
        <v>4122.6499999999996</v>
      </c>
      <c r="CB30" s="97"/>
      <c r="CC30" s="72">
        <f t="shared" si="186"/>
        <v>0</v>
      </c>
      <c r="CD30" s="72">
        <f t="shared" si="186"/>
        <v>0</v>
      </c>
      <c r="CE30" s="72">
        <f t="shared" si="186"/>
        <v>215</v>
      </c>
      <c r="CF30" s="72">
        <f t="shared" si="186"/>
        <v>4122.6499999999996</v>
      </c>
      <c r="CG30" s="72">
        <f t="shared" si="186"/>
        <v>4122.6499999999996</v>
      </c>
      <c r="CH30" s="72">
        <f t="shared" si="186"/>
        <v>4122.6499999999996</v>
      </c>
      <c r="CI30" s="72">
        <f t="shared" si="186"/>
        <v>4122.6499999999996</v>
      </c>
      <c r="CJ30" s="72">
        <f t="shared" si="186"/>
        <v>4122.6499999999996</v>
      </c>
      <c r="CL30" s="13"/>
      <c r="CM30" s="13"/>
    </row>
    <row r="31" spans="1:91" x14ac:dyDescent="0.3">
      <c r="A31" s="97" t="str">
        <f>'DCS Detail'!A31</f>
        <v xml:space="preserve">      1920.4 Music Program Income</v>
      </c>
      <c r="B31" s="106" t="str">
        <f>IF('DCS Detail'!$B31="","",'DCS Detail'!$B31)</f>
        <v>Other</v>
      </c>
      <c r="C31" s="139"/>
      <c r="D31" s="139"/>
      <c r="E31" s="121">
        <v>0</v>
      </c>
      <c r="F31" s="121">
        <v>230.49</v>
      </c>
      <c r="G31" s="121">
        <v>435</v>
      </c>
      <c r="H31" s="121">
        <v>30</v>
      </c>
      <c r="I31" s="121">
        <v>28</v>
      </c>
      <c r="J31" s="121">
        <v>23</v>
      </c>
      <c r="K31" s="121">
        <v>24</v>
      </c>
      <c r="L31" s="121">
        <v>67</v>
      </c>
      <c r="M31" s="121">
        <v>76</v>
      </c>
      <c r="N31" s="121">
        <v>8</v>
      </c>
      <c r="O31" s="121">
        <v>16</v>
      </c>
      <c r="P31" s="121">
        <v>380.5</v>
      </c>
      <c r="Q31" s="121">
        <v>0</v>
      </c>
      <c r="R31" s="121">
        <v>0</v>
      </c>
      <c r="S31" s="121">
        <v>0</v>
      </c>
      <c r="T31" s="121">
        <v>0</v>
      </c>
      <c r="U31" s="121">
        <v>0</v>
      </c>
      <c r="V31" s="121">
        <v>0</v>
      </c>
      <c r="W31" s="121">
        <v>36</v>
      </c>
      <c r="X31" s="121">
        <v>150</v>
      </c>
      <c r="Y31" s="121">
        <v>18.25</v>
      </c>
      <c r="Z31" s="121">
        <v>0</v>
      </c>
      <c r="AA31" s="121">
        <v>0</v>
      </c>
      <c r="AB31" s="137">
        <f t="shared" si="187"/>
        <v>380.5</v>
      </c>
      <c r="AC31" s="137">
        <f t="shared" si="188"/>
        <v>0</v>
      </c>
      <c r="AD31" s="137">
        <f t="shared" si="189"/>
        <v>0</v>
      </c>
      <c r="AE31" s="137">
        <f t="shared" si="190"/>
        <v>0</v>
      </c>
      <c r="AF31" s="137">
        <f t="shared" si="191"/>
        <v>0</v>
      </c>
      <c r="AG31" s="137">
        <f t="shared" si="192"/>
        <v>0</v>
      </c>
      <c r="AH31" s="137">
        <f t="shared" si="193"/>
        <v>0</v>
      </c>
      <c r="AI31" s="137">
        <f t="shared" si="194"/>
        <v>36</v>
      </c>
      <c r="AJ31" s="137">
        <f t="shared" si="195"/>
        <v>150</v>
      </c>
      <c r="AK31" s="137">
        <f t="shared" si="196"/>
        <v>18.25</v>
      </c>
      <c r="AL31" s="137">
        <f t="shared" si="197"/>
        <v>0</v>
      </c>
      <c r="AM31" s="137">
        <f t="shared" si="198"/>
        <v>0</v>
      </c>
      <c r="AN31" s="137">
        <f t="shared" si="199"/>
        <v>380.5</v>
      </c>
      <c r="AO31" s="137">
        <f t="shared" si="200"/>
        <v>0</v>
      </c>
      <c r="AP31" s="137">
        <f t="shared" si="201"/>
        <v>0</v>
      </c>
      <c r="AQ31" s="137">
        <f t="shared" si="202"/>
        <v>0</v>
      </c>
      <c r="AR31" s="137">
        <f t="shared" si="203"/>
        <v>0</v>
      </c>
      <c r="AS31" s="137">
        <f t="shared" si="204"/>
        <v>0</v>
      </c>
      <c r="AT31" s="137">
        <f t="shared" si="205"/>
        <v>0</v>
      </c>
      <c r="AU31" s="137">
        <f t="shared" si="206"/>
        <v>36</v>
      </c>
      <c r="AV31" s="137">
        <f t="shared" si="207"/>
        <v>150</v>
      </c>
      <c r="AW31" s="137">
        <f t="shared" si="208"/>
        <v>18.25</v>
      </c>
      <c r="AX31" s="137">
        <f t="shared" si="209"/>
        <v>0</v>
      </c>
      <c r="AY31" s="137">
        <f t="shared" si="210"/>
        <v>0</v>
      </c>
      <c r="AZ31" s="137">
        <f t="shared" si="211"/>
        <v>380.5</v>
      </c>
      <c r="BA31" s="137">
        <f t="shared" si="160"/>
        <v>0</v>
      </c>
      <c r="BB31" s="137">
        <f t="shared" si="161"/>
        <v>0</v>
      </c>
      <c r="BC31" s="137">
        <f t="shared" si="162"/>
        <v>0</v>
      </c>
      <c r="BD31" s="137">
        <f t="shared" si="163"/>
        <v>0</v>
      </c>
      <c r="BE31" s="137">
        <f t="shared" si="164"/>
        <v>0</v>
      </c>
      <c r="BF31" s="137">
        <f t="shared" si="165"/>
        <v>0</v>
      </c>
      <c r="BG31" s="137">
        <f t="shared" si="166"/>
        <v>36</v>
      </c>
      <c r="BH31" s="137">
        <f t="shared" si="167"/>
        <v>150</v>
      </c>
      <c r="BI31" s="137">
        <f t="shared" si="168"/>
        <v>18.25</v>
      </c>
      <c r="BJ31" s="137">
        <f t="shared" si="169"/>
        <v>0</v>
      </c>
      <c r="BK31" s="137">
        <f t="shared" si="170"/>
        <v>0</v>
      </c>
      <c r="BL31" s="137">
        <f t="shared" si="171"/>
        <v>380.5</v>
      </c>
      <c r="BM31" s="137">
        <f t="shared" si="172"/>
        <v>0</v>
      </c>
      <c r="BN31" s="137">
        <f t="shared" si="173"/>
        <v>0</v>
      </c>
      <c r="BO31" s="137">
        <f t="shared" si="174"/>
        <v>0</v>
      </c>
      <c r="BP31" s="137">
        <f t="shared" si="175"/>
        <v>0</v>
      </c>
      <c r="BQ31" s="137">
        <f t="shared" si="176"/>
        <v>0</v>
      </c>
      <c r="BR31" s="137">
        <f t="shared" si="177"/>
        <v>0</v>
      </c>
      <c r="BS31" s="137">
        <f t="shared" si="178"/>
        <v>36</v>
      </c>
      <c r="BT31" s="137">
        <f t="shared" si="179"/>
        <v>150</v>
      </c>
      <c r="BU31" s="137">
        <f t="shared" si="180"/>
        <v>18.25</v>
      </c>
      <c r="BV31" s="137">
        <f t="shared" si="181"/>
        <v>0</v>
      </c>
      <c r="BW31" s="137">
        <f t="shared" si="182"/>
        <v>0</v>
      </c>
      <c r="BX31" s="137">
        <f t="shared" si="183"/>
        <v>380.5</v>
      </c>
      <c r="BY31" s="8"/>
      <c r="BZ31" s="73">
        <f t="shared" si="184"/>
        <v>0</v>
      </c>
      <c r="CA31" s="73">
        <f t="shared" si="185"/>
        <v>204.25</v>
      </c>
      <c r="CB31" s="97"/>
      <c r="CC31" s="73">
        <f t="shared" si="186"/>
        <v>0</v>
      </c>
      <c r="CD31" s="73">
        <f t="shared" si="186"/>
        <v>0</v>
      </c>
      <c r="CE31" s="73">
        <f t="shared" si="186"/>
        <v>1317.99</v>
      </c>
      <c r="CF31" s="73">
        <f t="shared" si="186"/>
        <v>584.75</v>
      </c>
      <c r="CG31" s="73">
        <f t="shared" si="186"/>
        <v>584.75</v>
      </c>
      <c r="CH31" s="73">
        <f t="shared" si="186"/>
        <v>584.75</v>
      </c>
      <c r="CI31" s="73">
        <f t="shared" si="186"/>
        <v>584.75</v>
      </c>
      <c r="CJ31" s="73">
        <f t="shared" si="186"/>
        <v>584.75</v>
      </c>
      <c r="CL31" s="13"/>
      <c r="CM31" s="13"/>
    </row>
    <row r="32" spans="1:91" x14ac:dyDescent="0.3">
      <c r="A32" s="97" t="str">
        <f>'DCS Detail'!A32</f>
        <v xml:space="preserve">   Total 1750.1 Fundraiser</v>
      </c>
      <c r="B32" s="106" t="str">
        <f>IF('DCS Detail'!$B32="","",'DCS Detail'!$B32)</f>
        <v/>
      </c>
      <c r="C32" s="36">
        <f>SUM(C24:C31)</f>
        <v>0</v>
      </c>
      <c r="D32" s="36">
        <f t="shared" ref="D32:AZ32" si="310">SUM(D24:D31)</f>
        <v>0</v>
      </c>
      <c r="E32" s="36">
        <f t="shared" si="310"/>
        <v>0</v>
      </c>
      <c r="F32" s="36">
        <f t="shared" si="310"/>
        <v>291.49</v>
      </c>
      <c r="G32" s="36">
        <f t="shared" si="310"/>
        <v>589.04</v>
      </c>
      <c r="H32" s="36">
        <f t="shared" si="310"/>
        <v>30</v>
      </c>
      <c r="I32" s="36">
        <f t="shared" si="310"/>
        <v>170</v>
      </c>
      <c r="J32" s="36">
        <f t="shared" si="310"/>
        <v>27.4</v>
      </c>
      <c r="K32" s="36">
        <f t="shared" si="310"/>
        <v>24</v>
      </c>
      <c r="L32" s="36">
        <f t="shared" si="310"/>
        <v>94.000000000000057</v>
      </c>
      <c r="M32" s="36">
        <f t="shared" si="310"/>
        <v>291</v>
      </c>
      <c r="N32" s="36">
        <f t="shared" si="310"/>
        <v>8</v>
      </c>
      <c r="O32" s="36">
        <f t="shared" si="310"/>
        <v>16</v>
      </c>
      <c r="P32" s="36">
        <f t="shared" si="310"/>
        <v>380.5</v>
      </c>
      <c r="Q32" s="36">
        <f t="shared" ref="Q32:R32" si="311">SUM(Q24:Q31)</f>
        <v>-556.14</v>
      </c>
      <c r="R32" s="36">
        <f t="shared" si="311"/>
        <v>0</v>
      </c>
      <c r="S32" s="36">
        <f t="shared" ref="S32:T32" si="312">SUM(S24:S31)</f>
        <v>754.85</v>
      </c>
      <c r="T32" s="36">
        <f t="shared" si="312"/>
        <v>1329.9</v>
      </c>
      <c r="U32" s="36">
        <f t="shared" ref="U32:V32" si="313">SUM(U24:U31)</f>
        <v>500.25</v>
      </c>
      <c r="V32" s="36">
        <f t="shared" si="313"/>
        <v>0</v>
      </c>
      <c r="W32" s="36">
        <f t="shared" ref="W32" si="314">SUM(W24:W31)</f>
        <v>3195.1</v>
      </c>
      <c r="X32" s="36">
        <f t="shared" si="310"/>
        <v>1050.01</v>
      </c>
      <c r="Y32" s="36">
        <f>SUM(Y24:Y31)</f>
        <v>1409.88</v>
      </c>
      <c r="Z32" s="36">
        <f t="shared" si="310"/>
        <v>1015.8</v>
      </c>
      <c r="AA32" s="36">
        <f t="shared" si="310"/>
        <v>487.25</v>
      </c>
      <c r="AB32" s="36">
        <f t="shared" si="310"/>
        <v>380.5</v>
      </c>
      <c r="AC32" s="36">
        <f t="shared" si="310"/>
        <v>-556.14</v>
      </c>
      <c r="AD32" s="36">
        <f t="shared" si="310"/>
        <v>0</v>
      </c>
      <c r="AE32" s="36">
        <f t="shared" si="310"/>
        <v>754.85</v>
      </c>
      <c r="AF32" s="36">
        <f t="shared" si="310"/>
        <v>1329.9</v>
      </c>
      <c r="AG32" s="36">
        <f t="shared" si="310"/>
        <v>500.25</v>
      </c>
      <c r="AH32" s="36">
        <f t="shared" si="310"/>
        <v>0</v>
      </c>
      <c r="AI32" s="36">
        <f t="shared" si="310"/>
        <v>3195.1</v>
      </c>
      <c r="AJ32" s="36">
        <f t="shared" si="310"/>
        <v>1050.01</v>
      </c>
      <c r="AK32" s="36">
        <f t="shared" si="310"/>
        <v>1409.88</v>
      </c>
      <c r="AL32" s="36">
        <f t="shared" si="310"/>
        <v>1015.8</v>
      </c>
      <c r="AM32" s="36">
        <f t="shared" si="310"/>
        <v>487.25</v>
      </c>
      <c r="AN32" s="36">
        <f t="shared" si="310"/>
        <v>380.5</v>
      </c>
      <c r="AO32" s="36">
        <f t="shared" si="310"/>
        <v>-556.14</v>
      </c>
      <c r="AP32" s="36">
        <f t="shared" si="310"/>
        <v>0</v>
      </c>
      <c r="AQ32" s="36">
        <f t="shared" si="310"/>
        <v>754.85</v>
      </c>
      <c r="AR32" s="36">
        <f t="shared" si="310"/>
        <v>1329.9</v>
      </c>
      <c r="AS32" s="36">
        <f t="shared" si="310"/>
        <v>500.25</v>
      </c>
      <c r="AT32" s="36">
        <f t="shared" si="310"/>
        <v>0</v>
      </c>
      <c r="AU32" s="36">
        <f t="shared" si="310"/>
        <v>3195.1</v>
      </c>
      <c r="AV32" s="36">
        <f t="shared" si="310"/>
        <v>1050.01</v>
      </c>
      <c r="AW32" s="36">
        <f t="shared" si="310"/>
        <v>1409.88</v>
      </c>
      <c r="AX32" s="36">
        <f t="shared" si="310"/>
        <v>1015.8</v>
      </c>
      <c r="AY32" s="36">
        <f t="shared" si="310"/>
        <v>487.25</v>
      </c>
      <c r="AZ32" s="36">
        <f t="shared" si="310"/>
        <v>380.5</v>
      </c>
      <c r="BA32" s="36">
        <f t="shared" ref="BA32:BX32" si="315">SUM(BA24:BA31)</f>
        <v>-556.14</v>
      </c>
      <c r="BB32" s="36">
        <f t="shared" si="315"/>
        <v>0</v>
      </c>
      <c r="BC32" s="36">
        <f t="shared" si="315"/>
        <v>754.85</v>
      </c>
      <c r="BD32" s="36">
        <f t="shared" si="315"/>
        <v>1329.9</v>
      </c>
      <c r="BE32" s="36">
        <f t="shared" si="315"/>
        <v>500.25</v>
      </c>
      <c r="BF32" s="36">
        <f t="shared" si="315"/>
        <v>0</v>
      </c>
      <c r="BG32" s="36">
        <f t="shared" si="315"/>
        <v>3195.1</v>
      </c>
      <c r="BH32" s="36">
        <f t="shared" si="315"/>
        <v>1050.01</v>
      </c>
      <c r="BI32" s="36">
        <f t="shared" si="315"/>
        <v>1409.88</v>
      </c>
      <c r="BJ32" s="36">
        <f t="shared" si="315"/>
        <v>1015.8</v>
      </c>
      <c r="BK32" s="36">
        <f t="shared" si="315"/>
        <v>487.25</v>
      </c>
      <c r="BL32" s="36">
        <f t="shared" si="315"/>
        <v>380.5</v>
      </c>
      <c r="BM32" s="36">
        <f t="shared" si="315"/>
        <v>-556.14</v>
      </c>
      <c r="BN32" s="36">
        <f t="shared" si="315"/>
        <v>0</v>
      </c>
      <c r="BO32" s="36">
        <f t="shared" si="315"/>
        <v>754.85</v>
      </c>
      <c r="BP32" s="36">
        <f t="shared" si="315"/>
        <v>1329.9</v>
      </c>
      <c r="BQ32" s="36">
        <f t="shared" si="315"/>
        <v>500.25</v>
      </c>
      <c r="BR32" s="36">
        <f t="shared" si="315"/>
        <v>0</v>
      </c>
      <c r="BS32" s="36">
        <f t="shared" si="315"/>
        <v>3195.1</v>
      </c>
      <c r="BT32" s="36">
        <f t="shared" si="315"/>
        <v>1050.01</v>
      </c>
      <c r="BU32" s="36">
        <f t="shared" si="315"/>
        <v>1409.88</v>
      </c>
      <c r="BV32" s="36">
        <f t="shared" si="315"/>
        <v>1015.8</v>
      </c>
      <c r="BW32" s="36">
        <f t="shared" si="315"/>
        <v>487.25</v>
      </c>
      <c r="BX32" s="36">
        <f t="shared" si="315"/>
        <v>380.5</v>
      </c>
      <c r="BY32" s="8"/>
      <c r="BZ32" s="72">
        <f t="shared" si="184"/>
        <v>487.25</v>
      </c>
      <c r="CA32" s="72">
        <f t="shared" si="185"/>
        <v>9186.9</v>
      </c>
      <c r="CB32" s="97"/>
      <c r="CC32" s="72">
        <f t="shared" si="186"/>
        <v>0</v>
      </c>
      <c r="CD32" s="72">
        <f t="shared" si="186"/>
        <v>0</v>
      </c>
      <c r="CE32" s="72">
        <f t="shared" si="186"/>
        <v>1921.43</v>
      </c>
      <c r="CF32" s="72">
        <f t="shared" si="186"/>
        <v>9567.4</v>
      </c>
      <c r="CG32" s="72">
        <f t="shared" si="186"/>
        <v>9567.4</v>
      </c>
      <c r="CH32" s="72">
        <f t="shared" si="186"/>
        <v>9567.4</v>
      </c>
      <c r="CI32" s="72">
        <f t="shared" si="186"/>
        <v>9567.4</v>
      </c>
      <c r="CJ32" s="72">
        <f t="shared" si="186"/>
        <v>9567.4</v>
      </c>
      <c r="CL32" s="13"/>
      <c r="CM32" s="13"/>
    </row>
    <row r="33" spans="1:91" x14ac:dyDescent="0.3">
      <c r="A33" s="97" t="str">
        <f>'DCS Detail'!A33</f>
        <v xml:space="preserve">   1750.17 Fundraising - Playground</v>
      </c>
      <c r="B33" s="106" t="str">
        <f>IF('DCS Detail'!$B33="","",'DCS Detail'!$B33)</f>
        <v>Other</v>
      </c>
      <c r="C33" s="36"/>
      <c r="D33" s="36"/>
      <c r="E33" s="36">
        <v>0</v>
      </c>
      <c r="F33" s="36">
        <v>0</v>
      </c>
      <c r="G33" s="36">
        <v>0</v>
      </c>
      <c r="H33" s="36">
        <v>0</v>
      </c>
      <c r="I33" s="36">
        <v>0</v>
      </c>
      <c r="J33" s="36">
        <v>0</v>
      </c>
      <c r="K33" s="36">
        <v>0</v>
      </c>
      <c r="L33" s="36">
        <v>0</v>
      </c>
      <c r="M33" s="36">
        <v>0</v>
      </c>
      <c r="N33" s="36">
        <v>0</v>
      </c>
      <c r="O33" s="36">
        <v>0</v>
      </c>
      <c r="P33" s="18">
        <v>0</v>
      </c>
      <c r="Q33" s="18">
        <v>0</v>
      </c>
      <c r="R33" s="18">
        <v>0</v>
      </c>
      <c r="S33" s="18">
        <v>170.04</v>
      </c>
      <c r="T33" s="18">
        <v>129.53</v>
      </c>
      <c r="U33" s="18">
        <v>426.85</v>
      </c>
      <c r="V33" s="18">
        <v>0</v>
      </c>
      <c r="W33" s="18">
        <v>300</v>
      </c>
      <c r="X33" s="18">
        <v>0</v>
      </c>
      <c r="Y33" s="18">
        <v>1175.94</v>
      </c>
      <c r="Z33" s="18">
        <v>2.4500000000000002</v>
      </c>
      <c r="AA33" s="18">
        <v>0</v>
      </c>
      <c r="AB33" s="36">
        <f t="shared" ref="AB33:AB44" si="316">P33</f>
        <v>0</v>
      </c>
      <c r="AC33" s="36">
        <f t="shared" ref="AC33:AC44" si="317">Q33</f>
        <v>0</v>
      </c>
      <c r="AD33" s="36">
        <f t="shared" ref="AD33:AD44" si="318">R33</f>
        <v>0</v>
      </c>
      <c r="AE33" s="36">
        <f t="shared" ref="AE33:AE44" si="319">S33</f>
        <v>170.04</v>
      </c>
      <c r="AF33" s="36">
        <f t="shared" ref="AF33:AF44" si="320">T33</f>
        <v>129.53</v>
      </c>
      <c r="AG33" s="36">
        <f t="shared" ref="AG33:AG44" si="321">U33</f>
        <v>426.85</v>
      </c>
      <c r="AH33" s="36">
        <f t="shared" ref="AH33:AH44" si="322">V33</f>
        <v>0</v>
      </c>
      <c r="AI33" s="36">
        <f t="shared" ref="AI33:AI44" si="323">W33</f>
        <v>300</v>
      </c>
      <c r="AJ33" s="36">
        <f t="shared" ref="AJ33:AJ44" si="324">X33</f>
        <v>0</v>
      </c>
      <c r="AK33" s="36">
        <f t="shared" ref="AK33:AK44" si="325">Y33</f>
        <v>1175.94</v>
      </c>
      <c r="AL33" s="36">
        <f t="shared" ref="AL33:AL44" si="326">Z33</f>
        <v>2.4500000000000002</v>
      </c>
      <c r="AM33" s="36">
        <f t="shared" ref="AM33:AM44" si="327">AA33</f>
        <v>0</v>
      </c>
      <c r="AN33" s="36">
        <f t="shared" ref="AN33:AN44" si="328">AB33</f>
        <v>0</v>
      </c>
      <c r="AO33" s="36">
        <f t="shared" ref="AO33:AO44" si="329">AC33</f>
        <v>0</v>
      </c>
      <c r="AP33" s="36">
        <f t="shared" ref="AP33:AP44" si="330">AD33</f>
        <v>0</v>
      </c>
      <c r="AQ33" s="36">
        <f t="shared" ref="AQ33:AQ44" si="331">AE33</f>
        <v>170.04</v>
      </c>
      <c r="AR33" s="36">
        <f t="shared" ref="AR33:AR44" si="332">AF33</f>
        <v>129.53</v>
      </c>
      <c r="AS33" s="36">
        <f t="shared" ref="AS33:AS44" si="333">AG33</f>
        <v>426.85</v>
      </c>
      <c r="AT33" s="36">
        <f t="shared" ref="AT33:AT44" si="334">AH33</f>
        <v>0</v>
      </c>
      <c r="AU33" s="36">
        <f t="shared" ref="AU33:AU44" si="335">AI33</f>
        <v>300</v>
      </c>
      <c r="AV33" s="36">
        <f t="shared" ref="AV33:AV44" si="336">AJ33</f>
        <v>0</v>
      </c>
      <c r="AW33" s="36">
        <f t="shared" ref="AW33:AW44" si="337">AK33</f>
        <v>1175.94</v>
      </c>
      <c r="AX33" s="36">
        <f t="shared" ref="AX33:AX44" si="338">AL33</f>
        <v>2.4500000000000002</v>
      </c>
      <c r="AY33" s="36">
        <f t="shared" ref="AY33:AY44" si="339">AM33</f>
        <v>0</v>
      </c>
      <c r="AZ33" s="36">
        <f t="shared" ref="AZ33:AZ44" si="340">AN33</f>
        <v>0</v>
      </c>
      <c r="BA33" s="36">
        <f t="shared" ref="BA33:BA44" si="341">AO33</f>
        <v>0</v>
      </c>
      <c r="BB33" s="36">
        <f t="shared" ref="BB33:BB44" si="342">AP33</f>
        <v>0</v>
      </c>
      <c r="BC33" s="36">
        <f t="shared" ref="BC33:BC44" si="343">AQ33</f>
        <v>170.04</v>
      </c>
      <c r="BD33" s="36">
        <f t="shared" ref="BD33:BD44" si="344">AR33</f>
        <v>129.53</v>
      </c>
      <c r="BE33" s="36">
        <f t="shared" ref="BE33:BE44" si="345">AS33</f>
        <v>426.85</v>
      </c>
      <c r="BF33" s="36">
        <f t="shared" ref="BF33:BF44" si="346">AT33</f>
        <v>0</v>
      </c>
      <c r="BG33" s="36">
        <f t="shared" ref="BG33:BG44" si="347">AU33</f>
        <v>300</v>
      </c>
      <c r="BH33" s="36">
        <f t="shared" ref="BH33:BH44" si="348">AV33</f>
        <v>0</v>
      </c>
      <c r="BI33" s="36">
        <f t="shared" ref="BI33:BI44" si="349">AW33</f>
        <v>1175.94</v>
      </c>
      <c r="BJ33" s="36">
        <f t="shared" ref="BJ33:BJ44" si="350">AX33</f>
        <v>2.4500000000000002</v>
      </c>
      <c r="BK33" s="36">
        <f t="shared" ref="BK33:BK44" si="351">AY33</f>
        <v>0</v>
      </c>
      <c r="BL33" s="36">
        <f t="shared" ref="BL33:BL44" si="352">AZ33</f>
        <v>0</v>
      </c>
      <c r="BM33" s="36">
        <f t="shared" ref="BM33:BM44" si="353">BA33</f>
        <v>0</v>
      </c>
      <c r="BN33" s="36">
        <f t="shared" ref="BN33:BN44" si="354">BB33</f>
        <v>0</v>
      </c>
      <c r="BO33" s="36">
        <f t="shared" ref="BO33:BO44" si="355">BC33</f>
        <v>170.04</v>
      </c>
      <c r="BP33" s="36">
        <f t="shared" ref="BP33:BP44" si="356">BD33</f>
        <v>129.53</v>
      </c>
      <c r="BQ33" s="36">
        <f t="shared" ref="BQ33:BQ44" si="357">BE33</f>
        <v>426.85</v>
      </c>
      <c r="BR33" s="36">
        <f t="shared" ref="BR33:BR44" si="358">BF33</f>
        <v>0</v>
      </c>
      <c r="BS33" s="36">
        <f t="shared" ref="BS33:BS44" si="359">BG33</f>
        <v>300</v>
      </c>
      <c r="BT33" s="36">
        <f t="shared" ref="BT33:BT44" si="360">BH33</f>
        <v>0</v>
      </c>
      <c r="BU33" s="36">
        <f t="shared" ref="BU33:BU44" si="361">BI33</f>
        <v>1175.94</v>
      </c>
      <c r="BV33" s="36">
        <f t="shared" ref="BV33:BV44" si="362">BJ33</f>
        <v>2.4500000000000002</v>
      </c>
      <c r="BW33" s="36">
        <f t="shared" ref="BW33:BW44" si="363">BK33</f>
        <v>0</v>
      </c>
      <c r="BX33" s="36">
        <f t="shared" ref="BX33:BX44" si="364">BL33</f>
        <v>0</v>
      </c>
      <c r="BY33" s="8"/>
      <c r="BZ33" s="72">
        <f t="shared" si="184"/>
        <v>0</v>
      </c>
      <c r="CA33" s="72">
        <f t="shared" si="185"/>
        <v>2204.81</v>
      </c>
      <c r="CB33" s="97"/>
      <c r="CC33" s="72">
        <f t="shared" si="186"/>
        <v>0</v>
      </c>
      <c r="CD33" s="72">
        <f t="shared" si="186"/>
        <v>0</v>
      </c>
      <c r="CE33" s="72">
        <f t="shared" si="186"/>
        <v>0</v>
      </c>
      <c r="CF33" s="72">
        <f t="shared" si="186"/>
        <v>2204.81</v>
      </c>
      <c r="CG33" s="72">
        <f t="shared" si="186"/>
        <v>2204.81</v>
      </c>
      <c r="CH33" s="72">
        <f t="shared" si="186"/>
        <v>2204.81</v>
      </c>
      <c r="CI33" s="72">
        <f t="shared" si="186"/>
        <v>2204.81</v>
      </c>
      <c r="CJ33" s="72">
        <f t="shared" si="186"/>
        <v>2204.81</v>
      </c>
      <c r="CL33" s="13"/>
      <c r="CM33" s="13"/>
    </row>
    <row r="34" spans="1:91" x14ac:dyDescent="0.3">
      <c r="A34" s="97" t="str">
        <f>'DCS Detail'!A34</f>
        <v xml:space="preserve">   1750.18 Fundraising - Private Match</v>
      </c>
      <c r="B34" s="106" t="str">
        <f>IF('DCS Detail'!$B34="","",'DCS Detail'!$B34)</f>
        <v>Other</v>
      </c>
      <c r="C34" s="36"/>
      <c r="D34" s="36"/>
      <c r="E34" s="36">
        <v>0</v>
      </c>
      <c r="F34" s="36">
        <v>0</v>
      </c>
      <c r="G34" s="36">
        <v>0</v>
      </c>
      <c r="H34" s="36">
        <v>0</v>
      </c>
      <c r="I34" s="36">
        <v>0</v>
      </c>
      <c r="J34" s="36">
        <v>0</v>
      </c>
      <c r="K34" s="36">
        <v>0</v>
      </c>
      <c r="L34" s="36">
        <v>0</v>
      </c>
      <c r="M34" s="36">
        <v>0</v>
      </c>
      <c r="N34" s="36">
        <v>0</v>
      </c>
      <c r="O34" s="36">
        <v>0</v>
      </c>
      <c r="P34" s="18">
        <v>0</v>
      </c>
      <c r="Q34" s="36">
        <v>0</v>
      </c>
      <c r="R34" s="36">
        <v>0</v>
      </c>
      <c r="S34" s="36">
        <v>0</v>
      </c>
      <c r="T34" s="18">
        <v>1012.05</v>
      </c>
      <c r="U34" s="18">
        <v>0</v>
      </c>
      <c r="V34" s="18">
        <v>0</v>
      </c>
      <c r="W34" s="18">
        <v>0</v>
      </c>
      <c r="X34" s="18">
        <v>0</v>
      </c>
      <c r="Y34" s="18">
        <v>0</v>
      </c>
      <c r="Z34" s="18">
        <v>0</v>
      </c>
      <c r="AA34" s="18">
        <v>0</v>
      </c>
      <c r="AB34" s="36">
        <f t="shared" si="316"/>
        <v>0</v>
      </c>
      <c r="AC34" s="36">
        <f t="shared" si="317"/>
        <v>0</v>
      </c>
      <c r="AD34" s="36">
        <f t="shared" si="318"/>
        <v>0</v>
      </c>
      <c r="AE34" s="36">
        <f t="shared" si="319"/>
        <v>0</v>
      </c>
      <c r="AF34" s="36">
        <f t="shared" si="320"/>
        <v>1012.05</v>
      </c>
      <c r="AG34" s="36">
        <f t="shared" si="321"/>
        <v>0</v>
      </c>
      <c r="AH34" s="36">
        <f t="shared" si="322"/>
        <v>0</v>
      </c>
      <c r="AI34" s="36">
        <f t="shared" si="323"/>
        <v>0</v>
      </c>
      <c r="AJ34" s="36">
        <f t="shared" si="324"/>
        <v>0</v>
      </c>
      <c r="AK34" s="36">
        <f t="shared" si="325"/>
        <v>0</v>
      </c>
      <c r="AL34" s="36">
        <f t="shared" si="326"/>
        <v>0</v>
      </c>
      <c r="AM34" s="36">
        <f t="shared" si="327"/>
        <v>0</v>
      </c>
      <c r="AN34" s="36">
        <f t="shared" si="328"/>
        <v>0</v>
      </c>
      <c r="AO34" s="36">
        <f t="shared" si="329"/>
        <v>0</v>
      </c>
      <c r="AP34" s="36">
        <f t="shared" si="330"/>
        <v>0</v>
      </c>
      <c r="AQ34" s="36">
        <f t="shared" si="331"/>
        <v>0</v>
      </c>
      <c r="AR34" s="36">
        <f t="shared" si="332"/>
        <v>1012.05</v>
      </c>
      <c r="AS34" s="36">
        <f t="shared" si="333"/>
        <v>0</v>
      </c>
      <c r="AT34" s="36">
        <f t="shared" si="334"/>
        <v>0</v>
      </c>
      <c r="AU34" s="36">
        <f t="shared" si="335"/>
        <v>0</v>
      </c>
      <c r="AV34" s="36">
        <f t="shared" si="336"/>
        <v>0</v>
      </c>
      <c r="AW34" s="36">
        <f t="shared" si="337"/>
        <v>0</v>
      </c>
      <c r="AX34" s="36">
        <f t="shared" si="338"/>
        <v>0</v>
      </c>
      <c r="AY34" s="36">
        <f t="shared" si="339"/>
        <v>0</v>
      </c>
      <c r="AZ34" s="36">
        <f t="shared" si="340"/>
        <v>0</v>
      </c>
      <c r="BA34" s="36">
        <f t="shared" si="341"/>
        <v>0</v>
      </c>
      <c r="BB34" s="36">
        <f t="shared" si="342"/>
        <v>0</v>
      </c>
      <c r="BC34" s="36">
        <f t="shared" si="343"/>
        <v>0</v>
      </c>
      <c r="BD34" s="36">
        <f t="shared" si="344"/>
        <v>1012.05</v>
      </c>
      <c r="BE34" s="36">
        <f t="shared" si="345"/>
        <v>0</v>
      </c>
      <c r="BF34" s="36">
        <f t="shared" si="346"/>
        <v>0</v>
      </c>
      <c r="BG34" s="36">
        <f t="shared" si="347"/>
        <v>0</v>
      </c>
      <c r="BH34" s="36">
        <f t="shared" si="348"/>
        <v>0</v>
      </c>
      <c r="BI34" s="36">
        <f t="shared" si="349"/>
        <v>0</v>
      </c>
      <c r="BJ34" s="36">
        <f t="shared" si="350"/>
        <v>0</v>
      </c>
      <c r="BK34" s="36">
        <f t="shared" si="351"/>
        <v>0</v>
      </c>
      <c r="BL34" s="36">
        <f t="shared" si="352"/>
        <v>0</v>
      </c>
      <c r="BM34" s="36">
        <f t="shared" si="353"/>
        <v>0</v>
      </c>
      <c r="BN34" s="36">
        <f t="shared" si="354"/>
        <v>0</v>
      </c>
      <c r="BO34" s="36">
        <f t="shared" si="355"/>
        <v>0</v>
      </c>
      <c r="BP34" s="36">
        <f t="shared" si="356"/>
        <v>1012.05</v>
      </c>
      <c r="BQ34" s="36">
        <f t="shared" si="357"/>
        <v>0</v>
      </c>
      <c r="BR34" s="36">
        <f t="shared" si="358"/>
        <v>0</v>
      </c>
      <c r="BS34" s="36">
        <f t="shared" si="359"/>
        <v>0</v>
      </c>
      <c r="BT34" s="36">
        <f t="shared" si="360"/>
        <v>0</v>
      </c>
      <c r="BU34" s="36">
        <f t="shared" si="361"/>
        <v>0</v>
      </c>
      <c r="BV34" s="36">
        <f t="shared" si="362"/>
        <v>0</v>
      </c>
      <c r="BW34" s="36">
        <f t="shared" si="363"/>
        <v>0</v>
      </c>
      <c r="BX34" s="36">
        <f t="shared" si="364"/>
        <v>0</v>
      </c>
      <c r="BY34" s="8"/>
      <c r="BZ34" s="72">
        <f t="shared" si="184"/>
        <v>0</v>
      </c>
      <c r="CA34" s="72">
        <f t="shared" si="185"/>
        <v>1012.05</v>
      </c>
      <c r="CB34" s="97"/>
      <c r="CC34" s="72">
        <f t="shared" si="186"/>
        <v>0</v>
      </c>
      <c r="CD34" s="72">
        <f t="shared" si="186"/>
        <v>0</v>
      </c>
      <c r="CE34" s="72">
        <f t="shared" si="186"/>
        <v>0</v>
      </c>
      <c r="CF34" s="72">
        <f t="shared" si="186"/>
        <v>1012.05</v>
      </c>
      <c r="CG34" s="72">
        <f t="shared" si="186"/>
        <v>1012.05</v>
      </c>
      <c r="CH34" s="72">
        <f t="shared" si="186"/>
        <v>1012.05</v>
      </c>
      <c r="CI34" s="72">
        <f t="shared" si="186"/>
        <v>1012.05</v>
      </c>
      <c r="CJ34" s="72">
        <f t="shared" si="186"/>
        <v>1012.05</v>
      </c>
      <c r="CL34" s="13"/>
      <c r="CM34" s="13"/>
    </row>
    <row r="35" spans="1:91" x14ac:dyDescent="0.3">
      <c r="A35" s="97" t="str">
        <f>'DCS Detail'!A35</f>
        <v xml:space="preserve">   1751.0 Commissions</v>
      </c>
      <c r="B35" s="106" t="str">
        <f>IF('DCS Detail'!$B35="","",'DCS Detail'!$B35)</f>
        <v>Other</v>
      </c>
      <c r="C35" s="106"/>
      <c r="D35" s="106"/>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701.25</v>
      </c>
      <c r="X35" s="18">
        <v>0</v>
      </c>
      <c r="Y35" s="18">
        <v>0</v>
      </c>
      <c r="Z35" s="18">
        <v>0</v>
      </c>
      <c r="AA35" s="18">
        <v>0</v>
      </c>
      <c r="AB35" s="36">
        <f t="shared" si="316"/>
        <v>0</v>
      </c>
      <c r="AC35" s="36">
        <f t="shared" si="317"/>
        <v>0</v>
      </c>
      <c r="AD35" s="36">
        <f t="shared" si="318"/>
        <v>0</v>
      </c>
      <c r="AE35" s="36">
        <f t="shared" si="319"/>
        <v>0</v>
      </c>
      <c r="AF35" s="36">
        <f t="shared" si="320"/>
        <v>0</v>
      </c>
      <c r="AG35" s="36">
        <f t="shared" si="321"/>
        <v>0</v>
      </c>
      <c r="AH35" s="36">
        <f t="shared" si="322"/>
        <v>0</v>
      </c>
      <c r="AI35" s="36">
        <f t="shared" si="323"/>
        <v>701.25</v>
      </c>
      <c r="AJ35" s="36">
        <f t="shared" si="324"/>
        <v>0</v>
      </c>
      <c r="AK35" s="36">
        <f t="shared" si="325"/>
        <v>0</v>
      </c>
      <c r="AL35" s="36">
        <f t="shared" si="326"/>
        <v>0</v>
      </c>
      <c r="AM35" s="36">
        <f t="shared" si="327"/>
        <v>0</v>
      </c>
      <c r="AN35" s="36">
        <f t="shared" si="328"/>
        <v>0</v>
      </c>
      <c r="AO35" s="36">
        <f t="shared" si="329"/>
        <v>0</v>
      </c>
      <c r="AP35" s="36">
        <f t="shared" si="330"/>
        <v>0</v>
      </c>
      <c r="AQ35" s="36">
        <f t="shared" si="331"/>
        <v>0</v>
      </c>
      <c r="AR35" s="36">
        <f t="shared" si="332"/>
        <v>0</v>
      </c>
      <c r="AS35" s="36">
        <f t="shared" si="333"/>
        <v>0</v>
      </c>
      <c r="AT35" s="36">
        <f t="shared" si="334"/>
        <v>0</v>
      </c>
      <c r="AU35" s="36">
        <f t="shared" si="335"/>
        <v>701.25</v>
      </c>
      <c r="AV35" s="36">
        <f t="shared" si="336"/>
        <v>0</v>
      </c>
      <c r="AW35" s="36">
        <f t="shared" si="337"/>
        <v>0</v>
      </c>
      <c r="AX35" s="36">
        <f t="shared" si="338"/>
        <v>0</v>
      </c>
      <c r="AY35" s="36">
        <f t="shared" si="339"/>
        <v>0</v>
      </c>
      <c r="AZ35" s="36">
        <f t="shared" si="340"/>
        <v>0</v>
      </c>
      <c r="BA35" s="36">
        <f t="shared" si="341"/>
        <v>0</v>
      </c>
      <c r="BB35" s="36">
        <f t="shared" si="342"/>
        <v>0</v>
      </c>
      <c r="BC35" s="36">
        <f t="shared" si="343"/>
        <v>0</v>
      </c>
      <c r="BD35" s="36">
        <f t="shared" si="344"/>
        <v>0</v>
      </c>
      <c r="BE35" s="36">
        <f t="shared" si="345"/>
        <v>0</v>
      </c>
      <c r="BF35" s="36">
        <f t="shared" si="346"/>
        <v>0</v>
      </c>
      <c r="BG35" s="36">
        <f t="shared" si="347"/>
        <v>701.25</v>
      </c>
      <c r="BH35" s="36">
        <f t="shared" si="348"/>
        <v>0</v>
      </c>
      <c r="BI35" s="36">
        <f t="shared" si="349"/>
        <v>0</v>
      </c>
      <c r="BJ35" s="36">
        <f t="shared" si="350"/>
        <v>0</v>
      </c>
      <c r="BK35" s="36">
        <f t="shared" si="351"/>
        <v>0</v>
      </c>
      <c r="BL35" s="36">
        <f t="shared" si="352"/>
        <v>0</v>
      </c>
      <c r="BM35" s="36">
        <f t="shared" si="353"/>
        <v>0</v>
      </c>
      <c r="BN35" s="36">
        <f t="shared" si="354"/>
        <v>0</v>
      </c>
      <c r="BO35" s="36">
        <f t="shared" si="355"/>
        <v>0</v>
      </c>
      <c r="BP35" s="36">
        <f t="shared" si="356"/>
        <v>0</v>
      </c>
      <c r="BQ35" s="36">
        <f t="shared" si="357"/>
        <v>0</v>
      </c>
      <c r="BR35" s="36">
        <f t="shared" si="358"/>
        <v>0</v>
      </c>
      <c r="BS35" s="36">
        <f t="shared" si="359"/>
        <v>701.25</v>
      </c>
      <c r="BT35" s="36">
        <f t="shared" si="360"/>
        <v>0</v>
      </c>
      <c r="BU35" s="36">
        <f t="shared" si="361"/>
        <v>0</v>
      </c>
      <c r="BV35" s="36">
        <f t="shared" si="362"/>
        <v>0</v>
      </c>
      <c r="BW35" s="36">
        <f t="shared" si="363"/>
        <v>0</v>
      </c>
      <c r="BX35" s="36">
        <f t="shared" si="364"/>
        <v>0</v>
      </c>
      <c r="BY35" s="8"/>
      <c r="BZ35" s="72">
        <f t="shared" si="184"/>
        <v>0</v>
      </c>
      <c r="CA35" s="72">
        <f t="shared" si="185"/>
        <v>701.25</v>
      </c>
      <c r="CB35" s="97"/>
      <c r="CC35" s="72">
        <f t="shared" si="186"/>
        <v>0</v>
      </c>
      <c r="CD35" s="72">
        <f t="shared" si="186"/>
        <v>0</v>
      </c>
      <c r="CE35" s="72">
        <f t="shared" si="186"/>
        <v>0</v>
      </c>
      <c r="CF35" s="72">
        <f t="shared" si="186"/>
        <v>701.25</v>
      </c>
      <c r="CG35" s="72">
        <f t="shared" si="186"/>
        <v>701.25</v>
      </c>
      <c r="CH35" s="72">
        <f t="shared" si="186"/>
        <v>701.25</v>
      </c>
      <c r="CI35" s="72">
        <f t="shared" si="186"/>
        <v>701.25</v>
      </c>
      <c r="CJ35" s="72">
        <f t="shared" si="186"/>
        <v>701.25</v>
      </c>
      <c r="CL35" s="13"/>
      <c r="CM35" s="13"/>
    </row>
    <row r="36" spans="1:91" x14ac:dyDescent="0.3">
      <c r="A36" s="97" t="str">
        <f>'DCS Detail'!A36</f>
        <v xml:space="preserve">   1900.1 Other Revenues</v>
      </c>
      <c r="B36" s="106" t="str">
        <f>IF('DCS Detail'!$B36="","",'DCS Detail'!$B36)</f>
        <v>Other</v>
      </c>
      <c r="C36" s="106"/>
      <c r="D36" s="106"/>
      <c r="E36" s="18">
        <v>0</v>
      </c>
      <c r="F36" s="18">
        <v>1998.36</v>
      </c>
      <c r="G36" s="18">
        <v>184.08</v>
      </c>
      <c r="H36" s="18">
        <v>0</v>
      </c>
      <c r="I36" s="18">
        <v>0</v>
      </c>
      <c r="J36" s="18">
        <v>0</v>
      </c>
      <c r="K36" s="18">
        <v>0</v>
      </c>
      <c r="L36" s="18">
        <v>0</v>
      </c>
      <c r="M36" s="18">
        <v>0</v>
      </c>
      <c r="N36" s="18">
        <v>0</v>
      </c>
      <c r="O36" s="18">
        <v>150</v>
      </c>
      <c r="P36" s="18">
        <v>0</v>
      </c>
      <c r="Q36" s="18">
        <v>0</v>
      </c>
      <c r="R36" s="18">
        <v>0</v>
      </c>
      <c r="S36" s="18">
        <v>0</v>
      </c>
      <c r="T36" s="18">
        <v>0</v>
      </c>
      <c r="U36" s="18">
        <v>0</v>
      </c>
      <c r="V36" s="18">
        <v>0</v>
      </c>
      <c r="W36" s="18">
        <v>0</v>
      </c>
      <c r="X36" s="18">
        <v>0</v>
      </c>
      <c r="Y36" s="18">
        <v>0</v>
      </c>
      <c r="Z36" s="18">
        <v>0</v>
      </c>
      <c r="AA36" s="18">
        <v>0</v>
      </c>
      <c r="AB36" s="36">
        <f t="shared" si="316"/>
        <v>0</v>
      </c>
      <c r="AC36" s="102">
        <f>IF('Hillpointe Detail'!$B$291="Red Hook",0,'Financial Position Detail'!AC67-'Financial Position Detail'!AC34-'Financial Position Detail'!AC37)</f>
        <v>670098.30999999994</v>
      </c>
      <c r="AD36" s="36">
        <f t="shared" si="318"/>
        <v>0</v>
      </c>
      <c r="AE36" s="36">
        <f t="shared" si="319"/>
        <v>0</v>
      </c>
      <c r="AF36" s="36">
        <f t="shared" si="320"/>
        <v>0</v>
      </c>
      <c r="AG36" s="36">
        <f t="shared" si="321"/>
        <v>0</v>
      </c>
      <c r="AH36" s="36">
        <f t="shared" si="322"/>
        <v>0</v>
      </c>
      <c r="AI36" s="36">
        <f t="shared" si="323"/>
        <v>0</v>
      </c>
      <c r="AJ36" s="36">
        <f t="shared" si="324"/>
        <v>0</v>
      </c>
      <c r="AK36" s="36">
        <f t="shared" si="325"/>
        <v>0</v>
      </c>
      <c r="AL36" s="36">
        <f t="shared" si="326"/>
        <v>0</v>
      </c>
      <c r="AM36" s="36">
        <f t="shared" si="327"/>
        <v>0</v>
      </c>
      <c r="AN36" s="36">
        <f t="shared" si="328"/>
        <v>0</v>
      </c>
      <c r="AO36" s="406">
        <v>0</v>
      </c>
      <c r="AP36" s="36">
        <f t="shared" si="330"/>
        <v>0</v>
      </c>
      <c r="AQ36" s="36">
        <f t="shared" si="331"/>
        <v>0</v>
      </c>
      <c r="AR36" s="36">
        <f t="shared" si="332"/>
        <v>0</v>
      </c>
      <c r="AS36" s="36">
        <f t="shared" si="333"/>
        <v>0</v>
      </c>
      <c r="AT36" s="36">
        <f t="shared" si="334"/>
        <v>0</v>
      </c>
      <c r="AU36" s="36">
        <f t="shared" si="335"/>
        <v>0</v>
      </c>
      <c r="AV36" s="36">
        <f t="shared" si="336"/>
        <v>0</v>
      </c>
      <c r="AW36" s="36">
        <f t="shared" si="337"/>
        <v>0</v>
      </c>
      <c r="AX36" s="36">
        <f t="shared" si="338"/>
        <v>0</v>
      </c>
      <c r="AY36" s="36">
        <f t="shared" si="339"/>
        <v>0</v>
      </c>
      <c r="AZ36" s="36">
        <f t="shared" si="340"/>
        <v>0</v>
      </c>
      <c r="BA36" s="36">
        <f t="shared" si="341"/>
        <v>0</v>
      </c>
      <c r="BB36" s="36">
        <f t="shared" si="342"/>
        <v>0</v>
      </c>
      <c r="BC36" s="36">
        <f t="shared" si="343"/>
        <v>0</v>
      </c>
      <c r="BD36" s="36">
        <f t="shared" si="344"/>
        <v>0</v>
      </c>
      <c r="BE36" s="36">
        <f t="shared" si="345"/>
        <v>0</v>
      </c>
      <c r="BF36" s="36">
        <f t="shared" si="346"/>
        <v>0</v>
      </c>
      <c r="BG36" s="36">
        <f t="shared" si="347"/>
        <v>0</v>
      </c>
      <c r="BH36" s="36">
        <f t="shared" si="348"/>
        <v>0</v>
      </c>
      <c r="BI36" s="36">
        <f t="shared" si="349"/>
        <v>0</v>
      </c>
      <c r="BJ36" s="36">
        <f t="shared" si="350"/>
        <v>0</v>
      </c>
      <c r="BK36" s="36">
        <f t="shared" si="351"/>
        <v>0</v>
      </c>
      <c r="BL36" s="36">
        <f t="shared" si="352"/>
        <v>0</v>
      </c>
      <c r="BM36" s="36">
        <f t="shared" si="353"/>
        <v>0</v>
      </c>
      <c r="BN36" s="36">
        <f t="shared" si="354"/>
        <v>0</v>
      </c>
      <c r="BO36" s="36">
        <f t="shared" si="355"/>
        <v>0</v>
      </c>
      <c r="BP36" s="36">
        <f t="shared" si="356"/>
        <v>0</v>
      </c>
      <c r="BQ36" s="36">
        <f t="shared" si="357"/>
        <v>0</v>
      </c>
      <c r="BR36" s="36">
        <f t="shared" si="358"/>
        <v>0</v>
      </c>
      <c r="BS36" s="36">
        <f t="shared" si="359"/>
        <v>0</v>
      </c>
      <c r="BT36" s="36">
        <f t="shared" si="360"/>
        <v>0</v>
      </c>
      <c r="BU36" s="36">
        <f t="shared" si="361"/>
        <v>0</v>
      </c>
      <c r="BV36" s="36">
        <f t="shared" si="362"/>
        <v>0</v>
      </c>
      <c r="BW36" s="36">
        <f t="shared" si="363"/>
        <v>0</v>
      </c>
      <c r="BX36" s="36">
        <f t="shared" si="364"/>
        <v>0</v>
      </c>
      <c r="BY36" s="8"/>
      <c r="BZ36" s="72">
        <f t="shared" si="184"/>
        <v>0</v>
      </c>
      <c r="CA36" s="72">
        <f t="shared" si="185"/>
        <v>0</v>
      </c>
      <c r="CB36" s="97"/>
      <c r="CC36" s="72">
        <f t="shared" ref="CC36:CJ45" si="365">SUMIF($C$3:$BY$3,CC$3,$C36:$BY36)</f>
        <v>0</v>
      </c>
      <c r="CD36" s="72">
        <f t="shared" si="365"/>
        <v>0</v>
      </c>
      <c r="CE36" s="72">
        <f t="shared" si="365"/>
        <v>2332.44</v>
      </c>
      <c r="CF36" s="72">
        <f t="shared" si="365"/>
        <v>0</v>
      </c>
      <c r="CG36" s="72">
        <f t="shared" si="365"/>
        <v>670098.30999999994</v>
      </c>
      <c r="CH36" s="72">
        <f t="shared" si="365"/>
        <v>0</v>
      </c>
      <c r="CI36" s="72">
        <f t="shared" si="365"/>
        <v>0</v>
      </c>
      <c r="CJ36" s="72">
        <f t="shared" si="365"/>
        <v>0</v>
      </c>
      <c r="CL36" s="13"/>
      <c r="CM36" s="13"/>
    </row>
    <row r="37" spans="1:91" x14ac:dyDescent="0.3">
      <c r="A37" s="97" t="str">
        <f>'DCS Detail'!A37</f>
        <v xml:space="preserve">   1920.1 Donations</v>
      </c>
      <c r="B37" s="106" t="str">
        <f>IF('DCS Detail'!$B37="","",'DCS Detail'!$B37)</f>
        <v>Other</v>
      </c>
      <c r="C37" s="106"/>
      <c r="D37" s="106"/>
      <c r="E37" s="18">
        <v>0</v>
      </c>
      <c r="F37" s="18">
        <v>0</v>
      </c>
      <c r="G37" s="18">
        <v>0</v>
      </c>
      <c r="H37" s="18">
        <v>0</v>
      </c>
      <c r="I37" s="18">
        <v>0</v>
      </c>
      <c r="J37" s="18">
        <v>0</v>
      </c>
      <c r="K37" s="18">
        <v>0</v>
      </c>
      <c r="L37" s="18">
        <v>0</v>
      </c>
      <c r="M37" s="18">
        <v>0</v>
      </c>
      <c r="N37" s="18">
        <v>0</v>
      </c>
      <c r="O37" s="18">
        <v>0</v>
      </c>
      <c r="P37" s="18">
        <v>0</v>
      </c>
      <c r="Q37" s="18">
        <v>780</v>
      </c>
      <c r="R37" s="18">
        <v>0</v>
      </c>
      <c r="S37" s="18">
        <v>0</v>
      </c>
      <c r="T37" s="18">
        <v>0</v>
      </c>
      <c r="U37" s="18">
        <v>0</v>
      </c>
      <c r="V37" s="18">
        <v>0</v>
      </c>
      <c r="W37" s="18">
        <v>0</v>
      </c>
      <c r="X37" s="18">
        <v>0</v>
      </c>
      <c r="Y37" s="18">
        <v>0</v>
      </c>
      <c r="Z37" s="18">
        <v>0</v>
      </c>
      <c r="AA37" s="18">
        <v>0</v>
      </c>
      <c r="AB37" s="36">
        <f t="shared" si="316"/>
        <v>0</v>
      </c>
      <c r="AC37" s="36">
        <f t="shared" si="317"/>
        <v>780</v>
      </c>
      <c r="AD37" s="36">
        <f t="shared" si="318"/>
        <v>0</v>
      </c>
      <c r="AE37" s="36">
        <f t="shared" si="319"/>
        <v>0</v>
      </c>
      <c r="AF37" s="36">
        <f t="shared" si="320"/>
        <v>0</v>
      </c>
      <c r="AG37" s="36">
        <f t="shared" si="321"/>
        <v>0</v>
      </c>
      <c r="AH37" s="36">
        <f t="shared" si="322"/>
        <v>0</v>
      </c>
      <c r="AI37" s="36">
        <f t="shared" si="323"/>
        <v>0</v>
      </c>
      <c r="AJ37" s="36">
        <f t="shared" si="324"/>
        <v>0</v>
      </c>
      <c r="AK37" s="36">
        <f t="shared" si="325"/>
        <v>0</v>
      </c>
      <c r="AL37" s="36">
        <f t="shared" si="326"/>
        <v>0</v>
      </c>
      <c r="AM37" s="36">
        <f t="shared" si="327"/>
        <v>0</v>
      </c>
      <c r="AN37" s="36">
        <f t="shared" si="328"/>
        <v>0</v>
      </c>
      <c r="AO37" s="36">
        <f t="shared" si="329"/>
        <v>780</v>
      </c>
      <c r="AP37" s="36">
        <f t="shared" si="330"/>
        <v>0</v>
      </c>
      <c r="AQ37" s="36">
        <f t="shared" si="331"/>
        <v>0</v>
      </c>
      <c r="AR37" s="36">
        <f t="shared" si="332"/>
        <v>0</v>
      </c>
      <c r="AS37" s="36">
        <f t="shared" si="333"/>
        <v>0</v>
      </c>
      <c r="AT37" s="36">
        <f t="shared" si="334"/>
        <v>0</v>
      </c>
      <c r="AU37" s="36">
        <f t="shared" si="335"/>
        <v>0</v>
      </c>
      <c r="AV37" s="36">
        <f t="shared" si="336"/>
        <v>0</v>
      </c>
      <c r="AW37" s="36">
        <f t="shared" si="337"/>
        <v>0</v>
      </c>
      <c r="AX37" s="36">
        <f t="shared" si="338"/>
        <v>0</v>
      </c>
      <c r="AY37" s="36">
        <f t="shared" si="339"/>
        <v>0</v>
      </c>
      <c r="AZ37" s="36">
        <f t="shared" si="340"/>
        <v>0</v>
      </c>
      <c r="BA37" s="36">
        <f t="shared" si="341"/>
        <v>780</v>
      </c>
      <c r="BB37" s="36">
        <f t="shared" si="342"/>
        <v>0</v>
      </c>
      <c r="BC37" s="36">
        <f t="shared" si="343"/>
        <v>0</v>
      </c>
      <c r="BD37" s="36">
        <f t="shared" si="344"/>
        <v>0</v>
      </c>
      <c r="BE37" s="36">
        <f t="shared" si="345"/>
        <v>0</v>
      </c>
      <c r="BF37" s="36">
        <f t="shared" si="346"/>
        <v>0</v>
      </c>
      <c r="BG37" s="36">
        <f t="shared" si="347"/>
        <v>0</v>
      </c>
      <c r="BH37" s="36">
        <f t="shared" si="348"/>
        <v>0</v>
      </c>
      <c r="BI37" s="36">
        <f t="shared" si="349"/>
        <v>0</v>
      </c>
      <c r="BJ37" s="36">
        <f t="shared" si="350"/>
        <v>0</v>
      </c>
      <c r="BK37" s="36">
        <f t="shared" si="351"/>
        <v>0</v>
      </c>
      <c r="BL37" s="36">
        <f t="shared" si="352"/>
        <v>0</v>
      </c>
      <c r="BM37" s="36">
        <f t="shared" si="353"/>
        <v>780</v>
      </c>
      <c r="BN37" s="36">
        <f t="shared" si="354"/>
        <v>0</v>
      </c>
      <c r="BO37" s="36">
        <f t="shared" si="355"/>
        <v>0</v>
      </c>
      <c r="BP37" s="36">
        <f t="shared" si="356"/>
        <v>0</v>
      </c>
      <c r="BQ37" s="36">
        <f t="shared" si="357"/>
        <v>0</v>
      </c>
      <c r="BR37" s="36">
        <f t="shared" si="358"/>
        <v>0</v>
      </c>
      <c r="BS37" s="36">
        <f t="shared" si="359"/>
        <v>0</v>
      </c>
      <c r="BT37" s="36">
        <f t="shared" si="360"/>
        <v>0</v>
      </c>
      <c r="BU37" s="36">
        <f t="shared" si="361"/>
        <v>0</v>
      </c>
      <c r="BV37" s="36">
        <f t="shared" si="362"/>
        <v>0</v>
      </c>
      <c r="BW37" s="36">
        <f t="shared" si="363"/>
        <v>0</v>
      </c>
      <c r="BX37" s="36">
        <f t="shared" si="364"/>
        <v>0</v>
      </c>
      <c r="BY37" s="8"/>
      <c r="BZ37" s="72">
        <f t="shared" si="184"/>
        <v>0</v>
      </c>
      <c r="CA37" s="72">
        <f t="shared" si="185"/>
        <v>780</v>
      </c>
      <c r="CB37" s="97"/>
      <c r="CC37" s="72">
        <f t="shared" si="365"/>
        <v>0</v>
      </c>
      <c r="CD37" s="72">
        <f t="shared" si="365"/>
        <v>0</v>
      </c>
      <c r="CE37" s="72">
        <f t="shared" si="365"/>
        <v>0</v>
      </c>
      <c r="CF37" s="72">
        <f t="shared" si="365"/>
        <v>780</v>
      </c>
      <c r="CG37" s="72">
        <f t="shared" si="365"/>
        <v>780</v>
      </c>
      <c r="CH37" s="72">
        <f t="shared" si="365"/>
        <v>780</v>
      </c>
      <c r="CI37" s="72">
        <f t="shared" si="365"/>
        <v>780</v>
      </c>
      <c r="CJ37" s="72">
        <f t="shared" si="365"/>
        <v>780</v>
      </c>
      <c r="CL37" s="13"/>
      <c r="CM37" s="13"/>
    </row>
    <row r="38" spans="1:91" x14ac:dyDescent="0.3">
      <c r="A38" s="97" t="str">
        <f>'DCS Detail'!A38</f>
        <v xml:space="preserve">   1920.2 DiscoveryMisc Revenue/Donations</v>
      </c>
      <c r="B38" s="106" t="str">
        <f>IF('DCS Detail'!$B38="","",'DCS Detail'!$B38)</f>
        <v>Grants</v>
      </c>
      <c r="C38" s="106"/>
      <c r="D38" s="106"/>
      <c r="E38" s="18">
        <v>0</v>
      </c>
      <c r="F38" s="18">
        <v>390034</v>
      </c>
      <c r="G38" s="18">
        <v>2000</v>
      </c>
      <c r="H38" s="18">
        <v>0</v>
      </c>
      <c r="I38" s="18">
        <v>0</v>
      </c>
      <c r="J38" s="18">
        <v>0</v>
      </c>
      <c r="K38" s="18">
        <v>0</v>
      </c>
      <c r="L38" s="18">
        <v>50.700000000011642</v>
      </c>
      <c r="M38" s="18">
        <v>0</v>
      </c>
      <c r="N38" s="18">
        <v>0</v>
      </c>
      <c r="O38" s="18">
        <v>0</v>
      </c>
      <c r="P38" s="18">
        <v>0</v>
      </c>
      <c r="Q38" s="18">
        <v>0</v>
      </c>
      <c r="R38" s="18">
        <v>0</v>
      </c>
      <c r="S38" s="18">
        <v>0</v>
      </c>
      <c r="T38" s="18">
        <v>0</v>
      </c>
      <c r="U38" s="18">
        <v>0</v>
      </c>
      <c r="V38" s="18">
        <v>31.2</v>
      </c>
      <c r="W38" s="18">
        <v>0</v>
      </c>
      <c r="X38" s="18">
        <v>0</v>
      </c>
      <c r="Y38" s="18">
        <v>0</v>
      </c>
      <c r="Z38" s="18">
        <v>0</v>
      </c>
      <c r="AA38" s="18">
        <v>520.07000000000005</v>
      </c>
      <c r="AB38" s="36">
        <f t="shared" si="316"/>
        <v>0</v>
      </c>
      <c r="AC38" s="36">
        <f t="shared" si="317"/>
        <v>0</v>
      </c>
      <c r="AD38" s="36">
        <f t="shared" si="318"/>
        <v>0</v>
      </c>
      <c r="AE38" s="36">
        <f t="shared" si="319"/>
        <v>0</v>
      </c>
      <c r="AF38" s="36">
        <f t="shared" si="320"/>
        <v>0</v>
      </c>
      <c r="AG38" s="36">
        <f t="shared" si="321"/>
        <v>0</v>
      </c>
      <c r="AH38" s="36">
        <f t="shared" si="322"/>
        <v>31.2</v>
      </c>
      <c r="AI38" s="36">
        <f t="shared" si="323"/>
        <v>0</v>
      </c>
      <c r="AJ38" s="36">
        <f t="shared" si="324"/>
        <v>0</v>
      </c>
      <c r="AK38" s="36">
        <f t="shared" si="325"/>
        <v>0</v>
      </c>
      <c r="AL38" s="36">
        <f t="shared" si="326"/>
        <v>0</v>
      </c>
      <c r="AM38" s="36">
        <f t="shared" si="327"/>
        <v>520.07000000000005</v>
      </c>
      <c r="AN38" s="36">
        <f t="shared" si="328"/>
        <v>0</v>
      </c>
      <c r="AO38" s="36">
        <f t="shared" si="329"/>
        <v>0</v>
      </c>
      <c r="AP38" s="36">
        <f t="shared" si="330"/>
        <v>0</v>
      </c>
      <c r="AQ38" s="36">
        <f t="shared" si="331"/>
        <v>0</v>
      </c>
      <c r="AR38" s="36">
        <f t="shared" si="332"/>
        <v>0</v>
      </c>
      <c r="AS38" s="36">
        <f t="shared" si="333"/>
        <v>0</v>
      </c>
      <c r="AT38" s="36">
        <f t="shared" si="334"/>
        <v>31.2</v>
      </c>
      <c r="AU38" s="36">
        <f t="shared" si="335"/>
        <v>0</v>
      </c>
      <c r="AV38" s="36">
        <f t="shared" si="336"/>
        <v>0</v>
      </c>
      <c r="AW38" s="36">
        <f t="shared" si="337"/>
        <v>0</v>
      </c>
      <c r="AX38" s="36">
        <f t="shared" si="338"/>
        <v>0</v>
      </c>
      <c r="AY38" s="36">
        <f t="shared" si="339"/>
        <v>520.07000000000005</v>
      </c>
      <c r="AZ38" s="36">
        <f t="shared" si="340"/>
        <v>0</v>
      </c>
      <c r="BA38" s="36">
        <f t="shared" si="341"/>
        <v>0</v>
      </c>
      <c r="BB38" s="36">
        <f t="shared" si="342"/>
        <v>0</v>
      </c>
      <c r="BC38" s="36">
        <f t="shared" si="343"/>
        <v>0</v>
      </c>
      <c r="BD38" s="36">
        <f t="shared" si="344"/>
        <v>0</v>
      </c>
      <c r="BE38" s="36">
        <f t="shared" si="345"/>
        <v>0</v>
      </c>
      <c r="BF38" s="36">
        <f t="shared" si="346"/>
        <v>31.2</v>
      </c>
      <c r="BG38" s="36">
        <f t="shared" si="347"/>
        <v>0</v>
      </c>
      <c r="BH38" s="36">
        <f t="shared" si="348"/>
        <v>0</v>
      </c>
      <c r="BI38" s="36">
        <f t="shared" si="349"/>
        <v>0</v>
      </c>
      <c r="BJ38" s="36">
        <f t="shared" si="350"/>
        <v>0</v>
      </c>
      <c r="BK38" s="36">
        <f t="shared" si="351"/>
        <v>520.07000000000005</v>
      </c>
      <c r="BL38" s="36">
        <f t="shared" si="352"/>
        <v>0</v>
      </c>
      <c r="BM38" s="36">
        <f t="shared" si="353"/>
        <v>0</v>
      </c>
      <c r="BN38" s="36">
        <f t="shared" si="354"/>
        <v>0</v>
      </c>
      <c r="BO38" s="36">
        <f t="shared" si="355"/>
        <v>0</v>
      </c>
      <c r="BP38" s="36">
        <f t="shared" si="356"/>
        <v>0</v>
      </c>
      <c r="BQ38" s="36">
        <f t="shared" si="357"/>
        <v>0</v>
      </c>
      <c r="BR38" s="36">
        <f t="shared" si="358"/>
        <v>31.2</v>
      </c>
      <c r="BS38" s="36">
        <f t="shared" si="359"/>
        <v>0</v>
      </c>
      <c r="BT38" s="36">
        <f t="shared" si="360"/>
        <v>0</v>
      </c>
      <c r="BU38" s="36">
        <f t="shared" si="361"/>
        <v>0</v>
      </c>
      <c r="BV38" s="36">
        <f t="shared" si="362"/>
        <v>0</v>
      </c>
      <c r="BW38" s="36">
        <f t="shared" si="363"/>
        <v>520.07000000000005</v>
      </c>
      <c r="BX38" s="36">
        <f t="shared" si="364"/>
        <v>0</v>
      </c>
      <c r="BY38" s="8"/>
      <c r="BZ38" s="72">
        <f t="shared" si="184"/>
        <v>520.07000000000005</v>
      </c>
      <c r="CA38" s="72">
        <f t="shared" si="185"/>
        <v>551.2700000000001</v>
      </c>
      <c r="CB38" s="97"/>
      <c r="CC38" s="72">
        <f t="shared" si="365"/>
        <v>0</v>
      </c>
      <c r="CD38" s="72">
        <f t="shared" si="365"/>
        <v>0</v>
      </c>
      <c r="CE38" s="72">
        <f t="shared" si="365"/>
        <v>392084.7</v>
      </c>
      <c r="CF38" s="72">
        <f t="shared" si="365"/>
        <v>551.2700000000001</v>
      </c>
      <c r="CG38" s="72">
        <f t="shared" si="365"/>
        <v>551.2700000000001</v>
      </c>
      <c r="CH38" s="72">
        <f t="shared" si="365"/>
        <v>551.2700000000001</v>
      </c>
      <c r="CI38" s="72">
        <f t="shared" si="365"/>
        <v>551.2700000000001</v>
      </c>
      <c r="CJ38" s="72">
        <f t="shared" si="365"/>
        <v>551.2700000000001</v>
      </c>
      <c r="CL38" s="13"/>
      <c r="CM38" s="13"/>
    </row>
    <row r="39" spans="1:91" x14ac:dyDescent="0.3">
      <c r="A39" s="97" t="str">
        <f>'DCS Detail'!A39</f>
        <v xml:space="preserve">   1921.1 DAP ACHIEVEMENT</v>
      </c>
      <c r="B39" s="106" t="str">
        <f>IF('DCS Detail'!$B39="","",'DCS Detail'!$B39)</f>
        <v>DAP</v>
      </c>
      <c r="C39" s="106"/>
      <c r="D39" s="106"/>
      <c r="E39" s="18">
        <v>0</v>
      </c>
      <c r="F39" s="18">
        <v>494</v>
      </c>
      <c r="G39" s="18">
        <v>2265</v>
      </c>
      <c r="H39" s="18">
        <v>2000.72</v>
      </c>
      <c r="I39" s="18">
        <v>1485</v>
      </c>
      <c r="J39" s="18">
        <v>1179.24</v>
      </c>
      <c r="K39" s="18">
        <v>1420</v>
      </c>
      <c r="L39" s="18">
        <v>3054</v>
      </c>
      <c r="M39" s="18">
        <v>2084</v>
      </c>
      <c r="N39" s="18">
        <v>2273</v>
      </c>
      <c r="O39" s="18">
        <v>4224.74</v>
      </c>
      <c r="P39" s="18">
        <v>814.64</v>
      </c>
      <c r="Q39" s="18">
        <v>1422.8</v>
      </c>
      <c r="R39" s="18">
        <v>2057.69</v>
      </c>
      <c r="S39" s="18">
        <v>3116.9</v>
      </c>
      <c r="T39" s="18">
        <v>2836.93</v>
      </c>
      <c r="U39" s="18">
        <v>1556.87</v>
      </c>
      <c r="V39" s="18">
        <v>2470.92</v>
      </c>
      <c r="W39" s="18">
        <v>3038.93</v>
      </c>
      <c r="X39" s="18">
        <v>6125.86</v>
      </c>
      <c r="Y39" s="18">
        <v>5363.75</v>
      </c>
      <c r="Z39" s="18">
        <v>2005.33</v>
      </c>
      <c r="AA39" s="18">
        <v>2829.68</v>
      </c>
      <c r="AB39" s="36">
        <f t="shared" ref="AB39:BE39" si="366">P39*(1+AB$262)</f>
        <v>814.64</v>
      </c>
      <c r="AC39" s="36">
        <f t="shared" si="366"/>
        <v>2371.3333333333335</v>
      </c>
      <c r="AD39" s="36">
        <f t="shared" si="366"/>
        <v>3429.4833333333336</v>
      </c>
      <c r="AE39" s="36">
        <f t="shared" si="366"/>
        <v>5194.8333333333339</v>
      </c>
      <c r="AF39" s="36">
        <f t="shared" si="366"/>
        <v>4728.2166666666662</v>
      </c>
      <c r="AG39" s="36">
        <f t="shared" si="366"/>
        <v>2594.7833333333333</v>
      </c>
      <c r="AH39" s="36">
        <f t="shared" si="366"/>
        <v>4118.2000000000007</v>
      </c>
      <c r="AI39" s="36">
        <f t="shared" si="366"/>
        <v>5064.8833333333332</v>
      </c>
      <c r="AJ39" s="36">
        <f t="shared" si="366"/>
        <v>10209.766666666666</v>
      </c>
      <c r="AK39" s="36">
        <f t="shared" si="366"/>
        <v>8939.5833333333339</v>
      </c>
      <c r="AL39" s="36">
        <f t="shared" si="366"/>
        <v>3342.2166666666667</v>
      </c>
      <c r="AM39" s="36">
        <f t="shared" si="366"/>
        <v>4716.1333333333332</v>
      </c>
      <c r="AN39" s="36">
        <f t="shared" si="366"/>
        <v>1357.7333333333333</v>
      </c>
      <c r="AO39" s="36">
        <f t="shared" si="366"/>
        <v>2845.6</v>
      </c>
      <c r="AP39" s="36">
        <f t="shared" si="366"/>
        <v>4115.38</v>
      </c>
      <c r="AQ39" s="36">
        <f t="shared" si="366"/>
        <v>6233.8</v>
      </c>
      <c r="AR39" s="36">
        <f t="shared" si="366"/>
        <v>5673.86</v>
      </c>
      <c r="AS39" s="36">
        <f t="shared" si="366"/>
        <v>3113.74</v>
      </c>
      <c r="AT39" s="36">
        <f t="shared" si="366"/>
        <v>4941.8400000000011</v>
      </c>
      <c r="AU39" s="36">
        <f t="shared" si="366"/>
        <v>6077.86</v>
      </c>
      <c r="AV39" s="36">
        <f t="shared" si="366"/>
        <v>12251.72</v>
      </c>
      <c r="AW39" s="36">
        <f t="shared" si="366"/>
        <v>10727.5</v>
      </c>
      <c r="AX39" s="36">
        <f t="shared" si="366"/>
        <v>4010.66</v>
      </c>
      <c r="AY39" s="36">
        <f t="shared" si="366"/>
        <v>5659.36</v>
      </c>
      <c r="AZ39" s="36">
        <f t="shared" si="366"/>
        <v>1629.28</v>
      </c>
      <c r="BA39" s="36">
        <f t="shared" si="366"/>
        <v>2987.88</v>
      </c>
      <c r="BB39" s="36">
        <f t="shared" si="366"/>
        <v>4321.1490000000003</v>
      </c>
      <c r="BC39" s="36">
        <f t="shared" si="366"/>
        <v>6545.4900000000007</v>
      </c>
      <c r="BD39" s="36">
        <f t="shared" si="366"/>
        <v>5957.5529999999999</v>
      </c>
      <c r="BE39" s="36">
        <f t="shared" si="366"/>
        <v>3269.4270000000001</v>
      </c>
      <c r="BF39" s="36">
        <f t="shared" ref="BF39:BX39" si="367">AT39*(1+BF$262)</f>
        <v>5188.9320000000016</v>
      </c>
      <c r="BG39" s="36">
        <f t="shared" si="367"/>
        <v>6381.7529999999997</v>
      </c>
      <c r="BH39" s="36">
        <f t="shared" si="367"/>
        <v>12864.306</v>
      </c>
      <c r="BI39" s="36">
        <f t="shared" si="367"/>
        <v>11263.875</v>
      </c>
      <c r="BJ39" s="36">
        <f t="shared" si="367"/>
        <v>4211.1930000000002</v>
      </c>
      <c r="BK39" s="36">
        <f t="shared" si="367"/>
        <v>5942.3279999999995</v>
      </c>
      <c r="BL39" s="36">
        <f t="shared" si="367"/>
        <v>1710.7440000000001</v>
      </c>
      <c r="BM39" s="36">
        <f t="shared" si="367"/>
        <v>3137.2740000000003</v>
      </c>
      <c r="BN39" s="36">
        <f t="shared" si="367"/>
        <v>4537.2064500000006</v>
      </c>
      <c r="BO39" s="36">
        <f t="shared" si="367"/>
        <v>6872.7645000000011</v>
      </c>
      <c r="BP39" s="36">
        <f t="shared" si="367"/>
        <v>6255.4306500000002</v>
      </c>
      <c r="BQ39" s="36">
        <f t="shared" si="367"/>
        <v>3432.8983500000004</v>
      </c>
      <c r="BR39" s="36">
        <f t="shared" si="367"/>
        <v>5448.3786000000018</v>
      </c>
      <c r="BS39" s="36">
        <f t="shared" si="367"/>
        <v>6700.8406500000001</v>
      </c>
      <c r="BT39" s="36">
        <f t="shared" si="367"/>
        <v>13507.5213</v>
      </c>
      <c r="BU39" s="36">
        <f t="shared" si="367"/>
        <v>11827.06875</v>
      </c>
      <c r="BV39" s="36">
        <f t="shared" si="367"/>
        <v>4421.7526500000004</v>
      </c>
      <c r="BW39" s="36">
        <f t="shared" si="367"/>
        <v>6239.4443999999994</v>
      </c>
      <c r="BX39" s="36">
        <f t="shared" si="367"/>
        <v>1796.2812000000001</v>
      </c>
      <c r="BY39" s="8"/>
      <c r="BZ39" s="72">
        <f t="shared" si="184"/>
        <v>2829.68</v>
      </c>
      <c r="CA39" s="72">
        <f t="shared" si="185"/>
        <v>32825.659999999996</v>
      </c>
      <c r="CB39" s="97"/>
      <c r="CC39" s="72">
        <f t="shared" si="365"/>
        <v>0</v>
      </c>
      <c r="CD39" s="72">
        <f t="shared" si="365"/>
        <v>0</v>
      </c>
      <c r="CE39" s="72">
        <f t="shared" si="365"/>
        <v>21294.339999999997</v>
      </c>
      <c r="CF39" s="72">
        <f t="shared" si="365"/>
        <v>33640.299999999996</v>
      </c>
      <c r="CG39" s="72">
        <f t="shared" si="365"/>
        <v>56067.166666666664</v>
      </c>
      <c r="CH39" s="72">
        <f t="shared" si="365"/>
        <v>67280.599999999991</v>
      </c>
      <c r="CI39" s="72">
        <f t="shared" si="365"/>
        <v>70644.63</v>
      </c>
      <c r="CJ39" s="72">
        <f t="shared" si="365"/>
        <v>74176.861499999985</v>
      </c>
      <c r="CL39" s="13"/>
      <c r="CM39" s="13"/>
    </row>
    <row r="40" spans="1:91" x14ac:dyDescent="0.3">
      <c r="A40" s="97" t="str">
        <f>'DCS Detail'!A40</f>
        <v xml:space="preserve">   1921.2 DAP Scholarship</v>
      </c>
      <c r="B40" s="106" t="str">
        <f>IF('DCS Detail'!$B40="","",'DCS Detail'!$B40)</f>
        <v>DAP</v>
      </c>
      <c r="C40" s="106"/>
      <c r="D40" s="106"/>
      <c r="E40" s="18">
        <v>0</v>
      </c>
      <c r="F40" s="18">
        <v>0</v>
      </c>
      <c r="G40" s="18">
        <v>0</v>
      </c>
      <c r="H40" s="18">
        <v>300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36">
        <f t="shared" si="316"/>
        <v>0</v>
      </c>
      <c r="AC40" s="36">
        <f t="shared" si="317"/>
        <v>0</v>
      </c>
      <c r="AD40" s="36">
        <f t="shared" si="318"/>
        <v>0</v>
      </c>
      <c r="AE40" s="36">
        <f t="shared" si="319"/>
        <v>0</v>
      </c>
      <c r="AF40" s="36">
        <f t="shared" si="320"/>
        <v>0</v>
      </c>
      <c r="AG40" s="36">
        <f t="shared" si="321"/>
        <v>0</v>
      </c>
      <c r="AH40" s="36">
        <f t="shared" si="322"/>
        <v>0</v>
      </c>
      <c r="AI40" s="36">
        <f t="shared" si="323"/>
        <v>0</v>
      </c>
      <c r="AJ40" s="36">
        <f t="shared" si="324"/>
        <v>0</v>
      </c>
      <c r="AK40" s="36">
        <f t="shared" si="325"/>
        <v>0</v>
      </c>
      <c r="AL40" s="36">
        <f t="shared" si="326"/>
        <v>0</v>
      </c>
      <c r="AM40" s="36">
        <f t="shared" si="327"/>
        <v>0</v>
      </c>
      <c r="AN40" s="36">
        <f t="shared" si="328"/>
        <v>0</v>
      </c>
      <c r="AO40" s="36">
        <f t="shared" si="329"/>
        <v>0</v>
      </c>
      <c r="AP40" s="36">
        <f t="shared" si="330"/>
        <v>0</v>
      </c>
      <c r="AQ40" s="36">
        <f t="shared" si="331"/>
        <v>0</v>
      </c>
      <c r="AR40" s="36">
        <f t="shared" si="332"/>
        <v>0</v>
      </c>
      <c r="AS40" s="36">
        <f t="shared" si="333"/>
        <v>0</v>
      </c>
      <c r="AT40" s="36">
        <f t="shared" si="334"/>
        <v>0</v>
      </c>
      <c r="AU40" s="36">
        <f t="shared" si="335"/>
        <v>0</v>
      </c>
      <c r="AV40" s="36">
        <f t="shared" si="336"/>
        <v>0</v>
      </c>
      <c r="AW40" s="36">
        <f t="shared" si="337"/>
        <v>0</v>
      </c>
      <c r="AX40" s="36">
        <f t="shared" si="338"/>
        <v>0</v>
      </c>
      <c r="AY40" s="36">
        <f t="shared" si="339"/>
        <v>0</v>
      </c>
      <c r="AZ40" s="36">
        <f t="shared" si="340"/>
        <v>0</v>
      </c>
      <c r="BA40" s="36">
        <f t="shared" si="341"/>
        <v>0</v>
      </c>
      <c r="BB40" s="36">
        <f t="shared" si="342"/>
        <v>0</v>
      </c>
      <c r="BC40" s="36">
        <f t="shared" si="343"/>
        <v>0</v>
      </c>
      <c r="BD40" s="36">
        <f t="shared" si="344"/>
        <v>0</v>
      </c>
      <c r="BE40" s="36">
        <f t="shared" si="345"/>
        <v>0</v>
      </c>
      <c r="BF40" s="36">
        <f t="shared" si="346"/>
        <v>0</v>
      </c>
      <c r="BG40" s="36">
        <f t="shared" si="347"/>
        <v>0</v>
      </c>
      <c r="BH40" s="36">
        <f t="shared" si="348"/>
        <v>0</v>
      </c>
      <c r="BI40" s="36">
        <f t="shared" si="349"/>
        <v>0</v>
      </c>
      <c r="BJ40" s="36">
        <f t="shared" si="350"/>
        <v>0</v>
      </c>
      <c r="BK40" s="36">
        <f t="shared" si="351"/>
        <v>0</v>
      </c>
      <c r="BL40" s="36">
        <f t="shared" si="352"/>
        <v>0</v>
      </c>
      <c r="BM40" s="36">
        <f t="shared" si="353"/>
        <v>0</v>
      </c>
      <c r="BN40" s="36">
        <f t="shared" si="354"/>
        <v>0</v>
      </c>
      <c r="BO40" s="36">
        <f t="shared" si="355"/>
        <v>0</v>
      </c>
      <c r="BP40" s="36">
        <f t="shared" si="356"/>
        <v>0</v>
      </c>
      <c r="BQ40" s="36">
        <f t="shared" si="357"/>
        <v>0</v>
      </c>
      <c r="BR40" s="36">
        <f t="shared" si="358"/>
        <v>0</v>
      </c>
      <c r="BS40" s="36">
        <f t="shared" si="359"/>
        <v>0</v>
      </c>
      <c r="BT40" s="36">
        <f t="shared" si="360"/>
        <v>0</v>
      </c>
      <c r="BU40" s="36">
        <f t="shared" si="361"/>
        <v>0</v>
      </c>
      <c r="BV40" s="36">
        <f t="shared" si="362"/>
        <v>0</v>
      </c>
      <c r="BW40" s="36">
        <f t="shared" si="363"/>
        <v>0</v>
      </c>
      <c r="BX40" s="36">
        <f t="shared" si="364"/>
        <v>0</v>
      </c>
      <c r="BY40" s="8"/>
      <c r="BZ40" s="72">
        <f t="shared" si="184"/>
        <v>0</v>
      </c>
      <c r="CA40" s="72">
        <f t="shared" si="185"/>
        <v>0</v>
      </c>
      <c r="CB40" s="97"/>
      <c r="CC40" s="72">
        <f t="shared" si="365"/>
        <v>0</v>
      </c>
      <c r="CD40" s="72">
        <f t="shared" si="365"/>
        <v>0</v>
      </c>
      <c r="CE40" s="72">
        <f t="shared" si="365"/>
        <v>300</v>
      </c>
      <c r="CF40" s="72">
        <f t="shared" si="365"/>
        <v>0</v>
      </c>
      <c r="CG40" s="72">
        <f t="shared" si="365"/>
        <v>0</v>
      </c>
      <c r="CH40" s="72">
        <f t="shared" si="365"/>
        <v>0</v>
      </c>
      <c r="CI40" s="72">
        <f t="shared" si="365"/>
        <v>0</v>
      </c>
      <c r="CJ40" s="72">
        <f t="shared" si="365"/>
        <v>0</v>
      </c>
      <c r="CL40" s="13"/>
      <c r="CM40" s="13"/>
    </row>
    <row r="41" spans="1:91" x14ac:dyDescent="0.3">
      <c r="A41" s="97" t="str">
        <f>'DCS Detail'!A41</f>
        <v xml:space="preserve">      1940.10 Garden</v>
      </c>
      <c r="B41" s="106" t="str">
        <f>IF('DCS Detail'!$B41="","",'DCS Detail'!$B41)</f>
        <v>Other</v>
      </c>
      <c r="C41" s="106"/>
      <c r="D41" s="106"/>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10</v>
      </c>
      <c r="X41" s="18">
        <v>420</v>
      </c>
      <c r="Y41" s="18">
        <v>0</v>
      </c>
      <c r="Z41" s="18">
        <v>0</v>
      </c>
      <c r="AA41" s="18">
        <v>0</v>
      </c>
      <c r="AB41" s="36">
        <f t="shared" si="316"/>
        <v>0</v>
      </c>
      <c r="AC41" s="36">
        <f t="shared" si="317"/>
        <v>0</v>
      </c>
      <c r="AD41" s="36">
        <f t="shared" si="318"/>
        <v>0</v>
      </c>
      <c r="AE41" s="36">
        <f t="shared" si="319"/>
        <v>0</v>
      </c>
      <c r="AF41" s="36">
        <f t="shared" si="320"/>
        <v>0</v>
      </c>
      <c r="AG41" s="36">
        <f t="shared" si="321"/>
        <v>0</v>
      </c>
      <c r="AH41" s="36">
        <f t="shared" si="322"/>
        <v>0</v>
      </c>
      <c r="AI41" s="36">
        <f t="shared" si="323"/>
        <v>10</v>
      </c>
      <c r="AJ41" s="36">
        <f t="shared" si="324"/>
        <v>420</v>
      </c>
      <c r="AK41" s="36">
        <f t="shared" si="325"/>
        <v>0</v>
      </c>
      <c r="AL41" s="36">
        <f t="shared" si="326"/>
        <v>0</v>
      </c>
      <c r="AM41" s="36">
        <f t="shared" si="327"/>
        <v>0</v>
      </c>
      <c r="AN41" s="36">
        <f t="shared" si="328"/>
        <v>0</v>
      </c>
      <c r="AO41" s="36">
        <f t="shared" si="329"/>
        <v>0</v>
      </c>
      <c r="AP41" s="36">
        <f t="shared" si="330"/>
        <v>0</v>
      </c>
      <c r="AQ41" s="36">
        <f t="shared" si="331"/>
        <v>0</v>
      </c>
      <c r="AR41" s="36">
        <f t="shared" si="332"/>
        <v>0</v>
      </c>
      <c r="AS41" s="36">
        <f t="shared" si="333"/>
        <v>0</v>
      </c>
      <c r="AT41" s="36">
        <f t="shared" si="334"/>
        <v>0</v>
      </c>
      <c r="AU41" s="36">
        <f t="shared" si="335"/>
        <v>10</v>
      </c>
      <c r="AV41" s="36">
        <f t="shared" si="336"/>
        <v>420</v>
      </c>
      <c r="AW41" s="36">
        <f t="shared" si="337"/>
        <v>0</v>
      </c>
      <c r="AX41" s="36">
        <f t="shared" si="338"/>
        <v>0</v>
      </c>
      <c r="AY41" s="36">
        <f t="shared" si="339"/>
        <v>0</v>
      </c>
      <c r="AZ41" s="36">
        <f t="shared" si="340"/>
        <v>0</v>
      </c>
      <c r="BA41" s="36">
        <f t="shared" si="341"/>
        <v>0</v>
      </c>
      <c r="BB41" s="36">
        <f t="shared" si="342"/>
        <v>0</v>
      </c>
      <c r="BC41" s="36">
        <f t="shared" si="343"/>
        <v>0</v>
      </c>
      <c r="BD41" s="36">
        <f t="shared" si="344"/>
        <v>0</v>
      </c>
      <c r="BE41" s="36">
        <f t="shared" si="345"/>
        <v>0</v>
      </c>
      <c r="BF41" s="36">
        <f t="shared" si="346"/>
        <v>0</v>
      </c>
      <c r="BG41" s="36">
        <f t="shared" si="347"/>
        <v>10</v>
      </c>
      <c r="BH41" s="36">
        <f t="shared" si="348"/>
        <v>420</v>
      </c>
      <c r="BI41" s="36">
        <f t="shared" si="349"/>
        <v>0</v>
      </c>
      <c r="BJ41" s="36">
        <f t="shared" si="350"/>
        <v>0</v>
      </c>
      <c r="BK41" s="36">
        <f t="shared" si="351"/>
        <v>0</v>
      </c>
      <c r="BL41" s="36">
        <f t="shared" si="352"/>
        <v>0</v>
      </c>
      <c r="BM41" s="36">
        <f t="shared" si="353"/>
        <v>0</v>
      </c>
      <c r="BN41" s="36">
        <f t="shared" si="354"/>
        <v>0</v>
      </c>
      <c r="BO41" s="36">
        <f t="shared" si="355"/>
        <v>0</v>
      </c>
      <c r="BP41" s="36">
        <f t="shared" si="356"/>
        <v>0</v>
      </c>
      <c r="BQ41" s="36">
        <f t="shared" si="357"/>
        <v>0</v>
      </c>
      <c r="BR41" s="36">
        <f t="shared" si="358"/>
        <v>0</v>
      </c>
      <c r="BS41" s="36">
        <f t="shared" si="359"/>
        <v>10</v>
      </c>
      <c r="BT41" s="36">
        <f t="shared" si="360"/>
        <v>420</v>
      </c>
      <c r="BU41" s="36">
        <f t="shared" si="361"/>
        <v>0</v>
      </c>
      <c r="BV41" s="36">
        <f t="shared" si="362"/>
        <v>0</v>
      </c>
      <c r="BW41" s="36">
        <f t="shared" si="363"/>
        <v>0</v>
      </c>
      <c r="BX41" s="36">
        <f t="shared" si="364"/>
        <v>0</v>
      </c>
      <c r="BY41" s="8"/>
      <c r="BZ41" s="72">
        <f t="shared" si="184"/>
        <v>0</v>
      </c>
      <c r="CA41" s="72">
        <f t="shared" si="185"/>
        <v>430</v>
      </c>
      <c r="CB41" s="97"/>
      <c r="CC41" s="72">
        <f t="shared" si="365"/>
        <v>0</v>
      </c>
      <c r="CD41" s="72">
        <f t="shared" si="365"/>
        <v>0</v>
      </c>
      <c r="CE41" s="72">
        <f t="shared" si="365"/>
        <v>0</v>
      </c>
      <c r="CF41" s="72">
        <f t="shared" si="365"/>
        <v>430</v>
      </c>
      <c r="CG41" s="72">
        <f t="shared" si="365"/>
        <v>430</v>
      </c>
      <c r="CH41" s="72">
        <f t="shared" si="365"/>
        <v>430</v>
      </c>
      <c r="CI41" s="72">
        <f t="shared" si="365"/>
        <v>430</v>
      </c>
      <c r="CJ41" s="72">
        <f t="shared" si="365"/>
        <v>430</v>
      </c>
      <c r="CL41" s="13"/>
      <c r="CM41" s="13"/>
    </row>
    <row r="42" spans="1:91" x14ac:dyDescent="0.3">
      <c r="A42" s="97" t="str">
        <f>'DCS Detail'!A42</f>
        <v xml:space="preserve">   1950 SUNSHINE COMMITTEE INCOME</v>
      </c>
      <c r="B42" s="106" t="str">
        <f>IF('DCS Detail'!$B42="","",'DCS Detail'!$B42)</f>
        <v>Other</v>
      </c>
      <c r="C42" s="106"/>
      <c r="D42" s="106"/>
      <c r="E42" s="18">
        <v>0</v>
      </c>
      <c r="F42" s="18">
        <v>0</v>
      </c>
      <c r="G42" s="18">
        <v>259.39999999999998</v>
      </c>
      <c r="H42" s="18">
        <v>93.6</v>
      </c>
      <c r="I42" s="18">
        <v>20</v>
      </c>
      <c r="J42" s="18">
        <v>10</v>
      </c>
      <c r="K42" s="18">
        <v>0</v>
      </c>
      <c r="L42" s="18">
        <v>7.8000000000000114</v>
      </c>
      <c r="M42" s="18">
        <v>0</v>
      </c>
      <c r="N42" s="18">
        <v>0</v>
      </c>
      <c r="O42" s="18">
        <v>20</v>
      </c>
      <c r="P42" s="18">
        <v>0</v>
      </c>
      <c r="Q42" s="18">
        <v>0</v>
      </c>
      <c r="R42" s="18">
        <v>0</v>
      </c>
      <c r="S42" s="18">
        <v>0</v>
      </c>
      <c r="T42" s="18">
        <v>265.2</v>
      </c>
      <c r="U42" s="18">
        <v>114.6</v>
      </c>
      <c r="V42" s="18">
        <v>0</v>
      </c>
      <c r="W42" s="18">
        <v>0</v>
      </c>
      <c r="X42" s="18">
        <v>0</v>
      </c>
      <c r="Y42" s="18">
        <v>0</v>
      </c>
      <c r="Z42" s="18">
        <v>0</v>
      </c>
      <c r="AA42" s="18">
        <v>0</v>
      </c>
      <c r="AB42" s="36">
        <f t="shared" si="316"/>
        <v>0</v>
      </c>
      <c r="AC42" s="36">
        <f t="shared" si="317"/>
        <v>0</v>
      </c>
      <c r="AD42" s="36">
        <f t="shared" si="318"/>
        <v>0</v>
      </c>
      <c r="AE42" s="36">
        <f t="shared" si="319"/>
        <v>0</v>
      </c>
      <c r="AF42" s="36">
        <f t="shared" si="320"/>
        <v>265.2</v>
      </c>
      <c r="AG42" s="36">
        <f t="shared" si="321"/>
        <v>114.6</v>
      </c>
      <c r="AH42" s="36">
        <f t="shared" si="322"/>
        <v>0</v>
      </c>
      <c r="AI42" s="36">
        <f t="shared" si="323"/>
        <v>0</v>
      </c>
      <c r="AJ42" s="36">
        <f t="shared" si="324"/>
        <v>0</v>
      </c>
      <c r="AK42" s="36">
        <f t="shared" si="325"/>
        <v>0</v>
      </c>
      <c r="AL42" s="36">
        <f t="shared" si="326"/>
        <v>0</v>
      </c>
      <c r="AM42" s="36">
        <f t="shared" si="327"/>
        <v>0</v>
      </c>
      <c r="AN42" s="36">
        <f t="shared" si="328"/>
        <v>0</v>
      </c>
      <c r="AO42" s="36">
        <f t="shared" si="329"/>
        <v>0</v>
      </c>
      <c r="AP42" s="36">
        <f t="shared" si="330"/>
        <v>0</v>
      </c>
      <c r="AQ42" s="36">
        <f t="shared" si="331"/>
        <v>0</v>
      </c>
      <c r="AR42" s="36">
        <f t="shared" si="332"/>
        <v>265.2</v>
      </c>
      <c r="AS42" s="36">
        <f t="shared" si="333"/>
        <v>114.6</v>
      </c>
      <c r="AT42" s="36">
        <f t="shared" si="334"/>
        <v>0</v>
      </c>
      <c r="AU42" s="36">
        <f t="shared" si="335"/>
        <v>0</v>
      </c>
      <c r="AV42" s="36">
        <f t="shared" si="336"/>
        <v>0</v>
      </c>
      <c r="AW42" s="36">
        <f t="shared" si="337"/>
        <v>0</v>
      </c>
      <c r="AX42" s="36">
        <f t="shared" si="338"/>
        <v>0</v>
      </c>
      <c r="AY42" s="36">
        <f t="shared" si="339"/>
        <v>0</v>
      </c>
      <c r="AZ42" s="36">
        <f t="shared" si="340"/>
        <v>0</v>
      </c>
      <c r="BA42" s="36">
        <f t="shared" si="341"/>
        <v>0</v>
      </c>
      <c r="BB42" s="36">
        <f t="shared" si="342"/>
        <v>0</v>
      </c>
      <c r="BC42" s="36">
        <f t="shared" si="343"/>
        <v>0</v>
      </c>
      <c r="BD42" s="36">
        <f t="shared" si="344"/>
        <v>265.2</v>
      </c>
      <c r="BE42" s="36">
        <f t="shared" si="345"/>
        <v>114.6</v>
      </c>
      <c r="BF42" s="36">
        <f t="shared" si="346"/>
        <v>0</v>
      </c>
      <c r="BG42" s="36">
        <f t="shared" si="347"/>
        <v>0</v>
      </c>
      <c r="BH42" s="36">
        <f t="shared" si="348"/>
        <v>0</v>
      </c>
      <c r="BI42" s="36">
        <f t="shared" si="349"/>
        <v>0</v>
      </c>
      <c r="BJ42" s="36">
        <f t="shared" si="350"/>
        <v>0</v>
      </c>
      <c r="BK42" s="36">
        <f t="shared" si="351"/>
        <v>0</v>
      </c>
      <c r="BL42" s="36">
        <f t="shared" si="352"/>
        <v>0</v>
      </c>
      <c r="BM42" s="36">
        <f t="shared" si="353"/>
        <v>0</v>
      </c>
      <c r="BN42" s="36">
        <f t="shared" si="354"/>
        <v>0</v>
      </c>
      <c r="BO42" s="36">
        <f t="shared" si="355"/>
        <v>0</v>
      </c>
      <c r="BP42" s="36">
        <f t="shared" si="356"/>
        <v>265.2</v>
      </c>
      <c r="BQ42" s="36">
        <f t="shared" si="357"/>
        <v>114.6</v>
      </c>
      <c r="BR42" s="36">
        <f t="shared" si="358"/>
        <v>0</v>
      </c>
      <c r="BS42" s="36">
        <f t="shared" si="359"/>
        <v>0</v>
      </c>
      <c r="BT42" s="36">
        <f t="shared" si="360"/>
        <v>0</v>
      </c>
      <c r="BU42" s="36">
        <f t="shared" si="361"/>
        <v>0</v>
      </c>
      <c r="BV42" s="36">
        <f t="shared" si="362"/>
        <v>0</v>
      </c>
      <c r="BW42" s="36">
        <f t="shared" si="363"/>
        <v>0</v>
      </c>
      <c r="BX42" s="36">
        <f t="shared" si="364"/>
        <v>0</v>
      </c>
      <c r="BY42" s="8"/>
      <c r="BZ42" s="72">
        <f t="shared" si="184"/>
        <v>0</v>
      </c>
      <c r="CA42" s="72">
        <f t="shared" si="185"/>
        <v>379.79999999999995</v>
      </c>
      <c r="CB42" s="97"/>
      <c r="CC42" s="72">
        <f t="shared" si="365"/>
        <v>0</v>
      </c>
      <c r="CD42" s="72">
        <f t="shared" si="365"/>
        <v>0</v>
      </c>
      <c r="CE42" s="72">
        <f t="shared" si="365"/>
        <v>410.8</v>
      </c>
      <c r="CF42" s="72">
        <f t="shared" si="365"/>
        <v>379.79999999999995</v>
      </c>
      <c r="CG42" s="72">
        <f t="shared" si="365"/>
        <v>379.79999999999995</v>
      </c>
      <c r="CH42" s="72">
        <f t="shared" si="365"/>
        <v>379.79999999999995</v>
      </c>
      <c r="CI42" s="72">
        <f t="shared" si="365"/>
        <v>379.79999999999995</v>
      </c>
      <c r="CJ42" s="72">
        <f t="shared" si="365"/>
        <v>379.79999999999995</v>
      </c>
      <c r="CL42" s="13"/>
      <c r="CM42" s="13"/>
    </row>
    <row r="43" spans="1:91" x14ac:dyDescent="0.3">
      <c r="A43" s="97" t="str">
        <f>'DCS Detail'!A43</f>
        <v xml:space="preserve">   1960 Sports Income</v>
      </c>
      <c r="B43" s="106" t="str">
        <f>IF('DCS Detail'!$B43="","",'DCS Detail'!$B43)</f>
        <v>Other</v>
      </c>
      <c r="C43" s="106"/>
      <c r="D43" s="106"/>
      <c r="E43" s="18">
        <v>0</v>
      </c>
      <c r="F43" s="18">
        <v>0</v>
      </c>
      <c r="G43" s="18">
        <v>0</v>
      </c>
      <c r="H43" s="18">
        <v>0</v>
      </c>
      <c r="I43" s="18">
        <v>0</v>
      </c>
      <c r="J43" s="18">
        <v>0</v>
      </c>
      <c r="K43" s="18">
        <v>0</v>
      </c>
      <c r="L43" s="18">
        <v>0</v>
      </c>
      <c r="M43" s="18">
        <v>615</v>
      </c>
      <c r="N43" s="18">
        <v>0</v>
      </c>
      <c r="O43" s="18">
        <v>100</v>
      </c>
      <c r="P43" s="18">
        <v>0</v>
      </c>
      <c r="Q43" s="18">
        <v>0</v>
      </c>
      <c r="R43" s="18">
        <v>0</v>
      </c>
      <c r="S43" s="18">
        <v>585</v>
      </c>
      <c r="T43" s="18">
        <v>0</v>
      </c>
      <c r="U43" s="18">
        <v>223.25</v>
      </c>
      <c r="V43" s="18">
        <v>0</v>
      </c>
      <c r="W43" s="18">
        <v>4126</v>
      </c>
      <c r="X43" s="18">
        <v>1285</v>
      </c>
      <c r="Y43" s="18">
        <v>1425</v>
      </c>
      <c r="Z43" s="18">
        <v>880</v>
      </c>
      <c r="AA43" s="18">
        <v>0</v>
      </c>
      <c r="AB43" s="36">
        <f t="shared" si="316"/>
        <v>0</v>
      </c>
      <c r="AC43" s="36">
        <f t="shared" si="317"/>
        <v>0</v>
      </c>
      <c r="AD43" s="36">
        <f t="shared" si="318"/>
        <v>0</v>
      </c>
      <c r="AE43" s="36">
        <f t="shared" si="319"/>
        <v>585</v>
      </c>
      <c r="AF43" s="36">
        <f t="shared" si="320"/>
        <v>0</v>
      </c>
      <c r="AG43" s="36">
        <f t="shared" si="321"/>
        <v>223.25</v>
      </c>
      <c r="AH43" s="36">
        <f t="shared" si="322"/>
        <v>0</v>
      </c>
      <c r="AI43" s="36">
        <f t="shared" si="323"/>
        <v>4126</v>
      </c>
      <c r="AJ43" s="36">
        <f t="shared" si="324"/>
        <v>1285</v>
      </c>
      <c r="AK43" s="36">
        <f t="shared" si="325"/>
        <v>1425</v>
      </c>
      <c r="AL43" s="36">
        <f t="shared" si="326"/>
        <v>880</v>
      </c>
      <c r="AM43" s="36">
        <f t="shared" si="327"/>
        <v>0</v>
      </c>
      <c r="AN43" s="36">
        <f t="shared" si="328"/>
        <v>0</v>
      </c>
      <c r="AO43" s="36">
        <f t="shared" si="329"/>
        <v>0</v>
      </c>
      <c r="AP43" s="36">
        <f t="shared" si="330"/>
        <v>0</v>
      </c>
      <c r="AQ43" s="36">
        <f t="shared" si="331"/>
        <v>585</v>
      </c>
      <c r="AR43" s="36">
        <f t="shared" si="332"/>
        <v>0</v>
      </c>
      <c r="AS43" s="36">
        <f t="shared" si="333"/>
        <v>223.25</v>
      </c>
      <c r="AT43" s="36">
        <f t="shared" si="334"/>
        <v>0</v>
      </c>
      <c r="AU43" s="36">
        <f t="shared" si="335"/>
        <v>4126</v>
      </c>
      <c r="AV43" s="36">
        <f t="shared" si="336"/>
        <v>1285</v>
      </c>
      <c r="AW43" s="36">
        <f t="shared" si="337"/>
        <v>1425</v>
      </c>
      <c r="AX43" s="36">
        <f t="shared" si="338"/>
        <v>880</v>
      </c>
      <c r="AY43" s="36">
        <f t="shared" si="339"/>
        <v>0</v>
      </c>
      <c r="AZ43" s="36">
        <f t="shared" si="340"/>
        <v>0</v>
      </c>
      <c r="BA43" s="36">
        <f t="shared" si="341"/>
        <v>0</v>
      </c>
      <c r="BB43" s="36">
        <f t="shared" si="342"/>
        <v>0</v>
      </c>
      <c r="BC43" s="36">
        <f t="shared" si="343"/>
        <v>585</v>
      </c>
      <c r="BD43" s="36">
        <f t="shared" si="344"/>
        <v>0</v>
      </c>
      <c r="BE43" s="36">
        <f t="shared" si="345"/>
        <v>223.25</v>
      </c>
      <c r="BF43" s="36">
        <f t="shared" si="346"/>
        <v>0</v>
      </c>
      <c r="BG43" s="36">
        <f t="shared" si="347"/>
        <v>4126</v>
      </c>
      <c r="BH43" s="36">
        <f t="shared" si="348"/>
        <v>1285</v>
      </c>
      <c r="BI43" s="36">
        <f t="shared" si="349"/>
        <v>1425</v>
      </c>
      <c r="BJ43" s="36">
        <f t="shared" si="350"/>
        <v>880</v>
      </c>
      <c r="BK43" s="36">
        <f t="shared" si="351"/>
        <v>0</v>
      </c>
      <c r="BL43" s="36">
        <f t="shared" si="352"/>
        <v>0</v>
      </c>
      <c r="BM43" s="36">
        <f t="shared" si="353"/>
        <v>0</v>
      </c>
      <c r="BN43" s="36">
        <f t="shared" si="354"/>
        <v>0</v>
      </c>
      <c r="BO43" s="36">
        <f t="shared" si="355"/>
        <v>585</v>
      </c>
      <c r="BP43" s="36">
        <f t="shared" si="356"/>
        <v>0</v>
      </c>
      <c r="BQ43" s="36">
        <f t="shared" si="357"/>
        <v>223.25</v>
      </c>
      <c r="BR43" s="36">
        <f t="shared" si="358"/>
        <v>0</v>
      </c>
      <c r="BS43" s="36">
        <f t="shared" si="359"/>
        <v>4126</v>
      </c>
      <c r="BT43" s="36">
        <f t="shared" si="360"/>
        <v>1285</v>
      </c>
      <c r="BU43" s="36">
        <f t="shared" si="361"/>
        <v>1425</v>
      </c>
      <c r="BV43" s="36">
        <f t="shared" si="362"/>
        <v>880</v>
      </c>
      <c r="BW43" s="36">
        <f t="shared" si="363"/>
        <v>0</v>
      </c>
      <c r="BX43" s="36">
        <f t="shared" si="364"/>
        <v>0</v>
      </c>
      <c r="BY43" s="8"/>
      <c r="BZ43" s="72">
        <f t="shared" si="184"/>
        <v>0</v>
      </c>
      <c r="CA43" s="72">
        <f t="shared" si="185"/>
        <v>8524.25</v>
      </c>
      <c r="CB43" s="97"/>
      <c r="CC43" s="72">
        <f t="shared" si="365"/>
        <v>0</v>
      </c>
      <c r="CD43" s="72">
        <f t="shared" si="365"/>
        <v>0</v>
      </c>
      <c r="CE43" s="72">
        <f t="shared" si="365"/>
        <v>715</v>
      </c>
      <c r="CF43" s="72">
        <f t="shared" si="365"/>
        <v>8524.25</v>
      </c>
      <c r="CG43" s="72">
        <f t="shared" si="365"/>
        <v>8524.25</v>
      </c>
      <c r="CH43" s="72">
        <f t="shared" si="365"/>
        <v>8524.25</v>
      </c>
      <c r="CI43" s="72">
        <f t="shared" si="365"/>
        <v>8524.25</v>
      </c>
      <c r="CJ43" s="72">
        <f t="shared" si="365"/>
        <v>8524.25</v>
      </c>
      <c r="CL43" s="13"/>
      <c r="CM43" s="13"/>
    </row>
    <row r="44" spans="1:91" x14ac:dyDescent="0.3">
      <c r="A44" s="97" t="str">
        <f>'DCS Detail'!A44</f>
        <v xml:space="preserve">   301.3 SB 391 - Read By 3 Program</v>
      </c>
      <c r="B44" s="106" t="str">
        <f>IF('DCS Detail'!$B44="","",'DCS Detail'!$B44)</f>
        <v>Other</v>
      </c>
      <c r="C44" s="106"/>
      <c r="D44" s="106"/>
      <c r="E44" s="18">
        <v>-8555.19</v>
      </c>
      <c r="F44" s="18">
        <v>0</v>
      </c>
      <c r="G44" s="18">
        <v>0</v>
      </c>
      <c r="H44" s="18">
        <v>0</v>
      </c>
      <c r="I44" s="18">
        <v>0</v>
      </c>
      <c r="J44" s="18">
        <v>0</v>
      </c>
      <c r="K44" s="18">
        <v>0</v>
      </c>
      <c r="L44" s="18">
        <v>0</v>
      </c>
      <c r="M44" s="18">
        <v>9005.2800000000007</v>
      </c>
      <c r="N44" s="18">
        <v>0</v>
      </c>
      <c r="O44" s="18">
        <v>0</v>
      </c>
      <c r="P44" s="18">
        <v>0</v>
      </c>
      <c r="Q44" s="18">
        <v>0</v>
      </c>
      <c r="R44" s="18">
        <v>0</v>
      </c>
      <c r="S44" s="18">
        <v>0</v>
      </c>
      <c r="T44" s="18">
        <v>0</v>
      </c>
      <c r="U44" s="18">
        <v>0</v>
      </c>
      <c r="V44" s="18">
        <v>0</v>
      </c>
      <c r="W44" s="18">
        <v>0</v>
      </c>
      <c r="X44" s="18">
        <v>0</v>
      </c>
      <c r="Y44" s="18">
        <v>0</v>
      </c>
      <c r="Z44" s="18">
        <v>0</v>
      </c>
      <c r="AA44" s="18">
        <v>0</v>
      </c>
      <c r="AB44" s="36">
        <f t="shared" si="316"/>
        <v>0</v>
      </c>
      <c r="AC44" s="36">
        <f t="shared" si="317"/>
        <v>0</v>
      </c>
      <c r="AD44" s="36">
        <f t="shared" si="318"/>
        <v>0</v>
      </c>
      <c r="AE44" s="36">
        <f t="shared" si="319"/>
        <v>0</v>
      </c>
      <c r="AF44" s="36">
        <f t="shared" si="320"/>
        <v>0</v>
      </c>
      <c r="AG44" s="36">
        <f t="shared" si="321"/>
        <v>0</v>
      </c>
      <c r="AH44" s="36">
        <f t="shared" si="322"/>
        <v>0</v>
      </c>
      <c r="AI44" s="36">
        <f t="shared" si="323"/>
        <v>0</v>
      </c>
      <c r="AJ44" s="36">
        <f t="shared" si="324"/>
        <v>0</v>
      </c>
      <c r="AK44" s="36">
        <f t="shared" si="325"/>
        <v>0</v>
      </c>
      <c r="AL44" s="36">
        <f t="shared" si="326"/>
        <v>0</v>
      </c>
      <c r="AM44" s="36">
        <f t="shared" si="327"/>
        <v>0</v>
      </c>
      <c r="AN44" s="36">
        <f t="shared" si="328"/>
        <v>0</v>
      </c>
      <c r="AO44" s="36">
        <f t="shared" si="329"/>
        <v>0</v>
      </c>
      <c r="AP44" s="36">
        <f t="shared" si="330"/>
        <v>0</v>
      </c>
      <c r="AQ44" s="36">
        <f t="shared" si="331"/>
        <v>0</v>
      </c>
      <c r="AR44" s="36">
        <f t="shared" si="332"/>
        <v>0</v>
      </c>
      <c r="AS44" s="36">
        <f t="shared" si="333"/>
        <v>0</v>
      </c>
      <c r="AT44" s="36">
        <f t="shared" si="334"/>
        <v>0</v>
      </c>
      <c r="AU44" s="36">
        <f t="shared" si="335"/>
        <v>0</v>
      </c>
      <c r="AV44" s="36">
        <f t="shared" si="336"/>
        <v>0</v>
      </c>
      <c r="AW44" s="36">
        <f t="shared" si="337"/>
        <v>0</v>
      </c>
      <c r="AX44" s="36">
        <f t="shared" si="338"/>
        <v>0</v>
      </c>
      <c r="AY44" s="36">
        <f t="shared" si="339"/>
        <v>0</v>
      </c>
      <c r="AZ44" s="36">
        <f t="shared" si="340"/>
        <v>0</v>
      </c>
      <c r="BA44" s="36">
        <f t="shared" si="341"/>
        <v>0</v>
      </c>
      <c r="BB44" s="36">
        <f t="shared" si="342"/>
        <v>0</v>
      </c>
      <c r="BC44" s="36">
        <f t="shared" si="343"/>
        <v>0</v>
      </c>
      <c r="BD44" s="36">
        <f t="shared" si="344"/>
        <v>0</v>
      </c>
      <c r="BE44" s="36">
        <f t="shared" si="345"/>
        <v>0</v>
      </c>
      <c r="BF44" s="36">
        <f t="shared" si="346"/>
        <v>0</v>
      </c>
      <c r="BG44" s="36">
        <f t="shared" si="347"/>
        <v>0</v>
      </c>
      <c r="BH44" s="36">
        <f t="shared" si="348"/>
        <v>0</v>
      </c>
      <c r="BI44" s="36">
        <f t="shared" si="349"/>
        <v>0</v>
      </c>
      <c r="BJ44" s="36">
        <f t="shared" si="350"/>
        <v>0</v>
      </c>
      <c r="BK44" s="36">
        <f t="shared" si="351"/>
        <v>0</v>
      </c>
      <c r="BL44" s="36">
        <f t="shared" si="352"/>
        <v>0</v>
      </c>
      <c r="BM44" s="36">
        <f t="shared" si="353"/>
        <v>0</v>
      </c>
      <c r="BN44" s="36">
        <f t="shared" si="354"/>
        <v>0</v>
      </c>
      <c r="BO44" s="36">
        <f t="shared" si="355"/>
        <v>0</v>
      </c>
      <c r="BP44" s="36">
        <f t="shared" si="356"/>
        <v>0</v>
      </c>
      <c r="BQ44" s="36">
        <f t="shared" si="357"/>
        <v>0</v>
      </c>
      <c r="BR44" s="36">
        <f t="shared" si="358"/>
        <v>0</v>
      </c>
      <c r="BS44" s="36">
        <f t="shared" si="359"/>
        <v>0</v>
      </c>
      <c r="BT44" s="36">
        <f t="shared" si="360"/>
        <v>0</v>
      </c>
      <c r="BU44" s="36">
        <f t="shared" si="361"/>
        <v>0</v>
      </c>
      <c r="BV44" s="36">
        <f t="shared" si="362"/>
        <v>0</v>
      </c>
      <c r="BW44" s="36">
        <f t="shared" si="363"/>
        <v>0</v>
      </c>
      <c r="BX44" s="36">
        <f t="shared" si="364"/>
        <v>0</v>
      </c>
      <c r="BY44" s="8"/>
      <c r="BZ44" s="72">
        <f t="shared" si="184"/>
        <v>0</v>
      </c>
      <c r="CA44" s="72">
        <f t="shared" si="185"/>
        <v>0</v>
      </c>
      <c r="CB44" s="97"/>
      <c r="CC44" s="72">
        <f t="shared" si="365"/>
        <v>0</v>
      </c>
      <c r="CD44" s="72">
        <f t="shared" si="365"/>
        <v>0</v>
      </c>
      <c r="CE44" s="72">
        <f t="shared" si="365"/>
        <v>450.09000000000015</v>
      </c>
      <c r="CF44" s="72">
        <f t="shared" si="365"/>
        <v>0</v>
      </c>
      <c r="CG44" s="72">
        <f t="shared" si="365"/>
        <v>0</v>
      </c>
      <c r="CH44" s="72">
        <f t="shared" si="365"/>
        <v>0</v>
      </c>
      <c r="CI44" s="72">
        <f t="shared" si="365"/>
        <v>0</v>
      </c>
      <c r="CJ44" s="72">
        <f t="shared" si="365"/>
        <v>0</v>
      </c>
      <c r="CL44" s="13"/>
      <c r="CM44" s="13"/>
    </row>
    <row r="45" spans="1:91" x14ac:dyDescent="0.3">
      <c r="A45" s="97" t="str">
        <f>'DCS Detail'!A45</f>
        <v xml:space="preserve">   3100.1 DSA Revenue</v>
      </c>
      <c r="B45" s="106" t="str">
        <f>IF('DCS Detail'!$B45="","",'DCS Detail'!$B45)</f>
        <v>DSA</v>
      </c>
      <c r="C45" s="106"/>
      <c r="D45" s="106"/>
      <c r="E45" s="18">
        <v>348399.09</v>
      </c>
      <c r="F45" s="18">
        <v>0</v>
      </c>
      <c r="G45" s="18">
        <f>183629.04-G46</f>
        <v>168929.14440000002</v>
      </c>
      <c r="H45" s="18">
        <v>482712.17</v>
      </c>
      <c r="I45" s="18">
        <v>0</v>
      </c>
      <c r="J45" s="18">
        <v>417865.02</v>
      </c>
      <c r="K45" s="18">
        <v>0</v>
      </c>
      <c r="L45" s="18">
        <v>235270.67559999996</v>
      </c>
      <c r="M45" s="18">
        <v>215517.05</v>
      </c>
      <c r="N45" s="18">
        <v>455050.96</v>
      </c>
      <c r="O45" s="18">
        <v>3418.17</v>
      </c>
      <c r="P45" s="18">
        <v>271338.77</v>
      </c>
      <c r="Q45" s="18">
        <v>165745.47</v>
      </c>
      <c r="R45" s="405">
        <f>223761.23-R46</f>
        <v>207642.22</v>
      </c>
      <c r="S45" s="18">
        <v>207806.55</v>
      </c>
      <c r="T45" s="18">
        <v>199925.11</v>
      </c>
      <c r="U45" s="405">
        <f>265910.56-U46</f>
        <v>249791.55</v>
      </c>
      <c r="V45" s="18">
        <v>216145.34</v>
      </c>
      <c r="W45" s="18">
        <v>216145.34</v>
      </c>
      <c r="X45" s="18">
        <v>197044.08</v>
      </c>
      <c r="Y45" s="18">
        <f>179177.26+32237.67</f>
        <v>211414.93</v>
      </c>
      <c r="Z45" s="18">
        <v>206109.25</v>
      </c>
      <c r="AA45" s="18">
        <v>214379.51</v>
      </c>
      <c r="AB45" s="36">
        <f t="shared" ref="AB45:BE45" si="368">AB19*AB$259/12</f>
        <v>211148.78083333335</v>
      </c>
      <c r="AC45" s="36">
        <f t="shared" si="368"/>
        <v>211148.78083333335</v>
      </c>
      <c r="AD45" s="36">
        <f t="shared" si="368"/>
        <v>273423.63492783339</v>
      </c>
      <c r="AE45" s="36">
        <f t="shared" si="368"/>
        <v>270358.34754074999</v>
      </c>
      <c r="AF45" s="36">
        <f t="shared" si="368"/>
        <v>268519.1751085</v>
      </c>
      <c r="AG45" s="36">
        <f t="shared" si="368"/>
        <v>267293.06015366671</v>
      </c>
      <c r="AH45" s="36">
        <f t="shared" si="368"/>
        <v>266066.94519883336</v>
      </c>
      <c r="AI45" s="36">
        <f t="shared" si="368"/>
        <v>269745.29006333335</v>
      </c>
      <c r="AJ45" s="36">
        <f t="shared" si="368"/>
        <v>269132.2325859167</v>
      </c>
      <c r="AK45" s="36">
        <f t="shared" si="368"/>
        <v>269132.2325859167</v>
      </c>
      <c r="AL45" s="36">
        <f t="shared" si="368"/>
        <v>267906.11763108335</v>
      </c>
      <c r="AM45" s="36">
        <f t="shared" si="368"/>
        <v>267906.11763108335</v>
      </c>
      <c r="AN45" s="36">
        <f t="shared" si="368"/>
        <v>267906.11763108335</v>
      </c>
      <c r="AO45" s="36">
        <f t="shared" si="368"/>
        <v>267906.11763108335</v>
      </c>
      <c r="AP45" s="36">
        <f t="shared" si="368"/>
        <v>335930.97532523668</v>
      </c>
      <c r="AQ45" s="36">
        <f t="shared" si="368"/>
        <v>332773.72931654082</v>
      </c>
      <c r="AR45" s="36">
        <f t="shared" si="368"/>
        <v>330879.38171132334</v>
      </c>
      <c r="AS45" s="36">
        <f t="shared" si="368"/>
        <v>329616.48330784502</v>
      </c>
      <c r="AT45" s="36">
        <f t="shared" si="368"/>
        <v>328353.5849043667</v>
      </c>
      <c r="AU45" s="36">
        <f t="shared" si="368"/>
        <v>332142.28011480166</v>
      </c>
      <c r="AV45" s="36">
        <f t="shared" si="368"/>
        <v>331510.8309130625</v>
      </c>
      <c r="AW45" s="36">
        <f t="shared" si="368"/>
        <v>332142.28011480166</v>
      </c>
      <c r="AX45" s="36">
        <f t="shared" si="368"/>
        <v>330247.93250958418</v>
      </c>
      <c r="AY45" s="36">
        <f t="shared" si="368"/>
        <v>330247.93250958418</v>
      </c>
      <c r="AZ45" s="36">
        <f t="shared" si="368"/>
        <v>330247.93250958418</v>
      </c>
      <c r="BA45" s="36">
        <f t="shared" si="368"/>
        <v>330247.93250958418</v>
      </c>
      <c r="BB45" s="36">
        <f t="shared" si="368"/>
        <v>341809.76739342837</v>
      </c>
      <c r="BC45" s="36">
        <f t="shared" si="368"/>
        <v>337954.77001681074</v>
      </c>
      <c r="BD45" s="36">
        <f t="shared" si="368"/>
        <v>336027.27132850193</v>
      </c>
      <c r="BE45" s="36">
        <f t="shared" si="368"/>
        <v>334742.27220296272</v>
      </c>
      <c r="BF45" s="36">
        <f t="shared" ref="BF45:BX45" si="369">BF19*BF$259/12</f>
        <v>334099.77264019317</v>
      </c>
      <c r="BG45" s="36">
        <f t="shared" si="369"/>
        <v>338597.26957958034</v>
      </c>
      <c r="BH45" s="36">
        <f t="shared" si="369"/>
        <v>337312.27045404114</v>
      </c>
      <c r="BI45" s="36">
        <f t="shared" si="369"/>
        <v>337312.27045404114</v>
      </c>
      <c r="BJ45" s="36">
        <f t="shared" si="369"/>
        <v>336027.27132850193</v>
      </c>
      <c r="BK45" s="36">
        <f t="shared" si="369"/>
        <v>336027.27132850193</v>
      </c>
      <c r="BL45" s="36">
        <f t="shared" si="369"/>
        <v>336027.27132850193</v>
      </c>
      <c r="BM45" s="36">
        <f t="shared" si="369"/>
        <v>336027.27132850193</v>
      </c>
      <c r="BN45" s="36">
        <f t="shared" si="369"/>
        <v>346082.38948584622</v>
      </c>
      <c r="BO45" s="36">
        <f t="shared" si="369"/>
        <v>342829.73544932512</v>
      </c>
      <c r="BP45" s="36">
        <f t="shared" si="369"/>
        <v>340878.14302741241</v>
      </c>
      <c r="BQ45" s="36">
        <f t="shared" si="369"/>
        <v>338926.55060549977</v>
      </c>
      <c r="BR45" s="36">
        <f t="shared" si="369"/>
        <v>337625.48899089132</v>
      </c>
      <c r="BS45" s="36">
        <f t="shared" si="369"/>
        <v>341528.67383471667</v>
      </c>
      <c r="BT45" s="36">
        <f t="shared" si="369"/>
        <v>341528.67383471667</v>
      </c>
      <c r="BU45" s="36">
        <f t="shared" si="369"/>
        <v>341528.67383471667</v>
      </c>
      <c r="BV45" s="36">
        <f t="shared" si="369"/>
        <v>340227.61222010822</v>
      </c>
      <c r="BW45" s="36">
        <f t="shared" si="369"/>
        <v>340227.61222010822</v>
      </c>
      <c r="BX45" s="36">
        <f t="shared" si="369"/>
        <v>340227.61222010822</v>
      </c>
      <c r="BY45" s="8"/>
      <c r="BZ45" s="72">
        <f t="shared" si="184"/>
        <v>214379.51</v>
      </c>
      <c r="CA45" s="72">
        <f t="shared" si="185"/>
        <v>2292149.35</v>
      </c>
      <c r="CB45" s="97"/>
      <c r="CC45" s="72">
        <f t="shared" si="365"/>
        <v>0</v>
      </c>
      <c r="CD45" s="72">
        <f t="shared" si="365"/>
        <v>0</v>
      </c>
      <c r="CE45" s="72">
        <f t="shared" si="365"/>
        <v>2598501.0500000003</v>
      </c>
      <c r="CF45" s="72">
        <f t="shared" si="365"/>
        <v>2503298.1308333334</v>
      </c>
      <c r="CG45" s="72">
        <f t="shared" si="365"/>
        <v>3168538.0518913334</v>
      </c>
      <c r="CH45" s="72">
        <f t="shared" si="365"/>
        <v>3911999.4608678147</v>
      </c>
      <c r="CI45" s="72">
        <f t="shared" si="365"/>
        <v>4036185.4105646494</v>
      </c>
      <c r="CJ45" s="72">
        <f t="shared" si="365"/>
        <v>4087638.4370519514</v>
      </c>
      <c r="CL45" s="13"/>
      <c r="CM45" s="13"/>
    </row>
    <row r="46" spans="1:91" x14ac:dyDescent="0.3">
      <c r="A46" s="97" t="str">
        <f>'DCS Detail'!A46</f>
        <v xml:space="preserve">   3115 Special Ed Funding</v>
      </c>
      <c r="B46" s="106" t="str">
        <f>IF('DCS Detail'!$B46="","",'DCS Detail'!$B46)</f>
        <v>Special Educ.</v>
      </c>
      <c r="C46" s="106"/>
      <c r="D46" s="106"/>
      <c r="E46" s="18">
        <v>0</v>
      </c>
      <c r="F46" s="18">
        <v>0</v>
      </c>
      <c r="G46" s="18">
        <v>14699.895600000002</v>
      </c>
      <c r="H46" s="18">
        <v>0</v>
      </c>
      <c r="I46" s="18">
        <v>15114.5982</v>
      </c>
      <c r="J46" s="18">
        <v>0</v>
      </c>
      <c r="K46" s="18">
        <v>0</v>
      </c>
      <c r="L46" s="18">
        <v>15114.606199999995</v>
      </c>
      <c r="M46" s="18">
        <v>0</v>
      </c>
      <c r="N46" s="18">
        <v>0</v>
      </c>
      <c r="O46" s="18">
        <v>0</v>
      </c>
      <c r="P46" s="18">
        <v>23717.34</v>
      </c>
      <c r="Q46" s="18">
        <v>0</v>
      </c>
      <c r="R46" s="405">
        <v>16119.01</v>
      </c>
      <c r="S46" s="18">
        <v>0</v>
      </c>
      <c r="T46" s="18">
        <v>0</v>
      </c>
      <c r="U46" s="405">
        <v>16119.01</v>
      </c>
      <c r="V46" s="18">
        <v>0</v>
      </c>
      <c r="W46" s="18">
        <v>0</v>
      </c>
      <c r="X46" s="18">
        <v>16119.01</v>
      </c>
      <c r="Y46" s="18">
        <v>0</v>
      </c>
      <c r="Z46" s="18">
        <v>0</v>
      </c>
      <c r="AA46" s="18">
        <v>16119.01</v>
      </c>
      <c r="AB46" s="397">
        <f>P46*(1+AB$261)-AA46</f>
        <v>7598.33</v>
      </c>
      <c r="AC46" s="36">
        <f t="shared" ref="AC46:BE46" si="370">Q46*(1+AC$261)</f>
        <v>0</v>
      </c>
      <c r="AD46" s="36">
        <f t="shared" si="370"/>
        <v>16333.392833000002</v>
      </c>
      <c r="AE46" s="36">
        <f t="shared" si="370"/>
        <v>0</v>
      </c>
      <c r="AF46" s="36">
        <f t="shared" si="370"/>
        <v>0</v>
      </c>
      <c r="AG46" s="36">
        <f t="shared" si="370"/>
        <v>16333.392833000002</v>
      </c>
      <c r="AH46" s="36">
        <f t="shared" si="370"/>
        <v>0</v>
      </c>
      <c r="AI46" s="36">
        <f t="shared" si="370"/>
        <v>0</v>
      </c>
      <c r="AJ46" s="36">
        <f t="shared" si="370"/>
        <v>16333.392833000002</v>
      </c>
      <c r="AK46" s="36">
        <f t="shared" si="370"/>
        <v>0</v>
      </c>
      <c r="AL46" s="36">
        <f t="shared" si="370"/>
        <v>0</v>
      </c>
      <c r="AM46" s="36">
        <f t="shared" si="370"/>
        <v>16333.392833000002</v>
      </c>
      <c r="AN46" s="36">
        <f t="shared" si="370"/>
        <v>7699.3877890000003</v>
      </c>
      <c r="AO46" s="36">
        <f t="shared" si="370"/>
        <v>0</v>
      </c>
      <c r="AP46" s="36">
        <f t="shared" si="370"/>
        <v>16823.394617990001</v>
      </c>
      <c r="AQ46" s="36">
        <f t="shared" si="370"/>
        <v>0</v>
      </c>
      <c r="AR46" s="36">
        <f t="shared" si="370"/>
        <v>0</v>
      </c>
      <c r="AS46" s="36">
        <f t="shared" si="370"/>
        <v>16823.394617990001</v>
      </c>
      <c r="AT46" s="36">
        <f t="shared" si="370"/>
        <v>0</v>
      </c>
      <c r="AU46" s="36">
        <f t="shared" si="370"/>
        <v>0</v>
      </c>
      <c r="AV46" s="36">
        <f t="shared" si="370"/>
        <v>16823.394617990001</v>
      </c>
      <c r="AW46" s="36">
        <f t="shared" si="370"/>
        <v>0</v>
      </c>
      <c r="AX46" s="36">
        <f t="shared" si="370"/>
        <v>0</v>
      </c>
      <c r="AY46" s="36">
        <f t="shared" si="370"/>
        <v>16823.394617990001</v>
      </c>
      <c r="AZ46" s="36">
        <f t="shared" si="370"/>
        <v>7930.3694226700009</v>
      </c>
      <c r="BA46" s="36">
        <f t="shared" si="370"/>
        <v>0</v>
      </c>
      <c r="BB46" s="36">
        <f t="shared" si="370"/>
        <v>17117.804023804827</v>
      </c>
      <c r="BC46" s="36">
        <f t="shared" si="370"/>
        <v>0</v>
      </c>
      <c r="BD46" s="36">
        <f t="shared" si="370"/>
        <v>0</v>
      </c>
      <c r="BE46" s="36">
        <f t="shared" si="370"/>
        <v>17117.804023804827</v>
      </c>
      <c r="BF46" s="36">
        <f t="shared" ref="BF46:BX46" si="371">AT46*(1+BF$261)</f>
        <v>0</v>
      </c>
      <c r="BG46" s="36">
        <f t="shared" si="371"/>
        <v>0</v>
      </c>
      <c r="BH46" s="36">
        <f t="shared" si="371"/>
        <v>17117.804023804827</v>
      </c>
      <c r="BI46" s="36">
        <f t="shared" si="371"/>
        <v>0</v>
      </c>
      <c r="BJ46" s="36">
        <f t="shared" si="371"/>
        <v>0</v>
      </c>
      <c r="BK46" s="36">
        <f t="shared" si="371"/>
        <v>17117.804023804827</v>
      </c>
      <c r="BL46" s="36">
        <f t="shared" si="371"/>
        <v>8069.1508875667269</v>
      </c>
      <c r="BM46" s="36">
        <f t="shared" si="371"/>
        <v>0</v>
      </c>
      <c r="BN46" s="36">
        <f t="shared" si="371"/>
        <v>17331.776574102387</v>
      </c>
      <c r="BO46" s="36">
        <f t="shared" si="371"/>
        <v>0</v>
      </c>
      <c r="BP46" s="36">
        <f t="shared" si="371"/>
        <v>0</v>
      </c>
      <c r="BQ46" s="36">
        <f t="shared" si="371"/>
        <v>17331.776574102387</v>
      </c>
      <c r="BR46" s="36">
        <f t="shared" si="371"/>
        <v>0</v>
      </c>
      <c r="BS46" s="36">
        <f t="shared" si="371"/>
        <v>0</v>
      </c>
      <c r="BT46" s="36">
        <f t="shared" si="371"/>
        <v>17331.776574102387</v>
      </c>
      <c r="BU46" s="36">
        <f t="shared" si="371"/>
        <v>0</v>
      </c>
      <c r="BV46" s="36">
        <f t="shared" si="371"/>
        <v>0</v>
      </c>
      <c r="BW46" s="36">
        <f t="shared" si="371"/>
        <v>17331.776574102387</v>
      </c>
      <c r="BX46" s="36">
        <f t="shared" si="371"/>
        <v>8170.0152736613109</v>
      </c>
      <c r="BY46" s="8"/>
      <c r="BZ46" s="72">
        <f t="shared" si="184"/>
        <v>16119.01</v>
      </c>
      <c r="CA46" s="72">
        <f t="shared" si="185"/>
        <v>64476.04</v>
      </c>
      <c r="CB46" s="97"/>
      <c r="CC46" s="72">
        <f t="shared" ref="CC46:CJ57" si="372">SUMIF($C$3:$BY$3,CC$3,$C46:$BY46)</f>
        <v>0</v>
      </c>
      <c r="CD46" s="72">
        <f t="shared" si="372"/>
        <v>0</v>
      </c>
      <c r="CE46" s="72">
        <f t="shared" si="372"/>
        <v>68646.44</v>
      </c>
      <c r="CF46" s="72">
        <f t="shared" si="372"/>
        <v>72074.37</v>
      </c>
      <c r="CG46" s="72">
        <f t="shared" si="372"/>
        <v>73032.959121000007</v>
      </c>
      <c r="CH46" s="72">
        <f t="shared" si="372"/>
        <v>75223.947894630008</v>
      </c>
      <c r="CI46" s="72">
        <f t="shared" si="372"/>
        <v>76540.366982786029</v>
      </c>
      <c r="CJ46" s="72">
        <f t="shared" si="372"/>
        <v>77497.121570070856</v>
      </c>
      <c r="CL46" s="13"/>
      <c r="CM46" s="13"/>
    </row>
    <row r="47" spans="1:91" x14ac:dyDescent="0.3">
      <c r="A47" s="97" t="s">
        <v>347</v>
      </c>
      <c r="B47" s="106" t="str">
        <f>IF('DCS Detail'!$B47="","",'DCS Detail'!$B47)</f>
        <v>Grants</v>
      </c>
      <c r="C47" s="106"/>
      <c r="D47" s="106"/>
      <c r="E47" s="18">
        <v>0</v>
      </c>
      <c r="F47" s="18">
        <v>0</v>
      </c>
      <c r="G47" s="18">
        <v>0</v>
      </c>
      <c r="H47" s="18">
        <v>0</v>
      </c>
      <c r="I47" s="18">
        <v>0</v>
      </c>
      <c r="J47" s="18">
        <v>0</v>
      </c>
      <c r="K47" s="18">
        <v>0</v>
      </c>
      <c r="L47" s="18">
        <v>0</v>
      </c>
      <c r="M47" s="18">
        <v>0</v>
      </c>
      <c r="N47" s="18">
        <v>0</v>
      </c>
      <c r="O47" s="18">
        <v>0</v>
      </c>
      <c r="P47" s="18">
        <v>0</v>
      </c>
      <c r="Q47" s="18">
        <v>0</v>
      </c>
      <c r="R47" s="18">
        <v>0</v>
      </c>
      <c r="S47" s="18">
        <v>390000</v>
      </c>
      <c r="T47" s="18">
        <v>0</v>
      </c>
      <c r="U47" s="18">
        <v>0</v>
      </c>
      <c r="V47" s="18">
        <v>0</v>
      </c>
      <c r="W47" s="18">
        <v>0</v>
      </c>
      <c r="X47" s="18">
        <v>0</v>
      </c>
      <c r="Y47" s="18">
        <v>0</v>
      </c>
      <c r="Z47" s="18">
        <v>0</v>
      </c>
      <c r="AA47" s="18">
        <v>0</v>
      </c>
      <c r="AB47" s="36">
        <f t="shared" ref="AB47:AB51" si="373">P47</f>
        <v>0</v>
      </c>
      <c r="AC47" s="36">
        <f t="shared" ref="AC47:AC51" si="374">Q47</f>
        <v>0</v>
      </c>
      <c r="AD47" s="36">
        <f t="shared" ref="AD47:AD51" si="375">R47</f>
        <v>0</v>
      </c>
      <c r="AE47" s="36">
        <f t="shared" ref="AE47:AE51" si="376">S47</f>
        <v>390000</v>
      </c>
      <c r="AF47" s="36">
        <f t="shared" ref="AF47:AF51" si="377">T47</f>
        <v>0</v>
      </c>
      <c r="AG47" s="36">
        <f t="shared" ref="AG47:AG51" si="378">U47</f>
        <v>0</v>
      </c>
      <c r="AH47" s="36">
        <f t="shared" ref="AH47:AH51" si="379">V47</f>
        <v>0</v>
      </c>
      <c r="AI47" s="36">
        <f t="shared" ref="AI47:AI51" si="380">W47</f>
        <v>0</v>
      </c>
      <c r="AJ47" s="36">
        <f t="shared" ref="AJ47:AJ51" si="381">X47</f>
        <v>0</v>
      </c>
      <c r="AK47" s="36">
        <f t="shared" ref="AK47:AK51" si="382">Y47</f>
        <v>0</v>
      </c>
      <c r="AL47" s="36">
        <f t="shared" ref="AL47:AL51" si="383">Z47</f>
        <v>0</v>
      </c>
      <c r="AM47" s="36">
        <f t="shared" ref="AM47:AM51" si="384">AA47</f>
        <v>0</v>
      </c>
      <c r="AN47" s="36">
        <f t="shared" ref="AN47:AN51" si="385">AB47</f>
        <v>0</v>
      </c>
      <c r="AO47" s="36">
        <f t="shared" ref="AO47:AO51" si="386">AC47</f>
        <v>0</v>
      </c>
      <c r="AP47" s="36">
        <f t="shared" ref="AP47:AP51" si="387">AD47</f>
        <v>0</v>
      </c>
      <c r="AQ47" s="36">
        <f t="shared" ref="AQ47:AQ51" si="388">AE47</f>
        <v>390000</v>
      </c>
      <c r="AR47" s="36">
        <f t="shared" ref="AR47:AR51" si="389">AF47</f>
        <v>0</v>
      </c>
      <c r="AS47" s="36">
        <f t="shared" ref="AS47:AS51" si="390">AG47</f>
        <v>0</v>
      </c>
      <c r="AT47" s="36">
        <f t="shared" ref="AT47:AT51" si="391">AH47</f>
        <v>0</v>
      </c>
      <c r="AU47" s="36">
        <f t="shared" ref="AU47:AU51" si="392">AI47</f>
        <v>0</v>
      </c>
      <c r="AV47" s="36">
        <f t="shared" ref="AV47:AV51" si="393">AJ47</f>
        <v>0</v>
      </c>
      <c r="AW47" s="36">
        <f t="shared" ref="AW47:AW51" si="394">AK47</f>
        <v>0</v>
      </c>
      <c r="AX47" s="36">
        <f t="shared" ref="AX47:AX51" si="395">AL47</f>
        <v>0</v>
      </c>
      <c r="AY47" s="36">
        <f t="shared" ref="AY47:AY51" si="396">AM47</f>
        <v>0</v>
      </c>
      <c r="AZ47" s="36">
        <f t="shared" ref="AZ47:AZ51" si="397">AN47</f>
        <v>0</v>
      </c>
      <c r="BA47" s="36">
        <f t="shared" ref="BA47:BA51" si="398">AO47</f>
        <v>0</v>
      </c>
      <c r="BB47" s="36">
        <f t="shared" ref="BB47:BB51" si="399">AP47</f>
        <v>0</v>
      </c>
      <c r="BC47" s="36">
        <f t="shared" ref="BC47:BC51" si="400">AQ47</f>
        <v>390000</v>
      </c>
      <c r="BD47" s="36">
        <f t="shared" ref="BD47:BD51" si="401">AR47</f>
        <v>0</v>
      </c>
      <c r="BE47" s="36">
        <f t="shared" ref="BE47:BE51" si="402">AS47</f>
        <v>0</v>
      </c>
      <c r="BF47" s="36">
        <f t="shared" ref="BF47:BF51" si="403">AT47</f>
        <v>0</v>
      </c>
      <c r="BG47" s="36">
        <f t="shared" ref="BG47:BG51" si="404">AU47</f>
        <v>0</v>
      </c>
      <c r="BH47" s="36">
        <f t="shared" ref="BH47:BH51" si="405">AV47</f>
        <v>0</v>
      </c>
      <c r="BI47" s="36">
        <f t="shared" ref="BI47:BI51" si="406">AW47</f>
        <v>0</v>
      </c>
      <c r="BJ47" s="36">
        <f t="shared" ref="BJ47:BJ51" si="407">AX47</f>
        <v>0</v>
      </c>
      <c r="BK47" s="36">
        <f t="shared" ref="BK47:BK51" si="408">AY47</f>
        <v>0</v>
      </c>
      <c r="BL47" s="36">
        <f t="shared" ref="BL47:BL51" si="409">AZ47</f>
        <v>0</v>
      </c>
      <c r="BM47" s="36">
        <f t="shared" ref="BM47:BM51" si="410">BA47</f>
        <v>0</v>
      </c>
      <c r="BN47" s="36">
        <f t="shared" ref="BN47:BN51" si="411">BB47</f>
        <v>0</v>
      </c>
      <c r="BO47" s="36">
        <f t="shared" ref="BO47:BO51" si="412">BC47</f>
        <v>390000</v>
      </c>
      <c r="BP47" s="36">
        <f t="shared" ref="BP47:BP51" si="413">BD47</f>
        <v>0</v>
      </c>
      <c r="BQ47" s="36">
        <f t="shared" ref="BQ47:BQ51" si="414">BE47</f>
        <v>0</v>
      </c>
      <c r="BR47" s="36">
        <f t="shared" ref="BR47:BR51" si="415">BF47</f>
        <v>0</v>
      </c>
      <c r="BS47" s="36">
        <f t="shared" ref="BS47:BS51" si="416">BG47</f>
        <v>0</v>
      </c>
      <c r="BT47" s="36">
        <f t="shared" ref="BT47:BT51" si="417">BH47</f>
        <v>0</v>
      </c>
      <c r="BU47" s="36">
        <f t="shared" ref="BU47:BU51" si="418">BI47</f>
        <v>0</v>
      </c>
      <c r="BV47" s="36">
        <f t="shared" ref="BV47:BV51" si="419">BJ47</f>
        <v>0</v>
      </c>
      <c r="BW47" s="36">
        <f t="shared" ref="BW47:BW51" si="420">BK47</f>
        <v>0</v>
      </c>
      <c r="BX47" s="36">
        <f t="shared" ref="BX47:BX51" si="421">BL47</f>
        <v>0</v>
      </c>
      <c r="BY47" s="8"/>
      <c r="BZ47" s="72">
        <f t="shared" si="184"/>
        <v>0</v>
      </c>
      <c r="CA47" s="72">
        <f t="shared" si="185"/>
        <v>390000</v>
      </c>
      <c r="CB47" s="97"/>
      <c r="CC47" s="72">
        <f t="shared" si="372"/>
        <v>0</v>
      </c>
      <c r="CD47" s="72">
        <f t="shared" si="372"/>
        <v>0</v>
      </c>
      <c r="CE47" s="72">
        <f t="shared" si="372"/>
        <v>0</v>
      </c>
      <c r="CF47" s="72">
        <f t="shared" si="372"/>
        <v>390000</v>
      </c>
      <c r="CG47" s="72">
        <f t="shared" si="372"/>
        <v>390000</v>
      </c>
      <c r="CH47" s="72">
        <f t="shared" si="372"/>
        <v>390000</v>
      </c>
      <c r="CI47" s="72">
        <f t="shared" si="372"/>
        <v>390000</v>
      </c>
      <c r="CJ47" s="72">
        <f t="shared" si="372"/>
        <v>390000</v>
      </c>
      <c r="CL47" s="13"/>
      <c r="CM47" s="13"/>
    </row>
    <row r="48" spans="1:91" x14ac:dyDescent="0.3">
      <c r="A48" s="97" t="str">
        <f>'DCS Detail'!A48</f>
        <v xml:space="preserve">   3300 GRANT Revenue</v>
      </c>
      <c r="B48" s="106" t="str">
        <f>IF('DCS Detail'!$B48="","",'DCS Detail'!$B48)</f>
        <v>Grants</v>
      </c>
      <c r="C48" s="106"/>
      <c r="D48" s="106"/>
      <c r="E48" s="18">
        <v>0</v>
      </c>
      <c r="F48" s="18">
        <v>0</v>
      </c>
      <c r="G48" s="18">
        <v>0</v>
      </c>
      <c r="H48" s="18">
        <v>11345.28</v>
      </c>
      <c r="I48" s="18">
        <v>0</v>
      </c>
      <c r="J48" s="18">
        <v>0</v>
      </c>
      <c r="K48" s="18">
        <v>0</v>
      </c>
      <c r="L48" s="18">
        <v>8584.2100000000009</v>
      </c>
      <c r="M48" s="18">
        <v>-9005.2800000000025</v>
      </c>
      <c r="N48" s="18">
        <v>0</v>
      </c>
      <c r="O48" s="18">
        <v>0</v>
      </c>
      <c r="P48" s="18">
        <v>12778.63</v>
      </c>
      <c r="Q48" s="18">
        <v>0</v>
      </c>
      <c r="R48" s="18">
        <v>0</v>
      </c>
      <c r="S48" s="18">
        <v>0</v>
      </c>
      <c r="T48" s="18">
        <v>37072.01</v>
      </c>
      <c r="U48" s="18">
        <v>0</v>
      </c>
      <c r="V48" s="18">
        <v>0</v>
      </c>
      <c r="W48" s="18">
        <v>9353.39</v>
      </c>
      <c r="X48" s="18">
        <v>0</v>
      </c>
      <c r="Y48" s="18">
        <v>0</v>
      </c>
      <c r="Z48" s="18">
        <v>9587.76</v>
      </c>
      <c r="AA48" s="103">
        <v>0</v>
      </c>
      <c r="AB48" s="18">
        <f>123267*0.78-Z48</f>
        <v>86560.500000000015</v>
      </c>
      <c r="AC48" s="18">
        <v>0</v>
      </c>
      <c r="AD48" s="18">
        <v>0</v>
      </c>
      <c r="AE48" s="18">
        <v>0</v>
      </c>
      <c r="AF48" s="18">
        <v>0</v>
      </c>
      <c r="AG48" s="18">
        <v>0</v>
      </c>
      <c r="AH48" s="18">
        <v>0</v>
      </c>
      <c r="AI48" s="18">
        <v>0</v>
      </c>
      <c r="AJ48" s="18">
        <f>250000*0.78/4</f>
        <v>48750</v>
      </c>
      <c r="AK48" s="18">
        <f>250000*0.78/4</f>
        <v>48750</v>
      </c>
      <c r="AL48" s="18">
        <f>250000*0.78/4</f>
        <v>48750</v>
      </c>
      <c r="AM48" s="18">
        <f>250000*0.78/4</f>
        <v>48750</v>
      </c>
      <c r="AN48" s="18">
        <v>0</v>
      </c>
      <c r="AO48" s="18">
        <v>0</v>
      </c>
      <c r="AP48" s="18">
        <v>0</v>
      </c>
      <c r="AQ48" s="18">
        <v>0</v>
      </c>
      <c r="AR48" s="18">
        <v>0</v>
      </c>
      <c r="AS48" s="18">
        <v>0</v>
      </c>
      <c r="AT48" s="18">
        <v>0</v>
      </c>
      <c r="AU48" s="18">
        <v>0</v>
      </c>
      <c r="AV48" s="18">
        <v>0</v>
      </c>
      <c r="AW48" s="18">
        <v>25000</v>
      </c>
      <c r="AX48" s="18">
        <v>0</v>
      </c>
      <c r="AY48" s="18">
        <v>0</v>
      </c>
      <c r="AZ48" s="18">
        <v>0</v>
      </c>
      <c r="BA48" s="36">
        <f t="shared" ref="BA48:BJ49" si="422">AO48*(1+BA$261)</f>
        <v>0</v>
      </c>
      <c r="BB48" s="36">
        <f t="shared" si="422"/>
        <v>0</v>
      </c>
      <c r="BC48" s="36">
        <f t="shared" si="422"/>
        <v>0</v>
      </c>
      <c r="BD48" s="36">
        <f t="shared" si="422"/>
        <v>0</v>
      </c>
      <c r="BE48" s="36">
        <f t="shared" si="422"/>
        <v>0</v>
      </c>
      <c r="BF48" s="36">
        <f t="shared" si="422"/>
        <v>0</v>
      </c>
      <c r="BG48" s="36">
        <f t="shared" si="422"/>
        <v>0</v>
      </c>
      <c r="BH48" s="36">
        <f t="shared" si="422"/>
        <v>0</v>
      </c>
      <c r="BI48" s="36">
        <f t="shared" si="422"/>
        <v>25437.5</v>
      </c>
      <c r="BJ48" s="36">
        <f t="shared" si="422"/>
        <v>0</v>
      </c>
      <c r="BK48" s="36">
        <f t="shared" ref="BK48:BT49" si="423">AY48*(1+BK$261)</f>
        <v>0</v>
      </c>
      <c r="BL48" s="36">
        <f t="shared" si="423"/>
        <v>0</v>
      </c>
      <c r="BM48" s="36">
        <f t="shared" si="423"/>
        <v>0</v>
      </c>
      <c r="BN48" s="36">
        <f t="shared" si="423"/>
        <v>0</v>
      </c>
      <c r="BO48" s="36">
        <f t="shared" si="423"/>
        <v>0</v>
      </c>
      <c r="BP48" s="36">
        <f t="shared" si="423"/>
        <v>0</v>
      </c>
      <c r="BQ48" s="36">
        <f t="shared" si="423"/>
        <v>0</v>
      </c>
      <c r="BR48" s="36">
        <f t="shared" si="423"/>
        <v>0</v>
      </c>
      <c r="BS48" s="36">
        <f t="shared" si="423"/>
        <v>0</v>
      </c>
      <c r="BT48" s="36">
        <f t="shared" si="423"/>
        <v>0</v>
      </c>
      <c r="BU48" s="36">
        <f t="shared" ref="BU48:BX49" si="424">BI48*(1+BU$261)</f>
        <v>25755.46875</v>
      </c>
      <c r="BV48" s="36">
        <f t="shared" si="424"/>
        <v>0</v>
      </c>
      <c r="BW48" s="36">
        <f t="shared" si="424"/>
        <v>0</v>
      </c>
      <c r="BX48" s="36">
        <f t="shared" si="424"/>
        <v>0</v>
      </c>
      <c r="BY48" s="8"/>
      <c r="BZ48" s="72">
        <f t="shared" si="184"/>
        <v>0</v>
      </c>
      <c r="CA48" s="72">
        <f t="shared" si="185"/>
        <v>56013.16</v>
      </c>
      <c r="CB48" s="97"/>
      <c r="CC48" s="72">
        <f t="shared" si="372"/>
        <v>0</v>
      </c>
      <c r="CD48" s="72">
        <f t="shared" si="372"/>
        <v>0</v>
      </c>
      <c r="CE48" s="72">
        <f t="shared" si="372"/>
        <v>23702.839999999997</v>
      </c>
      <c r="CF48" s="72">
        <f t="shared" si="372"/>
        <v>142573.66000000003</v>
      </c>
      <c r="CG48" s="72">
        <f t="shared" si="372"/>
        <v>195000</v>
      </c>
      <c r="CH48" s="72">
        <f t="shared" si="372"/>
        <v>25000</v>
      </c>
      <c r="CI48" s="72">
        <f t="shared" si="372"/>
        <v>25437.5</v>
      </c>
      <c r="CJ48" s="72">
        <f t="shared" si="372"/>
        <v>25755.46875</v>
      </c>
      <c r="CL48" s="13"/>
      <c r="CM48" s="13"/>
    </row>
    <row r="49" spans="1:91" x14ac:dyDescent="0.3">
      <c r="A49" s="97" t="str">
        <f>'DCS Detail'!A49</f>
        <v>GATE Revenue - Placeholder</v>
      </c>
      <c r="B49" s="106" t="str">
        <f>IF('DCS Detail'!$B49="","",'DCS Detail'!$B49)</f>
        <v>Grants</v>
      </c>
      <c r="C49" s="106"/>
      <c r="D49" s="106"/>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f>864*45/12</f>
        <v>3240</v>
      </c>
      <c r="AG49" s="18">
        <f t="shared" ref="AG49:AQ49" si="425">864*45/12</f>
        <v>3240</v>
      </c>
      <c r="AH49" s="18">
        <f t="shared" si="425"/>
        <v>3240</v>
      </c>
      <c r="AI49" s="18">
        <f t="shared" si="425"/>
        <v>3240</v>
      </c>
      <c r="AJ49" s="18">
        <f t="shared" si="425"/>
        <v>3240</v>
      </c>
      <c r="AK49" s="18">
        <f t="shared" si="425"/>
        <v>3240</v>
      </c>
      <c r="AL49" s="18">
        <f t="shared" si="425"/>
        <v>3240</v>
      </c>
      <c r="AM49" s="18">
        <f t="shared" si="425"/>
        <v>3240</v>
      </c>
      <c r="AN49" s="18">
        <f t="shared" si="425"/>
        <v>3240</v>
      </c>
      <c r="AO49" s="18">
        <f t="shared" si="425"/>
        <v>3240</v>
      </c>
      <c r="AP49" s="18">
        <f t="shared" si="425"/>
        <v>3240</v>
      </c>
      <c r="AQ49" s="18">
        <f t="shared" si="425"/>
        <v>3240</v>
      </c>
      <c r="AR49" s="36">
        <f t="shared" ref="AR49:AZ49" si="426">AF49*(1+AR$261)</f>
        <v>3337.2000000000003</v>
      </c>
      <c r="AS49" s="36">
        <f t="shared" si="426"/>
        <v>3337.2000000000003</v>
      </c>
      <c r="AT49" s="36">
        <f t="shared" si="426"/>
        <v>3337.2000000000003</v>
      </c>
      <c r="AU49" s="36">
        <f t="shared" si="426"/>
        <v>3337.2000000000003</v>
      </c>
      <c r="AV49" s="36">
        <f t="shared" si="426"/>
        <v>3337.2000000000003</v>
      </c>
      <c r="AW49" s="36">
        <f t="shared" si="426"/>
        <v>3337.2000000000003</v>
      </c>
      <c r="AX49" s="36">
        <f t="shared" si="426"/>
        <v>3337.2000000000003</v>
      </c>
      <c r="AY49" s="36">
        <f t="shared" si="426"/>
        <v>3337.2000000000003</v>
      </c>
      <c r="AZ49" s="36">
        <f t="shared" si="426"/>
        <v>3337.2000000000003</v>
      </c>
      <c r="BA49" s="36">
        <f t="shared" si="422"/>
        <v>3337.2000000000003</v>
      </c>
      <c r="BB49" s="36">
        <f t="shared" si="422"/>
        <v>3296.7000000000003</v>
      </c>
      <c r="BC49" s="36">
        <f t="shared" si="422"/>
        <v>3296.7000000000003</v>
      </c>
      <c r="BD49" s="36">
        <f t="shared" si="422"/>
        <v>3395.6010000000006</v>
      </c>
      <c r="BE49" s="36">
        <f t="shared" si="422"/>
        <v>3395.6010000000006</v>
      </c>
      <c r="BF49" s="36">
        <f t="shared" si="422"/>
        <v>3395.6010000000006</v>
      </c>
      <c r="BG49" s="36">
        <f t="shared" si="422"/>
        <v>3395.6010000000006</v>
      </c>
      <c r="BH49" s="36">
        <f t="shared" si="422"/>
        <v>3395.6010000000006</v>
      </c>
      <c r="BI49" s="36">
        <f t="shared" si="422"/>
        <v>3395.6010000000006</v>
      </c>
      <c r="BJ49" s="36">
        <f t="shared" si="422"/>
        <v>3395.6010000000006</v>
      </c>
      <c r="BK49" s="36">
        <f t="shared" si="423"/>
        <v>3395.6010000000006</v>
      </c>
      <c r="BL49" s="36">
        <f t="shared" si="423"/>
        <v>3395.6010000000006</v>
      </c>
      <c r="BM49" s="36">
        <f t="shared" si="423"/>
        <v>3395.6010000000006</v>
      </c>
      <c r="BN49" s="36">
        <f t="shared" si="423"/>
        <v>3337.9087500000001</v>
      </c>
      <c r="BO49" s="36">
        <f t="shared" si="423"/>
        <v>3337.9087500000001</v>
      </c>
      <c r="BP49" s="36">
        <f t="shared" si="423"/>
        <v>3438.0460125000004</v>
      </c>
      <c r="BQ49" s="36">
        <f t="shared" si="423"/>
        <v>3438.0460125000004</v>
      </c>
      <c r="BR49" s="36">
        <f t="shared" si="423"/>
        <v>3438.0460125000004</v>
      </c>
      <c r="BS49" s="36">
        <f t="shared" si="423"/>
        <v>3438.0460125000004</v>
      </c>
      <c r="BT49" s="36">
        <f t="shared" si="423"/>
        <v>3438.0460125000004</v>
      </c>
      <c r="BU49" s="36">
        <f t="shared" si="424"/>
        <v>3438.0460125000004</v>
      </c>
      <c r="BV49" s="36">
        <f t="shared" si="424"/>
        <v>3438.0460125000004</v>
      </c>
      <c r="BW49" s="36">
        <f t="shared" si="424"/>
        <v>3438.0460125000004</v>
      </c>
      <c r="BX49" s="36">
        <f t="shared" si="424"/>
        <v>3438.0460125000004</v>
      </c>
      <c r="BY49" s="8"/>
      <c r="BZ49" s="72">
        <f t="shared" si="184"/>
        <v>0</v>
      </c>
      <c r="CA49" s="72">
        <f t="shared" si="185"/>
        <v>0</v>
      </c>
      <c r="CB49" s="97"/>
      <c r="CC49" s="72">
        <f t="shared" si="372"/>
        <v>0</v>
      </c>
      <c r="CD49" s="72">
        <f t="shared" si="372"/>
        <v>0</v>
      </c>
      <c r="CE49" s="72">
        <f t="shared" si="372"/>
        <v>0</v>
      </c>
      <c r="CF49" s="72">
        <f t="shared" si="372"/>
        <v>0</v>
      </c>
      <c r="CG49" s="72">
        <f t="shared" si="372"/>
        <v>29160</v>
      </c>
      <c r="CH49" s="72">
        <f t="shared" si="372"/>
        <v>39754.799999999996</v>
      </c>
      <c r="CI49" s="72">
        <f t="shared" si="372"/>
        <v>40491.00900000002</v>
      </c>
      <c r="CJ49" s="72">
        <f t="shared" si="372"/>
        <v>41013.832612500002</v>
      </c>
      <c r="CL49" s="13"/>
      <c r="CM49" s="13"/>
    </row>
    <row r="50" spans="1:91" x14ac:dyDescent="0.3">
      <c r="A50" s="97" t="str">
        <f>'DCS Detail'!A50</f>
        <v xml:space="preserve">   6400 Paycheck Protection Program</v>
      </c>
      <c r="B50" s="106" t="str">
        <f>IF('DCS Detail'!$B50="","",'DCS Detail'!$B50)</f>
        <v>Grants</v>
      </c>
      <c r="C50" s="106"/>
      <c r="D50" s="106"/>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258180</v>
      </c>
      <c r="AA50" s="18">
        <v>0</v>
      </c>
      <c r="AB50" s="18">
        <v>0</v>
      </c>
      <c r="AC50" s="18">
        <v>0</v>
      </c>
      <c r="AD50" s="18">
        <v>0</v>
      </c>
      <c r="AE50" s="18">
        <v>0</v>
      </c>
      <c r="AF50" s="18">
        <v>0</v>
      </c>
      <c r="AG50" s="18">
        <v>0</v>
      </c>
      <c r="AH50" s="18">
        <v>0</v>
      </c>
      <c r="AI50" s="18">
        <v>0</v>
      </c>
      <c r="AJ50" s="18">
        <v>0</v>
      </c>
      <c r="AK50" s="18">
        <v>0</v>
      </c>
      <c r="AL50" s="18">
        <v>0</v>
      </c>
      <c r="AM50" s="18">
        <v>0</v>
      </c>
      <c r="AN50" s="18">
        <v>0</v>
      </c>
      <c r="AO50" s="18">
        <v>0</v>
      </c>
      <c r="AP50" s="18">
        <v>0</v>
      </c>
      <c r="AQ50" s="18">
        <v>0</v>
      </c>
      <c r="AR50" s="18">
        <v>0</v>
      </c>
      <c r="AS50" s="18">
        <v>0</v>
      </c>
      <c r="AT50" s="18">
        <v>0</v>
      </c>
      <c r="AU50" s="18">
        <v>0</v>
      </c>
      <c r="AV50" s="18">
        <v>0</v>
      </c>
      <c r="AW50" s="18">
        <v>0</v>
      </c>
      <c r="AX50" s="18">
        <v>0</v>
      </c>
      <c r="AY50" s="18">
        <v>0</v>
      </c>
      <c r="AZ50" s="18">
        <v>0</v>
      </c>
      <c r="BA50" s="18">
        <v>0</v>
      </c>
      <c r="BB50" s="18">
        <v>0</v>
      </c>
      <c r="BC50" s="18">
        <v>0</v>
      </c>
      <c r="BD50" s="18">
        <v>0</v>
      </c>
      <c r="BE50" s="18">
        <v>0</v>
      </c>
      <c r="BF50" s="18">
        <v>0</v>
      </c>
      <c r="BG50" s="18">
        <v>0</v>
      </c>
      <c r="BH50" s="18">
        <v>0</v>
      </c>
      <c r="BI50" s="18">
        <v>0</v>
      </c>
      <c r="BJ50" s="18">
        <v>0</v>
      </c>
      <c r="BK50" s="18">
        <v>0</v>
      </c>
      <c r="BL50" s="18">
        <v>0</v>
      </c>
      <c r="BM50" s="18">
        <v>0</v>
      </c>
      <c r="BN50" s="18">
        <v>0</v>
      </c>
      <c r="BO50" s="18">
        <v>0</v>
      </c>
      <c r="BP50" s="18">
        <v>0</v>
      </c>
      <c r="BQ50" s="18">
        <v>0</v>
      </c>
      <c r="BR50" s="18">
        <v>0</v>
      </c>
      <c r="BS50" s="18">
        <v>0</v>
      </c>
      <c r="BT50" s="18">
        <v>0</v>
      </c>
      <c r="BU50" s="18">
        <v>0</v>
      </c>
      <c r="BV50" s="18">
        <v>0</v>
      </c>
      <c r="BW50" s="18">
        <v>0</v>
      </c>
      <c r="BX50" s="18">
        <v>0</v>
      </c>
      <c r="BY50" s="8"/>
      <c r="BZ50" s="72">
        <f t="shared" si="184"/>
        <v>0</v>
      </c>
      <c r="CA50" s="72">
        <f t="shared" si="185"/>
        <v>258180</v>
      </c>
      <c r="CB50" s="97"/>
      <c r="CC50" s="72">
        <f t="shared" si="372"/>
        <v>0</v>
      </c>
      <c r="CD50" s="72">
        <f t="shared" si="372"/>
        <v>0</v>
      </c>
      <c r="CE50" s="72">
        <f t="shared" si="372"/>
        <v>0</v>
      </c>
      <c r="CF50" s="72">
        <f t="shared" si="372"/>
        <v>258180</v>
      </c>
      <c r="CG50" s="72">
        <f t="shared" si="372"/>
        <v>0</v>
      </c>
      <c r="CH50" s="72">
        <f t="shared" si="372"/>
        <v>0</v>
      </c>
      <c r="CI50" s="72">
        <f t="shared" si="372"/>
        <v>0</v>
      </c>
      <c r="CJ50" s="72">
        <f t="shared" si="372"/>
        <v>0</v>
      </c>
      <c r="CL50" s="13"/>
      <c r="CM50" s="13"/>
    </row>
    <row r="51" spans="1:91" x14ac:dyDescent="0.3">
      <c r="A51" s="97" t="str">
        <f>'DCS Detail'!A51</f>
        <v xml:space="preserve">   Yearbook Sales</v>
      </c>
      <c r="B51" s="106" t="str">
        <f>IF('DCS Detail'!$B51="","",'DCS Detail'!$B51)</f>
        <v>Other</v>
      </c>
      <c r="C51" s="139"/>
      <c r="D51" s="139"/>
      <c r="E51" s="121">
        <v>39</v>
      </c>
      <c r="F51" s="121">
        <v>39</v>
      </c>
      <c r="G51" s="121">
        <v>25</v>
      </c>
      <c r="H51" s="121">
        <v>0</v>
      </c>
      <c r="I51" s="121">
        <v>20</v>
      </c>
      <c r="J51" s="121">
        <v>40</v>
      </c>
      <c r="K51" s="121">
        <v>0</v>
      </c>
      <c r="L51" s="121">
        <v>0</v>
      </c>
      <c r="M51" s="121">
        <v>53</v>
      </c>
      <c r="N51" s="121">
        <v>0</v>
      </c>
      <c r="O51" s="121">
        <v>870</v>
      </c>
      <c r="P51" s="121">
        <v>0</v>
      </c>
      <c r="Q51" s="121">
        <v>11.7</v>
      </c>
      <c r="R51" s="121">
        <v>0</v>
      </c>
      <c r="S51" s="121">
        <v>0</v>
      </c>
      <c r="T51" s="121">
        <v>0</v>
      </c>
      <c r="U51" s="121">
        <v>0</v>
      </c>
      <c r="V51" s="121">
        <v>0</v>
      </c>
      <c r="W51" s="121">
        <v>0</v>
      </c>
      <c r="X51" s="121">
        <v>0</v>
      </c>
      <c r="Y51" s="121">
        <v>0</v>
      </c>
      <c r="Z51" s="121">
        <v>0</v>
      </c>
      <c r="AA51" s="121">
        <v>157.5</v>
      </c>
      <c r="AB51" s="137">
        <f t="shared" si="373"/>
        <v>0</v>
      </c>
      <c r="AC51" s="137">
        <f t="shared" si="374"/>
        <v>11.7</v>
      </c>
      <c r="AD51" s="137">
        <f t="shared" si="375"/>
        <v>0</v>
      </c>
      <c r="AE51" s="137">
        <f t="shared" si="376"/>
        <v>0</v>
      </c>
      <c r="AF51" s="137">
        <f t="shared" si="377"/>
        <v>0</v>
      </c>
      <c r="AG51" s="137">
        <f t="shared" si="378"/>
        <v>0</v>
      </c>
      <c r="AH51" s="137">
        <f t="shared" si="379"/>
        <v>0</v>
      </c>
      <c r="AI51" s="137">
        <f t="shared" si="380"/>
        <v>0</v>
      </c>
      <c r="AJ51" s="137">
        <f t="shared" si="381"/>
        <v>0</v>
      </c>
      <c r="AK51" s="137">
        <f t="shared" si="382"/>
        <v>0</v>
      </c>
      <c r="AL51" s="137">
        <f t="shared" si="383"/>
        <v>0</v>
      </c>
      <c r="AM51" s="137">
        <f t="shared" si="384"/>
        <v>157.5</v>
      </c>
      <c r="AN51" s="137">
        <f t="shared" si="385"/>
        <v>0</v>
      </c>
      <c r="AO51" s="137">
        <f t="shared" si="386"/>
        <v>11.7</v>
      </c>
      <c r="AP51" s="137">
        <f t="shared" si="387"/>
        <v>0</v>
      </c>
      <c r="AQ51" s="137">
        <f t="shared" si="388"/>
        <v>0</v>
      </c>
      <c r="AR51" s="137">
        <f t="shared" si="389"/>
        <v>0</v>
      </c>
      <c r="AS51" s="137">
        <f t="shared" si="390"/>
        <v>0</v>
      </c>
      <c r="AT51" s="137">
        <f t="shared" si="391"/>
        <v>0</v>
      </c>
      <c r="AU51" s="137">
        <f t="shared" si="392"/>
        <v>0</v>
      </c>
      <c r="AV51" s="137">
        <f t="shared" si="393"/>
        <v>0</v>
      </c>
      <c r="AW51" s="137">
        <f t="shared" si="394"/>
        <v>0</v>
      </c>
      <c r="AX51" s="137">
        <f t="shared" si="395"/>
        <v>0</v>
      </c>
      <c r="AY51" s="137">
        <f t="shared" si="396"/>
        <v>157.5</v>
      </c>
      <c r="AZ51" s="137">
        <f t="shared" si="397"/>
        <v>0</v>
      </c>
      <c r="BA51" s="137">
        <f t="shared" si="398"/>
        <v>11.7</v>
      </c>
      <c r="BB51" s="137">
        <f t="shared" si="399"/>
        <v>0</v>
      </c>
      <c r="BC51" s="137">
        <f t="shared" si="400"/>
        <v>0</v>
      </c>
      <c r="BD51" s="137">
        <f t="shared" si="401"/>
        <v>0</v>
      </c>
      <c r="BE51" s="137">
        <f t="shared" si="402"/>
        <v>0</v>
      </c>
      <c r="BF51" s="137">
        <f t="shared" si="403"/>
        <v>0</v>
      </c>
      <c r="BG51" s="137">
        <f t="shared" si="404"/>
        <v>0</v>
      </c>
      <c r="BH51" s="137">
        <f t="shared" si="405"/>
        <v>0</v>
      </c>
      <c r="BI51" s="137">
        <f t="shared" si="406"/>
        <v>0</v>
      </c>
      <c r="BJ51" s="137">
        <f t="shared" si="407"/>
        <v>0</v>
      </c>
      <c r="BK51" s="137">
        <f t="shared" si="408"/>
        <v>157.5</v>
      </c>
      <c r="BL51" s="137">
        <f t="shared" si="409"/>
        <v>0</v>
      </c>
      <c r="BM51" s="137">
        <f t="shared" si="410"/>
        <v>11.7</v>
      </c>
      <c r="BN51" s="137">
        <f t="shared" si="411"/>
        <v>0</v>
      </c>
      <c r="BO51" s="137">
        <f t="shared" si="412"/>
        <v>0</v>
      </c>
      <c r="BP51" s="137">
        <f t="shared" si="413"/>
        <v>0</v>
      </c>
      <c r="BQ51" s="137">
        <f t="shared" si="414"/>
        <v>0</v>
      </c>
      <c r="BR51" s="137">
        <f t="shared" si="415"/>
        <v>0</v>
      </c>
      <c r="BS51" s="137">
        <f t="shared" si="416"/>
        <v>0</v>
      </c>
      <c r="BT51" s="137">
        <f t="shared" si="417"/>
        <v>0</v>
      </c>
      <c r="BU51" s="137">
        <f t="shared" si="418"/>
        <v>0</v>
      </c>
      <c r="BV51" s="137">
        <f t="shared" si="419"/>
        <v>0</v>
      </c>
      <c r="BW51" s="137">
        <f t="shared" si="420"/>
        <v>157.5</v>
      </c>
      <c r="BX51" s="137">
        <f t="shared" si="421"/>
        <v>0</v>
      </c>
      <c r="BY51" s="8"/>
      <c r="BZ51" s="73">
        <f t="shared" si="184"/>
        <v>157.5</v>
      </c>
      <c r="CA51" s="73">
        <f t="shared" si="185"/>
        <v>169.2</v>
      </c>
      <c r="CB51" s="97"/>
      <c r="CC51" s="73">
        <f t="shared" si="372"/>
        <v>0</v>
      </c>
      <c r="CD51" s="73">
        <f t="shared" si="372"/>
        <v>0</v>
      </c>
      <c r="CE51" s="73">
        <f t="shared" si="372"/>
        <v>1086</v>
      </c>
      <c r="CF51" s="73">
        <f t="shared" si="372"/>
        <v>169.2</v>
      </c>
      <c r="CG51" s="73">
        <f t="shared" si="372"/>
        <v>169.2</v>
      </c>
      <c r="CH51" s="73">
        <f t="shared" si="372"/>
        <v>169.2</v>
      </c>
      <c r="CI51" s="73">
        <f t="shared" si="372"/>
        <v>169.2</v>
      </c>
      <c r="CJ51" s="73">
        <f t="shared" si="372"/>
        <v>169.2</v>
      </c>
      <c r="CL51" s="13"/>
      <c r="CM51" s="13"/>
    </row>
    <row r="52" spans="1:91" x14ac:dyDescent="0.3">
      <c r="A52" s="97" t="str">
        <f>'DCS Detail'!A52</f>
        <v>Total Income</v>
      </c>
      <c r="B52" s="106" t="str">
        <f>IF('DCS Detail'!$B52="","",'DCS Detail'!$B52)</f>
        <v/>
      </c>
      <c r="C52" s="36">
        <f t="shared" ref="C52:AH52" si="427">SUM(C32:C51)+C23</f>
        <v>0</v>
      </c>
      <c r="D52" s="36">
        <f t="shared" si="427"/>
        <v>0</v>
      </c>
      <c r="E52" s="36">
        <f t="shared" si="427"/>
        <v>339887.03</v>
      </c>
      <c r="F52" s="36">
        <f t="shared" si="427"/>
        <v>392859.8</v>
      </c>
      <c r="G52" s="36">
        <f t="shared" si="427"/>
        <v>188968.99</v>
      </c>
      <c r="H52" s="36">
        <f t="shared" si="427"/>
        <v>496497.78</v>
      </c>
      <c r="I52" s="36">
        <f t="shared" si="427"/>
        <v>16828.3982</v>
      </c>
      <c r="J52" s="36">
        <f t="shared" si="427"/>
        <v>419140.17000000004</v>
      </c>
      <c r="K52" s="36">
        <f t="shared" si="427"/>
        <v>1460.4346</v>
      </c>
      <c r="L52" s="36">
        <f t="shared" si="427"/>
        <v>262191.26719999994</v>
      </c>
      <c r="M52" s="36">
        <f t="shared" si="427"/>
        <v>218576.68</v>
      </c>
      <c r="N52" s="36">
        <f t="shared" si="427"/>
        <v>457345.62</v>
      </c>
      <c r="O52" s="36">
        <f t="shared" si="427"/>
        <v>8811.2000000000007</v>
      </c>
      <c r="P52" s="36">
        <f t="shared" si="427"/>
        <v>309050.21000000008</v>
      </c>
      <c r="Q52" s="36">
        <f t="shared" si="427"/>
        <v>167419.84000000003</v>
      </c>
      <c r="R52" s="36">
        <f t="shared" si="427"/>
        <v>225835.25</v>
      </c>
      <c r="S52" s="36">
        <f t="shared" si="427"/>
        <v>602448.64000000001</v>
      </c>
      <c r="T52" s="36">
        <f t="shared" si="427"/>
        <v>242585.52999999997</v>
      </c>
      <c r="U52" s="36">
        <f t="shared" si="427"/>
        <v>268745.63</v>
      </c>
      <c r="V52" s="36">
        <f t="shared" si="427"/>
        <v>218657.18</v>
      </c>
      <c r="W52" s="36">
        <f t="shared" si="427"/>
        <v>236879.42</v>
      </c>
      <c r="X52" s="36">
        <f t="shared" si="427"/>
        <v>222051.6</v>
      </c>
      <c r="Y52" s="36">
        <f t="shared" si="427"/>
        <v>220797.04</v>
      </c>
      <c r="Z52" s="36">
        <f t="shared" si="427"/>
        <v>477787.61</v>
      </c>
      <c r="AA52" s="36">
        <f t="shared" si="427"/>
        <v>234500.31000000003</v>
      </c>
      <c r="AB52" s="36">
        <f t="shared" si="427"/>
        <v>306523.08083333337</v>
      </c>
      <c r="AC52" s="36">
        <f>SUM(AC32:AC51)+AC23</f>
        <v>883869.99416666664</v>
      </c>
      <c r="AD52" s="36">
        <f t="shared" si="427"/>
        <v>293202.84109416674</v>
      </c>
      <c r="AE52" s="36">
        <f t="shared" si="427"/>
        <v>667078.37087408337</v>
      </c>
      <c r="AF52" s="36">
        <f t="shared" si="427"/>
        <v>279238.87177516666</v>
      </c>
      <c r="AG52" s="36">
        <f t="shared" si="427"/>
        <v>290739.43632000004</v>
      </c>
      <c r="AH52" s="36">
        <f t="shared" si="427"/>
        <v>273466.06519883336</v>
      </c>
      <c r="AI52" s="36">
        <f t="shared" ref="AI52:BN52" si="428">SUM(AI32:AI51)+AI23</f>
        <v>286391.93339666666</v>
      </c>
      <c r="AJ52" s="36">
        <f t="shared" si="428"/>
        <v>350428.04208558338</v>
      </c>
      <c r="AK52" s="36">
        <f t="shared" si="428"/>
        <v>334080.17591925</v>
      </c>
      <c r="AL52" s="36">
        <f t="shared" si="428"/>
        <v>325143.60429775005</v>
      </c>
      <c r="AM52" s="36">
        <f t="shared" si="428"/>
        <v>342117.75379741663</v>
      </c>
      <c r="AN52" s="36">
        <f t="shared" si="428"/>
        <v>280604.06875341671</v>
      </c>
      <c r="AO52" s="36">
        <f t="shared" si="428"/>
        <v>274243.2876310834</v>
      </c>
      <c r="AP52" s="36">
        <f t="shared" si="428"/>
        <v>360126.07994322671</v>
      </c>
      <c r="AQ52" s="36">
        <f t="shared" si="428"/>
        <v>733772.71931654087</v>
      </c>
      <c r="AR52" s="36">
        <f t="shared" si="428"/>
        <v>342641.92171132332</v>
      </c>
      <c r="AS52" s="36">
        <f t="shared" si="428"/>
        <v>354169.01792583504</v>
      </c>
      <c r="AT52" s="36">
        <f t="shared" si="428"/>
        <v>336673.54490436666</v>
      </c>
      <c r="AU52" s="36">
        <f t="shared" si="428"/>
        <v>349899.10011480167</v>
      </c>
      <c r="AV52" s="36">
        <f t="shared" si="428"/>
        <v>366685.79553105251</v>
      </c>
      <c r="AW52" s="36">
        <f t="shared" si="428"/>
        <v>375225.34011480166</v>
      </c>
      <c r="AX52" s="36">
        <f t="shared" si="428"/>
        <v>339501.06250958418</v>
      </c>
      <c r="AY52" s="36">
        <f t="shared" si="428"/>
        <v>357239.99712757417</v>
      </c>
      <c r="AZ52" s="36">
        <f t="shared" si="428"/>
        <v>343545.61193225422</v>
      </c>
      <c r="BA52" s="36">
        <f t="shared" si="428"/>
        <v>336824.5825095842</v>
      </c>
      <c r="BB52" s="36">
        <f t="shared" si="428"/>
        <v>366561.75041723321</v>
      </c>
      <c r="BC52" s="36">
        <f t="shared" si="428"/>
        <v>739322.15001681075</v>
      </c>
      <c r="BD52" s="36">
        <f t="shared" si="428"/>
        <v>348131.90532850195</v>
      </c>
      <c r="BE52" s="36">
        <f t="shared" si="428"/>
        <v>359803.30422676756</v>
      </c>
      <c r="BF52" s="36">
        <f t="shared" si="428"/>
        <v>342725.22564019315</v>
      </c>
      <c r="BG52" s="36">
        <f t="shared" si="428"/>
        <v>356716.38357958035</v>
      </c>
      <c r="BH52" s="36">
        <f t="shared" si="428"/>
        <v>373452.63147784601</v>
      </c>
      <c r="BI52" s="36">
        <f t="shared" si="428"/>
        <v>381427.60645404115</v>
      </c>
      <c r="BJ52" s="36">
        <f t="shared" si="428"/>
        <v>345539.335328502</v>
      </c>
      <c r="BK52" s="36">
        <f t="shared" si="428"/>
        <v>363655.11435230676</v>
      </c>
      <c r="BL52" s="36">
        <f t="shared" si="428"/>
        <v>349603.59721606871</v>
      </c>
      <c r="BM52" s="36">
        <f t="shared" si="428"/>
        <v>342811.71632850199</v>
      </c>
      <c r="BN52" s="36">
        <f t="shared" si="428"/>
        <v>371305.61125994864</v>
      </c>
      <c r="BO52" s="36">
        <f t="shared" ref="BO52:BX52" si="429">SUM(BO32:BO51)+BO23</f>
        <v>744565.59869932511</v>
      </c>
      <c r="BP52" s="36">
        <f t="shared" si="429"/>
        <v>353323.0996899124</v>
      </c>
      <c r="BQ52" s="36">
        <f t="shared" si="429"/>
        <v>364407.47154210217</v>
      </c>
      <c r="BR52" s="36">
        <f t="shared" si="429"/>
        <v>346552.83360339131</v>
      </c>
      <c r="BS52" s="36">
        <f t="shared" si="429"/>
        <v>360009.32049721666</v>
      </c>
      <c r="BT52" s="36">
        <f t="shared" si="429"/>
        <v>378568.66772131907</v>
      </c>
      <c r="BU52" s="36">
        <f t="shared" si="429"/>
        <v>386567.61734721664</v>
      </c>
      <c r="BV52" s="36">
        <f t="shared" si="429"/>
        <v>349992.68088260823</v>
      </c>
      <c r="BW52" s="36">
        <f t="shared" si="429"/>
        <v>368408.9892067106</v>
      </c>
      <c r="BX52" s="36">
        <f t="shared" si="429"/>
        <v>354032.78470626957</v>
      </c>
      <c r="BY52" s="8"/>
      <c r="BZ52" s="72">
        <f t="shared" si="184"/>
        <v>234500.31000000003</v>
      </c>
      <c r="CA52" s="72">
        <f t="shared" si="185"/>
        <v>3117708.05</v>
      </c>
      <c r="CB52" s="97"/>
      <c r="CC52" s="72">
        <f t="shared" si="372"/>
        <v>0</v>
      </c>
      <c r="CD52" s="72">
        <f t="shared" si="372"/>
        <v>0</v>
      </c>
      <c r="CE52" s="72">
        <f t="shared" si="372"/>
        <v>3111617.5800000005</v>
      </c>
      <c r="CF52" s="72">
        <f t="shared" si="372"/>
        <v>3424231.1308333334</v>
      </c>
      <c r="CG52" s="72">
        <f t="shared" si="372"/>
        <v>4606361.1576790009</v>
      </c>
      <c r="CH52" s="72">
        <f t="shared" si="372"/>
        <v>4533723.478762445</v>
      </c>
      <c r="CI52" s="72">
        <f t="shared" si="372"/>
        <v>4663763.5865474353</v>
      </c>
      <c r="CJ52" s="72">
        <f t="shared" si="372"/>
        <v>4720546.3914845223</v>
      </c>
      <c r="CL52" s="13"/>
      <c r="CM52" s="13"/>
    </row>
    <row r="53" spans="1:91" x14ac:dyDescent="0.3">
      <c r="A53" s="97" t="str">
        <f>'DCS Detail'!A53</f>
        <v>Gross Profit</v>
      </c>
      <c r="B53" s="106" t="str">
        <f>IF('DCS Detail'!$B53="","",'DCS Detail'!$B53)</f>
        <v/>
      </c>
      <c r="C53" s="112">
        <f>C52</f>
        <v>0</v>
      </c>
      <c r="D53" s="112">
        <f t="shared" ref="D53:AN53" si="430">D52</f>
        <v>0</v>
      </c>
      <c r="E53" s="112">
        <f t="shared" si="430"/>
        <v>339887.03</v>
      </c>
      <c r="F53" s="112">
        <f t="shared" si="430"/>
        <v>392859.8</v>
      </c>
      <c r="G53" s="112">
        <f t="shared" si="430"/>
        <v>188968.99</v>
      </c>
      <c r="H53" s="112">
        <f t="shared" si="430"/>
        <v>496497.78</v>
      </c>
      <c r="I53" s="112">
        <f t="shared" si="430"/>
        <v>16828.3982</v>
      </c>
      <c r="J53" s="112">
        <f t="shared" si="430"/>
        <v>419140.17000000004</v>
      </c>
      <c r="K53" s="112">
        <f t="shared" si="430"/>
        <v>1460.4346</v>
      </c>
      <c r="L53" s="112">
        <f t="shared" si="430"/>
        <v>262191.26719999994</v>
      </c>
      <c r="M53" s="112">
        <f t="shared" ref="M53" si="431">M52</f>
        <v>218576.68</v>
      </c>
      <c r="N53" s="112">
        <f t="shared" si="430"/>
        <v>457345.62</v>
      </c>
      <c r="O53" s="112">
        <f t="shared" si="430"/>
        <v>8811.2000000000007</v>
      </c>
      <c r="P53" s="112">
        <f t="shared" si="430"/>
        <v>309050.21000000008</v>
      </c>
      <c r="Q53" s="112">
        <f t="shared" ref="Q53:R53" si="432">Q52</f>
        <v>167419.84000000003</v>
      </c>
      <c r="R53" s="112">
        <f t="shared" si="432"/>
        <v>225835.25</v>
      </c>
      <c r="S53" s="112">
        <f t="shared" ref="S53:T53" si="433">S52</f>
        <v>602448.64000000001</v>
      </c>
      <c r="T53" s="112">
        <f t="shared" si="433"/>
        <v>242585.52999999997</v>
      </c>
      <c r="U53" s="112">
        <f t="shared" ref="U53:V53" si="434">U52</f>
        <v>268745.63</v>
      </c>
      <c r="V53" s="112">
        <f t="shared" si="434"/>
        <v>218657.18</v>
      </c>
      <c r="W53" s="112">
        <f t="shared" ref="W53" si="435">W52</f>
        <v>236879.42</v>
      </c>
      <c r="X53" s="112">
        <f t="shared" si="430"/>
        <v>222051.6</v>
      </c>
      <c r="Y53" s="112">
        <f t="shared" si="430"/>
        <v>220797.04</v>
      </c>
      <c r="Z53" s="112">
        <f t="shared" si="430"/>
        <v>477787.61</v>
      </c>
      <c r="AA53" s="112">
        <f t="shared" si="430"/>
        <v>234500.31000000003</v>
      </c>
      <c r="AB53" s="112">
        <f t="shared" si="430"/>
        <v>306523.08083333337</v>
      </c>
      <c r="AC53" s="112">
        <f t="shared" si="430"/>
        <v>883869.99416666664</v>
      </c>
      <c r="AD53" s="112">
        <f t="shared" si="430"/>
        <v>293202.84109416674</v>
      </c>
      <c r="AE53" s="112">
        <f t="shared" si="430"/>
        <v>667078.37087408337</v>
      </c>
      <c r="AF53" s="112">
        <f t="shared" si="430"/>
        <v>279238.87177516666</v>
      </c>
      <c r="AG53" s="112">
        <f t="shared" si="430"/>
        <v>290739.43632000004</v>
      </c>
      <c r="AH53" s="112">
        <f t="shared" si="430"/>
        <v>273466.06519883336</v>
      </c>
      <c r="AI53" s="112">
        <f t="shared" si="430"/>
        <v>286391.93339666666</v>
      </c>
      <c r="AJ53" s="112">
        <f t="shared" si="430"/>
        <v>350428.04208558338</v>
      </c>
      <c r="AK53" s="112">
        <f t="shared" si="430"/>
        <v>334080.17591925</v>
      </c>
      <c r="AL53" s="112">
        <f t="shared" si="430"/>
        <v>325143.60429775005</v>
      </c>
      <c r="AM53" s="112">
        <f t="shared" si="430"/>
        <v>342117.75379741663</v>
      </c>
      <c r="AN53" s="112">
        <f t="shared" si="430"/>
        <v>280604.06875341671</v>
      </c>
      <c r="AO53" s="112">
        <f t="shared" ref="AO53:AZ53" si="436">AO52</f>
        <v>274243.2876310834</v>
      </c>
      <c r="AP53" s="112">
        <f t="shared" si="436"/>
        <v>360126.07994322671</v>
      </c>
      <c r="AQ53" s="112">
        <f t="shared" si="436"/>
        <v>733772.71931654087</v>
      </c>
      <c r="AR53" s="112">
        <f t="shared" si="436"/>
        <v>342641.92171132332</v>
      </c>
      <c r="AS53" s="112">
        <f t="shared" si="436"/>
        <v>354169.01792583504</v>
      </c>
      <c r="AT53" s="112">
        <f t="shared" si="436"/>
        <v>336673.54490436666</v>
      </c>
      <c r="AU53" s="112">
        <f t="shared" si="436"/>
        <v>349899.10011480167</v>
      </c>
      <c r="AV53" s="112">
        <f t="shared" si="436"/>
        <v>366685.79553105251</v>
      </c>
      <c r="AW53" s="112">
        <f t="shared" si="436"/>
        <v>375225.34011480166</v>
      </c>
      <c r="AX53" s="112">
        <f t="shared" si="436"/>
        <v>339501.06250958418</v>
      </c>
      <c r="AY53" s="112">
        <f t="shared" si="436"/>
        <v>357239.99712757417</v>
      </c>
      <c r="AZ53" s="112">
        <f t="shared" si="436"/>
        <v>343545.61193225422</v>
      </c>
      <c r="BA53" s="112">
        <f t="shared" ref="BA53:BX53" si="437">BA52</f>
        <v>336824.5825095842</v>
      </c>
      <c r="BB53" s="112">
        <f t="shared" si="437"/>
        <v>366561.75041723321</v>
      </c>
      <c r="BC53" s="112">
        <f t="shared" si="437"/>
        <v>739322.15001681075</v>
      </c>
      <c r="BD53" s="112">
        <f t="shared" si="437"/>
        <v>348131.90532850195</v>
      </c>
      <c r="BE53" s="112">
        <f t="shared" si="437"/>
        <v>359803.30422676756</v>
      </c>
      <c r="BF53" s="112">
        <f t="shared" si="437"/>
        <v>342725.22564019315</v>
      </c>
      <c r="BG53" s="112">
        <f t="shared" si="437"/>
        <v>356716.38357958035</v>
      </c>
      <c r="BH53" s="112">
        <f t="shared" si="437"/>
        <v>373452.63147784601</v>
      </c>
      <c r="BI53" s="112">
        <f t="shared" si="437"/>
        <v>381427.60645404115</v>
      </c>
      <c r="BJ53" s="112">
        <f t="shared" si="437"/>
        <v>345539.335328502</v>
      </c>
      <c r="BK53" s="112">
        <f t="shared" si="437"/>
        <v>363655.11435230676</v>
      </c>
      <c r="BL53" s="112">
        <f t="shared" si="437"/>
        <v>349603.59721606871</v>
      </c>
      <c r="BM53" s="112">
        <f t="shared" si="437"/>
        <v>342811.71632850199</v>
      </c>
      <c r="BN53" s="112">
        <f t="shared" si="437"/>
        <v>371305.61125994864</v>
      </c>
      <c r="BO53" s="112">
        <f t="shared" si="437"/>
        <v>744565.59869932511</v>
      </c>
      <c r="BP53" s="112">
        <f t="shared" si="437"/>
        <v>353323.0996899124</v>
      </c>
      <c r="BQ53" s="112">
        <f t="shared" si="437"/>
        <v>364407.47154210217</v>
      </c>
      <c r="BR53" s="112">
        <f t="shared" si="437"/>
        <v>346552.83360339131</v>
      </c>
      <c r="BS53" s="112">
        <f t="shared" si="437"/>
        <v>360009.32049721666</v>
      </c>
      <c r="BT53" s="112">
        <f t="shared" si="437"/>
        <v>378568.66772131907</v>
      </c>
      <c r="BU53" s="112">
        <f t="shared" si="437"/>
        <v>386567.61734721664</v>
      </c>
      <c r="BV53" s="112">
        <f t="shared" si="437"/>
        <v>349992.68088260823</v>
      </c>
      <c r="BW53" s="112">
        <f t="shared" si="437"/>
        <v>368408.9892067106</v>
      </c>
      <c r="BX53" s="112">
        <f t="shared" si="437"/>
        <v>354032.78470626957</v>
      </c>
      <c r="BY53" s="8"/>
      <c r="BZ53" s="385">
        <f t="shared" si="184"/>
        <v>234500.31000000003</v>
      </c>
      <c r="CA53" s="385">
        <f t="shared" si="185"/>
        <v>3117708.05</v>
      </c>
      <c r="CB53" s="97"/>
      <c r="CC53" s="385">
        <f t="shared" si="372"/>
        <v>0</v>
      </c>
      <c r="CD53" s="385">
        <f t="shared" si="372"/>
        <v>0</v>
      </c>
      <c r="CE53" s="385">
        <f t="shared" si="372"/>
        <v>3111617.5800000005</v>
      </c>
      <c r="CF53" s="385">
        <f t="shared" si="372"/>
        <v>3424231.1308333334</v>
      </c>
      <c r="CG53" s="385">
        <f t="shared" si="372"/>
        <v>4606361.1576790009</v>
      </c>
      <c r="CH53" s="385">
        <f t="shared" si="372"/>
        <v>4533723.478762445</v>
      </c>
      <c r="CI53" s="385">
        <f t="shared" si="372"/>
        <v>4663763.5865474353</v>
      </c>
      <c r="CJ53" s="385">
        <f t="shared" si="372"/>
        <v>4720546.3914845223</v>
      </c>
      <c r="CL53" s="13"/>
      <c r="CM53" s="13"/>
    </row>
    <row r="54" spans="1:91" x14ac:dyDescent="0.3">
      <c r="A54" s="97" t="str">
        <f>'DCS Detail'!A54</f>
        <v>Expenses</v>
      </c>
      <c r="B54" s="106" t="str">
        <f>IF('DCS Detail'!$B54="","",'DCS Detail'!$B54)</f>
        <v/>
      </c>
      <c r="C54" s="106"/>
      <c r="D54" s="106"/>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18">
        <v>0</v>
      </c>
      <c r="AR54" s="18">
        <v>0</v>
      </c>
      <c r="AS54" s="18">
        <v>0</v>
      </c>
      <c r="AT54" s="18">
        <v>0</v>
      </c>
      <c r="AU54" s="18">
        <v>0</v>
      </c>
      <c r="AV54" s="18">
        <v>0</v>
      </c>
      <c r="AW54" s="18">
        <v>0</v>
      </c>
      <c r="AX54" s="18">
        <v>0</v>
      </c>
      <c r="AY54" s="18">
        <v>0</v>
      </c>
      <c r="AZ54" s="18">
        <v>0</v>
      </c>
      <c r="BA54" s="18">
        <v>0</v>
      </c>
      <c r="BB54" s="18">
        <v>0</v>
      </c>
      <c r="BC54" s="18">
        <v>0</v>
      </c>
      <c r="BD54" s="18">
        <v>0</v>
      </c>
      <c r="BE54" s="18">
        <v>0</v>
      </c>
      <c r="BF54" s="18">
        <v>0</v>
      </c>
      <c r="BG54" s="18">
        <v>0</v>
      </c>
      <c r="BH54" s="18">
        <v>0</v>
      </c>
      <c r="BI54" s="18">
        <v>0</v>
      </c>
      <c r="BJ54" s="18">
        <v>0</v>
      </c>
      <c r="BK54" s="18">
        <v>0</v>
      </c>
      <c r="BL54" s="18">
        <v>0</v>
      </c>
      <c r="BM54" s="18">
        <v>0</v>
      </c>
      <c r="BN54" s="18">
        <v>0</v>
      </c>
      <c r="BO54" s="18">
        <v>0</v>
      </c>
      <c r="BP54" s="18">
        <v>0</v>
      </c>
      <c r="BQ54" s="18">
        <v>0</v>
      </c>
      <c r="BR54" s="18">
        <v>0</v>
      </c>
      <c r="BS54" s="18">
        <v>0</v>
      </c>
      <c r="BT54" s="18">
        <v>0</v>
      </c>
      <c r="BU54" s="18">
        <v>0</v>
      </c>
      <c r="BV54" s="18">
        <v>0</v>
      </c>
      <c r="BW54" s="18">
        <v>0</v>
      </c>
      <c r="BX54" s="18">
        <v>0</v>
      </c>
      <c r="BY54" s="8"/>
      <c r="BZ54" s="72">
        <f t="shared" si="184"/>
        <v>0</v>
      </c>
      <c r="CA54" s="72">
        <f t="shared" si="185"/>
        <v>0</v>
      </c>
      <c r="CB54" s="97"/>
      <c r="CC54" s="72">
        <f t="shared" si="372"/>
        <v>0</v>
      </c>
      <c r="CD54" s="72">
        <f t="shared" si="372"/>
        <v>0</v>
      </c>
      <c r="CE54" s="72">
        <f t="shared" si="372"/>
        <v>0</v>
      </c>
      <c r="CF54" s="72">
        <f t="shared" si="372"/>
        <v>0</v>
      </c>
      <c r="CG54" s="72">
        <f t="shared" si="372"/>
        <v>0</v>
      </c>
      <c r="CH54" s="72">
        <f t="shared" si="372"/>
        <v>0</v>
      </c>
      <c r="CI54" s="72">
        <f t="shared" si="372"/>
        <v>0</v>
      </c>
      <c r="CJ54" s="72">
        <f t="shared" si="372"/>
        <v>0</v>
      </c>
      <c r="CL54" s="13"/>
      <c r="CM54" s="13"/>
    </row>
    <row r="55" spans="1:91" x14ac:dyDescent="0.3">
      <c r="A55" s="97" t="str">
        <f>'DCS Detail'!A55</f>
        <v xml:space="preserve">   100 General Fund</v>
      </c>
      <c r="B55" s="106" t="str">
        <f>IF('DCS Detail'!$B55="","",'DCS Detail'!$B55)</f>
        <v>Salaries</v>
      </c>
      <c r="C55" s="106"/>
      <c r="D55" s="106"/>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0</v>
      </c>
      <c r="AM55" s="18">
        <v>0</v>
      </c>
      <c r="AN55" s="18">
        <v>0</v>
      </c>
      <c r="AO55" s="18">
        <v>0</v>
      </c>
      <c r="AP55" s="18">
        <v>0</v>
      </c>
      <c r="AQ55" s="18">
        <v>0</v>
      </c>
      <c r="AR55" s="18">
        <v>0</v>
      </c>
      <c r="AS55" s="18">
        <v>0</v>
      </c>
      <c r="AT55" s="18">
        <v>0</v>
      </c>
      <c r="AU55" s="18">
        <v>0</v>
      </c>
      <c r="AV55" s="18">
        <v>0</v>
      </c>
      <c r="AW55" s="18">
        <v>0</v>
      </c>
      <c r="AX55" s="18">
        <v>0</v>
      </c>
      <c r="AY55" s="18">
        <v>0</v>
      </c>
      <c r="AZ55" s="18">
        <v>0</v>
      </c>
      <c r="BA55" s="18">
        <v>0</v>
      </c>
      <c r="BB55" s="18">
        <v>0</v>
      </c>
      <c r="BC55" s="18">
        <v>0</v>
      </c>
      <c r="BD55" s="18">
        <v>0</v>
      </c>
      <c r="BE55" s="18">
        <v>0</v>
      </c>
      <c r="BF55" s="18">
        <v>0</v>
      </c>
      <c r="BG55" s="18">
        <v>0</v>
      </c>
      <c r="BH55" s="18">
        <v>0</v>
      </c>
      <c r="BI55" s="18">
        <v>0</v>
      </c>
      <c r="BJ55" s="18">
        <v>0</v>
      </c>
      <c r="BK55" s="18">
        <v>0</v>
      </c>
      <c r="BL55" s="18">
        <v>0</v>
      </c>
      <c r="BM55" s="18">
        <v>0</v>
      </c>
      <c r="BN55" s="18">
        <v>0</v>
      </c>
      <c r="BO55" s="18">
        <v>0</v>
      </c>
      <c r="BP55" s="18">
        <v>0</v>
      </c>
      <c r="BQ55" s="18">
        <v>0</v>
      </c>
      <c r="BR55" s="18">
        <v>0</v>
      </c>
      <c r="BS55" s="18">
        <v>0</v>
      </c>
      <c r="BT55" s="18">
        <v>0</v>
      </c>
      <c r="BU55" s="18">
        <v>0</v>
      </c>
      <c r="BV55" s="18">
        <v>0</v>
      </c>
      <c r="BW55" s="18">
        <v>0</v>
      </c>
      <c r="BX55" s="18">
        <v>0</v>
      </c>
      <c r="BY55" s="8"/>
      <c r="BZ55" s="72">
        <f t="shared" si="184"/>
        <v>0</v>
      </c>
      <c r="CA55" s="72">
        <f t="shared" si="185"/>
        <v>0</v>
      </c>
      <c r="CB55" s="97"/>
      <c r="CC55" s="72">
        <f t="shared" si="372"/>
        <v>0</v>
      </c>
      <c r="CD55" s="72">
        <f t="shared" si="372"/>
        <v>0</v>
      </c>
      <c r="CE55" s="72">
        <f t="shared" si="372"/>
        <v>0</v>
      </c>
      <c r="CF55" s="72">
        <f t="shared" si="372"/>
        <v>0</v>
      </c>
      <c r="CG55" s="72">
        <f t="shared" si="372"/>
        <v>0</v>
      </c>
      <c r="CH55" s="72">
        <f t="shared" si="372"/>
        <v>0</v>
      </c>
      <c r="CI55" s="72">
        <f t="shared" si="372"/>
        <v>0</v>
      </c>
      <c r="CJ55" s="72">
        <f t="shared" si="372"/>
        <v>0</v>
      </c>
      <c r="CL55" s="13"/>
      <c r="CM55" s="13"/>
    </row>
    <row r="56" spans="1:91" x14ac:dyDescent="0.3">
      <c r="A56" s="97" t="str">
        <f>'DCS Detail'!A56</f>
        <v xml:space="preserve">      1000 Instruction</v>
      </c>
      <c r="B56" s="106" t="str">
        <f>IF('DCS Detail'!$B56="","",'DCS Detail'!$B56)</f>
        <v/>
      </c>
      <c r="C56" s="106"/>
      <c r="D56" s="106"/>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0</v>
      </c>
      <c r="AW56" s="18">
        <v>0</v>
      </c>
      <c r="AX56" s="18">
        <v>0</v>
      </c>
      <c r="AY56" s="18">
        <v>0</v>
      </c>
      <c r="AZ56" s="18">
        <v>0</v>
      </c>
      <c r="BA56" s="18">
        <v>0</v>
      </c>
      <c r="BB56" s="18">
        <v>0</v>
      </c>
      <c r="BC56" s="18">
        <v>0</v>
      </c>
      <c r="BD56" s="18">
        <v>0</v>
      </c>
      <c r="BE56" s="18">
        <v>0</v>
      </c>
      <c r="BF56" s="18">
        <v>0</v>
      </c>
      <c r="BG56" s="18">
        <v>0</v>
      </c>
      <c r="BH56" s="18">
        <v>0</v>
      </c>
      <c r="BI56" s="18">
        <v>0</v>
      </c>
      <c r="BJ56" s="18">
        <v>0</v>
      </c>
      <c r="BK56" s="18">
        <v>0</v>
      </c>
      <c r="BL56" s="18">
        <v>0</v>
      </c>
      <c r="BM56" s="18">
        <v>0</v>
      </c>
      <c r="BN56" s="18">
        <v>0</v>
      </c>
      <c r="BO56" s="18">
        <v>0</v>
      </c>
      <c r="BP56" s="18">
        <v>0</v>
      </c>
      <c r="BQ56" s="18">
        <v>0</v>
      </c>
      <c r="BR56" s="18">
        <v>0</v>
      </c>
      <c r="BS56" s="18">
        <v>0</v>
      </c>
      <c r="BT56" s="18">
        <v>0</v>
      </c>
      <c r="BU56" s="18">
        <v>0</v>
      </c>
      <c r="BV56" s="18">
        <v>0</v>
      </c>
      <c r="BW56" s="18">
        <v>0</v>
      </c>
      <c r="BX56" s="18">
        <v>0</v>
      </c>
      <c r="BY56" s="8"/>
      <c r="BZ56" s="72">
        <f t="shared" si="184"/>
        <v>0</v>
      </c>
      <c r="CA56" s="72">
        <f t="shared" si="185"/>
        <v>0</v>
      </c>
      <c r="CB56" s="97"/>
      <c r="CC56" s="72">
        <f t="shared" si="372"/>
        <v>0</v>
      </c>
      <c r="CD56" s="72">
        <f t="shared" si="372"/>
        <v>0</v>
      </c>
      <c r="CE56" s="72">
        <f t="shared" si="372"/>
        <v>0</v>
      </c>
      <c r="CF56" s="72">
        <f t="shared" si="372"/>
        <v>0</v>
      </c>
      <c r="CG56" s="72">
        <f t="shared" si="372"/>
        <v>0</v>
      </c>
      <c r="CH56" s="72">
        <f t="shared" si="372"/>
        <v>0</v>
      </c>
      <c r="CI56" s="72">
        <f t="shared" si="372"/>
        <v>0</v>
      </c>
      <c r="CJ56" s="72">
        <f t="shared" si="372"/>
        <v>0</v>
      </c>
      <c r="CL56" s="13"/>
      <c r="CM56" s="13"/>
    </row>
    <row r="57" spans="1:91" x14ac:dyDescent="0.3">
      <c r="A57" s="97" t="str">
        <f>'DCS Detail'!A57</f>
        <v xml:space="preserve">         111.1 Wages - Licensed Teachers</v>
      </c>
      <c r="B57" s="106" t="str">
        <f>IF('DCS Detail'!$B57="","",'DCS Detail'!$B57)</f>
        <v>Salaries</v>
      </c>
      <c r="C57" s="106"/>
      <c r="D57" s="106"/>
      <c r="E57" s="18">
        <v>-59266.86</v>
      </c>
      <c r="F57" s="18">
        <v>62012.68</v>
      </c>
      <c r="G57" s="18">
        <v>67921.259999999995</v>
      </c>
      <c r="H57" s="18">
        <v>75640.83</v>
      </c>
      <c r="I57" s="18">
        <v>74964.899999999994</v>
      </c>
      <c r="J57" s="18">
        <f>92667.18*0.78</f>
        <v>72280.400399999999</v>
      </c>
      <c r="K57" s="18">
        <v>72459.7</v>
      </c>
      <c r="L57" s="18">
        <v>73036.389599999995</v>
      </c>
      <c r="M57" s="18">
        <v>72494</v>
      </c>
      <c r="N57" s="18">
        <v>74230.559999999998</v>
      </c>
      <c r="O57" s="18">
        <v>74336.759999999995</v>
      </c>
      <c r="P57" s="18">
        <v>175617.09</v>
      </c>
      <c r="Q57" s="18">
        <v>725.51</v>
      </c>
      <c r="R57" s="18">
        <v>74344.58</v>
      </c>
      <c r="S57" s="18">
        <v>72998.47</v>
      </c>
      <c r="T57" s="18">
        <v>69099.850000000006</v>
      </c>
      <c r="U57" s="18">
        <v>68582.880000000005</v>
      </c>
      <c r="V57" s="18">
        <v>76225.600000000006</v>
      </c>
      <c r="W57" s="18">
        <v>70209.259999999995</v>
      </c>
      <c r="X57" s="18">
        <v>71276.100000000006</v>
      </c>
      <c r="Y57" s="18">
        <v>71441.22</v>
      </c>
      <c r="Z57" s="18">
        <v>70764.83</v>
      </c>
      <c r="AA57" s="405">
        <v>81032.73</v>
      </c>
      <c r="AB57" s="102">
        <f t="shared" ref="AB57:AZ57" si="438">AB265*AB272</f>
        <v>145140.63999999998</v>
      </c>
      <c r="AC57" s="102">
        <f t="shared" si="438"/>
        <v>0</v>
      </c>
      <c r="AD57" s="102">
        <f t="shared" si="438"/>
        <v>72570.319999999992</v>
      </c>
      <c r="AE57" s="102">
        <f t="shared" si="438"/>
        <v>72570.319999999992</v>
      </c>
      <c r="AF57" s="102">
        <f t="shared" si="438"/>
        <v>72570.319999999992</v>
      </c>
      <c r="AG57" s="102">
        <f t="shared" si="438"/>
        <v>72570.319999999992</v>
      </c>
      <c r="AH57" s="102">
        <f t="shared" si="438"/>
        <v>72570.319999999992</v>
      </c>
      <c r="AI57" s="102">
        <f t="shared" si="438"/>
        <v>72570.319999999992</v>
      </c>
      <c r="AJ57" s="102">
        <f t="shared" si="438"/>
        <v>72570.319999999992</v>
      </c>
      <c r="AK57" s="102">
        <f t="shared" si="438"/>
        <v>72570.319999999992</v>
      </c>
      <c r="AL57" s="102">
        <f t="shared" si="438"/>
        <v>72570.319999999992</v>
      </c>
      <c r="AM57" s="102">
        <f t="shared" si="438"/>
        <v>72570.319999999992</v>
      </c>
      <c r="AN57" s="102">
        <f t="shared" si="438"/>
        <v>145140.63999999998</v>
      </c>
      <c r="AO57" s="102">
        <f t="shared" si="438"/>
        <v>0</v>
      </c>
      <c r="AP57" s="102">
        <f t="shared" si="438"/>
        <v>79962.366548837206</v>
      </c>
      <c r="AQ57" s="102">
        <f t="shared" si="438"/>
        <v>79962.366548837206</v>
      </c>
      <c r="AR57" s="102">
        <f t="shared" si="438"/>
        <v>79962.366548837206</v>
      </c>
      <c r="AS57" s="102">
        <f t="shared" si="438"/>
        <v>79962.366548837206</v>
      </c>
      <c r="AT57" s="102">
        <f t="shared" si="438"/>
        <v>79962.366548837206</v>
      </c>
      <c r="AU57" s="102">
        <f t="shared" si="438"/>
        <v>79962.366548837206</v>
      </c>
      <c r="AV57" s="102">
        <f t="shared" si="438"/>
        <v>79962.366548837206</v>
      </c>
      <c r="AW57" s="102">
        <f t="shared" si="438"/>
        <v>79962.366548837206</v>
      </c>
      <c r="AX57" s="102">
        <f t="shared" si="438"/>
        <v>79962.366548837206</v>
      </c>
      <c r="AY57" s="102">
        <f t="shared" si="438"/>
        <v>79962.366548837206</v>
      </c>
      <c r="AZ57" s="102">
        <f t="shared" si="438"/>
        <v>159924.73309767441</v>
      </c>
      <c r="BA57" s="102">
        <f t="shared" ref="BA57:BX57" si="439">BA265*BA272</f>
        <v>0</v>
      </c>
      <c r="BB57" s="102">
        <f t="shared" si="439"/>
        <v>82361.237545302327</v>
      </c>
      <c r="BC57" s="102">
        <f t="shared" si="439"/>
        <v>82361.237545302327</v>
      </c>
      <c r="BD57" s="102">
        <f t="shared" si="439"/>
        <v>82361.237545302327</v>
      </c>
      <c r="BE57" s="102">
        <f t="shared" si="439"/>
        <v>82361.237545302327</v>
      </c>
      <c r="BF57" s="102">
        <f t="shared" si="439"/>
        <v>82361.237545302327</v>
      </c>
      <c r="BG57" s="102">
        <f t="shared" si="439"/>
        <v>82361.237545302327</v>
      </c>
      <c r="BH57" s="102">
        <f t="shared" si="439"/>
        <v>82361.237545302327</v>
      </c>
      <c r="BI57" s="102">
        <f t="shared" si="439"/>
        <v>82361.237545302327</v>
      </c>
      <c r="BJ57" s="102">
        <f t="shared" si="439"/>
        <v>82361.237545302327</v>
      </c>
      <c r="BK57" s="102">
        <f t="shared" si="439"/>
        <v>82361.237545302327</v>
      </c>
      <c r="BL57" s="102">
        <f t="shared" si="439"/>
        <v>164722.47509060465</v>
      </c>
      <c r="BM57" s="102">
        <f t="shared" si="439"/>
        <v>0</v>
      </c>
      <c r="BN57" s="102">
        <f t="shared" si="439"/>
        <v>84832.074671661394</v>
      </c>
      <c r="BO57" s="102">
        <f t="shared" si="439"/>
        <v>84832.074671661394</v>
      </c>
      <c r="BP57" s="102">
        <f t="shared" si="439"/>
        <v>84832.074671661394</v>
      </c>
      <c r="BQ57" s="102">
        <f t="shared" si="439"/>
        <v>84832.074671661394</v>
      </c>
      <c r="BR57" s="102">
        <f t="shared" si="439"/>
        <v>84832.074671661394</v>
      </c>
      <c r="BS57" s="102">
        <f t="shared" si="439"/>
        <v>84832.074671661394</v>
      </c>
      <c r="BT57" s="102">
        <f t="shared" si="439"/>
        <v>84832.074671661394</v>
      </c>
      <c r="BU57" s="102">
        <f t="shared" si="439"/>
        <v>84832.074671661394</v>
      </c>
      <c r="BV57" s="102">
        <f t="shared" si="439"/>
        <v>84832.074671661394</v>
      </c>
      <c r="BW57" s="102">
        <f t="shared" si="439"/>
        <v>84832.074671661394</v>
      </c>
      <c r="BX57" s="102">
        <f t="shared" si="439"/>
        <v>169664.14934332279</v>
      </c>
      <c r="BY57" s="8"/>
      <c r="BZ57" s="72">
        <f t="shared" si="184"/>
        <v>81032.73</v>
      </c>
      <c r="CA57" s="72">
        <f t="shared" si="185"/>
        <v>726701.02999999991</v>
      </c>
      <c r="CB57" s="97"/>
      <c r="CC57" s="72">
        <f t="shared" si="372"/>
        <v>0</v>
      </c>
      <c r="CD57" s="72">
        <f t="shared" si="372"/>
        <v>0</v>
      </c>
      <c r="CE57" s="72">
        <f t="shared" si="372"/>
        <v>835727.71</v>
      </c>
      <c r="CF57" s="72">
        <f t="shared" si="372"/>
        <v>871841.66999999993</v>
      </c>
      <c r="CG57" s="72">
        <f t="shared" si="372"/>
        <v>870843.83999999985</v>
      </c>
      <c r="CH57" s="72">
        <f t="shared" si="372"/>
        <v>959548.39858604642</v>
      </c>
      <c r="CI57" s="72">
        <f t="shared" si="372"/>
        <v>988334.85054362798</v>
      </c>
      <c r="CJ57" s="72">
        <f t="shared" si="372"/>
        <v>1017984.8960599366</v>
      </c>
      <c r="CL57" s="13"/>
      <c r="CM57" s="13"/>
    </row>
    <row r="58" spans="1:91" x14ac:dyDescent="0.3">
      <c r="A58" s="97" t="str">
        <f>'DCS Detail'!A58</f>
        <v xml:space="preserve">         113.1 Wages - Substitute Teachers</v>
      </c>
      <c r="B58" s="106" t="str">
        <f>IF('DCS Detail'!$B58="","",'DCS Detail'!$B58)</f>
        <v>Salaries</v>
      </c>
      <c r="C58" s="106"/>
      <c r="D58" s="106"/>
      <c r="E58" s="18">
        <v>0</v>
      </c>
      <c r="F58" s="18">
        <v>0</v>
      </c>
      <c r="G58" s="18">
        <v>845.33</v>
      </c>
      <c r="H58" s="18">
        <v>1152.45</v>
      </c>
      <c r="I58" s="18">
        <v>0</v>
      </c>
      <c r="J58" s="18">
        <v>374.4</v>
      </c>
      <c r="K58" s="18">
        <v>134.55000000000001</v>
      </c>
      <c r="L58" s="18">
        <v>667.50999999999931</v>
      </c>
      <c r="M58" s="18">
        <v>795.6</v>
      </c>
      <c r="N58" s="18">
        <v>333.45</v>
      </c>
      <c r="O58" s="18">
        <v>1597.05</v>
      </c>
      <c r="P58" s="18">
        <v>4212</v>
      </c>
      <c r="Q58" s="18">
        <v>0</v>
      </c>
      <c r="R58" s="18">
        <v>3733.05</v>
      </c>
      <c r="S58" s="18">
        <v>4703.3999999999996</v>
      </c>
      <c r="T58" s="18">
        <v>5615.03</v>
      </c>
      <c r="U58" s="18">
        <v>5658.9</v>
      </c>
      <c r="V58" s="18">
        <v>7966.95</v>
      </c>
      <c r="W58" s="18">
        <v>7356.38</v>
      </c>
      <c r="X58" s="18">
        <v>7613.78</v>
      </c>
      <c r="Y58" s="18">
        <v>6907.88</v>
      </c>
      <c r="Z58" s="18">
        <v>7345.03</v>
      </c>
      <c r="AA58" s="18">
        <v>9349.2800000000007</v>
      </c>
      <c r="AB58" s="102">
        <f t="shared" ref="AB58:AZ58" si="440">AB266*AB273</f>
        <v>15291.406666666666</v>
      </c>
      <c r="AC58" s="102">
        <f t="shared" si="440"/>
        <v>0</v>
      </c>
      <c r="AD58" s="102">
        <f t="shared" si="440"/>
        <v>7645.7033333333329</v>
      </c>
      <c r="AE58" s="102">
        <f t="shared" si="440"/>
        <v>7645.7033333333329</v>
      </c>
      <c r="AF58" s="102">
        <f t="shared" si="440"/>
        <v>7645.7033333333329</v>
      </c>
      <c r="AG58" s="102">
        <f t="shared" si="440"/>
        <v>7645.7033333333329</v>
      </c>
      <c r="AH58" s="102">
        <f t="shared" si="440"/>
        <v>7645.7033333333329</v>
      </c>
      <c r="AI58" s="102">
        <f t="shared" si="440"/>
        <v>7645.7033333333329</v>
      </c>
      <c r="AJ58" s="102">
        <f t="shared" si="440"/>
        <v>7645.7033333333329</v>
      </c>
      <c r="AK58" s="102">
        <f t="shared" si="440"/>
        <v>7645.7033333333329</v>
      </c>
      <c r="AL58" s="102">
        <f t="shared" si="440"/>
        <v>7645.7033333333329</v>
      </c>
      <c r="AM58" s="102">
        <f t="shared" si="440"/>
        <v>7645.7033333333329</v>
      </c>
      <c r="AN58" s="102">
        <f t="shared" si="440"/>
        <v>15291.406666666666</v>
      </c>
      <c r="AO58" s="102">
        <f t="shared" si="440"/>
        <v>0</v>
      </c>
      <c r="AP58" s="102">
        <f t="shared" si="440"/>
        <v>8424.4982310077539</v>
      </c>
      <c r="AQ58" s="102">
        <f t="shared" si="440"/>
        <v>8424.4982310077539</v>
      </c>
      <c r="AR58" s="102">
        <f t="shared" si="440"/>
        <v>8424.4982310077539</v>
      </c>
      <c r="AS58" s="102">
        <f t="shared" si="440"/>
        <v>8424.4982310077539</v>
      </c>
      <c r="AT58" s="102">
        <f t="shared" si="440"/>
        <v>8424.4982310077539</v>
      </c>
      <c r="AU58" s="102">
        <f t="shared" si="440"/>
        <v>8424.4982310077539</v>
      </c>
      <c r="AV58" s="102">
        <f t="shared" si="440"/>
        <v>8424.4982310077539</v>
      </c>
      <c r="AW58" s="102">
        <f t="shared" si="440"/>
        <v>8424.4982310077539</v>
      </c>
      <c r="AX58" s="102">
        <f t="shared" si="440"/>
        <v>8424.4982310077539</v>
      </c>
      <c r="AY58" s="102">
        <f t="shared" si="440"/>
        <v>8424.4982310077539</v>
      </c>
      <c r="AZ58" s="102">
        <f t="shared" si="440"/>
        <v>16848.996462015508</v>
      </c>
      <c r="BA58" s="102">
        <f t="shared" ref="BA58:BX58" si="441">BA266*BA273</f>
        <v>0</v>
      </c>
      <c r="BB58" s="102">
        <f t="shared" si="441"/>
        <v>8677.2331779379856</v>
      </c>
      <c r="BC58" s="102">
        <f t="shared" si="441"/>
        <v>8677.2331779379856</v>
      </c>
      <c r="BD58" s="102">
        <f t="shared" si="441"/>
        <v>8677.2331779379856</v>
      </c>
      <c r="BE58" s="102">
        <f t="shared" si="441"/>
        <v>8677.2331779379856</v>
      </c>
      <c r="BF58" s="102">
        <f t="shared" si="441"/>
        <v>8677.2331779379856</v>
      </c>
      <c r="BG58" s="102">
        <f t="shared" si="441"/>
        <v>8677.2331779379856</v>
      </c>
      <c r="BH58" s="102">
        <f t="shared" si="441"/>
        <v>8677.2331779379856</v>
      </c>
      <c r="BI58" s="102">
        <f t="shared" si="441"/>
        <v>8677.2331779379856</v>
      </c>
      <c r="BJ58" s="102">
        <f t="shared" si="441"/>
        <v>8677.2331779379856</v>
      </c>
      <c r="BK58" s="102">
        <f t="shared" si="441"/>
        <v>8677.2331779379856</v>
      </c>
      <c r="BL58" s="102">
        <f t="shared" si="441"/>
        <v>17354.466355875971</v>
      </c>
      <c r="BM58" s="102">
        <f t="shared" si="441"/>
        <v>0</v>
      </c>
      <c r="BN58" s="102">
        <f t="shared" si="441"/>
        <v>8937.5501732761259</v>
      </c>
      <c r="BO58" s="102">
        <f t="shared" si="441"/>
        <v>8937.5501732761259</v>
      </c>
      <c r="BP58" s="102">
        <f t="shared" si="441"/>
        <v>8937.5501732761259</v>
      </c>
      <c r="BQ58" s="102">
        <f t="shared" si="441"/>
        <v>8937.5501732761259</v>
      </c>
      <c r="BR58" s="102">
        <f t="shared" si="441"/>
        <v>8937.5501732761259</v>
      </c>
      <c r="BS58" s="102">
        <f t="shared" si="441"/>
        <v>8937.5501732761259</v>
      </c>
      <c r="BT58" s="102">
        <f t="shared" si="441"/>
        <v>8937.5501732761259</v>
      </c>
      <c r="BU58" s="102">
        <f t="shared" si="441"/>
        <v>8937.5501732761259</v>
      </c>
      <c r="BV58" s="102">
        <f t="shared" si="441"/>
        <v>8937.5501732761259</v>
      </c>
      <c r="BW58" s="102">
        <f t="shared" si="441"/>
        <v>8937.5501732761259</v>
      </c>
      <c r="BX58" s="102">
        <f t="shared" si="441"/>
        <v>17875.100346552252</v>
      </c>
      <c r="BY58" s="8"/>
      <c r="BZ58" s="72">
        <f t="shared" ref="BZ58:BZ89" si="442">SUMIF($B$252:$BY$252,1,$B58:$BY58)</f>
        <v>9349.2800000000007</v>
      </c>
      <c r="CA58" s="72">
        <f t="shared" ref="CA58:CA89" si="443">SUMIF($B$253:$BY$253,1,$B58:$BY58)</f>
        <v>66249.679999999993</v>
      </c>
      <c r="CB58" s="97"/>
      <c r="CC58" s="72">
        <f t="shared" ref="CC58:CJ67" si="444">SUMIF($C$3:$BY$3,CC$3,$C58:$BY58)</f>
        <v>0</v>
      </c>
      <c r="CD58" s="72">
        <f t="shared" si="444"/>
        <v>0</v>
      </c>
      <c r="CE58" s="72">
        <f t="shared" si="444"/>
        <v>10112.34</v>
      </c>
      <c r="CF58" s="72">
        <f t="shared" si="444"/>
        <v>81541.086666666655</v>
      </c>
      <c r="CG58" s="72">
        <f t="shared" si="444"/>
        <v>91748.439999999988</v>
      </c>
      <c r="CH58" s="72">
        <f t="shared" si="444"/>
        <v>101093.97877209303</v>
      </c>
      <c r="CI58" s="72">
        <f t="shared" si="444"/>
        <v>104126.79813525584</v>
      </c>
      <c r="CJ58" s="72">
        <f t="shared" si="444"/>
        <v>107250.60207931352</v>
      </c>
      <c r="CL58" s="13"/>
      <c r="CM58" s="13"/>
    </row>
    <row r="59" spans="1:91" x14ac:dyDescent="0.3">
      <c r="A59" s="97" t="str">
        <f>'DCS Detail'!A59</f>
        <v xml:space="preserve">         211.1 Medical Ins. - Teachers</v>
      </c>
      <c r="B59" s="106" t="str">
        <f>IF('DCS Detail'!$B59="","",'DCS Detail'!$B59)</f>
        <v>Benefits</v>
      </c>
      <c r="C59" s="106"/>
      <c r="D59" s="106"/>
      <c r="E59" s="18">
        <v>0</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8">
        <v>0</v>
      </c>
      <c r="AB59" s="120">
        <f t="shared" ref="AB59:BE59" si="445">P59*(1+AB$263)</f>
        <v>0</v>
      </c>
      <c r="AC59" s="120">
        <f t="shared" si="445"/>
        <v>0</v>
      </c>
      <c r="AD59" s="120">
        <f t="shared" si="445"/>
        <v>0</v>
      </c>
      <c r="AE59" s="120">
        <f t="shared" si="445"/>
        <v>0</v>
      </c>
      <c r="AF59" s="120">
        <f t="shared" si="445"/>
        <v>0</v>
      </c>
      <c r="AG59" s="120">
        <f t="shared" si="445"/>
        <v>0</v>
      </c>
      <c r="AH59" s="120">
        <f t="shared" si="445"/>
        <v>0</v>
      </c>
      <c r="AI59" s="120">
        <f t="shared" si="445"/>
        <v>0</v>
      </c>
      <c r="AJ59" s="120">
        <f t="shared" si="445"/>
        <v>0</v>
      </c>
      <c r="AK59" s="120">
        <f t="shared" si="445"/>
        <v>0</v>
      </c>
      <c r="AL59" s="120">
        <f t="shared" si="445"/>
        <v>0</v>
      </c>
      <c r="AM59" s="120">
        <f t="shared" si="445"/>
        <v>0</v>
      </c>
      <c r="AN59" s="120">
        <f t="shared" si="445"/>
        <v>0</v>
      </c>
      <c r="AO59" s="120">
        <f t="shared" si="445"/>
        <v>0</v>
      </c>
      <c r="AP59" s="120">
        <f t="shared" si="445"/>
        <v>0</v>
      </c>
      <c r="AQ59" s="120">
        <f t="shared" si="445"/>
        <v>0</v>
      </c>
      <c r="AR59" s="120">
        <f t="shared" si="445"/>
        <v>0</v>
      </c>
      <c r="AS59" s="120">
        <f t="shared" si="445"/>
        <v>0</v>
      </c>
      <c r="AT59" s="120">
        <f t="shared" si="445"/>
        <v>0</v>
      </c>
      <c r="AU59" s="120">
        <f t="shared" si="445"/>
        <v>0</v>
      </c>
      <c r="AV59" s="120">
        <f t="shared" si="445"/>
        <v>0</v>
      </c>
      <c r="AW59" s="120">
        <f t="shared" si="445"/>
        <v>0</v>
      </c>
      <c r="AX59" s="120">
        <f t="shared" si="445"/>
        <v>0</v>
      </c>
      <c r="AY59" s="120">
        <f t="shared" si="445"/>
        <v>0</v>
      </c>
      <c r="AZ59" s="120">
        <f t="shared" si="445"/>
        <v>0</v>
      </c>
      <c r="BA59" s="120">
        <f t="shared" si="445"/>
        <v>0</v>
      </c>
      <c r="BB59" s="120">
        <f t="shared" si="445"/>
        <v>0</v>
      </c>
      <c r="BC59" s="120">
        <f t="shared" si="445"/>
        <v>0</v>
      </c>
      <c r="BD59" s="120">
        <f t="shared" si="445"/>
        <v>0</v>
      </c>
      <c r="BE59" s="120">
        <f t="shared" si="445"/>
        <v>0</v>
      </c>
      <c r="BF59" s="120">
        <f t="shared" ref="BF59:BX59" si="446">AT59*(1+BF$263)</f>
        <v>0</v>
      </c>
      <c r="BG59" s="120">
        <f t="shared" si="446"/>
        <v>0</v>
      </c>
      <c r="BH59" s="120">
        <f t="shared" si="446"/>
        <v>0</v>
      </c>
      <c r="BI59" s="120">
        <f t="shared" si="446"/>
        <v>0</v>
      </c>
      <c r="BJ59" s="120">
        <f t="shared" si="446"/>
        <v>0</v>
      </c>
      <c r="BK59" s="120">
        <f t="shared" si="446"/>
        <v>0</v>
      </c>
      <c r="BL59" s="120">
        <f t="shared" si="446"/>
        <v>0</v>
      </c>
      <c r="BM59" s="120">
        <f t="shared" si="446"/>
        <v>0</v>
      </c>
      <c r="BN59" s="120">
        <f t="shared" si="446"/>
        <v>0</v>
      </c>
      <c r="BO59" s="120">
        <f t="shared" si="446"/>
        <v>0</v>
      </c>
      <c r="BP59" s="120">
        <f t="shared" si="446"/>
        <v>0</v>
      </c>
      <c r="BQ59" s="120">
        <f t="shared" si="446"/>
        <v>0</v>
      </c>
      <c r="BR59" s="120">
        <f t="shared" si="446"/>
        <v>0</v>
      </c>
      <c r="BS59" s="120">
        <f t="shared" si="446"/>
        <v>0</v>
      </c>
      <c r="BT59" s="120">
        <f t="shared" si="446"/>
        <v>0</v>
      </c>
      <c r="BU59" s="120">
        <f t="shared" si="446"/>
        <v>0</v>
      </c>
      <c r="BV59" s="120">
        <f t="shared" si="446"/>
        <v>0</v>
      </c>
      <c r="BW59" s="120">
        <f t="shared" si="446"/>
        <v>0</v>
      </c>
      <c r="BX59" s="120">
        <f t="shared" si="446"/>
        <v>0</v>
      </c>
      <c r="BY59" s="8"/>
      <c r="BZ59" s="72">
        <f t="shared" si="442"/>
        <v>0</v>
      </c>
      <c r="CA59" s="72">
        <f t="shared" si="443"/>
        <v>0</v>
      </c>
      <c r="CB59" s="97"/>
      <c r="CC59" s="72">
        <f t="shared" si="444"/>
        <v>0</v>
      </c>
      <c r="CD59" s="72">
        <f t="shared" si="444"/>
        <v>0</v>
      </c>
      <c r="CE59" s="72">
        <f t="shared" si="444"/>
        <v>0</v>
      </c>
      <c r="CF59" s="72">
        <f t="shared" si="444"/>
        <v>0</v>
      </c>
      <c r="CG59" s="72">
        <f t="shared" si="444"/>
        <v>0</v>
      </c>
      <c r="CH59" s="72">
        <f t="shared" si="444"/>
        <v>0</v>
      </c>
      <c r="CI59" s="72">
        <f t="shared" si="444"/>
        <v>0</v>
      </c>
      <c r="CJ59" s="72">
        <f t="shared" si="444"/>
        <v>0</v>
      </c>
      <c r="CL59" s="13"/>
      <c r="CM59" s="13"/>
    </row>
    <row r="60" spans="1:91" x14ac:dyDescent="0.3">
      <c r="A60" s="97" t="str">
        <f>'DCS Detail'!A60</f>
        <v xml:space="preserve">         221.1 Payroll Tax - Licensed Teachers</v>
      </c>
      <c r="B60" s="106" t="str">
        <f>IF('DCS Detail'!$B60="","",'DCS Detail'!$B60)</f>
        <v>Benefits</v>
      </c>
      <c r="C60" s="106"/>
      <c r="D60" s="106"/>
      <c r="E60" s="18">
        <v>-885.66</v>
      </c>
      <c r="F60" s="18">
        <v>1500.81</v>
      </c>
      <c r="G60" s="18">
        <v>1701.91</v>
      </c>
      <c r="H60" s="18">
        <v>2316.67</v>
      </c>
      <c r="I60" s="18">
        <v>2206.33</v>
      </c>
      <c r="J60" s="18">
        <v>1998.42</v>
      </c>
      <c r="K60" s="18">
        <v>2420.81</v>
      </c>
      <c r="L60" s="18">
        <v>2344.9700000000012</v>
      </c>
      <c r="M60" s="18">
        <v>2092.7199999999998</v>
      </c>
      <c r="N60" s="18">
        <v>2022.21</v>
      </c>
      <c r="O60" s="18">
        <v>2049.23</v>
      </c>
      <c r="P60" s="18">
        <v>4146.9399999999996</v>
      </c>
      <c r="Q60" s="18">
        <v>0</v>
      </c>
      <c r="R60" s="18">
        <v>2181.39</v>
      </c>
      <c r="S60" s="18">
        <v>1968.08</v>
      </c>
      <c r="T60" s="18">
        <v>1340.85</v>
      </c>
      <c r="U60" s="18">
        <v>903.84</v>
      </c>
      <c r="V60" s="18">
        <v>1063.8599999999999</v>
      </c>
      <c r="W60" s="18">
        <v>1385.23</v>
      </c>
      <c r="X60" s="18">
        <v>1324.13</v>
      </c>
      <c r="Y60" s="18">
        <v>855.88</v>
      </c>
      <c r="Z60" s="18">
        <v>-1920.3</v>
      </c>
      <c r="AA60" s="18">
        <v>906.72</v>
      </c>
      <c r="AB60" s="102">
        <f t="shared" ref="AB60:AZ60" si="447">SUM(U60:AA60)/SUM(U$57:AA$57)*AB$57</f>
        <v>1287.3421191177122</v>
      </c>
      <c r="AC60" s="102">
        <f t="shared" si="447"/>
        <v>0</v>
      </c>
      <c r="AD60" s="102">
        <f t="shared" si="447"/>
        <v>546.41470286504307</v>
      </c>
      <c r="AE60" s="102">
        <f t="shared" si="447"/>
        <v>425.0557092767354</v>
      </c>
      <c r="AF60" s="102">
        <f t="shared" si="447"/>
        <v>296.92785272986458</v>
      </c>
      <c r="AG60" s="102">
        <f t="shared" si="447"/>
        <v>217.458962834857</v>
      </c>
      <c r="AH60" s="102">
        <f t="shared" si="447"/>
        <v>517.08881810479215</v>
      </c>
      <c r="AI60" s="102">
        <f t="shared" si="447"/>
        <v>470.04116641842921</v>
      </c>
      <c r="AJ60" s="102">
        <f t="shared" si="447"/>
        <v>412.16453537162022</v>
      </c>
      <c r="AK60" s="102">
        <f t="shared" si="447"/>
        <v>412.16453537162022</v>
      </c>
      <c r="AL60" s="102">
        <f t="shared" si="447"/>
        <v>392.98594001541699</v>
      </c>
      <c r="AM60" s="102">
        <f t="shared" si="447"/>
        <v>388.40454440665712</v>
      </c>
      <c r="AN60" s="102">
        <f t="shared" si="447"/>
        <v>802.94528643525518</v>
      </c>
      <c r="AO60" s="102">
        <f t="shared" si="447"/>
        <v>0</v>
      </c>
      <c r="AP60" s="102">
        <f t="shared" si="447"/>
        <v>453.13319156126295</v>
      </c>
      <c r="AQ60" s="102">
        <f t="shared" si="447"/>
        <v>444.01071062678517</v>
      </c>
      <c r="AR60" s="102">
        <f t="shared" si="447"/>
        <v>442.60350786027033</v>
      </c>
      <c r="AS60" s="102">
        <f t="shared" si="447"/>
        <v>441.02330525023751</v>
      </c>
      <c r="AT60" s="102">
        <f t="shared" si="447"/>
        <v>442.10433089330462</v>
      </c>
      <c r="AU60" s="102">
        <f t="shared" si="447"/>
        <v>443.98689179273066</v>
      </c>
      <c r="AV60" s="102">
        <f t="shared" si="447"/>
        <v>444.47698966409848</v>
      </c>
      <c r="AW60" s="102">
        <f t="shared" si="447"/>
        <v>444.47698966409848</v>
      </c>
      <c r="AX60" s="102">
        <f t="shared" si="447"/>
        <v>443.24038939307496</v>
      </c>
      <c r="AY60" s="102">
        <f t="shared" si="447"/>
        <v>443.13034350254497</v>
      </c>
      <c r="AZ60" s="102">
        <f t="shared" si="447"/>
        <v>886.41121147431136</v>
      </c>
      <c r="BA60" s="102">
        <f t="shared" ref="BA60" si="448">SUM(AT60:AZ60)/SUM(AT$57:AZ$57)*BA$57</f>
        <v>0</v>
      </c>
      <c r="BB60" s="102">
        <f t="shared" ref="BB60" si="449">SUM(AU60:BA60)/SUM(AU$57:BA$57)*BB$57</f>
        <v>456.98492856508352</v>
      </c>
      <c r="BC60" s="102">
        <f t="shared" ref="BC60" si="450">SUM(AV60:BB60)/SUM(AV$57:BB$57)*BC$57</f>
        <v>456.9391860357195</v>
      </c>
      <c r="BD60" s="102">
        <f t="shared" ref="BD60" si="451">SUM(AW60:BC60)/SUM(AW$57:BC$57)*BD$57</f>
        <v>456.81565723709326</v>
      </c>
      <c r="BE60" s="102">
        <f t="shared" ref="BE60" si="452">SUM(AX60:BD60)/SUM(AX$57:BD$57)*BE$57</f>
        <v>456.67522816559415</v>
      </c>
      <c r="BF60" s="102">
        <f t="shared" ref="BF60" si="453">SUM(AY60:BE60)/SUM(AY$57:BE$57)*BF$57</f>
        <v>456.69455781316816</v>
      </c>
      <c r="BG60" s="102">
        <f t="shared" ref="BG60" si="454">SUM(AZ60:BF60)/SUM(AZ$57:BF$57)*BG$57</f>
        <v>456.73236256918864</v>
      </c>
      <c r="BH60" s="102">
        <f t="shared" ref="BH60" si="455">SUM(BA60:BG60)/SUM(BA$57:BG$57)*BH$57</f>
        <v>456.80698673097459</v>
      </c>
      <c r="BI60" s="102">
        <f t="shared" ref="BI60" si="456">SUM(BB60:BH60)/SUM(BB$57:BH$57)*BI$57</f>
        <v>456.80698673097459</v>
      </c>
      <c r="BJ60" s="102">
        <f t="shared" ref="BJ60" si="457">SUM(BC60:BI60)/SUM(BC$57:BI$57)*BJ$57</f>
        <v>456.781566468959</v>
      </c>
      <c r="BK60" s="102">
        <f t="shared" ref="BK60" si="458">SUM(BD60:BJ60)/SUM(BD$57:BJ$57)*BK$57</f>
        <v>456.75904938799323</v>
      </c>
      <c r="BL60" s="102">
        <f t="shared" ref="BL60" si="459">SUM(BE60:BK60)/SUM(BE$57:BK$57)*BL$57</f>
        <v>913.50192510481509</v>
      </c>
      <c r="BM60" s="102">
        <f t="shared" ref="BM60" si="460">SUM(BF60:BL60)/SUM(BF$57:BL$57)*BM$57</f>
        <v>0</v>
      </c>
      <c r="BN60" s="102">
        <f t="shared" ref="BN60" si="461">SUM(BG60:BM60)/SUM(BG$57:BM$57)*BN$57</f>
        <v>470.47293475752753</v>
      </c>
      <c r="BO60" s="102">
        <f t="shared" ref="BO60" si="462">SUM(BH60:BN60)/SUM(BH$57:BN$57)*BO$57</f>
        <v>470.47842569796319</v>
      </c>
      <c r="BP60" s="102">
        <f t="shared" ref="BP60" si="463">SUM(BI60:BO60)/SUM(BI$57:BO$57)*BP$57</f>
        <v>470.47378396496885</v>
      </c>
      <c r="BQ60" s="102">
        <f t="shared" ref="BQ60" si="464">SUM(BJ60:BP60)/SUM(BJ$57:BP$57)*BQ$57</f>
        <v>470.46850718528833</v>
      </c>
      <c r="BR60" s="102">
        <f t="shared" ref="BR60" si="465">SUM(BK60:BQ60)/SUM(BK$57:BQ$57)*BR$57</f>
        <v>470.46618888785304</v>
      </c>
      <c r="BS60" s="102">
        <f t="shared" ref="BS60" si="466">SUM(BL60:BR60)/SUM(BL$57:BR$57)*BS$57</f>
        <v>470.46679979949209</v>
      </c>
      <c r="BT60" s="102">
        <f t="shared" ref="BT60" si="467">SUM(BM60:BS60)/SUM(BM$57:BS$57)*BT$57</f>
        <v>470.47110671551553</v>
      </c>
      <c r="BU60" s="102">
        <f t="shared" ref="BU60" si="468">SUM(BN60:BT60)/SUM(BN$57:BT$57)*BU$57</f>
        <v>470.47110671551553</v>
      </c>
      <c r="BV60" s="102">
        <f t="shared" ref="BV60" si="469">SUM(BO60:BU60)/SUM(BO$57:BU$57)*BV$57</f>
        <v>470.47084556665664</v>
      </c>
      <c r="BW60" s="102">
        <f t="shared" ref="BW60" si="470">SUM(BP60:BV60)/SUM(BP$57:BV$57)*BW$57</f>
        <v>470.46976269075566</v>
      </c>
      <c r="BX60" s="102">
        <f t="shared" ref="BX60" si="471">SUM(BQ60:BW60)/SUM(BQ$57:BW$57)*BX$57</f>
        <v>940.93837644602206</v>
      </c>
      <c r="BY60" s="8"/>
      <c r="BZ60" s="72">
        <f t="shared" si="442"/>
        <v>906.72</v>
      </c>
      <c r="CA60" s="72">
        <f t="shared" si="443"/>
        <v>10009.68</v>
      </c>
      <c r="CB60" s="97"/>
      <c r="CC60" s="72">
        <f t="shared" si="444"/>
        <v>0</v>
      </c>
      <c r="CD60" s="72">
        <f t="shared" si="444"/>
        <v>0</v>
      </c>
      <c r="CE60" s="72">
        <f t="shared" si="444"/>
        <v>23915.359999999997</v>
      </c>
      <c r="CF60" s="72">
        <f t="shared" si="444"/>
        <v>11297.022119117712</v>
      </c>
      <c r="CG60" s="72">
        <f t="shared" si="444"/>
        <v>4881.6520538302912</v>
      </c>
      <c r="CH60" s="72">
        <f t="shared" si="444"/>
        <v>5328.5978616827188</v>
      </c>
      <c r="CI60" s="72">
        <f t="shared" si="444"/>
        <v>5481.4984348095641</v>
      </c>
      <c r="CJ60" s="72">
        <f t="shared" si="444"/>
        <v>5645.6478384275579</v>
      </c>
      <c r="CL60" s="13"/>
      <c r="CM60" s="13"/>
    </row>
    <row r="61" spans="1:91" x14ac:dyDescent="0.3">
      <c r="A61" s="97" t="str">
        <f>'DCS Detail'!A61</f>
        <v xml:space="preserve">         223.1 Payroll Tax - Substitute Teachers</v>
      </c>
      <c r="B61" s="106" t="str">
        <f>IF('DCS Detail'!$B61="","",'DCS Detail'!$B61)</f>
        <v>Benefits</v>
      </c>
      <c r="C61" s="106"/>
      <c r="D61" s="106"/>
      <c r="E61" s="18">
        <v>0</v>
      </c>
      <c r="F61" s="18">
        <v>0</v>
      </c>
      <c r="G61" s="18">
        <v>69.73</v>
      </c>
      <c r="H61" s="18">
        <v>95.09</v>
      </c>
      <c r="I61" s="18">
        <v>0</v>
      </c>
      <c r="J61" s="18">
        <v>30.89</v>
      </c>
      <c r="K61" s="18">
        <v>11.09</v>
      </c>
      <c r="L61" s="18">
        <v>26.550000000000011</v>
      </c>
      <c r="M61" s="18">
        <v>65.650000000000006</v>
      </c>
      <c r="N61" s="18">
        <v>27.52</v>
      </c>
      <c r="O61" s="18">
        <v>131.77000000000001</v>
      </c>
      <c r="P61" s="18">
        <v>347.51</v>
      </c>
      <c r="Q61" s="18">
        <v>0</v>
      </c>
      <c r="R61" s="18">
        <v>338.7</v>
      </c>
      <c r="S61" s="18">
        <v>339.65</v>
      </c>
      <c r="T61" s="18">
        <v>188.05</v>
      </c>
      <c r="U61" s="18">
        <v>142.03</v>
      </c>
      <c r="V61" s="18">
        <v>270.92</v>
      </c>
      <c r="W61" s="18">
        <v>299.58</v>
      </c>
      <c r="X61" s="18">
        <v>317.76</v>
      </c>
      <c r="Y61" s="18">
        <v>243.77</v>
      </c>
      <c r="Z61" s="18">
        <v>268.81</v>
      </c>
      <c r="AA61" s="18">
        <v>334.12</v>
      </c>
      <c r="AB61" s="102">
        <f t="shared" ref="AB61:AZ61" si="472">SUM(U61:AA61)/SUM(U$58:AA$58)*AB$58</f>
        <v>549.86220596240219</v>
      </c>
      <c r="AC61" s="102">
        <f t="shared" si="472"/>
        <v>0</v>
      </c>
      <c r="AD61" s="102">
        <f t="shared" si="472"/>
        <v>285.86381199555069</v>
      </c>
      <c r="AE61" s="102">
        <f t="shared" si="472"/>
        <v>282.39998361658928</v>
      </c>
      <c r="AF61" s="102">
        <f t="shared" si="472"/>
        <v>277.24417801072661</v>
      </c>
      <c r="AG61" s="102">
        <f t="shared" si="472"/>
        <v>278.17960712004549</v>
      </c>
      <c r="AH61" s="102">
        <f t="shared" si="472"/>
        <v>277.96223673699507</v>
      </c>
      <c r="AI61" s="102">
        <f t="shared" si="472"/>
        <v>278.78743192032999</v>
      </c>
      <c r="AJ61" s="102">
        <f t="shared" si="472"/>
        <v>280.07287490003955</v>
      </c>
      <c r="AK61" s="102">
        <f t="shared" si="472"/>
        <v>280.07287490003955</v>
      </c>
      <c r="AL61" s="102">
        <f t="shared" si="472"/>
        <v>279.2455981721094</v>
      </c>
      <c r="AM61" s="102">
        <f t="shared" si="472"/>
        <v>278.79497168004082</v>
      </c>
      <c r="AN61" s="102">
        <f t="shared" si="472"/>
        <v>558.03302726560003</v>
      </c>
      <c r="AO61" s="102">
        <f t="shared" si="472"/>
        <v>0</v>
      </c>
      <c r="AP61" s="102">
        <f t="shared" si="472"/>
        <v>307.73495409087053</v>
      </c>
      <c r="AQ61" s="102">
        <f t="shared" si="472"/>
        <v>307.81241332697692</v>
      </c>
      <c r="AR61" s="102">
        <f t="shared" si="472"/>
        <v>307.70291229487509</v>
      </c>
      <c r="AS61" s="102">
        <f t="shared" si="472"/>
        <v>307.5799493354167</v>
      </c>
      <c r="AT61" s="102">
        <f t="shared" si="472"/>
        <v>307.56513513231602</v>
      </c>
      <c r="AU61" s="102">
        <f t="shared" si="472"/>
        <v>307.61467075476639</v>
      </c>
      <c r="AV61" s="102">
        <f t="shared" si="472"/>
        <v>307.66833915587029</v>
      </c>
      <c r="AW61" s="102">
        <f t="shared" si="472"/>
        <v>307.66833915587029</v>
      </c>
      <c r="AX61" s="102">
        <f t="shared" si="472"/>
        <v>307.65882273658457</v>
      </c>
      <c r="AY61" s="102">
        <f t="shared" si="472"/>
        <v>307.63688122367137</v>
      </c>
      <c r="AZ61" s="102">
        <f t="shared" si="472"/>
        <v>615.2548964269987</v>
      </c>
      <c r="BA61" s="102">
        <f t="shared" ref="BA61" si="473">SUM(AT61:AZ61)/SUM(AT$58:AZ$58)*BA$58</f>
        <v>0</v>
      </c>
      <c r="BB61" s="102">
        <f t="shared" ref="BB61" si="474">SUM(AU61:BA61)/SUM(AU$58:BA$58)*BB$58</f>
        <v>316.87242970533913</v>
      </c>
      <c r="BC61" s="102">
        <f t="shared" ref="BC61" si="475">SUM(AV61:BB61)/SUM(AV$58:BB$58)*BC$58</f>
        <v>316.87660023562785</v>
      </c>
      <c r="BD61" s="102">
        <f t="shared" ref="BD61" si="476">SUM(AW61:BC61)/SUM(AW$58:BC$58)*BD$58</f>
        <v>316.87351396156009</v>
      </c>
      <c r="BE61" s="102">
        <f t="shared" ref="BE61" si="477">SUM(AX61:BD61)/SUM(AX$58:BD$58)*BE$58</f>
        <v>316.87000544689346</v>
      </c>
      <c r="BF61" s="102">
        <f t="shared" ref="BF61" si="478">SUM(AY61:BE61)/SUM(AY$58:BE$58)*BF$58</f>
        <v>316.8673956193951</v>
      </c>
      <c r="BG61" s="102">
        <f t="shared" ref="BG61" si="479">SUM(AZ61:BF61)/SUM(AZ$58:BF$58)*BG$58</f>
        <v>316.86759253673966</v>
      </c>
      <c r="BH61" s="102">
        <f t="shared" ref="BH61" si="480">SUM(BA61:BG61)/SUM(BA$58:BG$58)*BH$58</f>
        <v>316.8712562509258</v>
      </c>
      <c r="BI61" s="102">
        <f t="shared" ref="BI61" si="481">SUM(BB61:BH61)/SUM(BB$58:BH$58)*BI$58</f>
        <v>316.8712562509258</v>
      </c>
      <c r="BJ61" s="102">
        <f t="shared" ref="BJ61" si="482">SUM(BC61:BI61)/SUM(BC$58:BI$58)*BJ$58</f>
        <v>316.87108861458103</v>
      </c>
      <c r="BK61" s="102">
        <f t="shared" ref="BK61" si="483">SUM(BD61:BJ61)/SUM(BD$58:BJ$58)*BK$58</f>
        <v>316.87030124014581</v>
      </c>
      <c r="BL61" s="102">
        <f t="shared" ref="BL61" si="484">SUM(BE61:BK61)/SUM(BE$58:BK$58)*BL$58</f>
        <v>633.73968455988745</v>
      </c>
      <c r="BM61" s="102">
        <f t="shared" ref="BM61" si="485">SUM(BF61:BL61)/SUM(BF$58:BL$58)*BM$58</f>
        <v>0</v>
      </c>
      <c r="BN61" s="102">
        <f t="shared" ref="BN61" si="486">SUM(BG61:BM61)/SUM(BG$58:BM$58)*BN$58</f>
        <v>326.37627354811457</v>
      </c>
      <c r="BO61" s="102">
        <f t="shared" ref="BO61" si="487">SUM(BH61:BN61)/SUM(BH$58:BN$58)*BO$58</f>
        <v>326.37665096422734</v>
      </c>
      <c r="BP61" s="102">
        <f t="shared" ref="BP61" si="488">SUM(BI61:BO61)/SUM(BI$58:BO$58)*BP$58</f>
        <v>326.37654572708476</v>
      </c>
      <c r="BQ61" s="102">
        <f t="shared" ref="BQ61" si="489">SUM(BJ61:BP61)/SUM(BJ$58:BP$58)*BQ$58</f>
        <v>326.37642609219495</v>
      </c>
      <c r="BR61" s="102">
        <f t="shared" ref="BR61" si="490">SUM(BK61:BQ61)/SUM(BK$58:BQ$58)*BR$58</f>
        <v>326.37631440949502</v>
      </c>
      <c r="BS61" s="102">
        <f t="shared" ref="BS61" si="491">SUM(BL61:BR61)/SUM(BL$58:BR$58)*BS$58</f>
        <v>326.37630100140336</v>
      </c>
      <c r="BT61" s="102">
        <f t="shared" ref="BT61" si="492">SUM(BM61:BS61)/SUM(BM$58:BS$58)*BT$58</f>
        <v>326.37641862375335</v>
      </c>
      <c r="BU61" s="102">
        <f t="shared" ref="BU61" si="493">SUM(BN61:BT61)/SUM(BN$58:BT$58)*BU$58</f>
        <v>326.37641862375335</v>
      </c>
      <c r="BV61" s="102">
        <f t="shared" ref="BV61" si="494">SUM(BO61:BU61)/SUM(BO$58:BU$58)*BV$58</f>
        <v>326.37643934884454</v>
      </c>
      <c r="BW61" s="102">
        <f t="shared" ref="BW61" si="495">SUM(BP61:BV61)/SUM(BP$58:BV$58)*BW$58</f>
        <v>326.37640911807563</v>
      </c>
      <c r="BX61" s="102">
        <f t="shared" ref="BX61" si="496">SUM(BQ61:BW61)/SUM(BQ$58:BW$58)*BX$58</f>
        <v>652.75277920500582</v>
      </c>
      <c r="BY61" s="8"/>
      <c r="BZ61" s="72">
        <f t="shared" si="442"/>
        <v>334.12</v>
      </c>
      <c r="CA61" s="72">
        <f t="shared" si="443"/>
        <v>2743.39</v>
      </c>
      <c r="CB61" s="97"/>
      <c r="CC61" s="72">
        <f t="shared" si="444"/>
        <v>0</v>
      </c>
      <c r="CD61" s="72">
        <f t="shared" si="444"/>
        <v>0</v>
      </c>
      <c r="CE61" s="72">
        <f t="shared" si="444"/>
        <v>805.8</v>
      </c>
      <c r="CF61" s="72">
        <f t="shared" si="444"/>
        <v>3293.2522059624021</v>
      </c>
      <c r="CG61" s="72">
        <f t="shared" si="444"/>
        <v>3356.6565963180669</v>
      </c>
      <c r="CH61" s="72">
        <f t="shared" si="444"/>
        <v>3691.897313634217</v>
      </c>
      <c r="CI61" s="72">
        <f t="shared" si="444"/>
        <v>3802.4511244220207</v>
      </c>
      <c r="CJ61" s="72">
        <f t="shared" si="444"/>
        <v>3916.5169766619529</v>
      </c>
      <c r="CL61" s="13"/>
      <c r="CM61" s="13"/>
    </row>
    <row r="62" spans="1:91" x14ac:dyDescent="0.3">
      <c r="A62" s="97" t="str">
        <f>'DCS Detail'!A62</f>
        <v xml:space="preserve">         231.1 PERS - Licensed Teachers</v>
      </c>
      <c r="B62" s="106" t="str">
        <f>IF('DCS Detail'!$B62="","",'DCS Detail'!$B62)</f>
        <v>Benefits</v>
      </c>
      <c r="C62" s="106"/>
      <c r="D62" s="106"/>
      <c r="E62" s="18">
        <v>-14849.91</v>
      </c>
      <c r="F62" s="18">
        <v>14849.91</v>
      </c>
      <c r="G62" s="18">
        <v>15907.23</v>
      </c>
      <c r="H62" s="18">
        <v>15914.96</v>
      </c>
      <c r="I62" s="18">
        <v>15930.17</v>
      </c>
      <c r="J62" s="18">
        <f>42029.11*0.78</f>
        <v>32782.705800000003</v>
      </c>
      <c r="K62" s="18">
        <f>25186.8*0.78</f>
        <v>19645.704000000002</v>
      </c>
      <c r="L62" s="18">
        <v>20569.340199999991</v>
      </c>
      <c r="M62" s="18">
        <v>19186.18</v>
      </c>
      <c r="N62" s="18">
        <v>15924.46</v>
      </c>
      <c r="O62" s="18">
        <v>19911.439999999999</v>
      </c>
      <c r="P62" s="18">
        <v>45836.94</v>
      </c>
      <c r="Q62" s="18">
        <v>4209.92</v>
      </c>
      <c r="R62" s="18">
        <v>21242.67</v>
      </c>
      <c r="S62" s="18">
        <v>19777.22</v>
      </c>
      <c r="T62" s="18">
        <v>14166.81</v>
      </c>
      <c r="U62" s="18">
        <v>14121.18</v>
      </c>
      <c r="V62" s="18">
        <v>14149.7</v>
      </c>
      <c r="W62" s="18">
        <v>14172.51</v>
      </c>
      <c r="X62" s="18">
        <v>46532.97</v>
      </c>
      <c r="Y62" s="18">
        <v>-18239.27</v>
      </c>
      <c r="Z62" s="18">
        <v>69369.490000000005</v>
      </c>
      <c r="AA62" s="18">
        <v>20670.55</v>
      </c>
      <c r="AB62" s="397">
        <f t="shared" ref="AB62:AN62" si="497">SUM($R$62:$Y$62)/SUM($R$57:$Y$57)*AB$57</f>
        <v>31831.001440434251</v>
      </c>
      <c r="AC62" s="397">
        <f t="shared" si="497"/>
        <v>0</v>
      </c>
      <c r="AD62" s="397">
        <f t="shared" si="497"/>
        <v>15915.500720217125</v>
      </c>
      <c r="AE62" s="397">
        <f t="shared" si="497"/>
        <v>15915.500720217125</v>
      </c>
      <c r="AF62" s="397">
        <f t="shared" si="497"/>
        <v>15915.500720217125</v>
      </c>
      <c r="AG62" s="397">
        <f t="shared" si="497"/>
        <v>15915.500720217125</v>
      </c>
      <c r="AH62" s="397">
        <f t="shared" si="497"/>
        <v>15915.500720217125</v>
      </c>
      <c r="AI62" s="397">
        <f t="shared" si="497"/>
        <v>15915.500720217125</v>
      </c>
      <c r="AJ62" s="397">
        <f t="shared" si="497"/>
        <v>15915.500720217125</v>
      </c>
      <c r="AK62" s="397">
        <f t="shared" si="497"/>
        <v>15915.500720217125</v>
      </c>
      <c r="AL62" s="397">
        <f t="shared" si="497"/>
        <v>15915.500720217125</v>
      </c>
      <c r="AM62" s="397">
        <f t="shared" si="497"/>
        <v>15915.500720217125</v>
      </c>
      <c r="AN62" s="397">
        <f t="shared" si="497"/>
        <v>31831.001440434251</v>
      </c>
      <c r="AO62" s="102">
        <f t="shared" ref="AO62" si="498">SUM(AH62:AN62)/SUM(AH$57:AN$57)*AO$57</f>
        <v>0</v>
      </c>
      <c r="AP62" s="102">
        <f t="shared" ref="AP62" si="499">SUM(AI62:AO62)/SUM(AI$57:AO$57)*AP$57</f>
        <v>17536.661026136917</v>
      </c>
      <c r="AQ62" s="102">
        <f t="shared" ref="AQ62" si="500">SUM(AJ62:AP62)/SUM(AJ$57:AP$57)*AQ$57</f>
        <v>17536.661026136921</v>
      </c>
      <c r="AR62" s="102">
        <f t="shared" ref="AR62" si="501">SUM(AK62:AQ62)/SUM(AK$57:AQ$57)*AR$57</f>
        <v>17536.661026136917</v>
      </c>
      <c r="AS62" s="102">
        <f t="shared" ref="AS62" si="502">SUM(AL62:AR62)/SUM(AL$57:AR$57)*AS$57</f>
        <v>17536.661026136917</v>
      </c>
      <c r="AT62" s="102">
        <f t="shared" ref="AT62" si="503">SUM(AM62:AS62)/SUM(AM$57:AS$57)*AT$57</f>
        <v>17536.661026136917</v>
      </c>
      <c r="AU62" s="102">
        <f t="shared" ref="AU62" si="504">SUM(AN62:AT62)/SUM(AN$57:AT$57)*AU$57</f>
        <v>17536.661026136921</v>
      </c>
      <c r="AV62" s="102">
        <f t="shared" ref="AV62" si="505">SUM(AO62:AU62)/SUM(AO$57:AU$57)*AV$57</f>
        <v>17536.661026136921</v>
      </c>
      <c r="AW62" s="102">
        <f t="shared" ref="AW62" si="506">SUM(AP62:AV62)/SUM(AP$57:AV$57)*AW$57</f>
        <v>17536.661026136921</v>
      </c>
      <c r="AX62" s="102">
        <f t="shared" ref="AX62" si="507">SUM(AQ62:AW62)/SUM(AQ$57:AW$57)*AX$57</f>
        <v>17536.661026136921</v>
      </c>
      <c r="AY62" s="102">
        <f t="shared" ref="AY62" si="508">SUM(AR62:AX62)/SUM(AR$57:AX$57)*AY$57</f>
        <v>17536.661026136917</v>
      </c>
      <c r="AZ62" s="102">
        <f t="shared" ref="AZ62" si="509">SUM(AS62:AY62)/SUM(AS$57:AY$57)*AZ$57</f>
        <v>35073.322052273841</v>
      </c>
      <c r="BA62" s="102">
        <f t="shared" ref="BA62" si="510">SUM(AT62:AZ62)/SUM(AT$57:AZ$57)*BA$57</f>
        <v>0</v>
      </c>
      <c r="BB62" s="102">
        <f t="shared" ref="BB62" si="511">SUM(AU62:BA62)/SUM(AU$57:BA$57)*BB$57</f>
        <v>18062.760856921028</v>
      </c>
      <c r="BC62" s="102">
        <f t="shared" ref="BC62" si="512">SUM(AV62:BB62)/SUM(AV$57:BB$57)*BC$57</f>
        <v>18062.760856921028</v>
      </c>
      <c r="BD62" s="102">
        <f t="shared" ref="BD62" si="513">SUM(AW62:BC62)/SUM(AW$57:BC$57)*BD$57</f>
        <v>18062.760856921032</v>
      </c>
      <c r="BE62" s="102">
        <f t="shared" ref="BE62" si="514">SUM(AX62:BD62)/SUM(AX$57:BD$57)*BE$57</f>
        <v>18062.760856921032</v>
      </c>
      <c r="BF62" s="102">
        <f t="shared" ref="BF62" si="515">SUM(AY62:BE62)/SUM(AY$57:BE$57)*BF$57</f>
        <v>18062.760856921032</v>
      </c>
      <c r="BG62" s="102">
        <f t="shared" ref="BG62" si="516">SUM(AZ62:BF62)/SUM(AZ$57:BF$57)*BG$57</f>
        <v>18062.760856921028</v>
      </c>
      <c r="BH62" s="102">
        <f t="shared" ref="BH62" si="517">SUM(BA62:BG62)/SUM(BA$57:BG$57)*BH$57</f>
        <v>18062.760856921028</v>
      </c>
      <c r="BI62" s="102">
        <f t="shared" ref="BI62" si="518">SUM(BB62:BH62)/SUM(BB$57:BH$57)*BI$57</f>
        <v>18062.760856921032</v>
      </c>
      <c r="BJ62" s="102">
        <f t="shared" ref="BJ62" si="519">SUM(BC62:BI62)/SUM(BC$57:BI$57)*BJ$57</f>
        <v>18062.760856921032</v>
      </c>
      <c r="BK62" s="102">
        <f t="shared" ref="BK62" si="520">SUM(BD62:BJ62)/SUM(BD$57:BJ$57)*BK$57</f>
        <v>18062.760856921032</v>
      </c>
      <c r="BL62" s="102">
        <f t="shared" ref="BL62" si="521">SUM(BE62:BK62)/SUM(BE$57:BK$57)*BL$57</f>
        <v>36125.521713842063</v>
      </c>
      <c r="BM62" s="102">
        <f t="shared" ref="BM62" si="522">SUM(BF62:BL62)/SUM(BF$57:BL$57)*BM$57</f>
        <v>0</v>
      </c>
      <c r="BN62" s="102">
        <f t="shared" ref="BN62" si="523">SUM(BG62:BM62)/SUM(BG$57:BM$57)*BN$57</f>
        <v>18604.643682628659</v>
      </c>
      <c r="BO62" s="102">
        <f t="shared" ref="BO62" si="524">SUM(BH62:BN62)/SUM(BH$57:BN$57)*BO$57</f>
        <v>18604.643682628659</v>
      </c>
      <c r="BP62" s="102">
        <f t="shared" ref="BP62" si="525">SUM(BI62:BO62)/SUM(BI$57:BO$57)*BP$57</f>
        <v>18604.643682628666</v>
      </c>
      <c r="BQ62" s="102">
        <f t="shared" ref="BQ62" si="526">SUM(BJ62:BP62)/SUM(BJ$57:BP$57)*BQ$57</f>
        <v>18604.643682628663</v>
      </c>
      <c r="BR62" s="102">
        <f t="shared" ref="BR62" si="527">SUM(BK62:BQ62)/SUM(BK$57:BQ$57)*BR$57</f>
        <v>18604.643682628666</v>
      </c>
      <c r="BS62" s="102">
        <f t="shared" ref="BS62" si="528">SUM(BL62:BR62)/SUM(BL$57:BR$57)*BS$57</f>
        <v>18604.643682628666</v>
      </c>
      <c r="BT62" s="102">
        <f t="shared" ref="BT62" si="529">SUM(BM62:BS62)/SUM(BM$57:BS$57)*BT$57</f>
        <v>18604.643682628666</v>
      </c>
      <c r="BU62" s="102">
        <f t="shared" ref="BU62" si="530">SUM(BN62:BT62)/SUM(BN$57:BT$57)*BU$57</f>
        <v>18604.643682628666</v>
      </c>
      <c r="BV62" s="102">
        <f t="shared" ref="BV62" si="531">SUM(BO62:BU62)/SUM(BO$57:BU$57)*BV$57</f>
        <v>18604.643682628666</v>
      </c>
      <c r="BW62" s="102">
        <f t="shared" ref="BW62" si="532">SUM(BP62:BV62)/SUM(BP$57:BV$57)*BW$57</f>
        <v>18604.64368262867</v>
      </c>
      <c r="BX62" s="102">
        <f t="shared" ref="BX62" si="533">SUM(BQ62:BW62)/SUM(BQ$57:BW$57)*BX$57</f>
        <v>37209.28736525734</v>
      </c>
      <c r="BY62" s="8"/>
      <c r="BZ62" s="72">
        <f t="shared" si="442"/>
        <v>20670.55</v>
      </c>
      <c r="CA62" s="72">
        <f t="shared" si="443"/>
        <v>220173.74999999997</v>
      </c>
      <c r="CB62" s="97"/>
      <c r="CC62" s="72">
        <f t="shared" si="444"/>
        <v>0</v>
      </c>
      <c r="CD62" s="72">
        <f t="shared" si="444"/>
        <v>0</v>
      </c>
      <c r="CE62" s="72">
        <f t="shared" si="444"/>
        <v>221609.13</v>
      </c>
      <c r="CF62" s="72">
        <f t="shared" si="444"/>
        <v>252004.75144043422</v>
      </c>
      <c r="CG62" s="72">
        <f t="shared" si="444"/>
        <v>190986.00864260551</v>
      </c>
      <c r="CH62" s="72">
        <f t="shared" si="444"/>
        <v>210439.93231364305</v>
      </c>
      <c r="CI62" s="72">
        <f t="shared" si="444"/>
        <v>216753.13028305233</v>
      </c>
      <c r="CJ62" s="72">
        <f t="shared" si="444"/>
        <v>223255.724191544</v>
      </c>
      <c r="CL62" s="13"/>
      <c r="CM62" s="13"/>
    </row>
    <row r="63" spans="1:91" x14ac:dyDescent="0.3">
      <c r="A63" s="97" t="str">
        <f>'DCS Detail'!A63</f>
        <v xml:space="preserve">         233.1 PERS - Substitute Teachers</v>
      </c>
      <c r="B63" s="106" t="str">
        <f>IF('DCS Detail'!$B63="","",'DCS Detail'!$B63)</f>
        <v>Benefits</v>
      </c>
      <c r="C63" s="106"/>
      <c r="D63" s="106"/>
      <c r="E63" s="18">
        <v>-2232.4499999999998</v>
      </c>
      <c r="F63" s="18">
        <v>0</v>
      </c>
      <c r="G63" s="18">
        <v>0</v>
      </c>
      <c r="H63" s="18">
        <v>0</v>
      </c>
      <c r="I63" s="18">
        <v>0</v>
      </c>
      <c r="J63" s="18">
        <v>0</v>
      </c>
      <c r="K63" s="18">
        <v>0</v>
      </c>
      <c r="L63" s="18">
        <v>0</v>
      </c>
      <c r="M63" s="18">
        <v>2232.4499999999998</v>
      </c>
      <c r="N63" s="18">
        <v>0</v>
      </c>
      <c r="O63" s="18">
        <v>104.68</v>
      </c>
      <c r="P63" s="18">
        <v>510.3</v>
      </c>
      <c r="Q63" s="18">
        <v>0</v>
      </c>
      <c r="R63" s="18">
        <v>188.34</v>
      </c>
      <c r="S63" s="18">
        <v>188.34</v>
      </c>
      <c r="T63" s="18">
        <v>194.28</v>
      </c>
      <c r="U63" s="18">
        <v>188.34</v>
      </c>
      <c r="V63" s="18">
        <v>194.28</v>
      </c>
      <c r="W63" s="18">
        <v>188.34</v>
      </c>
      <c r="X63" s="18">
        <v>200.23</v>
      </c>
      <c r="Y63" s="18">
        <v>200.23</v>
      </c>
      <c r="Z63" s="18">
        <v>200.23</v>
      </c>
      <c r="AA63" s="18">
        <v>994.09</v>
      </c>
      <c r="AB63" s="102">
        <f t="shared" ref="AB63:AZ63" si="534">SUM(U63:AA63)/SUM(U$58:AA$58)*AB$58</f>
        <v>634.45120855252992</v>
      </c>
      <c r="AC63" s="102">
        <f t="shared" si="534"/>
        <v>0</v>
      </c>
      <c r="AD63" s="102">
        <f t="shared" si="534"/>
        <v>343.16270144669517</v>
      </c>
      <c r="AE63" s="102">
        <f t="shared" si="534"/>
        <v>363.18821925414852</v>
      </c>
      <c r="AF63" s="102">
        <f t="shared" si="534"/>
        <v>385.96824962465848</v>
      </c>
      <c r="AG63" s="102">
        <f t="shared" si="534"/>
        <v>406.63949403591704</v>
      </c>
      <c r="AH63" s="102">
        <f t="shared" si="534"/>
        <v>433.00291005346924</v>
      </c>
      <c r="AI63" s="102">
        <f t="shared" si="534"/>
        <v>366.63039756677409</v>
      </c>
      <c r="AJ63" s="102">
        <f t="shared" si="534"/>
        <v>383.09866199694386</v>
      </c>
      <c r="AK63" s="102">
        <f t="shared" si="534"/>
        <v>383.09866199694392</v>
      </c>
      <c r="AL63" s="102">
        <f t="shared" si="534"/>
        <v>388.8037992184079</v>
      </c>
      <c r="AM63" s="102">
        <f t="shared" si="534"/>
        <v>392.46316778473067</v>
      </c>
      <c r="AN63" s="102">
        <f t="shared" si="534"/>
        <v>786.782026472339</v>
      </c>
      <c r="AO63" s="102">
        <f t="shared" si="534"/>
        <v>0</v>
      </c>
      <c r="AP63" s="102">
        <f t="shared" si="534"/>
        <v>425.14132477877854</v>
      </c>
      <c r="AQ63" s="102">
        <f t="shared" si="534"/>
        <v>428.1216402178174</v>
      </c>
      <c r="AR63" s="102">
        <f t="shared" si="534"/>
        <v>428.95459451776242</v>
      </c>
      <c r="AS63" s="102">
        <f t="shared" si="534"/>
        <v>429.88995123403083</v>
      </c>
      <c r="AT63" s="102">
        <f t="shared" si="534"/>
        <v>430.0900764886307</v>
      </c>
      <c r="AU63" s="102">
        <f t="shared" si="534"/>
        <v>429.77718828600013</v>
      </c>
      <c r="AV63" s="102">
        <f t="shared" si="534"/>
        <v>428.66246258717001</v>
      </c>
      <c r="AW63" s="102">
        <f t="shared" si="534"/>
        <v>428.66246258717001</v>
      </c>
      <c r="AX63" s="102">
        <f t="shared" si="534"/>
        <v>429.1654822740831</v>
      </c>
      <c r="AY63" s="102">
        <f t="shared" si="534"/>
        <v>429.31460256783532</v>
      </c>
      <c r="AZ63" s="102">
        <f t="shared" si="534"/>
        <v>858.7320645785486</v>
      </c>
      <c r="BA63" s="102">
        <f t="shared" ref="BA63" si="535">SUM(AT63:AZ63)/SUM(AT$58:AZ$58)*BA$58</f>
        <v>0</v>
      </c>
      <c r="BB63" s="102">
        <f t="shared" ref="BB63" si="536">SUM(AU63:BA63)/SUM(AU$58:BA$58)*BB$58</f>
        <v>442.06338439531874</v>
      </c>
      <c r="BC63" s="102">
        <f t="shared" ref="BC63" si="537">SUM(AV63:BB63)/SUM(AV$58:BB$58)*BC$58</f>
        <v>441.97702315218055</v>
      </c>
      <c r="BD63" s="102">
        <f t="shared" ref="BD63" si="538">SUM(AW63:BC63)/SUM(AW$58:BC$58)*BD$58</f>
        <v>442.04142636569264</v>
      </c>
      <c r="BE63" s="102">
        <f t="shared" ref="BE63" si="539">SUM(AX63:BD63)/SUM(AX$58:BD$58)*BE$58</f>
        <v>442.11464073817604</v>
      </c>
      <c r="BF63" s="102">
        <f t="shared" ref="BF63" si="540">SUM(AY63:BE63)/SUM(AY$58:BE$58)*BF$58</f>
        <v>442.12506124321402</v>
      </c>
      <c r="BG63" s="102">
        <f t="shared" ref="BG63" si="541">SUM(AZ63:BF63)/SUM(AZ$58:BF$58)*BG$58</f>
        <v>442.11541377445099</v>
      </c>
      <c r="BH63" s="102">
        <f t="shared" ref="BH63" si="542">SUM(BA63:BG63)/SUM(BA$58:BG$58)*BH$58</f>
        <v>442.07282494483883</v>
      </c>
      <c r="BI63" s="102">
        <f t="shared" ref="BI63" si="543">SUM(BB63:BH63)/SUM(BB$58:BH$58)*BI$58</f>
        <v>442.07282494483883</v>
      </c>
      <c r="BJ63" s="102">
        <f t="shared" ref="BJ63" si="544">SUM(BC63:BI63)/SUM(BC$58:BI$58)*BJ$58</f>
        <v>442.07417359477023</v>
      </c>
      <c r="BK63" s="102">
        <f t="shared" ref="BK63" si="545">SUM(BD63:BJ63)/SUM(BD$58:BJ$58)*BK$58</f>
        <v>442.08805222942595</v>
      </c>
      <c r="BL63" s="102">
        <f t="shared" ref="BL63" si="546">SUM(BE63:BK63)/SUM(BE$58:BK$58)*BL$58</f>
        <v>884.18942613420415</v>
      </c>
      <c r="BM63" s="102">
        <f t="shared" ref="BM63" si="547">SUM(BF63:BL63)/SUM(BF$58:BL$58)*BM$58</f>
        <v>0</v>
      </c>
      <c r="BN63" s="102">
        <f t="shared" ref="BN63" si="548">SUM(BG63:BM63)/SUM(BG$58:BM$58)*BN$58</f>
        <v>455.35015672731498</v>
      </c>
      <c r="BO63" s="102">
        <f t="shared" ref="BO63" si="549">SUM(BH63:BN63)/SUM(BH$58:BN$58)*BO$58</f>
        <v>455.34607145556976</v>
      </c>
      <c r="BP63" s="102">
        <f t="shared" ref="BP63" si="550">SUM(BI63:BO63)/SUM(BI$58:BO$58)*BP$58</f>
        <v>455.3476382774374</v>
      </c>
      <c r="BQ63" s="102">
        <f t="shared" ref="BQ63" si="551">SUM(BJ63:BP63)/SUM(BJ$58:BP$58)*BQ$58</f>
        <v>455.34941945998372</v>
      </c>
      <c r="BR63" s="102">
        <f t="shared" ref="BR63" si="552">SUM(BK63:BQ63)/SUM(BK$58:BQ$58)*BR$58</f>
        <v>455.35124820399636</v>
      </c>
      <c r="BS63" s="102">
        <f t="shared" ref="BS63" si="553">SUM(BL63:BR63)/SUM(BL$58:BR$58)*BS$58</f>
        <v>455.3513257435331</v>
      </c>
      <c r="BT63" s="102">
        <f t="shared" ref="BT63" si="554">SUM(BM63:BS63)/SUM(BM$58:BS$58)*BT$58</f>
        <v>455.34930997797244</v>
      </c>
      <c r="BU63" s="102">
        <f t="shared" ref="BU63" si="555">SUM(BN63:BT63)/SUM(BN$58:BT$58)*BU$58</f>
        <v>455.34930997797244</v>
      </c>
      <c r="BV63" s="102">
        <f t="shared" ref="BV63" si="556">SUM(BO63:BU63)/SUM(BO$58:BU$58)*BV$58</f>
        <v>455.3491890137808</v>
      </c>
      <c r="BW63" s="102">
        <f t="shared" ref="BW63" si="557">SUM(BP63:BV63)/SUM(BP$58:BV$58)*BW$58</f>
        <v>455.34963437923955</v>
      </c>
      <c r="BX63" s="102">
        <f t="shared" ref="BX63" si="558">SUM(BQ63:BW63)/SUM(BQ$58:BW$58)*BX$58</f>
        <v>910.69983907327946</v>
      </c>
      <c r="BY63" s="8"/>
      <c r="BZ63" s="72">
        <f t="shared" si="442"/>
        <v>994.09</v>
      </c>
      <c r="CA63" s="72">
        <f t="shared" si="443"/>
        <v>2736.7000000000003</v>
      </c>
      <c r="CB63" s="97"/>
      <c r="CC63" s="72">
        <f t="shared" si="444"/>
        <v>0</v>
      </c>
      <c r="CD63" s="72">
        <f t="shared" si="444"/>
        <v>0</v>
      </c>
      <c r="CE63" s="72">
        <f t="shared" si="444"/>
        <v>614.98</v>
      </c>
      <c r="CF63" s="72">
        <f t="shared" si="444"/>
        <v>3371.1512085525301</v>
      </c>
      <c r="CG63" s="72">
        <f t="shared" si="444"/>
        <v>4632.8382894510287</v>
      </c>
      <c r="CH63" s="72">
        <f t="shared" si="444"/>
        <v>5146.5118501178267</v>
      </c>
      <c r="CI63" s="72">
        <f t="shared" si="444"/>
        <v>5304.9342515171111</v>
      </c>
      <c r="CJ63" s="72">
        <f t="shared" si="444"/>
        <v>5464.1931422900798</v>
      </c>
      <c r="CL63" s="13"/>
      <c r="CM63" s="13"/>
    </row>
    <row r="64" spans="1:91" x14ac:dyDescent="0.3">
      <c r="A64" s="97" t="str">
        <f>'DCS Detail'!A64</f>
        <v xml:space="preserve">         261.1 SUI - Licensed Teachers</v>
      </c>
      <c r="B64" s="106" t="str">
        <f>IF('DCS Detail'!$B64="","",'DCS Detail'!$B64)</f>
        <v>Benefits</v>
      </c>
      <c r="C64" s="106"/>
      <c r="D64" s="106"/>
      <c r="E64" s="18">
        <v>-989.48</v>
      </c>
      <c r="F64" s="18">
        <v>995.8</v>
      </c>
      <c r="G64" s="18">
        <v>751.03</v>
      </c>
      <c r="H64" s="18">
        <v>614.91</v>
      </c>
      <c r="I64" s="18">
        <v>558.53</v>
      </c>
      <c r="J64" s="18">
        <v>458.45</v>
      </c>
      <c r="K64" s="18">
        <v>1304.27</v>
      </c>
      <c r="L64" s="18">
        <v>1314.65</v>
      </c>
      <c r="M64" s="18">
        <v>1096.8399999999999</v>
      </c>
      <c r="N64" s="18">
        <v>1088.3699999999999</v>
      </c>
      <c r="O64" s="18">
        <v>1104.75</v>
      </c>
      <c r="P64" s="18">
        <v>2406.9299999999998</v>
      </c>
      <c r="Q64" s="18">
        <v>0</v>
      </c>
      <c r="R64" s="18">
        <v>728.58</v>
      </c>
      <c r="S64" s="18">
        <v>448.7</v>
      </c>
      <c r="T64" s="18">
        <v>326.02</v>
      </c>
      <c r="U64" s="18">
        <v>267.02</v>
      </c>
      <c r="V64" s="18">
        <v>296.91000000000003</v>
      </c>
      <c r="W64" s="18">
        <v>1042.82</v>
      </c>
      <c r="X64" s="18">
        <v>1071.68</v>
      </c>
      <c r="Y64" s="18">
        <v>1055.4100000000001</v>
      </c>
      <c r="Z64" s="18">
        <v>1050.5</v>
      </c>
      <c r="AA64" s="18">
        <v>1210</v>
      </c>
      <c r="AB64" s="102">
        <f t="shared" ref="AB64" si="559">SUM(U64:AA64)/SUM(U$57:AA$57)*AB$57</f>
        <v>1707.4909629487511</v>
      </c>
      <c r="AC64" s="102">
        <f t="shared" ref="AC64" si="560">SUM(V64:AB64)/SUM(V$57:AB$57)*AC$57</f>
        <v>0</v>
      </c>
      <c r="AD64" s="102">
        <f t="shared" ref="AD64" si="561">SUM(W64:AC64)/SUM(W$57:AC$57)*AD$57</f>
        <v>1015.9551656215576</v>
      </c>
      <c r="AE64" s="102">
        <f t="shared" ref="AE64" si="562">SUM(X64:AD64)/SUM(X$57:AD$57)*AE$57</f>
        <v>1007.4660961694326</v>
      </c>
      <c r="AF64" s="102">
        <f t="shared" ref="AF64" si="563">SUM(Y64:AE64)/SUM(Y$57:AE$57)*AF$57</f>
        <v>995.85232139222558</v>
      </c>
      <c r="AG64" s="102">
        <f t="shared" ref="AG64" si="564">SUM(Z64:AF64)/SUM(Z$57:AF$57)*AG$57</f>
        <v>985.26931247192078</v>
      </c>
      <c r="AH64" s="102">
        <f t="shared" ref="AH64" si="565">SUM(AA64:AG64)/SUM(AA$57:AG$57)*AH$57</f>
        <v>972.65890077612573</v>
      </c>
      <c r="AI64" s="102">
        <f t="shared" ref="AI64" si="566">SUM(AB64:AH64)/SUM(AB$57:AH$57)*AI$57</f>
        <v>954.95610848285901</v>
      </c>
      <c r="AJ64" s="102">
        <f t="shared" ref="AJ64" si="567">SUM(AC64:AI64)/SUM(AC$57:AI$57)*AJ$57</f>
        <v>988.69298415235369</v>
      </c>
      <c r="AK64" s="102">
        <f t="shared" ref="AK64" si="568">SUM(AD64:AJ64)/SUM(AD$57:AJ$57)*AK$57</f>
        <v>988.69298415235346</v>
      </c>
      <c r="AL64" s="102">
        <f t="shared" ref="AL64" si="569">SUM(AE64:AK64)/SUM(AE$57:AK$57)*AL$57</f>
        <v>984.79838679960994</v>
      </c>
      <c r="AM64" s="102">
        <f t="shared" ref="AM64" si="570">SUM(AF64:AL64)/SUM(AF$57:AL$57)*AM$57</f>
        <v>981.56014260392101</v>
      </c>
      <c r="AN64" s="102">
        <f t="shared" ref="AN64" si="571">SUM(AG64:AM64)/SUM(AG$57:AM$57)*AN$57</f>
        <v>1959.0368055540412</v>
      </c>
      <c r="AO64" s="102">
        <f t="shared" ref="AO64" si="572">SUM(AH64:AN64)/SUM(AH$57:AN$57)*AO$57</f>
        <v>0</v>
      </c>
      <c r="AP64" s="102">
        <f t="shared" ref="AP64" si="573">SUM(AI64:AO64)/SUM(AI$57:AO$57)*AP$57</f>
        <v>1079.4671048786865</v>
      </c>
      <c r="AQ64" s="102">
        <f t="shared" ref="AQ64" si="574">SUM(AJ64:AP64)/SUM(AJ$57:AP$57)*AQ$57</f>
        <v>1083.3025397135341</v>
      </c>
      <c r="AR64" s="102">
        <f t="shared" ref="AR64" si="575">SUM(AK64:AQ64)/SUM(AK$57:AQ$57)*AR$57</f>
        <v>1082.4558700936457</v>
      </c>
      <c r="AS64" s="102">
        <f t="shared" ref="AS64" si="576">SUM(AL64:AR64)/SUM(AL$57:AR$57)*AS$57</f>
        <v>1081.5051119122243</v>
      </c>
      <c r="AT64" s="102">
        <f t="shared" ref="AT64" si="577">SUM(AM64:AS64)/SUM(AM$57:AS$57)*AT$57</f>
        <v>1081.0183991333097</v>
      </c>
      <c r="AU64" s="102">
        <f t="shared" ref="AU64" si="578">SUM(AN64:AT64)/SUM(AN$57:AT$57)*AU$57</f>
        <v>1080.9486301836612</v>
      </c>
      <c r="AV64" s="102">
        <f t="shared" ref="AV64" si="579">SUM(AO64:AU64)/SUM(AO$57:AU$57)*AV$57</f>
        <v>1081.4496093191767</v>
      </c>
      <c r="AW64" s="102">
        <f t="shared" ref="AW64" si="580">SUM(AP64:AV64)/SUM(AP$57:AV$57)*AW$57</f>
        <v>1081.4496093191767</v>
      </c>
      <c r="AX64" s="102">
        <f t="shared" ref="AX64" si="581">SUM(AQ64:AW64)/SUM(AQ$57:AW$57)*AX$57</f>
        <v>1081.7328242392468</v>
      </c>
      <c r="AY64" s="102">
        <f t="shared" ref="AY64" si="582">SUM(AR64:AX64)/SUM(AR$57:AX$57)*AY$57</f>
        <v>1081.5085791714914</v>
      </c>
      <c r="AZ64" s="102">
        <f t="shared" ref="AZ64" si="583">SUM(AS64:AY64)/SUM(AS$57:AY$57)*AZ$57</f>
        <v>2162.7465037937959</v>
      </c>
      <c r="BA64" s="102">
        <f t="shared" ref="BA64" si="584">SUM(AT64:AZ64)/SUM(AT$57:AZ$57)*BA$57</f>
        <v>0</v>
      </c>
      <c r="BB64" s="102">
        <f t="shared" ref="BB64" si="585">SUM(AU64:BA64)/SUM(AU$57:BA$57)*BB$57</f>
        <v>1113.8472612439064</v>
      </c>
      <c r="BC64" s="102">
        <f t="shared" ref="BC64" si="586">SUM(AV64:BB64)/SUM(AV$57:BB$57)*BC$57</f>
        <v>1113.9141420625033</v>
      </c>
      <c r="BD64" s="102">
        <f t="shared" ref="BD64" si="587">SUM(AW64:BC64)/SUM(AW$57:BC$57)*BD$57</f>
        <v>1113.9171228647342</v>
      </c>
      <c r="BE64" s="102">
        <f t="shared" ref="BE64" si="588">SUM(AX64:BD64)/SUM(AX$57:BD$57)*BE$57</f>
        <v>1113.9205114777078</v>
      </c>
      <c r="BF64" s="102">
        <f t="shared" ref="BF64" si="589">SUM(AY64:BE64)/SUM(AY$57:BE$57)*BF$57</f>
        <v>1113.8833910438996</v>
      </c>
      <c r="BG64" s="102">
        <f t="shared" ref="BG64" si="590">SUM(AZ64:BF64)/SUM(AZ$57:BF$57)*BG$57</f>
        <v>1113.8735385260341</v>
      </c>
      <c r="BH64" s="102">
        <f t="shared" ref="BH64" si="591">SUM(BA64:BG64)/SUM(BA$57:BG$57)*BH$57</f>
        <v>1113.8926612031312</v>
      </c>
      <c r="BI64" s="102">
        <f t="shared" ref="BI64" si="592">SUM(BB64:BH64)/SUM(BB$57:BH$57)*BI$57</f>
        <v>1113.8926612031312</v>
      </c>
      <c r="BJ64" s="102">
        <f t="shared" ref="BJ64" si="593">SUM(BC64:BI64)/SUM(BC$57:BI$57)*BJ$57</f>
        <v>1113.8991469115917</v>
      </c>
      <c r="BK64" s="102">
        <f t="shared" ref="BK64" si="594">SUM(BD64:BJ64)/SUM(BD$57:BJ$57)*BK$57</f>
        <v>1113.8970047471755</v>
      </c>
      <c r="BL64" s="102">
        <f t="shared" ref="BL64" si="595">SUM(BE64:BK64)/SUM(BE$57:BK$57)*BL$57</f>
        <v>2227.7882614607634</v>
      </c>
      <c r="BM64" s="102">
        <f t="shared" ref="BM64" si="596">SUM(BF64:BL64)/SUM(BF$57:BL$57)*BM$57</f>
        <v>0</v>
      </c>
      <c r="BN64" s="102">
        <f t="shared" ref="BN64" si="597">SUM(BG64:BM64)/SUM(BG$57:BM$57)*BN$57</f>
        <v>1147.3086531819117</v>
      </c>
      <c r="BO64" s="102">
        <f t="shared" ref="BO64" si="598">SUM(BH64:BN64)/SUM(BH$57:BN$57)*BO$57</f>
        <v>1147.3113428689808</v>
      </c>
      <c r="BP64" s="102">
        <f t="shared" ref="BP64" si="599">SUM(BI64:BO64)/SUM(BI$57:BO$57)*BP$57</f>
        <v>1147.3116122499664</v>
      </c>
      <c r="BQ64" s="102">
        <f t="shared" ref="BQ64" si="600">SUM(BJ64:BP64)/SUM(BJ$57:BP$57)*BQ$57</f>
        <v>1147.3119184856139</v>
      </c>
      <c r="BR64" s="102">
        <f t="shared" ref="BR64" si="601">SUM(BK64:BQ64)/SUM(BK$57:BQ$57)*BR$57</f>
        <v>1147.3113282000345</v>
      </c>
      <c r="BS64" s="102">
        <f t="shared" ref="BS64" si="602">SUM(BL64:BR64)/SUM(BL$57:BR$57)*BS$57</f>
        <v>1147.3109664252713</v>
      </c>
      <c r="BT64" s="102">
        <f t="shared" ref="BT64" si="603">SUM(BM64:BS64)/SUM(BM$57:BS$57)*BT$57</f>
        <v>1147.3109702352965</v>
      </c>
      <c r="BU64" s="102">
        <f t="shared" ref="BU64" si="604">SUM(BN64:BT64)/SUM(BN$57:BT$57)*BU$57</f>
        <v>1147.3109702352965</v>
      </c>
      <c r="BV64" s="102">
        <f t="shared" ref="BV64" si="605">SUM(BO64:BU64)/SUM(BO$57:BU$57)*BV$57</f>
        <v>1147.311301242923</v>
      </c>
      <c r="BW64" s="102">
        <f t="shared" ref="BW64" si="606">SUM(BP64:BV64)/SUM(BP$57:BV$57)*BW$57</f>
        <v>1147.3112952963434</v>
      </c>
      <c r="BX64" s="102">
        <f t="shared" ref="BX64" si="607">SUM(BQ64:BW64)/SUM(BQ$57:BW$57)*BX$57</f>
        <v>2294.6225000345089</v>
      </c>
      <c r="BY64" s="8"/>
      <c r="BZ64" s="72">
        <f t="shared" si="442"/>
        <v>1210</v>
      </c>
      <c r="CA64" s="72">
        <f t="shared" si="443"/>
        <v>7497.64</v>
      </c>
      <c r="CB64" s="97"/>
      <c r="CC64" s="72">
        <f t="shared" si="444"/>
        <v>0</v>
      </c>
      <c r="CD64" s="72">
        <f t="shared" si="444"/>
        <v>0</v>
      </c>
      <c r="CE64" s="72">
        <f t="shared" si="444"/>
        <v>10705.05</v>
      </c>
      <c r="CF64" s="72">
        <f t="shared" si="444"/>
        <v>9205.1309629487514</v>
      </c>
      <c r="CG64" s="72">
        <f t="shared" si="444"/>
        <v>11834.939208176402</v>
      </c>
      <c r="CH64" s="72">
        <f t="shared" si="444"/>
        <v>12977.584781757951</v>
      </c>
      <c r="CI64" s="72">
        <f t="shared" si="444"/>
        <v>13366.725702744578</v>
      </c>
      <c r="CJ64" s="72">
        <f t="shared" si="444"/>
        <v>13767.732858456147</v>
      </c>
      <c r="CL64" s="13"/>
      <c r="CM64" s="13"/>
    </row>
    <row r="65" spans="1:92" x14ac:dyDescent="0.3">
      <c r="A65" s="97" t="str">
        <f>'DCS Detail'!A65</f>
        <v xml:space="preserve">         263.1 SUI - Substitute Teachers</v>
      </c>
      <c r="B65" s="106" t="str">
        <f>IF('DCS Detail'!$B65="","",'DCS Detail'!$B65)</f>
        <v>Benefits</v>
      </c>
      <c r="C65" s="106"/>
      <c r="D65" s="106"/>
      <c r="E65" s="18">
        <v>0</v>
      </c>
      <c r="F65" s="18">
        <v>0</v>
      </c>
      <c r="G65" s="18">
        <v>15.22</v>
      </c>
      <c r="H65" s="18">
        <v>20.75</v>
      </c>
      <c r="I65" s="18">
        <v>0</v>
      </c>
      <c r="J65" s="18">
        <v>6.74</v>
      </c>
      <c r="K65" s="18">
        <v>2.42</v>
      </c>
      <c r="L65" s="18">
        <v>5.7999999999999972</v>
      </c>
      <c r="M65" s="18">
        <v>11.93</v>
      </c>
      <c r="N65" s="18">
        <v>5.01</v>
      </c>
      <c r="O65" s="18">
        <v>23.95</v>
      </c>
      <c r="P65" s="18">
        <v>63.18</v>
      </c>
      <c r="Q65" s="18">
        <v>0</v>
      </c>
      <c r="R65" s="18">
        <v>62.21</v>
      </c>
      <c r="S65" s="18">
        <v>70.55</v>
      </c>
      <c r="T65" s="18">
        <v>84.22</v>
      </c>
      <c r="U65" s="18">
        <v>84.89</v>
      </c>
      <c r="V65" s="18">
        <v>119.5</v>
      </c>
      <c r="W65" s="18">
        <v>110.35</v>
      </c>
      <c r="X65" s="18">
        <v>114.21</v>
      </c>
      <c r="Y65" s="18">
        <v>103.62</v>
      </c>
      <c r="Z65" s="18">
        <v>110.18</v>
      </c>
      <c r="AA65" s="18">
        <v>140.24</v>
      </c>
      <c r="AB65" s="102">
        <f t="shared" ref="AB65" si="608">SUM(U65:AA65)/SUM(U$58:AA$58)*AB$58</f>
        <v>229.37608013175424</v>
      </c>
      <c r="AC65" s="102">
        <f t="shared" ref="AC65" si="609">SUM(V65:AB65)/SUM(V$58:AB$58)*AC$58</f>
        <v>0</v>
      </c>
      <c r="AD65" s="102">
        <f t="shared" ref="AD65" si="610">SUM(W65:AC65)/SUM(W$58:AC$58)*AD$58</f>
        <v>114.68835059809147</v>
      </c>
      <c r="AE65" s="102">
        <f t="shared" ref="AE65" si="611">SUM(X65:AD65)/SUM(X$58:AD$58)*AE$58</f>
        <v>114.68812393950539</v>
      </c>
      <c r="AF65" s="102">
        <f t="shared" ref="AF65" si="612">SUM(Y65:AE65)/SUM(Y$58:AE$58)*AF$58</f>
        <v>114.68801997325042</v>
      </c>
      <c r="AG65" s="102">
        <f t="shared" ref="AG65" si="613">SUM(Z65:AF65)/SUM(Z$58:AF$58)*AG$58</f>
        <v>114.68808005779118</v>
      </c>
      <c r="AH65" s="102">
        <f t="shared" ref="AH65" si="614">SUM(AA65:AG65)/SUM(AA$58:AG$58)*AH$58</f>
        <v>114.68778662112402</v>
      </c>
      <c r="AI65" s="102">
        <f t="shared" ref="AI65" si="615">SUM(AB65:AH65)/SUM(AB$58:AH$58)*AI$58</f>
        <v>114.68806304593096</v>
      </c>
      <c r="AJ65" s="102">
        <f t="shared" ref="AJ65" si="616">SUM(AC65:AI65)/SUM(AC$58:AI$58)*AJ$58</f>
        <v>114.68807070594892</v>
      </c>
      <c r="AK65" s="102">
        <f t="shared" ref="AK65" si="617">SUM(AD65:AJ65)/SUM(AD$58:AJ$58)*AK$58</f>
        <v>114.68807070594892</v>
      </c>
      <c r="AL65" s="102">
        <f t="shared" ref="AL65" si="618">SUM(AE65:AK65)/SUM(AE$58:AK$58)*AL$58</f>
        <v>114.68803072135712</v>
      </c>
      <c r="AM65" s="102">
        <f t="shared" ref="AM65" si="619">SUM(AF65:AL65)/SUM(AF$58:AL$58)*AM$58</f>
        <v>114.6880174044788</v>
      </c>
      <c r="AN65" s="102">
        <f t="shared" ref="AN65" si="620">SUM(AG65:AM65)/SUM(AG$58:AM$58)*AN$58</f>
        <v>229.37603407502286</v>
      </c>
      <c r="AO65" s="102">
        <f t="shared" ref="AO65" si="621">SUM(AH65:AN65)/SUM(AH$58:AN$58)*AO$58</f>
        <v>0</v>
      </c>
      <c r="AP65" s="102">
        <f t="shared" ref="AP65" si="622">SUM(AI65:AO65)/SUM(AI$58:AO$58)*AP$58</f>
        <v>126.37021814580942</v>
      </c>
      <c r="AQ65" s="102">
        <f t="shared" ref="AQ65" si="623">SUM(AJ65:AP65)/SUM(AJ$58:AP$58)*AQ$58</f>
        <v>126.37021471779704</v>
      </c>
      <c r="AR65" s="102">
        <f t="shared" ref="AR65" si="624">SUM(AK65:AQ65)/SUM(AK$58:AQ$58)*AR$58</f>
        <v>126.37020969073551</v>
      </c>
      <c r="AS65" s="102">
        <f t="shared" ref="AS65" si="625">SUM(AL65:AR65)/SUM(AL$58:AR$58)*AS$58</f>
        <v>126.37020404565294</v>
      </c>
      <c r="AT65" s="102">
        <f t="shared" ref="AT65" si="626">SUM(AM65:AS65)/SUM(AM$58:AS$58)*AT$58</f>
        <v>126.37020366384073</v>
      </c>
      <c r="AU65" s="102">
        <f t="shared" ref="AU65" si="627">SUM(AN65:AT65)/SUM(AN$58:AT$58)*AU$58</f>
        <v>126.37020519038437</v>
      </c>
      <c r="AV65" s="102">
        <f t="shared" ref="AV65" si="628">SUM(AO65:AU65)/SUM(AO$58:AU$58)*AV$58</f>
        <v>126.37020924237</v>
      </c>
      <c r="AW65" s="102">
        <f t="shared" ref="AW65" si="629">SUM(AP65:AV65)/SUM(AP$58:AV$58)*AW$58</f>
        <v>126.37020924237001</v>
      </c>
      <c r="AX65" s="102">
        <f t="shared" ref="AX65" si="630">SUM(AQ65:AW65)/SUM(AQ$58:AW$58)*AX$58</f>
        <v>126.37020797045008</v>
      </c>
      <c r="AY65" s="102">
        <f t="shared" ref="AY65" si="631">SUM(AR65:AX65)/SUM(AR$58:AX$58)*AY$58</f>
        <v>126.3702070065434</v>
      </c>
      <c r="AZ65" s="102">
        <f t="shared" ref="AZ65" si="632">SUM(AS65:AY65)/SUM(AS$58:AY$58)*AZ$58</f>
        <v>252.74041324617474</v>
      </c>
      <c r="BA65" s="102">
        <f t="shared" ref="BA65" si="633">SUM(AT65:AZ65)/SUM(AT$58:AZ$58)*BA$58</f>
        <v>0</v>
      </c>
      <c r="BB65" s="102">
        <f t="shared" ref="BB65" si="634">SUM(AU65:BA65)/SUM(AU$58:BA$58)*BB$58</f>
        <v>130.16131363646303</v>
      </c>
      <c r="BC65" s="102">
        <f t="shared" ref="BC65" si="635">SUM(AV65:BB65)/SUM(AV$58:BB$58)*BC$58</f>
        <v>130.16131396226206</v>
      </c>
      <c r="BD65" s="102">
        <f t="shared" ref="BD65" si="636">SUM(AW65:BC65)/SUM(AW$58:BC$58)*BD$58</f>
        <v>130.16131374167014</v>
      </c>
      <c r="BE65" s="102">
        <f t="shared" ref="BE65" si="637">SUM(AX65:BD65)/SUM(AX$58:BD$58)*BE$58</f>
        <v>130.16131349089846</v>
      </c>
      <c r="BF65" s="102">
        <f t="shared" ref="BF65" si="638">SUM(AY65:BE65)/SUM(AY$58:BE$58)*BF$58</f>
        <v>130.16131338996234</v>
      </c>
      <c r="BG65" s="102">
        <f t="shared" ref="BG65" si="639">SUM(AZ65:BF65)/SUM(AZ$58:BF$58)*BG$58</f>
        <v>130.16131341418932</v>
      </c>
      <c r="BH65" s="102">
        <f t="shared" ref="BH65" si="640">SUM(BA65:BG65)/SUM(BA$58:BG$58)*BH$58</f>
        <v>130.16131360590751</v>
      </c>
      <c r="BI65" s="102">
        <f t="shared" ref="BI65" si="641">SUM(BB65:BH65)/SUM(BB$58:BH$58)*BI$58</f>
        <v>130.16131360590751</v>
      </c>
      <c r="BJ65" s="102">
        <f t="shared" ref="BJ65" si="642">SUM(BC65:BI65)/SUM(BC$58:BI$58)*BJ$58</f>
        <v>130.16131360154245</v>
      </c>
      <c r="BK65" s="102">
        <f t="shared" ref="BK65" si="643">SUM(BD65:BJ65)/SUM(BD$58:BJ$58)*BK$58</f>
        <v>130.16131355001107</v>
      </c>
      <c r="BL65" s="102">
        <f t="shared" ref="BL65" si="644">SUM(BE65:BK65)/SUM(BE$58:BK$58)*BL$58</f>
        <v>260.32262704526244</v>
      </c>
      <c r="BM65" s="102">
        <f t="shared" ref="BM65" si="645">SUM(BF65:BL65)/SUM(BF$58:BL$58)*BM$58</f>
        <v>0</v>
      </c>
      <c r="BN65" s="102">
        <f t="shared" ref="BN65" si="646">SUM(BG65:BM65)/SUM(BG$58:BM$58)*BN$58</f>
        <v>134.06615295250072</v>
      </c>
      <c r="BO65" s="102">
        <f t="shared" ref="BO65" si="647">SUM(BH65:BN65)/SUM(BH$58:BN$58)*BO$58</f>
        <v>134.06615297183012</v>
      </c>
      <c r="BP65" s="102">
        <f t="shared" ref="BP65" si="648">SUM(BI65:BO65)/SUM(BI$58:BO$58)*BP$58</f>
        <v>134.06615296584502</v>
      </c>
      <c r="BQ65" s="102">
        <f t="shared" ref="BQ65" si="649">SUM(BJ65:BP65)/SUM(BJ$58:BP$58)*BQ$58</f>
        <v>134.06615295904115</v>
      </c>
      <c r="BR65" s="102">
        <f t="shared" ref="BR65" si="650">SUM(BK65:BQ65)/SUM(BK$58:BQ$58)*BR$58</f>
        <v>134.06615295194172</v>
      </c>
      <c r="BS65" s="102">
        <f t="shared" ref="BS65" si="651">SUM(BL65:BR65)/SUM(BL$58:BR$58)*BS$58</f>
        <v>134.06615295130266</v>
      </c>
      <c r="BT65" s="102">
        <f t="shared" ref="BT65" si="652">SUM(BM65:BS65)/SUM(BM$58:BS$58)*BT$58</f>
        <v>134.06615295874357</v>
      </c>
      <c r="BU65" s="102">
        <f t="shared" ref="BU65" si="653">SUM(BN65:BT65)/SUM(BN$58:BT$58)*BU$58</f>
        <v>134.06615295874357</v>
      </c>
      <c r="BV65" s="102">
        <f t="shared" ref="BV65" si="654">SUM(BO65:BU65)/SUM(BO$58:BU$58)*BV$58</f>
        <v>134.06615295963542</v>
      </c>
      <c r="BW65" s="102">
        <f t="shared" ref="BW65" si="655">SUM(BP65:BV65)/SUM(BP$58:BV$58)*BW$58</f>
        <v>134.06615295789331</v>
      </c>
      <c r="BX65" s="102">
        <f t="shared" ref="BX65" si="656">SUM(BQ65:BW65)/SUM(BQ$58:BW$58)*BX$58</f>
        <v>268.1323059135147</v>
      </c>
      <c r="BY65" s="8"/>
      <c r="BZ65" s="72">
        <f t="shared" si="442"/>
        <v>140.24</v>
      </c>
      <c r="CA65" s="72">
        <f t="shared" si="443"/>
        <v>999.97</v>
      </c>
      <c r="CB65" s="97"/>
      <c r="CC65" s="72">
        <f t="shared" si="444"/>
        <v>0</v>
      </c>
      <c r="CD65" s="72">
        <f t="shared" si="444"/>
        <v>0</v>
      </c>
      <c r="CE65" s="72">
        <f t="shared" si="444"/>
        <v>155</v>
      </c>
      <c r="CF65" s="72">
        <f t="shared" si="444"/>
        <v>1229.3460801317542</v>
      </c>
      <c r="CG65" s="72">
        <f t="shared" si="444"/>
        <v>1376.25664784845</v>
      </c>
      <c r="CH65" s="72">
        <f t="shared" si="444"/>
        <v>1516.4425021621282</v>
      </c>
      <c r="CI65" s="72">
        <f t="shared" si="444"/>
        <v>1561.9357630440761</v>
      </c>
      <c r="CJ65" s="72">
        <f t="shared" si="444"/>
        <v>1608.7938355009921</v>
      </c>
      <c r="CL65" s="13"/>
      <c r="CM65" s="13"/>
    </row>
    <row r="66" spans="1:92" x14ac:dyDescent="0.3">
      <c r="A66" s="97" t="str">
        <f>'DCS Detail'!A66</f>
        <v xml:space="preserve">         271.1 WC - Licensed Teachers</v>
      </c>
      <c r="B66" s="106" t="str">
        <f>IF('DCS Detail'!$B66="","",'DCS Detail'!$B66)</f>
        <v>Benefits</v>
      </c>
      <c r="C66" s="106"/>
      <c r="D66" s="106"/>
      <c r="E66" s="18">
        <v>860</v>
      </c>
      <c r="F66" s="18">
        <v>860</v>
      </c>
      <c r="G66" s="18">
        <v>860</v>
      </c>
      <c r="H66" s="18">
        <v>860</v>
      </c>
      <c r="I66" s="18">
        <v>860</v>
      </c>
      <c r="J66" s="18">
        <v>860</v>
      </c>
      <c r="K66" s="18">
        <v>860</v>
      </c>
      <c r="L66" s="18">
        <v>860</v>
      </c>
      <c r="M66" s="18">
        <v>860</v>
      </c>
      <c r="N66" s="18">
        <v>860</v>
      </c>
      <c r="O66" s="18">
        <v>860</v>
      </c>
      <c r="P66" s="18">
        <v>1504.92</v>
      </c>
      <c r="Q66" s="18">
        <v>860</v>
      </c>
      <c r="R66" s="18">
        <v>788.33</v>
      </c>
      <c r="S66" s="18">
        <v>716.66</v>
      </c>
      <c r="T66" s="18">
        <v>716.66</v>
      </c>
      <c r="U66" s="18">
        <v>716.66</v>
      </c>
      <c r="V66" s="18">
        <v>716.66</v>
      </c>
      <c r="W66" s="18">
        <v>716.66</v>
      </c>
      <c r="X66" s="18">
        <v>716.66</v>
      </c>
      <c r="Y66" s="18">
        <v>716.66</v>
      </c>
      <c r="Z66" s="18">
        <v>716.66</v>
      </c>
      <c r="AA66" s="18">
        <v>716.66</v>
      </c>
      <c r="AB66" s="102">
        <f t="shared" ref="AB66" si="657">SUM(U66:AA66)/SUM(U$57:AA$57)*AB$57</f>
        <v>1428.9868967305763</v>
      </c>
      <c r="AC66" s="102">
        <f t="shared" ref="AC66" si="658">SUM(V66:AB66)/SUM(V$57:AB$57)*AC$57</f>
        <v>0</v>
      </c>
      <c r="AD66" s="102">
        <f t="shared" ref="AD66" si="659">SUM(W66:AC66)/SUM(W$57:AC$57)*AD$57</f>
        <v>713.41123822583882</v>
      </c>
      <c r="AE66" s="102">
        <f t="shared" ref="AE66" si="660">SUM(X66:AD66)/SUM(X$57:AD$57)*AE$57</f>
        <v>709.66255889392494</v>
      </c>
      <c r="AF66" s="102">
        <f t="shared" ref="AF66" si="661">SUM(Y66:AE66)/SUM(Y$57:AE$57)*AF$57</f>
        <v>706.88512889981598</v>
      </c>
      <c r="AG66" s="102">
        <f t="shared" ref="AG66" si="662">SUM(Z66:AF66)/SUM(Z$57:AF$57)*AG$57</f>
        <v>703.95593044792315</v>
      </c>
      <c r="AH66" s="102">
        <f t="shared" ref="AH66" si="663">SUM(AA66:AG66)/SUM(AA$57:AG$57)*AH$57</f>
        <v>699.70981941850187</v>
      </c>
      <c r="AI66" s="102">
        <f t="shared" ref="AI66" si="664">SUM(AB66:AH66)/SUM(AB$57:AH$57)*AI$57</f>
        <v>708.94451037379736</v>
      </c>
      <c r="AJ66" s="102">
        <f t="shared" ref="AJ66" si="665">SUM(AC66:AI66)/SUM(AC$57:AI$57)*AJ$57</f>
        <v>707.09486437663361</v>
      </c>
      <c r="AK66" s="102">
        <f t="shared" ref="AK66" si="666">SUM(AD66:AJ66)/SUM(AD$57:AJ$57)*AK$57</f>
        <v>707.09486437663361</v>
      </c>
      <c r="AL66" s="102">
        <f t="shared" ref="AL66" si="667">SUM(AE66:AK66)/SUM(AE$57:AK$57)*AL$57</f>
        <v>706.1925252553184</v>
      </c>
      <c r="AM66" s="102">
        <f t="shared" ref="AM66" si="668">SUM(AF66:AL66)/SUM(AF$57:AL$57)*AM$57</f>
        <v>705.69680616408903</v>
      </c>
      <c r="AN66" s="102">
        <f t="shared" ref="AN66" si="669">SUM(AG66:AM66)/SUM(AG$57:AM$57)*AN$57</f>
        <v>1411.0540915465419</v>
      </c>
      <c r="AO66" s="102">
        <f t="shared" ref="AO66" si="670">SUM(AH66:AN66)/SUM(AH$57:AN$57)*AO$57</f>
        <v>0</v>
      </c>
      <c r="AP66" s="102">
        <f t="shared" ref="AP66" si="671">SUM(AI66:AO66)/SUM(AI$57:AO$57)*AP$57</f>
        <v>778.55534760786372</v>
      </c>
      <c r="AQ66" s="102">
        <f t="shared" ref="AQ66" si="672">SUM(AJ66:AP66)/SUM(AJ$57:AP$57)*AQ$57</f>
        <v>778.18888302481196</v>
      </c>
      <c r="AR66" s="102">
        <f t="shared" ref="AR66" si="673">SUM(AK66:AQ66)/SUM(AK$57:AQ$57)*AR$57</f>
        <v>778.05964521457827</v>
      </c>
      <c r="AS66" s="102">
        <f t="shared" ref="AS66" si="674">SUM(AL66:AR66)/SUM(AL$57:AR$57)*AS$57</f>
        <v>777.91451906083125</v>
      </c>
      <c r="AT66" s="102">
        <f t="shared" ref="AT66" si="675">SUM(AM66:AS66)/SUM(AM$57:AS$57)*AT$57</f>
        <v>777.88601998076967</v>
      </c>
      <c r="AU66" s="102">
        <f t="shared" ref="AU66" si="676">SUM(AN66:AT66)/SUM(AN$57:AT$57)*AU$57</f>
        <v>777.9268505261972</v>
      </c>
      <c r="AV66" s="102">
        <f t="shared" ref="AV66" si="677">SUM(AO66:AU66)/SUM(AO$57:AU$57)*AV$57</f>
        <v>778.08854423584194</v>
      </c>
      <c r="AW66" s="102">
        <f t="shared" ref="AW66" si="678">SUM(AP66:AV66)/SUM(AP$57:AV$57)*AW$57</f>
        <v>778.08854423584194</v>
      </c>
      <c r="AX66" s="102">
        <f t="shared" ref="AX66" si="679">SUM(AQ66:AW66)/SUM(AQ$57:AW$57)*AX$57</f>
        <v>778.02185803983889</v>
      </c>
      <c r="AY66" s="102">
        <f t="shared" ref="AY66" si="680">SUM(AR66:AX66)/SUM(AR$57:AX$57)*AY$57</f>
        <v>777.99799732769998</v>
      </c>
      <c r="AZ66" s="102">
        <f t="shared" ref="AZ66" si="681">SUM(AS66:AY66)/SUM(AS$57:AY$57)*AZ$57</f>
        <v>1555.9783809734347</v>
      </c>
      <c r="BA66" s="102">
        <f t="shared" ref="BA66" si="682">SUM(AT66:AZ66)/SUM(AT$57:AZ$57)*BA$57</f>
        <v>0</v>
      </c>
      <c r="BB66" s="102">
        <f t="shared" ref="BB66" si="683">SUM(AU66:BA66)/SUM(AU$57:BA$57)*BB$57</f>
        <v>801.35503437128864</v>
      </c>
      <c r="BC66" s="102">
        <f t="shared" ref="BC66" si="684">SUM(AV66:BB66)/SUM(AV$57:BB$57)*BC$57</f>
        <v>801.36789046365072</v>
      </c>
      <c r="BD66" s="102">
        <f t="shared" ref="BD66" si="685">SUM(AW66:BC66)/SUM(AW$57:BC$57)*BD$57</f>
        <v>801.35892302749403</v>
      </c>
      <c r="BE66" s="102">
        <f t="shared" ref="BE66" si="686">SUM(AX66:BD66)/SUM(AX$57:BD$57)*BE$57</f>
        <v>801.34872873476866</v>
      </c>
      <c r="BF66" s="102">
        <f t="shared" ref="BF66" si="687">SUM(AY66:BE66)/SUM(AY$57:BE$57)*BF$57</f>
        <v>801.34679263276507</v>
      </c>
      <c r="BG66" s="102">
        <f t="shared" ref="BG66" si="688">SUM(AZ66:BF66)/SUM(AZ$57:BF$57)*BG$57</f>
        <v>801.34803114818226</v>
      </c>
      <c r="BH66" s="102">
        <f t="shared" ref="BH66" si="689">SUM(BA66:BG66)/SUM(BA$57:BG$57)*BH$57</f>
        <v>801.35423339635827</v>
      </c>
      <c r="BI66" s="102">
        <f t="shared" ref="BI66" si="690">SUM(BB66:BH66)/SUM(BB$57:BH$57)*BI$57</f>
        <v>801.35423339635827</v>
      </c>
      <c r="BJ66" s="102">
        <f t="shared" ref="BJ66" si="691">SUM(BC66:BI66)/SUM(BC$57:BI$57)*BJ$57</f>
        <v>801.35411897136828</v>
      </c>
      <c r="BK66" s="102">
        <f t="shared" ref="BK66" si="692">SUM(BD66:BJ66)/SUM(BD$57:BJ$57)*BK$57</f>
        <v>801.35215161532801</v>
      </c>
      <c r="BL66" s="102">
        <f t="shared" ref="BL66" si="693">SUM(BE66:BK66)/SUM(BE$57:BK$57)*BL$57</f>
        <v>1602.7023685414654</v>
      </c>
      <c r="BM66" s="102">
        <f t="shared" ref="BM66" si="694">SUM(BF66:BL66)/SUM(BF$57:BL$57)*BM$57</f>
        <v>0</v>
      </c>
      <c r="BN66" s="102">
        <f t="shared" ref="BN66" si="695">SUM(BG66:BM66)/SUM(BG$57:BM$57)*BN$57</f>
        <v>825.39272731159019</v>
      </c>
      <c r="BO66" s="102">
        <f t="shared" ref="BO66" si="696">SUM(BH66:BN66)/SUM(BH$57:BN$57)*BO$57</f>
        <v>825.39333260731757</v>
      </c>
      <c r="BP66" s="102">
        <f t="shared" ref="BP66" si="697">SUM(BI66:BO66)/SUM(BI$57:BO$57)*BP$57</f>
        <v>825.39311620633589</v>
      </c>
      <c r="BQ66" s="102">
        <f t="shared" ref="BQ66" si="698">SUM(BJ66:BP66)/SUM(BJ$57:BP$57)*BQ$57</f>
        <v>825.39287019901394</v>
      </c>
      <c r="BR66" s="102">
        <f t="shared" ref="BR66" si="699">SUM(BK66:BQ66)/SUM(BK$57:BQ$57)*BR$57</f>
        <v>825.39260722970266</v>
      </c>
      <c r="BS66" s="102">
        <f t="shared" ref="BS66" si="700">SUM(BL66:BR66)/SUM(BL$57:BR$57)*BS$57</f>
        <v>825.39259199416631</v>
      </c>
      <c r="BT66" s="102">
        <f t="shared" ref="BT66" si="701">SUM(BM66:BS66)/SUM(BM$57:BS$57)*BT$57</f>
        <v>825.39287425802104</v>
      </c>
      <c r="BU66" s="102">
        <f t="shared" ref="BU66" si="702">SUM(BN66:BT66)/SUM(BN$57:BT$57)*BU$57</f>
        <v>825.39287425802127</v>
      </c>
      <c r="BV66" s="102">
        <f t="shared" ref="BV66" si="703">SUM(BO66:BU66)/SUM(BO$57:BU$57)*BV$57</f>
        <v>825.3928952503685</v>
      </c>
      <c r="BW66" s="102">
        <f t="shared" ref="BW66" si="704">SUM(BP66:BV66)/SUM(BP$57:BV$57)*BW$57</f>
        <v>825.39283277080426</v>
      </c>
      <c r="BX66" s="102">
        <f t="shared" ref="BX66" si="705">SUM(BQ66:BW66)/SUM(BQ$57:BW$57)*BX$57</f>
        <v>1650.7855845600279</v>
      </c>
      <c r="BY66" s="8"/>
      <c r="BZ66" s="72">
        <f t="shared" si="442"/>
        <v>716.66</v>
      </c>
      <c r="CA66" s="72">
        <f t="shared" si="443"/>
        <v>8098.2699999999986</v>
      </c>
      <c r="CB66" s="97"/>
      <c r="CC66" s="72">
        <f t="shared" si="444"/>
        <v>0</v>
      </c>
      <c r="CD66" s="72">
        <f t="shared" si="444"/>
        <v>0</v>
      </c>
      <c r="CE66" s="72">
        <f t="shared" si="444"/>
        <v>10964.92</v>
      </c>
      <c r="CF66" s="72">
        <f t="shared" si="444"/>
        <v>9527.2568967305742</v>
      </c>
      <c r="CG66" s="72">
        <f t="shared" si="444"/>
        <v>8479.7023379790189</v>
      </c>
      <c r="CH66" s="72">
        <f t="shared" si="444"/>
        <v>9336.70659022771</v>
      </c>
      <c r="CI66" s="72">
        <f t="shared" si="444"/>
        <v>9616.2425062990278</v>
      </c>
      <c r="CJ66" s="72">
        <f t="shared" si="444"/>
        <v>9904.7143066453682</v>
      </c>
      <c r="CL66" s="13"/>
      <c r="CM66" s="13"/>
    </row>
    <row r="67" spans="1:92" x14ac:dyDescent="0.3">
      <c r="A67" s="97" t="str">
        <f>'DCS Detail'!A67</f>
        <v xml:space="preserve">         273.1 WC - Substitute Teachers</v>
      </c>
      <c r="B67" s="106" t="str">
        <f>IF('DCS Detail'!$B67="","",'DCS Detail'!$B67)</f>
        <v>Benefits</v>
      </c>
      <c r="C67" s="106"/>
      <c r="D67" s="106"/>
      <c r="E67" s="18">
        <v>0</v>
      </c>
      <c r="F67" s="18">
        <v>0</v>
      </c>
      <c r="G67" s="18">
        <v>0</v>
      </c>
      <c r="H67" s="18">
        <v>0</v>
      </c>
      <c r="I67" s="18">
        <v>0</v>
      </c>
      <c r="J67" s="18">
        <v>0</v>
      </c>
      <c r="K67" s="18">
        <v>0</v>
      </c>
      <c r="L67" s="18">
        <v>0</v>
      </c>
      <c r="M67" s="18">
        <v>0</v>
      </c>
      <c r="N67" s="18">
        <v>0</v>
      </c>
      <c r="O67" s="18">
        <v>0</v>
      </c>
      <c r="P67" s="18">
        <v>0</v>
      </c>
      <c r="Q67" s="18">
        <v>0</v>
      </c>
      <c r="R67" s="18">
        <v>35.83</v>
      </c>
      <c r="S67" s="18">
        <v>71.67</v>
      </c>
      <c r="T67" s="18">
        <v>71.67</v>
      </c>
      <c r="U67" s="18">
        <v>71.67</v>
      </c>
      <c r="V67" s="18">
        <v>71.67</v>
      </c>
      <c r="W67" s="18">
        <v>71.67</v>
      </c>
      <c r="X67" s="18">
        <v>71.67</v>
      </c>
      <c r="Y67" s="18">
        <v>71.67</v>
      </c>
      <c r="Z67" s="18">
        <v>71.67</v>
      </c>
      <c r="AA67" s="18">
        <v>71.67</v>
      </c>
      <c r="AB67" s="102">
        <f t="shared" ref="AB67" si="706">SUM(U67:AA67)/SUM(U$58:AA$58)*AB$58</f>
        <v>146.96954704568358</v>
      </c>
      <c r="AC67" s="102">
        <f t="shared" ref="AC67" si="707">SUM(V67:AB67)/SUM(V$58:AB$58)*AC$58</f>
        <v>0</v>
      </c>
      <c r="AD67" s="102">
        <f t="shared" ref="AD67" si="708">SUM(W67:AC67)/SUM(W$58:AC$58)*AD$58</f>
        <v>71.727699372231058</v>
      </c>
      <c r="AE67" s="102">
        <f t="shared" ref="AE67" si="709">SUM(X67:AD67)/SUM(X$58:AD$58)*AE$58</f>
        <v>71.352626619358887</v>
      </c>
      <c r="AF67" s="102">
        <f t="shared" ref="AF67" si="710">SUM(Y67:AE67)/SUM(Y$58:AE$58)*AF$58</f>
        <v>71.265806353442926</v>
      </c>
      <c r="AG67" s="102">
        <f t="shared" ref="AG67" si="711">SUM(Z67:AF67)/SUM(Z$58:AF$58)*AG$58</f>
        <v>70.252167346021494</v>
      </c>
      <c r="AH67" s="102">
        <f t="shared" ref="AH67" si="712">SUM(AA67:AG67)/SUM(AA$58:AG$58)*AH$58</f>
        <v>69.673368805935283</v>
      </c>
      <c r="AI67" s="102">
        <f t="shared" ref="AI67" si="713">SUM(AB67:AH67)/SUM(AB$58:AH$58)*AI$58</f>
        <v>71.605887934667621</v>
      </c>
      <c r="AJ67" s="102">
        <f t="shared" ref="AJ67" si="714">SUM(AC67:AI67)/SUM(AC$58:AI$58)*AJ$58</f>
        <v>70.979592738609554</v>
      </c>
      <c r="AK67" s="102">
        <f t="shared" ref="AK67" si="715">SUM(AD67:AJ67)/SUM(AD$58:AJ$58)*AK$58</f>
        <v>70.979592738609554</v>
      </c>
      <c r="AL67" s="102">
        <f t="shared" ref="AL67" si="716">SUM(AE67:AK67)/SUM(AE$58:AK$58)*AL$58</f>
        <v>70.872720362377919</v>
      </c>
      <c r="AM67" s="102">
        <f t="shared" ref="AM67" si="717">SUM(AF67:AL67)/SUM(AF$58:AL$58)*AM$58</f>
        <v>70.80416232566634</v>
      </c>
      <c r="AN67" s="102">
        <f t="shared" ref="AN67" si="718">SUM(AG67:AM67)/SUM(AG$58:AM$58)*AN$58</f>
        <v>141.47642635768221</v>
      </c>
      <c r="AO67" s="102">
        <f t="shared" ref="AO67" si="719">SUM(AH67:AN67)/SUM(AH$58:AN$58)*AO$58</f>
        <v>0</v>
      </c>
      <c r="AP67" s="102">
        <f t="shared" ref="AP67" si="720">SUM(AI67:AO67)/SUM(AI$58:AO$58)*AP$58</f>
        <v>78.187763989507374</v>
      </c>
      <c r="AQ67" s="102">
        <f t="shared" ref="AQ67" si="721">SUM(AJ67:AP67)/SUM(AJ$58:AP$58)*AQ$58</f>
        <v>78.087518004846501</v>
      </c>
      <c r="AR67" s="102">
        <f t="shared" ref="AR67" si="722">SUM(AK67:AQ67)/SUM(AK$58:AQ$58)*AR$58</f>
        <v>78.070569949103614</v>
      </c>
      <c r="AS67" s="102">
        <f t="shared" ref="AS67" si="723">SUM(AL67:AR67)/SUM(AL$58:AR$58)*AS$58</f>
        <v>78.05153831943575</v>
      </c>
      <c r="AT67" s="102">
        <f t="shared" ref="AT67" si="724">SUM(AM67:AS67)/SUM(AM$58:AS$58)*AT$58</f>
        <v>78.046096453826891</v>
      </c>
      <c r="AU67" s="102">
        <f t="shared" ref="AU67" si="725">SUM(AN67:AT67)/SUM(AN$58:AT$58)*AU$58</f>
        <v>78.050063429746615</v>
      </c>
      <c r="AV67" s="102">
        <f t="shared" ref="AV67" si="726">SUM(AO67:AU67)/SUM(AO$58:AU$58)*AV$58</f>
        <v>78.082258357744465</v>
      </c>
      <c r="AW67" s="102">
        <f t="shared" ref="AW67" si="727">SUM(AP67:AV67)/SUM(AP$58:AV$58)*AW$58</f>
        <v>78.08225835774445</v>
      </c>
      <c r="AX67" s="102">
        <f t="shared" ref="AX67" si="728">SUM(AQ67:AW67)/SUM(AQ$58:AW$58)*AX$58</f>
        <v>78.067186124635469</v>
      </c>
      <c r="AY67" s="102">
        <f t="shared" ref="AY67" si="729">SUM(AR67:AX67)/SUM(AR$58:AX$58)*AY$58</f>
        <v>78.064281570319608</v>
      </c>
      <c r="AZ67" s="102">
        <f t="shared" ref="AZ67" si="730">SUM(AS67:AY67)/SUM(AS$58:AY$58)*AZ$58</f>
        <v>156.12676646098663</v>
      </c>
      <c r="BA67" s="102">
        <f t="shared" ref="BA67" si="731">SUM(AT67:AZ67)/SUM(AT$58:AZ$58)*BA$58</f>
        <v>0</v>
      </c>
      <c r="BB67" s="102">
        <f t="shared" ref="BB67" si="732">SUM(AU67:BA67)/SUM(AU$58:BA$58)*BB$58</f>
        <v>80.409571247173233</v>
      </c>
      <c r="BC67" s="102">
        <f t="shared" ref="BC67" si="733">SUM(AV67:BB67)/SUM(AV$58:BB$58)*BC$58</f>
        <v>80.412132543693005</v>
      </c>
      <c r="BD67" s="102">
        <f t="shared" ref="BD67" si="734">SUM(AW67:BC67)/SUM(AW$58:BC$58)*BD$58</f>
        <v>80.410348752647153</v>
      </c>
      <c r="BE67" s="102">
        <f t="shared" ref="BE67" si="735">SUM(AX67:BD67)/SUM(AX$58:BD$58)*BE$58</f>
        <v>80.408320916846051</v>
      </c>
      <c r="BF67" s="102">
        <f t="shared" ref="BF67" si="736">SUM(AY67:BE67)/SUM(AY$58:BE$58)*BF$58</f>
        <v>80.408197210170727</v>
      </c>
      <c r="BG67" s="102">
        <f t="shared" ref="BG67" si="737">SUM(AZ67:BF67)/SUM(AZ$58:BF$58)*BG$58</f>
        <v>80.408475139225501</v>
      </c>
      <c r="BH67" s="102">
        <f t="shared" ref="BH67" si="738">SUM(BA67:BG67)/SUM(BA$58:BG$58)*BH$58</f>
        <v>80.409507634959283</v>
      </c>
      <c r="BI67" s="102">
        <f t="shared" ref="BI67" si="739">SUM(BB67:BH67)/SUM(BB$58:BH$58)*BI$58</f>
        <v>80.409507634959283</v>
      </c>
      <c r="BJ67" s="102">
        <f t="shared" ref="BJ67" si="740">SUM(BC67:BI67)/SUM(BC$58:BI$58)*BJ$58</f>
        <v>80.409498547500121</v>
      </c>
      <c r="BK67" s="102">
        <f t="shared" ref="BK67" si="741">SUM(BD67:BJ67)/SUM(BD$58:BJ$58)*BK$58</f>
        <v>80.409122262329703</v>
      </c>
      <c r="BL67" s="102">
        <f t="shared" ref="BL67" si="742">SUM(BE67:BK67)/SUM(BE$58:BK$58)*BL$58</f>
        <v>160.81789409885445</v>
      </c>
      <c r="BM67" s="102">
        <f t="shared" ref="BM67" si="743">SUM(BF67:BL67)/SUM(BF$58:BL$58)*BM$58</f>
        <v>0</v>
      </c>
      <c r="BN67" s="102">
        <f t="shared" ref="BN67" si="744">SUM(BG67:BM67)/SUM(BG$58:BM$58)*BN$58</f>
        <v>82.821417925337599</v>
      </c>
      <c r="BO67" s="102">
        <f t="shared" ref="BO67" si="745">SUM(BH67:BN67)/SUM(BH$58:BN$58)*BO$58</f>
        <v>82.821515867291438</v>
      </c>
      <c r="BP67" s="102">
        <f t="shared" ref="BP67" si="746">SUM(BI67:BO67)/SUM(BI$58:BO$58)*BP$58</f>
        <v>82.821476632629</v>
      </c>
      <c r="BQ67" s="102">
        <f t="shared" ref="BQ67" si="747">SUM(BJ67:BP67)/SUM(BJ$58:BP$58)*BQ$58</f>
        <v>82.821432030177803</v>
      </c>
      <c r="BR67" s="102">
        <f t="shared" ref="BR67" si="748">SUM(BK67:BQ67)/SUM(BK$58:BQ$58)*BR$58</f>
        <v>82.821382665887441</v>
      </c>
      <c r="BS67" s="102">
        <f t="shared" ref="BS67" si="749">SUM(BL67:BR67)/SUM(BL$58:BR$58)*BS$58</f>
        <v>82.821380810738901</v>
      </c>
      <c r="BT67" s="102">
        <f t="shared" ref="BT67" si="750">SUM(BM67:BS67)/SUM(BM$58:BS$58)*BT$58</f>
        <v>82.821434322010361</v>
      </c>
      <c r="BU67" s="102">
        <f t="shared" ref="BU67" si="751">SUM(BN67:BT67)/SUM(BN$58:BT$58)*BU$58</f>
        <v>82.821434322010361</v>
      </c>
      <c r="BV67" s="102">
        <f t="shared" ref="BV67" si="752">SUM(BO67:BU67)/SUM(BO$58:BU$58)*BV$58</f>
        <v>82.821436664392195</v>
      </c>
      <c r="BW67" s="102">
        <f t="shared" ref="BW67" si="753">SUM(BP67:BV67)/SUM(BP$58:BV$58)*BW$58</f>
        <v>82.821425349692291</v>
      </c>
      <c r="BX67" s="102">
        <f t="shared" ref="BX67" si="754">SUM(BQ67:BW67)/SUM(BQ$58:BW$58)*BX$58</f>
        <v>165.64283604711699</v>
      </c>
      <c r="BY67" s="8"/>
      <c r="BZ67" s="72">
        <f t="shared" si="442"/>
        <v>71.67</v>
      </c>
      <c r="CA67" s="72">
        <f t="shared" si="443"/>
        <v>680.86</v>
      </c>
      <c r="CB67" s="97"/>
      <c r="CC67" s="72">
        <f t="shared" si="444"/>
        <v>0</v>
      </c>
      <c r="CD67" s="72">
        <f t="shared" si="444"/>
        <v>0</v>
      </c>
      <c r="CE67" s="72">
        <f t="shared" si="444"/>
        <v>0</v>
      </c>
      <c r="CF67" s="72">
        <f t="shared" si="444"/>
        <v>827.82954704568363</v>
      </c>
      <c r="CG67" s="72">
        <f t="shared" si="444"/>
        <v>850.99005095460279</v>
      </c>
      <c r="CH67" s="72">
        <f t="shared" si="444"/>
        <v>936.91630101789724</v>
      </c>
      <c r="CI67" s="72">
        <f t="shared" si="444"/>
        <v>964.91257598835853</v>
      </c>
      <c r="CJ67" s="72">
        <f t="shared" si="444"/>
        <v>993.85717263728429</v>
      </c>
      <c r="CL67" s="13"/>
      <c r="CM67" s="13"/>
    </row>
    <row r="68" spans="1:92" x14ac:dyDescent="0.3">
      <c r="A68" s="97" t="str">
        <f>'DCS Detail'!A68</f>
        <v xml:space="preserve">         535.1 Data Communication Internet Svc</v>
      </c>
      <c r="B68" s="106" t="str">
        <f>IF('DCS Detail'!$B68="","",'DCS Detail'!$B68)</f>
        <v>Utilities</v>
      </c>
      <c r="C68" s="106"/>
      <c r="D68" s="106"/>
      <c r="E68" s="18">
        <v>0</v>
      </c>
      <c r="F68" s="18">
        <v>110.22</v>
      </c>
      <c r="G68" s="18">
        <v>108.06</v>
      </c>
      <c r="H68" s="18">
        <v>0</v>
      </c>
      <c r="I68" s="18">
        <v>0</v>
      </c>
      <c r="J68" s="18">
        <v>110.98</v>
      </c>
      <c r="K68" s="18">
        <v>1309.8800000000001</v>
      </c>
      <c r="L68" s="18">
        <v>0</v>
      </c>
      <c r="M68" s="18">
        <v>225.3599999999999</v>
      </c>
      <c r="N68" s="18">
        <v>0</v>
      </c>
      <c r="O68" s="18">
        <v>0</v>
      </c>
      <c r="P68" s="18">
        <v>76.44</v>
      </c>
      <c r="Q68" s="18">
        <v>838.46</v>
      </c>
      <c r="R68" s="18">
        <v>1121.6600000000001</v>
      </c>
      <c r="S68" s="18">
        <v>0</v>
      </c>
      <c r="T68" s="18">
        <v>0</v>
      </c>
      <c r="U68" s="18">
        <v>0</v>
      </c>
      <c r="V68" s="18">
        <v>0</v>
      </c>
      <c r="W68" s="18">
        <v>0</v>
      </c>
      <c r="X68" s="18">
        <v>2641.47</v>
      </c>
      <c r="Y68" s="18">
        <v>0</v>
      </c>
      <c r="Z68" s="18">
        <v>1490</v>
      </c>
      <c r="AA68" s="18">
        <v>996.96</v>
      </c>
      <c r="AB68" s="120">
        <f t="shared" ref="AB68:AN70" si="755">P68*(1+AB$263)</f>
        <v>78.733199999999997</v>
      </c>
      <c r="AC68" s="120">
        <f t="shared" si="755"/>
        <v>863.61380000000008</v>
      </c>
      <c r="AD68" s="120">
        <f t="shared" si="755"/>
        <v>1155.3098000000002</v>
      </c>
      <c r="AE68" s="120">
        <f t="shared" si="755"/>
        <v>0</v>
      </c>
      <c r="AF68" s="120">
        <f t="shared" si="755"/>
        <v>0</v>
      </c>
      <c r="AG68" s="120">
        <f t="shared" si="755"/>
        <v>0</v>
      </c>
      <c r="AH68" s="120">
        <f t="shared" si="755"/>
        <v>0</v>
      </c>
      <c r="AI68" s="120">
        <f t="shared" si="755"/>
        <v>0</v>
      </c>
      <c r="AJ68" s="120">
        <f t="shared" si="755"/>
        <v>2720.7140999999997</v>
      </c>
      <c r="AK68" s="120">
        <f t="shared" si="755"/>
        <v>0</v>
      </c>
      <c r="AL68" s="120">
        <f t="shared" si="755"/>
        <v>1534.7</v>
      </c>
      <c r="AM68" s="120">
        <f t="shared" si="755"/>
        <v>1026.8688</v>
      </c>
      <c r="AN68" s="120">
        <f t="shared" si="755"/>
        <v>81.095196000000001</v>
      </c>
      <c r="AO68" s="397">
        <f t="shared" ref="AO68:AZ69" si="756">AC68*(1+($AP$19/$AO$19-1))</f>
        <v>1051.3559304347827</v>
      </c>
      <c r="AP68" s="397">
        <f t="shared" si="756"/>
        <v>1406.4641043478264</v>
      </c>
      <c r="AQ68" s="397">
        <f t="shared" si="756"/>
        <v>0</v>
      </c>
      <c r="AR68" s="397">
        <f t="shared" si="756"/>
        <v>0</v>
      </c>
      <c r="AS68" s="397">
        <f t="shared" si="756"/>
        <v>0</v>
      </c>
      <c r="AT68" s="397">
        <f t="shared" si="756"/>
        <v>0</v>
      </c>
      <c r="AU68" s="397">
        <f t="shared" si="756"/>
        <v>0</v>
      </c>
      <c r="AV68" s="397">
        <f t="shared" si="756"/>
        <v>3312.1736869565216</v>
      </c>
      <c r="AW68" s="397">
        <f t="shared" si="756"/>
        <v>0</v>
      </c>
      <c r="AX68" s="397">
        <f t="shared" si="756"/>
        <v>1868.3304347826088</v>
      </c>
      <c r="AY68" s="397">
        <f t="shared" si="756"/>
        <v>1250.1011478260871</v>
      </c>
      <c r="AZ68" s="397">
        <f t="shared" si="756"/>
        <v>98.724586434782623</v>
      </c>
      <c r="BA68" s="120">
        <f t="shared" ref="BA68:BJ73" si="757">AO68*(1+BA$263)</f>
        <v>1082.8966083478263</v>
      </c>
      <c r="BB68" s="120">
        <f t="shared" si="757"/>
        <v>1448.6580274782611</v>
      </c>
      <c r="BC68" s="120">
        <f t="shared" si="757"/>
        <v>0</v>
      </c>
      <c r="BD68" s="120">
        <f t="shared" si="757"/>
        <v>0</v>
      </c>
      <c r="BE68" s="120">
        <f t="shared" si="757"/>
        <v>0</v>
      </c>
      <c r="BF68" s="120">
        <f t="shared" si="757"/>
        <v>0</v>
      </c>
      <c r="BG68" s="120">
        <f t="shared" si="757"/>
        <v>0</v>
      </c>
      <c r="BH68" s="120">
        <f t="shared" si="757"/>
        <v>3411.5388975652172</v>
      </c>
      <c r="BI68" s="120">
        <f t="shared" si="757"/>
        <v>0</v>
      </c>
      <c r="BJ68" s="120">
        <f t="shared" si="757"/>
        <v>1924.380347826087</v>
      </c>
      <c r="BK68" s="120">
        <f t="shared" ref="BK68:BT73" si="758">AY68*(1+BK$263)</f>
        <v>1287.6041822608697</v>
      </c>
      <c r="BL68" s="120">
        <f t="shared" si="758"/>
        <v>101.6863240278261</v>
      </c>
      <c r="BM68" s="120">
        <f t="shared" si="758"/>
        <v>1115.383506598261</v>
      </c>
      <c r="BN68" s="120">
        <f t="shared" si="758"/>
        <v>1492.117768302609</v>
      </c>
      <c r="BO68" s="120">
        <f t="shared" si="758"/>
        <v>0</v>
      </c>
      <c r="BP68" s="120">
        <f t="shared" si="758"/>
        <v>0</v>
      </c>
      <c r="BQ68" s="120">
        <f t="shared" si="758"/>
        <v>0</v>
      </c>
      <c r="BR68" s="120">
        <f t="shared" si="758"/>
        <v>0</v>
      </c>
      <c r="BS68" s="120">
        <f t="shared" si="758"/>
        <v>0</v>
      </c>
      <c r="BT68" s="120">
        <f t="shared" si="758"/>
        <v>3513.885064492174</v>
      </c>
      <c r="BU68" s="120">
        <f t="shared" ref="BU68:BX73" si="759">BI68*(1+BU$263)</f>
        <v>0</v>
      </c>
      <c r="BV68" s="120">
        <f t="shared" si="759"/>
        <v>1982.1117582608697</v>
      </c>
      <c r="BW68" s="120">
        <f t="shared" si="759"/>
        <v>1326.2323077286958</v>
      </c>
      <c r="BX68" s="120">
        <f t="shared" si="759"/>
        <v>104.73691374866088</v>
      </c>
      <c r="BY68" s="8"/>
      <c r="BZ68" s="72">
        <f t="shared" si="442"/>
        <v>996.96</v>
      </c>
      <c r="CA68" s="72">
        <f t="shared" si="443"/>
        <v>7088.55</v>
      </c>
      <c r="CB68" s="97"/>
      <c r="CC68" s="72">
        <f t="shared" ref="CC68:CJ77" si="760">SUMIF($C$3:$BY$3,CC$3,$C68:$BY68)</f>
        <v>0</v>
      </c>
      <c r="CD68" s="72">
        <f t="shared" si="760"/>
        <v>0</v>
      </c>
      <c r="CE68" s="72">
        <f t="shared" si="760"/>
        <v>1940.94</v>
      </c>
      <c r="CF68" s="72">
        <f t="shared" si="760"/>
        <v>7167.2831999999999</v>
      </c>
      <c r="CG68" s="72">
        <f t="shared" si="760"/>
        <v>7382.3016960000004</v>
      </c>
      <c r="CH68" s="72">
        <f t="shared" si="760"/>
        <v>8987.1498907826099</v>
      </c>
      <c r="CI68" s="72">
        <f t="shared" si="760"/>
        <v>9256.7643875060858</v>
      </c>
      <c r="CJ68" s="72">
        <f t="shared" si="760"/>
        <v>9534.4673191312704</v>
      </c>
      <c r="CL68" s="13"/>
      <c r="CM68" s="13"/>
    </row>
    <row r="69" spans="1:92" x14ac:dyDescent="0.3">
      <c r="A69" s="97" t="str">
        <f>'DCS Detail'!A69</f>
        <v xml:space="preserve">         610.1 Classroom Supplies/Consumables</v>
      </c>
      <c r="B69" s="106" t="str">
        <f>IF('DCS Detail'!$B69="","",'DCS Detail'!$B69)</f>
        <v>Supplies</v>
      </c>
      <c r="C69" s="106"/>
      <c r="D69" s="106"/>
      <c r="E69" s="18">
        <v>0</v>
      </c>
      <c r="F69" s="18">
        <v>680.06</v>
      </c>
      <c r="G69" s="18">
        <v>0</v>
      </c>
      <c r="H69" s="18">
        <v>1035.25</v>
      </c>
      <c r="I69" s="18">
        <v>21.77</v>
      </c>
      <c r="J69" s="18">
        <v>0</v>
      </c>
      <c r="K69" s="18">
        <v>167.96</v>
      </c>
      <c r="L69" s="18">
        <v>0</v>
      </c>
      <c r="M69" s="18">
        <v>117.58</v>
      </c>
      <c r="N69" s="18">
        <v>0</v>
      </c>
      <c r="O69" s="18">
        <v>0</v>
      </c>
      <c r="P69" s="18">
        <v>2184</v>
      </c>
      <c r="Q69" s="18">
        <v>714.61</v>
      </c>
      <c r="R69" s="18">
        <v>2450.1</v>
      </c>
      <c r="S69" s="18">
        <v>1702.03</v>
      </c>
      <c r="T69" s="18">
        <v>846.08</v>
      </c>
      <c r="U69" s="18">
        <v>2238.4299999999998</v>
      </c>
      <c r="V69" s="18">
        <v>292.91000000000003</v>
      </c>
      <c r="W69" s="18">
        <v>1477.85</v>
      </c>
      <c r="X69" s="18">
        <v>821.82</v>
      </c>
      <c r="Y69" s="18">
        <v>897.63</v>
      </c>
      <c r="Z69" s="18">
        <v>149.94</v>
      </c>
      <c r="AA69" s="18">
        <v>985.93</v>
      </c>
      <c r="AB69" s="120">
        <f t="shared" si="755"/>
        <v>2249.52</v>
      </c>
      <c r="AC69" s="120">
        <f t="shared" si="755"/>
        <v>736.04830000000004</v>
      </c>
      <c r="AD69" s="120">
        <f t="shared" si="755"/>
        <v>2523.6030000000001</v>
      </c>
      <c r="AE69" s="120">
        <f t="shared" si="755"/>
        <v>1753.0908999999999</v>
      </c>
      <c r="AF69" s="120">
        <f t="shared" si="755"/>
        <v>871.46240000000012</v>
      </c>
      <c r="AG69" s="120">
        <f t="shared" si="755"/>
        <v>2305.5828999999999</v>
      </c>
      <c r="AH69" s="120">
        <f t="shared" si="755"/>
        <v>301.69730000000004</v>
      </c>
      <c r="AI69" s="120">
        <f t="shared" si="755"/>
        <v>1522.1855</v>
      </c>
      <c r="AJ69" s="120">
        <f t="shared" si="755"/>
        <v>846.47460000000012</v>
      </c>
      <c r="AK69" s="120">
        <f t="shared" si="755"/>
        <v>924.55889999999999</v>
      </c>
      <c r="AL69" s="120">
        <f t="shared" si="755"/>
        <v>154.43819999999999</v>
      </c>
      <c r="AM69" s="120">
        <f t="shared" si="755"/>
        <v>1015.5078999999999</v>
      </c>
      <c r="AN69" s="120">
        <f t="shared" si="755"/>
        <v>2317.0056</v>
      </c>
      <c r="AO69" s="397">
        <f t="shared" si="756"/>
        <v>896.05880000000013</v>
      </c>
      <c r="AP69" s="397">
        <f t="shared" si="756"/>
        <v>3072.2123478260874</v>
      </c>
      <c r="AQ69" s="397">
        <f t="shared" si="756"/>
        <v>2134.1976173913044</v>
      </c>
      <c r="AR69" s="397">
        <f t="shared" si="756"/>
        <v>1060.9107478260871</v>
      </c>
      <c r="AS69" s="397">
        <f t="shared" si="756"/>
        <v>2806.7965739130436</v>
      </c>
      <c r="AT69" s="397">
        <f t="shared" si="756"/>
        <v>367.28366956521745</v>
      </c>
      <c r="AU69" s="397">
        <f t="shared" si="756"/>
        <v>1853.0953913043479</v>
      </c>
      <c r="AV69" s="397">
        <f t="shared" si="756"/>
        <v>1030.4908173913045</v>
      </c>
      <c r="AW69" s="397">
        <f t="shared" si="756"/>
        <v>1125.5499652173914</v>
      </c>
      <c r="AX69" s="397">
        <f t="shared" si="756"/>
        <v>188.01172173913045</v>
      </c>
      <c r="AY69" s="397">
        <f t="shared" si="756"/>
        <v>1236.2704869565218</v>
      </c>
      <c r="AZ69" s="397">
        <f t="shared" si="756"/>
        <v>2820.7024695652176</v>
      </c>
      <c r="BA69" s="120">
        <f t="shared" si="757"/>
        <v>922.94056400000011</v>
      </c>
      <c r="BB69" s="120">
        <f t="shared" si="757"/>
        <v>3164.3787182608698</v>
      </c>
      <c r="BC69" s="120">
        <f t="shared" si="757"/>
        <v>2198.2235459130438</v>
      </c>
      <c r="BD69" s="120">
        <f t="shared" si="757"/>
        <v>1092.7380702608698</v>
      </c>
      <c r="BE69" s="120">
        <f t="shared" si="757"/>
        <v>2891.000471130435</v>
      </c>
      <c r="BF69" s="120">
        <f t="shared" si="757"/>
        <v>378.302179652174</v>
      </c>
      <c r="BG69" s="120">
        <f t="shared" si="757"/>
        <v>1908.6882530434784</v>
      </c>
      <c r="BH69" s="120">
        <f t="shared" si="757"/>
        <v>1061.4055419130436</v>
      </c>
      <c r="BI69" s="120">
        <f t="shared" si="757"/>
        <v>1159.3164641739131</v>
      </c>
      <c r="BJ69" s="120">
        <f t="shared" si="757"/>
        <v>193.65207339130436</v>
      </c>
      <c r="BK69" s="120">
        <f t="shared" si="758"/>
        <v>1273.3586015652174</v>
      </c>
      <c r="BL69" s="120">
        <f t="shared" si="758"/>
        <v>2905.3235436521741</v>
      </c>
      <c r="BM69" s="120">
        <f t="shared" si="758"/>
        <v>950.62878092000017</v>
      </c>
      <c r="BN69" s="120">
        <f t="shared" si="758"/>
        <v>3259.3100798086962</v>
      </c>
      <c r="BO69" s="120">
        <f t="shared" si="758"/>
        <v>2264.1702522904352</v>
      </c>
      <c r="BP69" s="120">
        <f t="shared" si="758"/>
        <v>1125.5202123686959</v>
      </c>
      <c r="BQ69" s="120">
        <f t="shared" si="758"/>
        <v>2977.7304852643483</v>
      </c>
      <c r="BR69" s="120">
        <f t="shared" si="758"/>
        <v>389.65124504173923</v>
      </c>
      <c r="BS69" s="120">
        <f t="shared" si="758"/>
        <v>1965.9489006347828</v>
      </c>
      <c r="BT69" s="120">
        <f t="shared" si="758"/>
        <v>1093.2477081704349</v>
      </c>
      <c r="BU69" s="120">
        <f t="shared" si="759"/>
        <v>1194.0959580991305</v>
      </c>
      <c r="BV69" s="120">
        <f t="shared" si="759"/>
        <v>199.4616355930435</v>
      </c>
      <c r="BW69" s="120">
        <f t="shared" si="759"/>
        <v>1311.5593596121739</v>
      </c>
      <c r="BX69" s="120">
        <f t="shared" si="759"/>
        <v>2992.4832499617391</v>
      </c>
      <c r="BY69" s="8"/>
      <c r="BZ69" s="72">
        <f t="shared" si="442"/>
        <v>985.93</v>
      </c>
      <c r="CA69" s="72">
        <f t="shared" si="443"/>
        <v>12577.33</v>
      </c>
      <c r="CB69" s="97"/>
      <c r="CC69" s="72">
        <f t="shared" si="760"/>
        <v>0</v>
      </c>
      <c r="CD69" s="72">
        <f t="shared" si="760"/>
        <v>0</v>
      </c>
      <c r="CE69" s="72">
        <f t="shared" si="760"/>
        <v>4206.62</v>
      </c>
      <c r="CF69" s="72">
        <f t="shared" si="760"/>
        <v>14826.85</v>
      </c>
      <c r="CG69" s="72">
        <f t="shared" si="760"/>
        <v>15271.655500000001</v>
      </c>
      <c r="CH69" s="72">
        <f t="shared" si="760"/>
        <v>18591.580608695655</v>
      </c>
      <c r="CI69" s="72">
        <f t="shared" si="760"/>
        <v>19149.328026956522</v>
      </c>
      <c r="CJ69" s="72">
        <f t="shared" si="760"/>
        <v>19723.807867765219</v>
      </c>
      <c r="CL69" s="13"/>
      <c r="CM69" s="13"/>
    </row>
    <row r="70" spans="1:92" x14ac:dyDescent="0.3">
      <c r="A70" s="97" t="str">
        <f>'DCS Detail'!A70</f>
        <v xml:space="preserve">         612.1 General Equipment &amp; Supplies</v>
      </c>
      <c r="B70" s="106" t="str">
        <f>IF('DCS Detail'!$B70="","",'DCS Detail'!$B70)</f>
        <v>Supplies</v>
      </c>
      <c r="C70" s="106"/>
      <c r="D70" s="106"/>
      <c r="E70" s="18">
        <v>0</v>
      </c>
      <c r="F70" s="18">
        <v>34.25</v>
      </c>
      <c r="G70" s="18">
        <v>0</v>
      </c>
      <c r="H70" s="18">
        <v>5521.77</v>
      </c>
      <c r="I70" s="18">
        <v>240.96</v>
      </c>
      <c r="J70" s="18">
        <v>59.02</v>
      </c>
      <c r="K70" s="18">
        <v>226.41</v>
      </c>
      <c r="L70" s="18">
        <v>106.25999999999931</v>
      </c>
      <c r="M70" s="18">
        <v>-23.720000000000255</v>
      </c>
      <c r="N70" s="18">
        <v>148.35</v>
      </c>
      <c r="O70" s="18">
        <v>0</v>
      </c>
      <c r="P70" s="18">
        <v>0</v>
      </c>
      <c r="Q70" s="18">
        <v>2187.41</v>
      </c>
      <c r="R70" s="18">
        <v>-757.25</v>
      </c>
      <c r="S70" s="18">
        <v>0</v>
      </c>
      <c r="T70" s="18">
        <v>0</v>
      </c>
      <c r="U70" s="18">
        <v>66.78</v>
      </c>
      <c r="V70" s="18">
        <v>92.73</v>
      </c>
      <c r="W70" s="18">
        <v>0</v>
      </c>
      <c r="X70" s="18">
        <v>413.33</v>
      </c>
      <c r="Y70" s="18">
        <v>562.69000000000005</v>
      </c>
      <c r="Z70" s="18">
        <v>69.95</v>
      </c>
      <c r="AA70" s="18">
        <v>424.4500000000009</v>
      </c>
      <c r="AB70" s="120">
        <f t="shared" si="755"/>
        <v>0</v>
      </c>
      <c r="AC70" s="120">
        <f t="shared" si="755"/>
        <v>2253.0322999999999</v>
      </c>
      <c r="AD70" s="120">
        <f t="shared" si="755"/>
        <v>-779.96749999999997</v>
      </c>
      <c r="AE70" s="120">
        <f t="shared" si="755"/>
        <v>0</v>
      </c>
      <c r="AF70" s="120">
        <f t="shared" si="755"/>
        <v>0</v>
      </c>
      <c r="AG70" s="120">
        <f t="shared" si="755"/>
        <v>68.7834</v>
      </c>
      <c r="AH70" s="120">
        <f t="shared" si="755"/>
        <v>95.511900000000011</v>
      </c>
      <c r="AI70" s="120">
        <f t="shared" si="755"/>
        <v>0</v>
      </c>
      <c r="AJ70" s="120">
        <f t="shared" si="755"/>
        <v>425.72989999999999</v>
      </c>
      <c r="AK70" s="120">
        <f t="shared" si="755"/>
        <v>579.5707000000001</v>
      </c>
      <c r="AL70" s="120">
        <f t="shared" si="755"/>
        <v>72.048500000000004</v>
      </c>
      <c r="AM70" s="120">
        <f t="shared" si="755"/>
        <v>437.18350000000095</v>
      </c>
      <c r="AN70" s="120">
        <f t="shared" si="755"/>
        <v>0</v>
      </c>
      <c r="AO70" s="120">
        <f t="shared" ref="AO70:AZ70" si="761">AC70*(1+AO$263)</f>
        <v>2320.6232689999997</v>
      </c>
      <c r="AP70" s="120">
        <f t="shared" si="761"/>
        <v>-803.36652500000002</v>
      </c>
      <c r="AQ70" s="120">
        <f t="shared" si="761"/>
        <v>0</v>
      </c>
      <c r="AR70" s="120">
        <f t="shared" si="761"/>
        <v>0</v>
      </c>
      <c r="AS70" s="120">
        <f t="shared" si="761"/>
        <v>70.846902</v>
      </c>
      <c r="AT70" s="120">
        <f t="shared" si="761"/>
        <v>98.377257000000014</v>
      </c>
      <c r="AU70" s="120">
        <f t="shared" si="761"/>
        <v>0</v>
      </c>
      <c r="AV70" s="120">
        <f t="shared" si="761"/>
        <v>438.50179700000001</v>
      </c>
      <c r="AW70" s="120">
        <f t="shared" si="761"/>
        <v>596.95782100000008</v>
      </c>
      <c r="AX70" s="120">
        <f t="shared" si="761"/>
        <v>74.209955000000008</v>
      </c>
      <c r="AY70" s="120">
        <f t="shared" si="761"/>
        <v>450.29900500000099</v>
      </c>
      <c r="AZ70" s="120">
        <f t="shared" si="761"/>
        <v>0</v>
      </c>
      <c r="BA70" s="120">
        <f t="shared" si="757"/>
        <v>2390.2419670699996</v>
      </c>
      <c r="BB70" s="120">
        <f t="shared" si="757"/>
        <v>-827.46752075000006</v>
      </c>
      <c r="BC70" s="120">
        <f t="shared" si="757"/>
        <v>0</v>
      </c>
      <c r="BD70" s="120">
        <f t="shared" si="757"/>
        <v>0</v>
      </c>
      <c r="BE70" s="120">
        <f t="shared" si="757"/>
        <v>72.972309060000001</v>
      </c>
      <c r="BF70" s="120">
        <f t="shared" si="757"/>
        <v>101.32857471000001</v>
      </c>
      <c r="BG70" s="120">
        <f t="shared" si="757"/>
        <v>0</v>
      </c>
      <c r="BH70" s="120">
        <f t="shared" si="757"/>
        <v>451.65685091</v>
      </c>
      <c r="BI70" s="120">
        <f t="shared" si="757"/>
        <v>614.86655563000011</v>
      </c>
      <c r="BJ70" s="120">
        <f t="shared" si="757"/>
        <v>76.436253650000012</v>
      </c>
      <c r="BK70" s="120">
        <f t="shared" si="758"/>
        <v>463.80797515000103</v>
      </c>
      <c r="BL70" s="120">
        <f t="shared" si="758"/>
        <v>0</v>
      </c>
      <c r="BM70" s="120">
        <f t="shared" si="758"/>
        <v>2461.9492260820998</v>
      </c>
      <c r="BN70" s="120">
        <f t="shared" si="758"/>
        <v>-852.29154637250008</v>
      </c>
      <c r="BO70" s="120">
        <f t="shared" si="758"/>
        <v>0</v>
      </c>
      <c r="BP70" s="120">
        <f t="shared" si="758"/>
        <v>0</v>
      </c>
      <c r="BQ70" s="120">
        <f t="shared" si="758"/>
        <v>75.161478331799998</v>
      </c>
      <c r="BR70" s="120">
        <f t="shared" si="758"/>
        <v>104.36843195130001</v>
      </c>
      <c r="BS70" s="120">
        <f t="shared" si="758"/>
        <v>0</v>
      </c>
      <c r="BT70" s="120">
        <f t="shared" si="758"/>
        <v>465.20655643730004</v>
      </c>
      <c r="BU70" s="120">
        <f t="shared" si="759"/>
        <v>633.31255229890007</v>
      </c>
      <c r="BV70" s="120">
        <f t="shared" si="759"/>
        <v>78.729341259500018</v>
      </c>
      <c r="BW70" s="120">
        <f t="shared" si="759"/>
        <v>477.72221440450107</v>
      </c>
      <c r="BX70" s="120">
        <f t="shared" si="759"/>
        <v>0</v>
      </c>
      <c r="BY70" s="8"/>
      <c r="BZ70" s="72">
        <f t="shared" si="442"/>
        <v>424.4500000000009</v>
      </c>
      <c r="CA70" s="72">
        <f t="shared" si="443"/>
        <v>3060.09</v>
      </c>
      <c r="CB70" s="97"/>
      <c r="CC70" s="72">
        <f t="shared" si="760"/>
        <v>0</v>
      </c>
      <c r="CD70" s="72">
        <f t="shared" si="760"/>
        <v>0</v>
      </c>
      <c r="CE70" s="72">
        <f t="shared" si="760"/>
        <v>6313.3</v>
      </c>
      <c r="CF70" s="72">
        <f t="shared" si="760"/>
        <v>3060.09</v>
      </c>
      <c r="CG70" s="72">
        <f t="shared" si="760"/>
        <v>3151.8927000000008</v>
      </c>
      <c r="CH70" s="72">
        <f t="shared" si="760"/>
        <v>3246.4494810000006</v>
      </c>
      <c r="CI70" s="72">
        <f t="shared" si="760"/>
        <v>3343.8429654300007</v>
      </c>
      <c r="CJ70" s="72">
        <f t="shared" si="760"/>
        <v>3444.1582543929007</v>
      </c>
      <c r="CL70" s="13"/>
      <c r="CM70" s="13"/>
      <c r="CN70" s="13"/>
    </row>
    <row r="71" spans="1:92" x14ac:dyDescent="0.3">
      <c r="A71" s="97" t="str">
        <f>'DCS Detail'!A71</f>
        <v xml:space="preserve">         640.1 Curriculum - Textbooks</v>
      </c>
      <c r="B71" s="106" t="str">
        <f>IF('DCS Detail'!$B71="","",'DCS Detail'!$B71)</f>
        <v>Curriculum</v>
      </c>
      <c r="C71" s="106"/>
      <c r="D71" s="106"/>
      <c r="E71" s="18">
        <v>0</v>
      </c>
      <c r="F71" s="18">
        <v>3763.8</v>
      </c>
      <c r="G71" s="18">
        <v>37149.589999999997</v>
      </c>
      <c r="H71" s="18">
        <f>7511.65*0.78</f>
        <v>5859.0869999999995</v>
      </c>
      <c r="I71" s="18">
        <v>2125.5</v>
      </c>
      <c r="J71" s="18">
        <v>0</v>
      </c>
      <c r="K71" s="18">
        <v>0</v>
      </c>
      <c r="L71" s="18">
        <v>1131.8530000000028</v>
      </c>
      <c r="M71" s="18">
        <v>0</v>
      </c>
      <c r="N71" s="18">
        <v>974.22</v>
      </c>
      <c r="O71" s="18">
        <v>0</v>
      </c>
      <c r="P71" s="18">
        <v>0</v>
      </c>
      <c r="Q71" s="18">
        <v>0</v>
      </c>
      <c r="R71" s="18">
        <v>10735.43</v>
      </c>
      <c r="S71" s="18">
        <v>56453.279999999999</v>
      </c>
      <c r="T71" s="18">
        <v>5344.46</v>
      </c>
      <c r="U71" s="18">
        <v>58174.82</v>
      </c>
      <c r="V71" s="18">
        <v>0</v>
      </c>
      <c r="W71" s="18">
        <v>986.2</v>
      </c>
      <c r="X71" s="18">
        <v>0</v>
      </c>
      <c r="Y71" s="18">
        <v>606.05999999999995</v>
      </c>
      <c r="Z71" s="18">
        <v>840.84</v>
      </c>
      <c r="AA71" s="18">
        <v>624</v>
      </c>
      <c r="AB71" s="120">
        <f t="shared" ref="AB71:AF72" si="762">P71*(1+AB$263)</f>
        <v>0</v>
      </c>
      <c r="AC71" s="120">
        <f t="shared" si="762"/>
        <v>0</v>
      </c>
      <c r="AD71" s="120">
        <f t="shared" si="762"/>
        <v>11057.492900000001</v>
      </c>
      <c r="AE71" s="120">
        <f t="shared" si="762"/>
        <v>58146.878400000001</v>
      </c>
      <c r="AF71" s="120">
        <f t="shared" si="762"/>
        <v>5504.7938000000004</v>
      </c>
      <c r="AG71" s="406">
        <v>0</v>
      </c>
      <c r="AH71" s="120">
        <f t="shared" ref="AH71:AN73" si="763">V71*(1+AH$263)</f>
        <v>0</v>
      </c>
      <c r="AI71" s="120">
        <f t="shared" si="763"/>
        <v>1015.7860000000001</v>
      </c>
      <c r="AJ71" s="120">
        <f t="shared" si="763"/>
        <v>0</v>
      </c>
      <c r="AK71" s="120">
        <f t="shared" si="763"/>
        <v>624.24180000000001</v>
      </c>
      <c r="AL71" s="120">
        <f t="shared" si="763"/>
        <v>866.0652</v>
      </c>
      <c r="AM71" s="120">
        <f t="shared" si="763"/>
        <v>642.72</v>
      </c>
      <c r="AN71" s="120">
        <f t="shared" si="763"/>
        <v>0</v>
      </c>
      <c r="AO71" s="397">
        <f t="shared" ref="AO71:AZ73" si="764">AC71*(1+($AP$19/$AO$19-1))</f>
        <v>0</v>
      </c>
      <c r="AP71" s="397">
        <f t="shared" si="764"/>
        <v>13461.295704347829</v>
      </c>
      <c r="AQ71" s="397">
        <f t="shared" si="764"/>
        <v>70787.50413913044</v>
      </c>
      <c r="AR71" s="397">
        <f t="shared" si="764"/>
        <v>6701.4881043478272</v>
      </c>
      <c r="AS71" s="397">
        <f t="shared" si="764"/>
        <v>0</v>
      </c>
      <c r="AT71" s="397">
        <f t="shared" si="764"/>
        <v>0</v>
      </c>
      <c r="AU71" s="397">
        <f t="shared" si="764"/>
        <v>1236.6090434782611</v>
      </c>
      <c r="AV71" s="397">
        <f t="shared" si="764"/>
        <v>0</v>
      </c>
      <c r="AW71" s="397">
        <f t="shared" si="764"/>
        <v>759.94653913043487</v>
      </c>
      <c r="AX71" s="397">
        <f t="shared" si="764"/>
        <v>1054.3402434782608</v>
      </c>
      <c r="AY71" s="397">
        <f t="shared" si="764"/>
        <v>782.44173913043483</v>
      </c>
      <c r="AZ71" s="397">
        <f t="shared" si="764"/>
        <v>0</v>
      </c>
      <c r="BA71" s="120">
        <f t="shared" si="757"/>
        <v>0</v>
      </c>
      <c r="BB71" s="120">
        <f t="shared" si="757"/>
        <v>13865.134575478265</v>
      </c>
      <c r="BC71" s="120">
        <f t="shared" si="757"/>
        <v>72911.129263304349</v>
      </c>
      <c r="BD71" s="120">
        <f t="shared" si="757"/>
        <v>6902.5327474782625</v>
      </c>
      <c r="BE71" s="120">
        <f t="shared" si="757"/>
        <v>0</v>
      </c>
      <c r="BF71" s="120">
        <f t="shared" si="757"/>
        <v>0</v>
      </c>
      <c r="BG71" s="120">
        <f t="shared" si="757"/>
        <v>1273.707314782609</v>
      </c>
      <c r="BH71" s="120">
        <f t="shared" si="757"/>
        <v>0</v>
      </c>
      <c r="BI71" s="120">
        <f t="shared" si="757"/>
        <v>782.74493530434791</v>
      </c>
      <c r="BJ71" s="120">
        <f t="shared" si="757"/>
        <v>1085.9704507826086</v>
      </c>
      <c r="BK71" s="120">
        <f t="shared" si="758"/>
        <v>805.91499130434784</v>
      </c>
      <c r="BL71" s="120">
        <f t="shared" si="758"/>
        <v>0</v>
      </c>
      <c r="BM71" s="120">
        <f t="shared" si="758"/>
        <v>0</v>
      </c>
      <c r="BN71" s="120">
        <f t="shared" si="758"/>
        <v>14281.088612742613</v>
      </c>
      <c r="BO71" s="120">
        <f t="shared" si="758"/>
        <v>75098.46314120348</v>
      </c>
      <c r="BP71" s="120">
        <f t="shared" si="758"/>
        <v>7109.6087299026103</v>
      </c>
      <c r="BQ71" s="120">
        <f t="shared" si="758"/>
        <v>0</v>
      </c>
      <c r="BR71" s="120">
        <f t="shared" si="758"/>
        <v>0</v>
      </c>
      <c r="BS71" s="120">
        <f t="shared" si="758"/>
        <v>1311.9185342260873</v>
      </c>
      <c r="BT71" s="120">
        <f t="shared" si="758"/>
        <v>0</v>
      </c>
      <c r="BU71" s="120">
        <f t="shared" si="759"/>
        <v>806.22728336347836</v>
      </c>
      <c r="BV71" s="120">
        <f t="shared" si="759"/>
        <v>1118.5495643060869</v>
      </c>
      <c r="BW71" s="120">
        <f t="shared" si="759"/>
        <v>830.09244104347829</v>
      </c>
      <c r="BX71" s="120">
        <f t="shared" si="759"/>
        <v>0</v>
      </c>
      <c r="BY71" s="8"/>
      <c r="BZ71" s="72">
        <f t="shared" si="442"/>
        <v>624</v>
      </c>
      <c r="CA71" s="72">
        <f t="shared" si="443"/>
        <v>133765.09</v>
      </c>
      <c r="CB71" s="97"/>
      <c r="CC71" s="72">
        <f t="shared" si="760"/>
        <v>0</v>
      </c>
      <c r="CD71" s="72">
        <f t="shared" si="760"/>
        <v>0</v>
      </c>
      <c r="CE71" s="72">
        <f t="shared" si="760"/>
        <v>51004.05</v>
      </c>
      <c r="CF71" s="72">
        <f t="shared" si="760"/>
        <v>133765.09</v>
      </c>
      <c r="CG71" s="72">
        <f t="shared" si="760"/>
        <v>77857.978100000008</v>
      </c>
      <c r="CH71" s="72">
        <f t="shared" si="760"/>
        <v>94783.625513043487</v>
      </c>
      <c r="CI71" s="72">
        <f t="shared" si="760"/>
        <v>97627.134278434809</v>
      </c>
      <c r="CJ71" s="72">
        <f t="shared" si="760"/>
        <v>100555.94830678783</v>
      </c>
      <c r="CL71" s="13"/>
      <c r="CM71" s="13"/>
    </row>
    <row r="72" spans="1:92" x14ac:dyDescent="0.3">
      <c r="A72" s="97" t="str">
        <f>'DCS Detail'!A72</f>
        <v xml:space="preserve">         651.1 Educational Software</v>
      </c>
      <c r="B72" s="106" t="str">
        <f>IF('DCS Detail'!$B72="","",'DCS Detail'!$B72)</f>
        <v>Curriculum</v>
      </c>
      <c r="C72" s="106"/>
      <c r="D72" s="106"/>
      <c r="E72" s="18">
        <v>0</v>
      </c>
      <c r="F72" s="18">
        <v>0</v>
      </c>
      <c r="G72" s="18">
        <v>0</v>
      </c>
      <c r="H72" s="18">
        <v>0</v>
      </c>
      <c r="I72" s="18">
        <v>0</v>
      </c>
      <c r="J72" s="18">
        <v>0</v>
      </c>
      <c r="K72" s="18">
        <v>0</v>
      </c>
      <c r="L72" s="18">
        <v>0</v>
      </c>
      <c r="M72" s="18">
        <v>0</v>
      </c>
      <c r="N72" s="18">
        <v>0</v>
      </c>
      <c r="O72" s="18">
        <v>0</v>
      </c>
      <c r="P72" s="18">
        <v>0</v>
      </c>
      <c r="Q72" s="18">
        <v>0</v>
      </c>
      <c r="R72" s="18">
        <v>0</v>
      </c>
      <c r="S72" s="18">
        <v>0</v>
      </c>
      <c r="T72" s="18">
        <v>0</v>
      </c>
      <c r="U72" s="18">
        <v>963.06</v>
      </c>
      <c r="V72" s="18">
        <v>0</v>
      </c>
      <c r="W72" s="18">
        <v>0</v>
      </c>
      <c r="X72" s="18">
        <v>0</v>
      </c>
      <c r="Y72" s="18">
        <v>0</v>
      </c>
      <c r="Z72" s="18">
        <v>0</v>
      </c>
      <c r="AA72" s="18">
        <v>1177.3900000000001</v>
      </c>
      <c r="AB72" s="120">
        <f t="shared" si="762"/>
        <v>0</v>
      </c>
      <c r="AC72" s="120">
        <f t="shared" si="762"/>
        <v>0</v>
      </c>
      <c r="AD72" s="120">
        <f t="shared" si="762"/>
        <v>0</v>
      </c>
      <c r="AE72" s="120">
        <f t="shared" si="762"/>
        <v>0</v>
      </c>
      <c r="AF72" s="120">
        <f t="shared" si="762"/>
        <v>0</v>
      </c>
      <c r="AG72" s="120">
        <f>U72*(1+AG$263)</f>
        <v>991.95179999999993</v>
      </c>
      <c r="AH72" s="120">
        <f t="shared" si="763"/>
        <v>0</v>
      </c>
      <c r="AI72" s="120">
        <f t="shared" si="763"/>
        <v>0</v>
      </c>
      <c r="AJ72" s="120">
        <f t="shared" si="763"/>
        <v>0</v>
      </c>
      <c r="AK72" s="120">
        <f t="shared" si="763"/>
        <v>0</v>
      </c>
      <c r="AL72" s="120">
        <f t="shared" si="763"/>
        <v>0</v>
      </c>
      <c r="AM72" s="120">
        <f t="shared" si="763"/>
        <v>1212.7117000000001</v>
      </c>
      <c r="AN72" s="120">
        <f t="shared" si="763"/>
        <v>0</v>
      </c>
      <c r="AO72" s="397">
        <f t="shared" si="764"/>
        <v>0</v>
      </c>
      <c r="AP72" s="397">
        <f t="shared" si="764"/>
        <v>0</v>
      </c>
      <c r="AQ72" s="397">
        <f t="shared" si="764"/>
        <v>0</v>
      </c>
      <c r="AR72" s="397">
        <f t="shared" si="764"/>
        <v>0</v>
      </c>
      <c r="AS72" s="397">
        <f t="shared" si="764"/>
        <v>1207.5934956521739</v>
      </c>
      <c r="AT72" s="397">
        <f t="shared" si="764"/>
        <v>0</v>
      </c>
      <c r="AU72" s="397">
        <f t="shared" si="764"/>
        <v>0</v>
      </c>
      <c r="AV72" s="397">
        <f t="shared" si="764"/>
        <v>0</v>
      </c>
      <c r="AW72" s="397">
        <f t="shared" si="764"/>
        <v>0</v>
      </c>
      <c r="AX72" s="397">
        <f t="shared" si="764"/>
        <v>0</v>
      </c>
      <c r="AY72" s="397">
        <f t="shared" si="764"/>
        <v>1476.3446782608698</v>
      </c>
      <c r="AZ72" s="397">
        <f t="shared" si="764"/>
        <v>0</v>
      </c>
      <c r="BA72" s="120">
        <f t="shared" si="757"/>
        <v>0</v>
      </c>
      <c r="BB72" s="120">
        <f t="shared" si="757"/>
        <v>0</v>
      </c>
      <c r="BC72" s="120">
        <f t="shared" si="757"/>
        <v>0</v>
      </c>
      <c r="BD72" s="120">
        <f t="shared" si="757"/>
        <v>0</v>
      </c>
      <c r="BE72" s="120">
        <f t="shared" si="757"/>
        <v>1243.8213005217392</v>
      </c>
      <c r="BF72" s="120">
        <f t="shared" si="757"/>
        <v>0</v>
      </c>
      <c r="BG72" s="120">
        <f t="shared" si="757"/>
        <v>0</v>
      </c>
      <c r="BH72" s="120">
        <f t="shared" si="757"/>
        <v>0</v>
      </c>
      <c r="BI72" s="120">
        <f t="shared" si="757"/>
        <v>0</v>
      </c>
      <c r="BJ72" s="120">
        <f t="shared" si="757"/>
        <v>0</v>
      </c>
      <c r="BK72" s="120">
        <f t="shared" si="758"/>
        <v>1520.6350186086959</v>
      </c>
      <c r="BL72" s="120">
        <f t="shared" si="758"/>
        <v>0</v>
      </c>
      <c r="BM72" s="120">
        <f t="shared" si="758"/>
        <v>0</v>
      </c>
      <c r="BN72" s="120">
        <f t="shared" si="758"/>
        <v>0</v>
      </c>
      <c r="BO72" s="120">
        <f t="shared" si="758"/>
        <v>0</v>
      </c>
      <c r="BP72" s="120">
        <f t="shared" si="758"/>
        <v>0</v>
      </c>
      <c r="BQ72" s="120">
        <f t="shared" si="758"/>
        <v>1281.1359395373913</v>
      </c>
      <c r="BR72" s="120">
        <f t="shared" si="758"/>
        <v>0</v>
      </c>
      <c r="BS72" s="120">
        <f t="shared" si="758"/>
        <v>0</v>
      </c>
      <c r="BT72" s="120">
        <f t="shared" si="758"/>
        <v>0</v>
      </c>
      <c r="BU72" s="120">
        <f t="shared" si="759"/>
        <v>0</v>
      </c>
      <c r="BV72" s="120">
        <f t="shared" si="759"/>
        <v>0</v>
      </c>
      <c r="BW72" s="120">
        <f t="shared" si="759"/>
        <v>1566.2540691669567</v>
      </c>
      <c r="BX72" s="120">
        <f t="shared" si="759"/>
        <v>0</v>
      </c>
      <c r="BY72" s="8"/>
      <c r="BZ72" s="72">
        <f t="shared" si="442"/>
        <v>1177.3900000000001</v>
      </c>
      <c r="CA72" s="72">
        <f t="shared" si="443"/>
        <v>2140.4499999999998</v>
      </c>
      <c r="CB72" s="97"/>
      <c r="CC72" s="72">
        <f t="shared" si="760"/>
        <v>0</v>
      </c>
      <c r="CD72" s="72">
        <f t="shared" si="760"/>
        <v>0</v>
      </c>
      <c r="CE72" s="72">
        <f t="shared" si="760"/>
        <v>0</v>
      </c>
      <c r="CF72" s="72">
        <f t="shared" si="760"/>
        <v>2140.4499999999998</v>
      </c>
      <c r="CG72" s="72">
        <f t="shared" si="760"/>
        <v>2204.6635000000001</v>
      </c>
      <c r="CH72" s="72">
        <f t="shared" si="760"/>
        <v>2683.938173913044</v>
      </c>
      <c r="CI72" s="72">
        <f t="shared" si="760"/>
        <v>2764.4563191304351</v>
      </c>
      <c r="CJ72" s="72">
        <f t="shared" si="760"/>
        <v>2847.390008704348</v>
      </c>
      <c r="CL72" s="13"/>
      <c r="CM72" s="13"/>
    </row>
    <row r="73" spans="1:92" x14ac:dyDescent="0.3">
      <c r="A73" s="97" t="str">
        <f>'DCS Detail'!A73</f>
        <v xml:space="preserve">         734.1 Classroom Computers &amp; Equipment</v>
      </c>
      <c r="B73" s="106" t="str">
        <f>IF('DCS Detail'!$B73="","",'DCS Detail'!$B73)</f>
        <v>Computers</v>
      </c>
      <c r="C73" s="139"/>
      <c r="D73" s="139"/>
      <c r="E73" s="121">
        <v>0</v>
      </c>
      <c r="F73" s="121">
        <v>0</v>
      </c>
      <c r="G73" s="121">
        <v>0</v>
      </c>
      <c r="H73" s="121">
        <v>409.99</v>
      </c>
      <c r="I73" s="121">
        <v>0</v>
      </c>
      <c r="J73" s="140">
        <f>-1699+720</f>
        <v>-979</v>
      </c>
      <c r="K73" s="121">
        <v>0</v>
      </c>
      <c r="L73" s="121">
        <v>-158.39999999999998</v>
      </c>
      <c r="M73" s="121">
        <v>0</v>
      </c>
      <c r="N73" s="121">
        <v>589.66999999999996</v>
      </c>
      <c r="O73" s="121">
        <v>0</v>
      </c>
      <c r="P73" s="121">
        <v>32068.05</v>
      </c>
      <c r="Q73" s="121">
        <v>202.8</v>
      </c>
      <c r="R73" s="121">
        <v>0</v>
      </c>
      <c r="S73" s="121">
        <v>1856.31</v>
      </c>
      <c r="T73" s="121">
        <v>1257.3599999999999</v>
      </c>
      <c r="U73" s="121">
        <v>2817.36</v>
      </c>
      <c r="V73" s="121">
        <v>1713.99</v>
      </c>
      <c r="W73" s="121">
        <v>3340.42</v>
      </c>
      <c r="X73" s="121">
        <v>0</v>
      </c>
      <c r="Y73" s="121">
        <v>0</v>
      </c>
      <c r="Z73" s="121">
        <v>0</v>
      </c>
      <c r="AA73" s="121">
        <v>0</v>
      </c>
      <c r="AB73" s="407">
        <v>0</v>
      </c>
      <c r="AC73" s="144">
        <f>Q73*(1+AC$263)</f>
        <v>208.88400000000001</v>
      </c>
      <c r="AD73" s="144">
        <f>R73*(1+AD$263)</f>
        <v>0</v>
      </c>
      <c r="AE73" s="408">
        <v>35000</v>
      </c>
      <c r="AF73" s="144">
        <f>T73*(1+AF$263)</f>
        <v>1295.0808</v>
      </c>
      <c r="AG73" s="144">
        <f>U73*(1+AG$263)</f>
        <v>2901.8808000000004</v>
      </c>
      <c r="AH73" s="144">
        <f t="shared" si="763"/>
        <v>1765.4097000000002</v>
      </c>
      <c r="AI73" s="144">
        <f t="shared" si="763"/>
        <v>3440.6326000000004</v>
      </c>
      <c r="AJ73" s="144">
        <f t="shared" si="763"/>
        <v>0</v>
      </c>
      <c r="AK73" s="144">
        <f t="shared" si="763"/>
        <v>0</v>
      </c>
      <c r="AL73" s="144">
        <f t="shared" si="763"/>
        <v>0</v>
      </c>
      <c r="AM73" s="144">
        <f t="shared" si="763"/>
        <v>0</v>
      </c>
      <c r="AN73" s="144">
        <f t="shared" si="763"/>
        <v>0</v>
      </c>
      <c r="AO73" s="398">
        <f t="shared" si="764"/>
        <v>254.29356521739135</v>
      </c>
      <c r="AP73" s="398">
        <f t="shared" si="764"/>
        <v>0</v>
      </c>
      <c r="AQ73" s="408">
        <v>10000</v>
      </c>
      <c r="AR73" s="398">
        <f t="shared" si="764"/>
        <v>1576.6201043478261</v>
      </c>
      <c r="AS73" s="398">
        <f t="shared" si="764"/>
        <v>3532.7244521739135</v>
      </c>
      <c r="AT73" s="398">
        <f t="shared" si="764"/>
        <v>2149.1944173913048</v>
      </c>
      <c r="AU73" s="398">
        <f t="shared" si="764"/>
        <v>4188.5962086956533</v>
      </c>
      <c r="AV73" s="398">
        <f t="shared" si="764"/>
        <v>0</v>
      </c>
      <c r="AW73" s="398">
        <f t="shared" si="764"/>
        <v>0</v>
      </c>
      <c r="AX73" s="398">
        <f t="shared" si="764"/>
        <v>0</v>
      </c>
      <c r="AY73" s="398">
        <f t="shared" si="764"/>
        <v>0</v>
      </c>
      <c r="AZ73" s="398">
        <f t="shared" si="764"/>
        <v>0</v>
      </c>
      <c r="BA73" s="144">
        <f t="shared" si="757"/>
        <v>261.92237217391312</v>
      </c>
      <c r="BB73" s="144">
        <f t="shared" si="757"/>
        <v>0</v>
      </c>
      <c r="BC73" s="144">
        <f t="shared" si="757"/>
        <v>10300</v>
      </c>
      <c r="BD73" s="144">
        <f t="shared" si="757"/>
        <v>1623.918707478261</v>
      </c>
      <c r="BE73" s="144">
        <f t="shared" si="757"/>
        <v>3638.7061857391309</v>
      </c>
      <c r="BF73" s="144">
        <f t="shared" si="757"/>
        <v>2213.6702499130438</v>
      </c>
      <c r="BG73" s="144">
        <f t="shared" si="757"/>
        <v>4314.2540949565227</v>
      </c>
      <c r="BH73" s="144">
        <f t="shared" si="757"/>
        <v>0</v>
      </c>
      <c r="BI73" s="144">
        <f t="shared" si="757"/>
        <v>0</v>
      </c>
      <c r="BJ73" s="144">
        <f t="shared" si="757"/>
        <v>0</v>
      </c>
      <c r="BK73" s="144">
        <f t="shared" si="758"/>
        <v>0</v>
      </c>
      <c r="BL73" s="144">
        <f t="shared" si="758"/>
        <v>0</v>
      </c>
      <c r="BM73" s="144">
        <f t="shared" si="758"/>
        <v>269.78004333913054</v>
      </c>
      <c r="BN73" s="144">
        <f t="shared" si="758"/>
        <v>0</v>
      </c>
      <c r="BO73" s="144">
        <f t="shared" si="758"/>
        <v>10609</v>
      </c>
      <c r="BP73" s="144">
        <f t="shared" si="758"/>
        <v>1672.636268702609</v>
      </c>
      <c r="BQ73" s="144">
        <f t="shared" si="758"/>
        <v>3747.8673713113049</v>
      </c>
      <c r="BR73" s="144">
        <f t="shared" si="758"/>
        <v>2280.0803574104352</v>
      </c>
      <c r="BS73" s="144">
        <f t="shared" si="758"/>
        <v>4443.6817178052188</v>
      </c>
      <c r="BT73" s="144">
        <f t="shared" si="758"/>
        <v>0</v>
      </c>
      <c r="BU73" s="144">
        <f t="shared" si="759"/>
        <v>0</v>
      </c>
      <c r="BV73" s="144">
        <f t="shared" si="759"/>
        <v>0</v>
      </c>
      <c r="BW73" s="144">
        <f t="shared" si="759"/>
        <v>0</v>
      </c>
      <c r="BX73" s="144">
        <f t="shared" si="759"/>
        <v>0</v>
      </c>
      <c r="BY73" s="8"/>
      <c r="BZ73" s="73">
        <f t="shared" si="442"/>
        <v>0</v>
      </c>
      <c r="CA73" s="73">
        <f t="shared" si="443"/>
        <v>11188.24</v>
      </c>
      <c r="CB73" s="97"/>
      <c r="CC73" s="73">
        <f t="shared" si="760"/>
        <v>0</v>
      </c>
      <c r="CD73" s="73">
        <f t="shared" si="760"/>
        <v>0</v>
      </c>
      <c r="CE73" s="73">
        <f t="shared" si="760"/>
        <v>31930.309999999998</v>
      </c>
      <c r="CF73" s="73">
        <f t="shared" si="760"/>
        <v>11188.24</v>
      </c>
      <c r="CG73" s="73">
        <f t="shared" si="760"/>
        <v>44611.887900000002</v>
      </c>
      <c r="CH73" s="73">
        <f t="shared" si="760"/>
        <v>21701.428747826089</v>
      </c>
      <c r="CI73" s="73">
        <f t="shared" si="760"/>
        <v>22352.471610260869</v>
      </c>
      <c r="CJ73" s="73">
        <f t="shared" si="760"/>
        <v>23023.0457585687</v>
      </c>
      <c r="CL73" s="13"/>
      <c r="CM73" s="13"/>
    </row>
    <row r="74" spans="1:92" x14ac:dyDescent="0.3">
      <c r="A74" s="97" t="str">
        <f>'DCS Detail'!A74</f>
        <v xml:space="preserve">      Total 1000 Instruction</v>
      </c>
      <c r="B74" s="106" t="str">
        <f>IF('DCS Detail'!$B74="","",'DCS Detail'!$B74)</f>
        <v/>
      </c>
      <c r="C74" s="36">
        <f>SUM(C55:C73)</f>
        <v>0</v>
      </c>
      <c r="D74" s="36">
        <f t="shared" ref="D74:AZ74" si="765">SUM(D55:D73)</f>
        <v>0</v>
      </c>
      <c r="E74" s="36">
        <f t="shared" si="765"/>
        <v>-77364.36</v>
      </c>
      <c r="F74" s="36">
        <f t="shared" si="765"/>
        <v>84807.53</v>
      </c>
      <c r="G74" s="36">
        <f t="shared" si="765"/>
        <v>125329.35999999999</v>
      </c>
      <c r="H74" s="36">
        <f t="shared" si="765"/>
        <v>109441.75700000001</v>
      </c>
      <c r="I74" s="36">
        <f t="shared" si="765"/>
        <v>96908.160000000003</v>
      </c>
      <c r="J74" s="36">
        <f t="shared" si="765"/>
        <v>107983.0062</v>
      </c>
      <c r="K74" s="36">
        <f t="shared" si="765"/>
        <v>98542.794000000009</v>
      </c>
      <c r="L74" s="36">
        <f t="shared" si="765"/>
        <v>99904.922799999986</v>
      </c>
      <c r="M74" s="36">
        <f t="shared" si="765"/>
        <v>99154.589999999982</v>
      </c>
      <c r="N74" s="36">
        <f t="shared" si="765"/>
        <v>96203.82</v>
      </c>
      <c r="O74" s="36">
        <f t="shared" si="765"/>
        <v>100119.62999999999</v>
      </c>
      <c r="P74" s="36">
        <f t="shared" si="765"/>
        <v>268974.3</v>
      </c>
      <c r="Q74" s="36">
        <f t="shared" ref="Q74:R74" si="766">SUM(Q55:Q73)</f>
        <v>9738.7099999999991</v>
      </c>
      <c r="R74" s="36">
        <f t="shared" si="766"/>
        <v>117193.62000000002</v>
      </c>
      <c r="S74" s="36">
        <f t="shared" ref="S74:T74" si="767">SUM(S55:S73)</f>
        <v>161294.35999999999</v>
      </c>
      <c r="T74" s="36">
        <f t="shared" si="767"/>
        <v>99251.340000000026</v>
      </c>
      <c r="U74" s="36">
        <f t="shared" ref="U74:V74" si="768">SUM(U55:U73)</f>
        <v>154997.85999999996</v>
      </c>
      <c r="V74" s="36">
        <f t="shared" si="768"/>
        <v>103175.68000000001</v>
      </c>
      <c r="W74" s="36">
        <f t="shared" ref="W74" si="769">SUM(W55:W73)</f>
        <v>101357.27</v>
      </c>
      <c r="X74" s="36">
        <f t="shared" si="765"/>
        <v>133115.81</v>
      </c>
      <c r="Y74" s="36">
        <f t="shared" si="765"/>
        <v>65423.450000000019</v>
      </c>
      <c r="Z74" s="36">
        <f t="shared" si="765"/>
        <v>150527.83000000002</v>
      </c>
      <c r="AA74" s="36">
        <f t="shared" si="765"/>
        <v>119634.79</v>
      </c>
      <c r="AB74" s="36">
        <f t="shared" si="765"/>
        <v>200575.78032759024</v>
      </c>
      <c r="AC74" s="36">
        <f t="shared" si="765"/>
        <v>4061.5783999999999</v>
      </c>
      <c r="AD74" s="36">
        <f t="shared" si="765"/>
        <v>113179.18592367548</v>
      </c>
      <c r="AE74" s="36">
        <f t="shared" si="765"/>
        <v>194005.30667132017</v>
      </c>
      <c r="AF74" s="36">
        <f t="shared" si="765"/>
        <v>106651.69261053445</v>
      </c>
      <c r="AG74" s="36">
        <f t="shared" si="765"/>
        <v>105176.16650786494</v>
      </c>
      <c r="AH74" s="36">
        <f t="shared" si="765"/>
        <v>101378.9267940674</v>
      </c>
      <c r="AI74" s="36">
        <f t="shared" si="765"/>
        <v>105075.78171929326</v>
      </c>
      <c r="AJ74" s="36">
        <f t="shared" si="765"/>
        <v>103081.23423779261</v>
      </c>
      <c r="AK74" s="36">
        <f t="shared" si="765"/>
        <v>101216.68703779261</v>
      </c>
      <c r="AL74" s="36">
        <f t="shared" si="765"/>
        <v>101696.36295409506</v>
      </c>
      <c r="AM74" s="36">
        <f t="shared" si="765"/>
        <v>103398.92776592005</v>
      </c>
      <c r="AN74" s="36">
        <f t="shared" si="765"/>
        <v>200549.85260080738</v>
      </c>
      <c r="AO74" s="36">
        <f t="shared" si="765"/>
        <v>4522.3315646521733</v>
      </c>
      <c r="AP74" s="36">
        <f t="shared" si="765"/>
        <v>126308.72134255641</v>
      </c>
      <c r="AQ74" s="36">
        <f t="shared" si="765"/>
        <v>192091.12148213619</v>
      </c>
      <c r="AR74" s="36">
        <f t="shared" si="765"/>
        <v>118506.76207212461</v>
      </c>
      <c r="AS74" s="36">
        <f t="shared" si="765"/>
        <v>116783.82180887884</v>
      </c>
      <c r="AT74" s="36">
        <f t="shared" si="765"/>
        <v>111781.4614116844</v>
      </c>
      <c r="AU74" s="36">
        <f t="shared" si="765"/>
        <v>116446.50094962365</v>
      </c>
      <c r="AV74" s="36">
        <f t="shared" si="765"/>
        <v>113949.49051989196</v>
      </c>
      <c r="AW74" s="36">
        <f t="shared" si="765"/>
        <v>111650.77854389197</v>
      </c>
      <c r="AX74" s="36">
        <f t="shared" si="765"/>
        <v>112352.6749317598</v>
      </c>
      <c r="AY74" s="36">
        <f t="shared" si="765"/>
        <v>114363.00575552591</v>
      </c>
      <c r="AZ74" s="36">
        <f t="shared" si="765"/>
        <v>221254.468904918</v>
      </c>
      <c r="BA74" s="36">
        <f t="shared" ref="BA74:BX74" si="770">SUM(BA55:BA73)</f>
        <v>4658.0015115917395</v>
      </c>
      <c r="BB74" s="36">
        <f t="shared" si="770"/>
        <v>130093.62930379332</v>
      </c>
      <c r="BC74" s="36">
        <f t="shared" si="770"/>
        <v>197852.23267783437</v>
      </c>
      <c r="BD74" s="36">
        <f t="shared" si="770"/>
        <v>122061.99941132963</v>
      </c>
      <c r="BE74" s="36">
        <f t="shared" si="770"/>
        <v>120289.23059558353</v>
      </c>
      <c r="BF74" s="36">
        <f t="shared" si="770"/>
        <v>115136.01929338917</v>
      </c>
      <c r="BG74" s="36">
        <f t="shared" si="770"/>
        <v>119939.38797005199</v>
      </c>
      <c r="BH74" s="36">
        <f t="shared" si="770"/>
        <v>117367.40165431671</v>
      </c>
      <c r="BI74" s="36">
        <f t="shared" si="770"/>
        <v>114999.7283190367</v>
      </c>
      <c r="BJ74" s="36">
        <f t="shared" si="770"/>
        <v>115723.22161252164</v>
      </c>
      <c r="BK74" s="36">
        <f t="shared" si="770"/>
        <v>117794.08934408289</v>
      </c>
      <c r="BL74" s="36">
        <f t="shared" si="770"/>
        <v>227892.53521494794</v>
      </c>
      <c r="BM74" s="36">
        <f t="shared" si="770"/>
        <v>4797.7415569394916</v>
      </c>
      <c r="BN74" s="36">
        <f t="shared" si="770"/>
        <v>133996.28175845192</v>
      </c>
      <c r="BO74" s="36">
        <f t="shared" si="770"/>
        <v>203787.69541349329</v>
      </c>
      <c r="BP74" s="36">
        <f t="shared" si="770"/>
        <v>125723.82406456437</v>
      </c>
      <c r="BQ74" s="36">
        <f t="shared" si="770"/>
        <v>123897.95052842233</v>
      </c>
      <c r="BR74" s="36">
        <f t="shared" si="770"/>
        <v>118590.15378451858</v>
      </c>
      <c r="BS74" s="36">
        <f t="shared" si="770"/>
        <v>123537.6031989582</v>
      </c>
      <c r="BT74" s="36">
        <f t="shared" si="770"/>
        <v>120888.39612375743</v>
      </c>
      <c r="BU74" s="36">
        <f t="shared" si="770"/>
        <v>118449.69258841901</v>
      </c>
      <c r="BV74" s="36">
        <f t="shared" si="770"/>
        <v>119194.9090870323</v>
      </c>
      <c r="BW74" s="36">
        <f t="shared" si="770"/>
        <v>121327.91643208482</v>
      </c>
      <c r="BX74" s="36">
        <f t="shared" si="770"/>
        <v>234729.33144012227</v>
      </c>
      <c r="BY74" s="8"/>
      <c r="BZ74" s="72">
        <f t="shared" si="442"/>
        <v>119634.79</v>
      </c>
      <c r="CA74" s="72">
        <f t="shared" si="443"/>
        <v>1215710.7200000002</v>
      </c>
      <c r="CB74" s="97"/>
      <c r="CC74" s="72">
        <f t="shared" si="760"/>
        <v>0</v>
      </c>
      <c r="CD74" s="72">
        <f t="shared" si="760"/>
        <v>0</v>
      </c>
      <c r="CE74" s="72">
        <f t="shared" si="760"/>
        <v>1210005.5099999998</v>
      </c>
      <c r="CF74" s="72">
        <f t="shared" si="760"/>
        <v>1416286.5003275904</v>
      </c>
      <c r="CG74" s="72">
        <f t="shared" si="760"/>
        <v>1339471.7032231635</v>
      </c>
      <c r="CH74" s="72">
        <f t="shared" si="760"/>
        <v>1460011.1392876441</v>
      </c>
      <c r="CI74" s="72">
        <f t="shared" si="760"/>
        <v>1503807.4769084796</v>
      </c>
      <c r="CJ74" s="72">
        <f t="shared" si="760"/>
        <v>1548921.495976764</v>
      </c>
      <c r="CL74" s="13"/>
      <c r="CM74" s="13"/>
    </row>
    <row r="75" spans="1:92" x14ac:dyDescent="0.3">
      <c r="A75" s="97" t="str">
        <f>'DCS Detail'!A75</f>
        <v xml:space="preserve">      2100 Support Services - Student</v>
      </c>
      <c r="B75" s="106" t="str">
        <f>IF('DCS Detail'!$B75="","",'DCS Detail'!$B75)</f>
        <v/>
      </c>
      <c r="C75" s="106"/>
      <c r="D75" s="106"/>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0</v>
      </c>
      <c r="AH75" s="18">
        <v>0</v>
      </c>
      <c r="AI75" s="18">
        <v>0</v>
      </c>
      <c r="AJ75" s="18">
        <v>0</v>
      </c>
      <c r="AK75" s="18">
        <v>0</v>
      </c>
      <c r="AL75" s="18">
        <v>0</v>
      </c>
      <c r="AM75" s="18">
        <v>0</v>
      </c>
      <c r="AN75" s="18">
        <v>0</v>
      </c>
      <c r="AO75" s="18">
        <v>0</v>
      </c>
      <c r="AP75" s="18">
        <v>0</v>
      </c>
      <c r="AQ75" s="18">
        <v>0</v>
      </c>
      <c r="AR75" s="18">
        <v>0</v>
      </c>
      <c r="AS75" s="18">
        <v>0</v>
      </c>
      <c r="AT75" s="18">
        <v>0</v>
      </c>
      <c r="AU75" s="18">
        <v>0</v>
      </c>
      <c r="AV75" s="18">
        <v>0</v>
      </c>
      <c r="AW75" s="18">
        <v>0</v>
      </c>
      <c r="AX75" s="18">
        <v>0</v>
      </c>
      <c r="AY75" s="18">
        <v>0</v>
      </c>
      <c r="AZ75" s="18">
        <v>0</v>
      </c>
      <c r="BA75" s="18">
        <v>0</v>
      </c>
      <c r="BB75" s="18">
        <v>0</v>
      </c>
      <c r="BC75" s="18">
        <v>0</v>
      </c>
      <c r="BD75" s="18">
        <v>0</v>
      </c>
      <c r="BE75" s="18">
        <v>0</v>
      </c>
      <c r="BF75" s="18">
        <v>0</v>
      </c>
      <c r="BG75" s="18">
        <v>0</v>
      </c>
      <c r="BH75" s="18">
        <v>0</v>
      </c>
      <c r="BI75" s="18">
        <v>0</v>
      </c>
      <c r="BJ75" s="18">
        <v>0</v>
      </c>
      <c r="BK75" s="18">
        <v>0</v>
      </c>
      <c r="BL75" s="18">
        <v>0</v>
      </c>
      <c r="BM75" s="18">
        <v>0</v>
      </c>
      <c r="BN75" s="18">
        <v>0</v>
      </c>
      <c r="BO75" s="18">
        <v>0</v>
      </c>
      <c r="BP75" s="18">
        <v>0</v>
      </c>
      <c r="BQ75" s="18">
        <v>0</v>
      </c>
      <c r="BR75" s="18">
        <v>0</v>
      </c>
      <c r="BS75" s="18">
        <v>0</v>
      </c>
      <c r="BT75" s="18">
        <v>0</v>
      </c>
      <c r="BU75" s="18">
        <v>0</v>
      </c>
      <c r="BV75" s="18">
        <v>0</v>
      </c>
      <c r="BW75" s="18">
        <v>0</v>
      </c>
      <c r="BX75" s="18">
        <v>0</v>
      </c>
      <c r="BY75" s="8"/>
      <c r="BZ75" s="72">
        <f t="shared" si="442"/>
        <v>0</v>
      </c>
      <c r="CA75" s="72">
        <f t="shared" si="443"/>
        <v>0</v>
      </c>
      <c r="CB75" s="97"/>
      <c r="CC75" s="72">
        <f t="shared" si="760"/>
        <v>0</v>
      </c>
      <c r="CD75" s="72">
        <f t="shared" si="760"/>
        <v>0</v>
      </c>
      <c r="CE75" s="72">
        <f t="shared" si="760"/>
        <v>0</v>
      </c>
      <c r="CF75" s="72">
        <f t="shared" si="760"/>
        <v>0</v>
      </c>
      <c r="CG75" s="72">
        <f t="shared" si="760"/>
        <v>0</v>
      </c>
      <c r="CH75" s="72">
        <f t="shared" si="760"/>
        <v>0</v>
      </c>
      <c r="CI75" s="72">
        <f t="shared" si="760"/>
        <v>0</v>
      </c>
      <c r="CJ75" s="72">
        <f t="shared" si="760"/>
        <v>0</v>
      </c>
      <c r="CL75" s="13"/>
      <c r="CM75" s="13"/>
    </row>
    <row r="76" spans="1:92" x14ac:dyDescent="0.3">
      <c r="A76" s="97" t="str">
        <f>'DCS Detail'!A76</f>
        <v xml:space="preserve">         422.1 Janitorial Service</v>
      </c>
      <c r="B76" s="106" t="str">
        <f>IF('DCS Detail'!$B76="","",'DCS Detail'!$B76)</f>
        <v>Cleaning Serv.</v>
      </c>
      <c r="C76" s="106"/>
      <c r="D76" s="106"/>
      <c r="E76" s="18">
        <v>0</v>
      </c>
      <c r="F76" s="18">
        <v>2433.9</v>
      </c>
      <c r="G76" s="18">
        <v>0</v>
      </c>
      <c r="H76" s="18">
        <v>903.89</v>
      </c>
      <c r="I76" s="18">
        <v>0</v>
      </c>
      <c r="J76" s="18">
        <v>0</v>
      </c>
      <c r="K76" s="18">
        <v>1655.25</v>
      </c>
      <c r="L76" s="18">
        <v>2261.1499999999996</v>
      </c>
      <c r="M76" s="18">
        <v>2116.15</v>
      </c>
      <c r="N76" s="18">
        <v>4232.3</v>
      </c>
      <c r="O76" s="18">
        <v>0</v>
      </c>
      <c r="P76" s="18">
        <v>2116.15</v>
      </c>
      <c r="Q76" s="18">
        <v>2309.08</v>
      </c>
      <c r="R76" s="18">
        <v>2309.08</v>
      </c>
      <c r="S76" s="18">
        <v>2116.15</v>
      </c>
      <c r="T76" s="18">
        <v>2116.15</v>
      </c>
      <c r="U76" s="18">
        <v>2795</v>
      </c>
      <c r="V76" s="18">
        <v>3205.85</v>
      </c>
      <c r="W76" s="18">
        <v>2795</v>
      </c>
      <c r="X76" s="18">
        <v>2795</v>
      </c>
      <c r="Y76" s="18">
        <v>5590</v>
      </c>
      <c r="Z76" s="18">
        <v>1306.6099999999999</v>
      </c>
      <c r="AA76" s="18">
        <v>2795</v>
      </c>
      <c r="AB76" s="120">
        <f t="shared" ref="AB76:AB84" si="771">P76*(1+AB$263)</f>
        <v>2179.6345000000001</v>
      </c>
      <c r="AC76" s="120">
        <f t="shared" ref="AC76:AC84" si="772">Q76*(1+AC$263)</f>
        <v>2378.3523999999998</v>
      </c>
      <c r="AD76" s="120">
        <f t="shared" ref="AD76:AD84" si="773">R76*(1+AD$263)</f>
        <v>2378.3523999999998</v>
      </c>
      <c r="AE76" s="120">
        <f t="shared" ref="AE76:AE84" si="774">S76*(1+AE$263)</f>
        <v>2179.6345000000001</v>
      </c>
      <c r="AF76" s="120">
        <f t="shared" ref="AF76:AF84" si="775">T76*(1+AF$263)</f>
        <v>2179.6345000000001</v>
      </c>
      <c r="AG76" s="120">
        <f t="shared" ref="AG76:AG84" si="776">U76*(1+AG$263)</f>
        <v>2878.85</v>
      </c>
      <c r="AH76" s="120">
        <f t="shared" ref="AH76:AH84" si="777">V76*(1+AH$263)</f>
        <v>3302.0255000000002</v>
      </c>
      <c r="AI76" s="120">
        <f t="shared" ref="AI76:AI84" si="778">W76*(1+AI$263)</f>
        <v>2878.85</v>
      </c>
      <c r="AJ76" s="120">
        <f t="shared" ref="AJ76:AJ84" si="779">X76*(1+AJ$263)</f>
        <v>2878.85</v>
      </c>
      <c r="AK76" s="120">
        <f t="shared" ref="AK76:AK84" si="780">Y76*(1+AK$263)</f>
        <v>5757.7</v>
      </c>
      <c r="AL76" s="120">
        <f t="shared" ref="AL76:AL84" si="781">Z76*(1+AL$263)</f>
        <v>1345.8082999999999</v>
      </c>
      <c r="AM76" s="120">
        <f t="shared" ref="AM76:AM84" si="782">AA76*(1+AM$263)</f>
        <v>2878.85</v>
      </c>
      <c r="AN76" s="120">
        <f t="shared" ref="AN76:AN84" si="783">AB76*(1+AN$263)</f>
        <v>2245.0235350000003</v>
      </c>
      <c r="AO76" s="397">
        <f t="shared" ref="AO76:AP84" si="784">AC76*(1+($AP$19/$AO$19-1))</f>
        <v>2895.3855304347826</v>
      </c>
      <c r="AP76" s="397">
        <f t="shared" si="784"/>
        <v>2895.3855304347826</v>
      </c>
      <c r="AQ76" s="397">
        <f t="shared" ref="AQ76:AQ84" si="785">AE76*(1+($AP$19/$AO$19-1))</f>
        <v>2653.4680869565223</v>
      </c>
      <c r="AR76" s="397">
        <f t="shared" ref="AR76:AR84" si="786">AF76*(1+($AP$19/$AO$19-1))</f>
        <v>2653.4680869565223</v>
      </c>
      <c r="AS76" s="397">
        <f t="shared" ref="AS76:AS84" si="787">AG76*(1+($AP$19/$AO$19-1))</f>
        <v>3504.6869565217394</v>
      </c>
      <c r="AT76" s="397">
        <f t="shared" ref="AT76:AT84" si="788">AH76*(1+($AP$19/$AO$19-1))</f>
        <v>4019.8571304347829</v>
      </c>
      <c r="AU76" s="397">
        <f t="shared" ref="AU76:AU84" si="789">AI76*(1+($AP$19/$AO$19-1))</f>
        <v>3504.6869565217394</v>
      </c>
      <c r="AV76" s="397">
        <f t="shared" ref="AV76:AV84" si="790">AJ76*(1+($AP$19/$AO$19-1))</f>
        <v>3504.6869565217394</v>
      </c>
      <c r="AW76" s="397">
        <f t="shared" ref="AW76:AW84" si="791">AK76*(1+($AP$19/$AO$19-1))</f>
        <v>7009.3739130434788</v>
      </c>
      <c r="AX76" s="397">
        <f t="shared" ref="AX76:AX84" si="792">AL76*(1+($AP$19/$AO$19-1))</f>
        <v>1638.3753217391304</v>
      </c>
      <c r="AY76" s="397">
        <f t="shared" ref="AY76:AY84" si="793">AM76*(1+($AP$19/$AO$19-1))</f>
        <v>3504.6869565217394</v>
      </c>
      <c r="AZ76" s="397">
        <f t="shared" ref="AZ76:AZ84" si="794">AN76*(1+($AP$19/$AO$19-1))</f>
        <v>2733.0721295652179</v>
      </c>
      <c r="BA76" s="120">
        <f t="shared" ref="BA76:BA84" si="795">AO76*(1+BA$263)</f>
        <v>2982.2470963478263</v>
      </c>
      <c r="BB76" s="120">
        <f t="shared" ref="BB76:BB84" si="796">AP76*(1+BB$263)</f>
        <v>2982.2470963478263</v>
      </c>
      <c r="BC76" s="120">
        <f t="shared" ref="BC76:BC84" si="797">AQ76*(1+BC$263)</f>
        <v>2733.0721295652179</v>
      </c>
      <c r="BD76" s="120">
        <f t="shared" ref="BD76:BD84" si="798">AR76*(1+BD$263)</f>
        <v>2733.0721295652179</v>
      </c>
      <c r="BE76" s="120">
        <f t="shared" ref="BE76:BE84" si="799">AS76*(1+BE$263)</f>
        <v>3609.8275652173916</v>
      </c>
      <c r="BF76" s="120">
        <f t="shared" ref="BF76:BF84" si="800">AT76*(1+BF$263)</f>
        <v>4140.4528443478266</v>
      </c>
      <c r="BG76" s="120">
        <f t="shared" ref="BG76:BG84" si="801">AU76*(1+BG$263)</f>
        <v>3609.8275652173916</v>
      </c>
      <c r="BH76" s="120">
        <f t="shared" ref="BH76:BH84" si="802">AV76*(1+BH$263)</f>
        <v>3609.8275652173916</v>
      </c>
      <c r="BI76" s="120">
        <f t="shared" ref="BI76:BI84" si="803">AW76*(1+BI$263)</f>
        <v>7219.6551304347831</v>
      </c>
      <c r="BJ76" s="120">
        <f t="shared" ref="BJ76:BJ84" si="804">AX76*(1+BJ$263)</f>
        <v>1687.5265813913043</v>
      </c>
      <c r="BK76" s="120">
        <f t="shared" ref="BK76:BK84" si="805">AY76*(1+BK$263)</f>
        <v>3609.8275652173916</v>
      </c>
      <c r="BL76" s="120">
        <f t="shared" ref="BL76:BL84" si="806">AZ76*(1+BL$263)</f>
        <v>2815.0642934521743</v>
      </c>
      <c r="BM76" s="120">
        <f t="shared" ref="BM76:BM84" si="807">BA76*(1+BM$263)</f>
        <v>3071.7145092382611</v>
      </c>
      <c r="BN76" s="120">
        <f t="shared" ref="BN76:BN84" si="808">BB76*(1+BN$263)</f>
        <v>3071.7145092382611</v>
      </c>
      <c r="BO76" s="120">
        <f t="shared" ref="BO76:BO84" si="809">BC76*(1+BO$263)</f>
        <v>2815.0642934521743</v>
      </c>
      <c r="BP76" s="120">
        <f t="shared" ref="BP76:BP84" si="810">BD76*(1+BP$263)</f>
        <v>2815.0642934521743</v>
      </c>
      <c r="BQ76" s="120">
        <f t="shared" ref="BQ76:BQ84" si="811">BE76*(1+BQ$263)</f>
        <v>3718.1223921739133</v>
      </c>
      <c r="BR76" s="120">
        <f t="shared" ref="BR76:BR84" si="812">BF76*(1+BR$263)</f>
        <v>4264.6664296782619</v>
      </c>
      <c r="BS76" s="120">
        <f t="shared" ref="BS76:BS84" si="813">BG76*(1+BS$263)</f>
        <v>3718.1223921739133</v>
      </c>
      <c r="BT76" s="120">
        <f t="shared" ref="BT76:BT84" si="814">BH76*(1+BT$263)</f>
        <v>3718.1223921739133</v>
      </c>
      <c r="BU76" s="120">
        <f t="shared" ref="BU76:BU84" si="815">BI76*(1+BU$263)</f>
        <v>7436.2447843478267</v>
      </c>
      <c r="BV76" s="120">
        <f t="shared" ref="BV76:BV84" si="816">BJ76*(1+BV$263)</f>
        <v>1738.1523788330435</v>
      </c>
      <c r="BW76" s="120">
        <f t="shared" ref="BW76:BW84" si="817">BK76*(1+BW$263)</f>
        <v>3718.1223921739133</v>
      </c>
      <c r="BX76" s="120">
        <f t="shared" ref="BX76:BX84" si="818">BL76*(1+BX$263)</f>
        <v>2899.5162222557396</v>
      </c>
      <c r="BY76" s="8"/>
      <c r="BZ76" s="72">
        <f t="shared" si="442"/>
        <v>2795</v>
      </c>
      <c r="CA76" s="72">
        <f t="shared" si="443"/>
        <v>30132.92</v>
      </c>
      <c r="CB76" s="97"/>
      <c r="CC76" s="72">
        <f t="shared" si="760"/>
        <v>0</v>
      </c>
      <c r="CD76" s="72">
        <f t="shared" si="760"/>
        <v>0</v>
      </c>
      <c r="CE76" s="72">
        <f t="shared" si="760"/>
        <v>15718.789999999999</v>
      </c>
      <c r="CF76" s="72">
        <f t="shared" si="760"/>
        <v>32312.554499999998</v>
      </c>
      <c r="CG76" s="72">
        <f t="shared" si="760"/>
        <v>33281.931134999999</v>
      </c>
      <c r="CH76" s="72">
        <f t="shared" si="760"/>
        <v>40517.133555652174</v>
      </c>
      <c r="CI76" s="72">
        <f t="shared" si="760"/>
        <v>41732.647562321741</v>
      </c>
      <c r="CJ76" s="72">
        <f t="shared" si="760"/>
        <v>42984.626989191405</v>
      </c>
      <c r="CL76" s="13"/>
      <c r="CM76" s="13"/>
    </row>
    <row r="77" spans="1:92" x14ac:dyDescent="0.3">
      <c r="A77" s="97" t="str">
        <f>'DCS Detail'!A77</f>
        <v xml:space="preserve">         531.1 Postage</v>
      </c>
      <c r="B77" s="106" t="str">
        <f>IF('DCS Detail'!$B77="","",'DCS Detail'!$B77)</f>
        <v>Supplies</v>
      </c>
      <c r="C77" s="106"/>
      <c r="D77" s="106"/>
      <c r="E77" s="18">
        <v>0</v>
      </c>
      <c r="F77" s="18">
        <v>0</v>
      </c>
      <c r="G77" s="18">
        <v>27.61</v>
      </c>
      <c r="H77" s="18">
        <v>0</v>
      </c>
      <c r="I77" s="18">
        <v>0</v>
      </c>
      <c r="J77" s="18">
        <v>0</v>
      </c>
      <c r="K77" s="18">
        <v>20.260000000000002</v>
      </c>
      <c r="L77" s="18">
        <v>56.849999999999994</v>
      </c>
      <c r="M77" s="18">
        <v>0</v>
      </c>
      <c r="N77" s="18">
        <v>0</v>
      </c>
      <c r="O77" s="18">
        <v>0</v>
      </c>
      <c r="P77" s="18">
        <v>87.02</v>
      </c>
      <c r="Q77" s="18">
        <v>56.85</v>
      </c>
      <c r="R77" s="18">
        <v>0</v>
      </c>
      <c r="S77" s="18">
        <v>0</v>
      </c>
      <c r="T77" s="18">
        <v>0</v>
      </c>
      <c r="U77" s="18">
        <v>0</v>
      </c>
      <c r="V77" s="18">
        <v>0</v>
      </c>
      <c r="W77" s="18">
        <v>0</v>
      </c>
      <c r="X77" s="18">
        <v>0</v>
      </c>
      <c r="Y77" s="18">
        <v>0</v>
      </c>
      <c r="Z77" s="18">
        <v>0</v>
      </c>
      <c r="AA77" s="18">
        <v>0</v>
      </c>
      <c r="AB77" s="120">
        <f t="shared" si="771"/>
        <v>89.630600000000001</v>
      </c>
      <c r="AC77" s="120">
        <f t="shared" si="772"/>
        <v>58.555500000000002</v>
      </c>
      <c r="AD77" s="120">
        <f t="shared" si="773"/>
        <v>0</v>
      </c>
      <c r="AE77" s="120">
        <f t="shared" si="774"/>
        <v>0</v>
      </c>
      <c r="AF77" s="120">
        <f t="shared" si="775"/>
        <v>0</v>
      </c>
      <c r="AG77" s="120">
        <f t="shared" si="776"/>
        <v>0</v>
      </c>
      <c r="AH77" s="120">
        <f t="shared" si="777"/>
        <v>0</v>
      </c>
      <c r="AI77" s="120">
        <f t="shared" si="778"/>
        <v>0</v>
      </c>
      <c r="AJ77" s="120">
        <f t="shared" si="779"/>
        <v>0</v>
      </c>
      <c r="AK77" s="120">
        <f t="shared" si="780"/>
        <v>0</v>
      </c>
      <c r="AL77" s="120">
        <f t="shared" si="781"/>
        <v>0</v>
      </c>
      <c r="AM77" s="120">
        <f t="shared" si="782"/>
        <v>0</v>
      </c>
      <c r="AN77" s="120">
        <f t="shared" si="783"/>
        <v>92.319518000000002</v>
      </c>
      <c r="AO77" s="397">
        <f t="shared" si="784"/>
        <v>71.284956521739133</v>
      </c>
      <c r="AP77" s="397">
        <f t="shared" si="784"/>
        <v>0</v>
      </c>
      <c r="AQ77" s="397">
        <f t="shared" si="785"/>
        <v>0</v>
      </c>
      <c r="AR77" s="397">
        <f t="shared" si="786"/>
        <v>0</v>
      </c>
      <c r="AS77" s="397">
        <f t="shared" si="787"/>
        <v>0</v>
      </c>
      <c r="AT77" s="397">
        <f t="shared" si="788"/>
        <v>0</v>
      </c>
      <c r="AU77" s="397">
        <f t="shared" si="789"/>
        <v>0</v>
      </c>
      <c r="AV77" s="397">
        <f t="shared" si="790"/>
        <v>0</v>
      </c>
      <c r="AW77" s="397">
        <f t="shared" si="791"/>
        <v>0</v>
      </c>
      <c r="AX77" s="397">
        <f t="shared" si="792"/>
        <v>0</v>
      </c>
      <c r="AY77" s="397">
        <f t="shared" si="793"/>
        <v>0</v>
      </c>
      <c r="AZ77" s="397">
        <f t="shared" si="794"/>
        <v>112.38897843478262</v>
      </c>
      <c r="BA77" s="120">
        <f t="shared" si="795"/>
        <v>73.423505217391309</v>
      </c>
      <c r="BB77" s="120">
        <f t="shared" si="796"/>
        <v>0</v>
      </c>
      <c r="BC77" s="120">
        <f t="shared" si="797"/>
        <v>0</v>
      </c>
      <c r="BD77" s="120">
        <f t="shared" si="798"/>
        <v>0</v>
      </c>
      <c r="BE77" s="120">
        <f t="shared" si="799"/>
        <v>0</v>
      </c>
      <c r="BF77" s="120">
        <f t="shared" si="800"/>
        <v>0</v>
      </c>
      <c r="BG77" s="120">
        <f t="shared" si="801"/>
        <v>0</v>
      </c>
      <c r="BH77" s="120">
        <f t="shared" si="802"/>
        <v>0</v>
      </c>
      <c r="BI77" s="120">
        <f t="shared" si="803"/>
        <v>0</v>
      </c>
      <c r="BJ77" s="120">
        <f t="shared" si="804"/>
        <v>0</v>
      </c>
      <c r="BK77" s="120">
        <f t="shared" si="805"/>
        <v>0</v>
      </c>
      <c r="BL77" s="120">
        <f t="shared" si="806"/>
        <v>115.7606477878261</v>
      </c>
      <c r="BM77" s="120">
        <f t="shared" si="807"/>
        <v>75.626210373913054</v>
      </c>
      <c r="BN77" s="120">
        <f t="shared" si="808"/>
        <v>0</v>
      </c>
      <c r="BO77" s="120">
        <f t="shared" si="809"/>
        <v>0</v>
      </c>
      <c r="BP77" s="120">
        <f t="shared" si="810"/>
        <v>0</v>
      </c>
      <c r="BQ77" s="120">
        <f t="shared" si="811"/>
        <v>0</v>
      </c>
      <c r="BR77" s="120">
        <f t="shared" si="812"/>
        <v>0</v>
      </c>
      <c r="BS77" s="120">
        <f t="shared" si="813"/>
        <v>0</v>
      </c>
      <c r="BT77" s="120">
        <f t="shared" si="814"/>
        <v>0</v>
      </c>
      <c r="BU77" s="120">
        <f t="shared" si="815"/>
        <v>0</v>
      </c>
      <c r="BV77" s="120">
        <f t="shared" si="816"/>
        <v>0</v>
      </c>
      <c r="BW77" s="120">
        <f t="shared" si="817"/>
        <v>0</v>
      </c>
      <c r="BX77" s="120">
        <f t="shared" si="818"/>
        <v>119.23346722146088</v>
      </c>
      <c r="BY77" s="8"/>
      <c r="BZ77" s="72">
        <f t="shared" si="442"/>
        <v>0</v>
      </c>
      <c r="CA77" s="72">
        <f t="shared" si="443"/>
        <v>56.85</v>
      </c>
      <c r="CB77" s="97"/>
      <c r="CC77" s="72">
        <f t="shared" si="760"/>
        <v>0</v>
      </c>
      <c r="CD77" s="72">
        <f t="shared" si="760"/>
        <v>0</v>
      </c>
      <c r="CE77" s="72">
        <f t="shared" si="760"/>
        <v>191.74</v>
      </c>
      <c r="CF77" s="72">
        <f t="shared" si="760"/>
        <v>146.48060000000001</v>
      </c>
      <c r="CG77" s="72">
        <f t="shared" si="760"/>
        <v>150.87501800000001</v>
      </c>
      <c r="CH77" s="72">
        <f t="shared" si="760"/>
        <v>183.67393495652175</v>
      </c>
      <c r="CI77" s="72">
        <f t="shared" si="760"/>
        <v>189.18415300521741</v>
      </c>
      <c r="CJ77" s="72">
        <f t="shared" si="760"/>
        <v>194.85967759537394</v>
      </c>
      <c r="CL77" s="13"/>
      <c r="CM77" s="13"/>
    </row>
    <row r="78" spans="1:92" x14ac:dyDescent="0.3">
      <c r="A78" s="97" t="str">
        <f>'DCS Detail'!A78</f>
        <v xml:space="preserve">         610.2 Supplies</v>
      </c>
      <c r="B78" s="106" t="str">
        <f>IF('DCS Detail'!$B78="","",'DCS Detail'!$B78)</f>
        <v>Supplies</v>
      </c>
      <c r="C78" s="106"/>
      <c r="D78" s="106"/>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20">
        <f t="shared" si="771"/>
        <v>0</v>
      </c>
      <c r="AC78" s="120">
        <f t="shared" si="772"/>
        <v>0</v>
      </c>
      <c r="AD78" s="120">
        <f t="shared" si="773"/>
        <v>0</v>
      </c>
      <c r="AE78" s="120">
        <f t="shared" si="774"/>
        <v>0</v>
      </c>
      <c r="AF78" s="120">
        <f t="shared" si="775"/>
        <v>0</v>
      </c>
      <c r="AG78" s="120">
        <f t="shared" si="776"/>
        <v>0</v>
      </c>
      <c r="AH78" s="120">
        <f t="shared" si="777"/>
        <v>0</v>
      </c>
      <c r="AI78" s="120">
        <f t="shared" si="778"/>
        <v>0</v>
      </c>
      <c r="AJ78" s="120">
        <f t="shared" si="779"/>
        <v>0</v>
      </c>
      <c r="AK78" s="120">
        <f t="shared" si="780"/>
        <v>0</v>
      </c>
      <c r="AL78" s="120">
        <f t="shared" si="781"/>
        <v>0</v>
      </c>
      <c r="AM78" s="120">
        <f t="shared" si="782"/>
        <v>0</v>
      </c>
      <c r="AN78" s="120">
        <f t="shared" si="783"/>
        <v>0</v>
      </c>
      <c r="AO78" s="397">
        <f t="shared" si="784"/>
        <v>0</v>
      </c>
      <c r="AP78" s="397">
        <f t="shared" si="784"/>
        <v>0</v>
      </c>
      <c r="AQ78" s="397">
        <f t="shared" si="785"/>
        <v>0</v>
      </c>
      <c r="AR78" s="397">
        <f t="shared" si="786"/>
        <v>0</v>
      </c>
      <c r="AS78" s="397">
        <f t="shared" si="787"/>
        <v>0</v>
      </c>
      <c r="AT78" s="397">
        <f t="shared" si="788"/>
        <v>0</v>
      </c>
      <c r="AU78" s="397">
        <f t="shared" si="789"/>
        <v>0</v>
      </c>
      <c r="AV78" s="397">
        <f t="shared" si="790"/>
        <v>0</v>
      </c>
      <c r="AW78" s="397">
        <f t="shared" si="791"/>
        <v>0</v>
      </c>
      <c r="AX78" s="397">
        <f t="shared" si="792"/>
        <v>0</v>
      </c>
      <c r="AY78" s="397">
        <f t="shared" si="793"/>
        <v>0</v>
      </c>
      <c r="AZ78" s="397">
        <f t="shared" si="794"/>
        <v>0</v>
      </c>
      <c r="BA78" s="120">
        <f t="shared" si="795"/>
        <v>0</v>
      </c>
      <c r="BB78" s="120">
        <f t="shared" si="796"/>
        <v>0</v>
      </c>
      <c r="BC78" s="120">
        <f t="shared" si="797"/>
        <v>0</v>
      </c>
      <c r="BD78" s="120">
        <f t="shared" si="798"/>
        <v>0</v>
      </c>
      <c r="BE78" s="120">
        <f t="shared" si="799"/>
        <v>0</v>
      </c>
      <c r="BF78" s="120">
        <f t="shared" si="800"/>
        <v>0</v>
      </c>
      <c r="BG78" s="120">
        <f t="shared" si="801"/>
        <v>0</v>
      </c>
      <c r="BH78" s="120">
        <f t="shared" si="802"/>
        <v>0</v>
      </c>
      <c r="BI78" s="120">
        <f t="shared" si="803"/>
        <v>0</v>
      </c>
      <c r="BJ78" s="120">
        <f t="shared" si="804"/>
        <v>0</v>
      </c>
      <c r="BK78" s="120">
        <f t="shared" si="805"/>
        <v>0</v>
      </c>
      <c r="BL78" s="120">
        <f t="shared" si="806"/>
        <v>0</v>
      </c>
      <c r="BM78" s="120">
        <f t="shared" si="807"/>
        <v>0</v>
      </c>
      <c r="BN78" s="120">
        <f t="shared" si="808"/>
        <v>0</v>
      </c>
      <c r="BO78" s="120">
        <f t="shared" si="809"/>
        <v>0</v>
      </c>
      <c r="BP78" s="120">
        <f t="shared" si="810"/>
        <v>0</v>
      </c>
      <c r="BQ78" s="120">
        <f t="shared" si="811"/>
        <v>0</v>
      </c>
      <c r="BR78" s="120">
        <f t="shared" si="812"/>
        <v>0</v>
      </c>
      <c r="BS78" s="120">
        <f t="shared" si="813"/>
        <v>0</v>
      </c>
      <c r="BT78" s="120">
        <f t="shared" si="814"/>
        <v>0</v>
      </c>
      <c r="BU78" s="120">
        <f t="shared" si="815"/>
        <v>0</v>
      </c>
      <c r="BV78" s="120">
        <f t="shared" si="816"/>
        <v>0</v>
      </c>
      <c r="BW78" s="120">
        <f t="shared" si="817"/>
        <v>0</v>
      </c>
      <c r="BX78" s="120">
        <f t="shared" si="818"/>
        <v>0</v>
      </c>
      <c r="BY78" s="8"/>
      <c r="BZ78" s="72">
        <f t="shared" si="442"/>
        <v>0</v>
      </c>
      <c r="CA78" s="72">
        <f t="shared" si="443"/>
        <v>0</v>
      </c>
      <c r="CB78" s="97"/>
      <c r="CC78" s="72">
        <f t="shared" ref="CC78:CJ87" si="819">SUMIF($C$3:$BY$3,CC$3,$C78:$BY78)</f>
        <v>0</v>
      </c>
      <c r="CD78" s="72">
        <f t="shared" si="819"/>
        <v>0</v>
      </c>
      <c r="CE78" s="72">
        <f t="shared" si="819"/>
        <v>0</v>
      </c>
      <c r="CF78" s="72">
        <f t="shared" si="819"/>
        <v>0</v>
      </c>
      <c r="CG78" s="72">
        <f t="shared" si="819"/>
        <v>0</v>
      </c>
      <c r="CH78" s="72">
        <f t="shared" si="819"/>
        <v>0</v>
      </c>
      <c r="CI78" s="72">
        <f t="shared" si="819"/>
        <v>0</v>
      </c>
      <c r="CJ78" s="72">
        <f t="shared" si="819"/>
        <v>0</v>
      </c>
      <c r="CL78" s="13"/>
      <c r="CM78" s="13"/>
    </row>
    <row r="79" spans="1:92" x14ac:dyDescent="0.3">
      <c r="A79" s="97" t="str">
        <f>'DCS Detail'!A79</f>
        <v xml:space="preserve">         610.3 Field Trips and Awards</v>
      </c>
      <c r="B79" s="106" t="str">
        <f>IF('DCS Detail'!$B79="","",'DCS Detail'!$B79)</f>
        <v>Curriculum</v>
      </c>
      <c r="C79" s="106"/>
      <c r="D79" s="106"/>
      <c r="E79" s="18">
        <v>0</v>
      </c>
      <c r="F79" s="18">
        <v>0</v>
      </c>
      <c r="G79" s="18">
        <v>0</v>
      </c>
      <c r="H79" s="18">
        <v>0</v>
      </c>
      <c r="I79" s="18">
        <v>0</v>
      </c>
      <c r="J79" s="18">
        <v>0</v>
      </c>
      <c r="K79" s="18">
        <v>0</v>
      </c>
      <c r="L79" s="18">
        <v>0</v>
      </c>
      <c r="M79" s="18">
        <v>285</v>
      </c>
      <c r="N79" s="18">
        <v>0</v>
      </c>
      <c r="O79" s="18">
        <v>0</v>
      </c>
      <c r="P79" s="18">
        <v>0</v>
      </c>
      <c r="Q79" s="18">
        <v>0</v>
      </c>
      <c r="R79" s="18">
        <v>0</v>
      </c>
      <c r="S79" s="18">
        <v>0</v>
      </c>
      <c r="T79" s="18">
        <v>5064.83</v>
      </c>
      <c r="U79" s="18">
        <v>0</v>
      </c>
      <c r="V79" s="18">
        <v>0</v>
      </c>
      <c r="W79" s="18">
        <v>0</v>
      </c>
      <c r="X79" s="18">
        <v>0</v>
      </c>
      <c r="Y79" s="18">
        <v>319.85000000000002</v>
      </c>
      <c r="Z79" s="18">
        <v>544.51</v>
      </c>
      <c r="AA79" s="18">
        <v>947.58</v>
      </c>
      <c r="AB79" s="120">
        <f t="shared" si="771"/>
        <v>0</v>
      </c>
      <c r="AC79" s="120">
        <f t="shared" si="772"/>
        <v>0</v>
      </c>
      <c r="AD79" s="120">
        <f t="shared" si="773"/>
        <v>0</v>
      </c>
      <c r="AE79" s="120">
        <f t="shared" si="774"/>
        <v>0</v>
      </c>
      <c r="AF79" s="120">
        <f t="shared" si="775"/>
        <v>5216.7749000000003</v>
      </c>
      <c r="AG79" s="120">
        <f t="shared" si="776"/>
        <v>0</v>
      </c>
      <c r="AH79" s="120">
        <f t="shared" si="777"/>
        <v>0</v>
      </c>
      <c r="AI79" s="120">
        <f t="shared" si="778"/>
        <v>0</v>
      </c>
      <c r="AJ79" s="120">
        <f t="shared" si="779"/>
        <v>0</v>
      </c>
      <c r="AK79" s="120">
        <f t="shared" si="780"/>
        <v>329.44550000000004</v>
      </c>
      <c r="AL79" s="120">
        <f t="shared" si="781"/>
        <v>560.84529999999995</v>
      </c>
      <c r="AM79" s="120">
        <f t="shared" si="782"/>
        <v>976.00740000000008</v>
      </c>
      <c r="AN79" s="120">
        <f t="shared" si="783"/>
        <v>0</v>
      </c>
      <c r="AO79" s="397">
        <f t="shared" si="784"/>
        <v>0</v>
      </c>
      <c r="AP79" s="397">
        <f t="shared" si="784"/>
        <v>0</v>
      </c>
      <c r="AQ79" s="397">
        <f t="shared" si="785"/>
        <v>0</v>
      </c>
      <c r="AR79" s="397">
        <f t="shared" si="786"/>
        <v>6350.8564000000006</v>
      </c>
      <c r="AS79" s="397">
        <f t="shared" si="787"/>
        <v>0</v>
      </c>
      <c r="AT79" s="397">
        <f t="shared" si="788"/>
        <v>0</v>
      </c>
      <c r="AU79" s="397">
        <f t="shared" si="789"/>
        <v>0</v>
      </c>
      <c r="AV79" s="397">
        <f t="shared" si="790"/>
        <v>0</v>
      </c>
      <c r="AW79" s="397">
        <f t="shared" si="791"/>
        <v>401.06408695652181</v>
      </c>
      <c r="AX79" s="397">
        <f t="shared" si="792"/>
        <v>682.76819130434785</v>
      </c>
      <c r="AY79" s="397">
        <f t="shared" si="793"/>
        <v>1188.1829217391305</v>
      </c>
      <c r="AZ79" s="397">
        <f t="shared" si="794"/>
        <v>0</v>
      </c>
      <c r="BA79" s="120">
        <f t="shared" si="795"/>
        <v>0</v>
      </c>
      <c r="BB79" s="120">
        <f t="shared" si="796"/>
        <v>0</v>
      </c>
      <c r="BC79" s="120">
        <f t="shared" si="797"/>
        <v>0</v>
      </c>
      <c r="BD79" s="120">
        <f t="shared" si="798"/>
        <v>6541.3820920000007</v>
      </c>
      <c r="BE79" s="120">
        <f t="shared" si="799"/>
        <v>0</v>
      </c>
      <c r="BF79" s="120">
        <f t="shared" si="800"/>
        <v>0</v>
      </c>
      <c r="BG79" s="120">
        <f t="shared" si="801"/>
        <v>0</v>
      </c>
      <c r="BH79" s="120">
        <f t="shared" si="802"/>
        <v>0</v>
      </c>
      <c r="BI79" s="120">
        <f t="shared" si="803"/>
        <v>413.09600956521746</v>
      </c>
      <c r="BJ79" s="120">
        <f t="shared" si="804"/>
        <v>703.25123704347834</v>
      </c>
      <c r="BK79" s="120">
        <f t="shared" si="805"/>
        <v>1223.8284093913044</v>
      </c>
      <c r="BL79" s="120">
        <f t="shared" si="806"/>
        <v>0</v>
      </c>
      <c r="BM79" s="120">
        <f t="shared" si="807"/>
        <v>0</v>
      </c>
      <c r="BN79" s="120">
        <f t="shared" si="808"/>
        <v>0</v>
      </c>
      <c r="BO79" s="120">
        <f t="shared" si="809"/>
        <v>0</v>
      </c>
      <c r="BP79" s="120">
        <f t="shared" si="810"/>
        <v>6737.6235547600008</v>
      </c>
      <c r="BQ79" s="120">
        <f t="shared" si="811"/>
        <v>0</v>
      </c>
      <c r="BR79" s="120">
        <f t="shared" si="812"/>
        <v>0</v>
      </c>
      <c r="BS79" s="120">
        <f t="shared" si="813"/>
        <v>0</v>
      </c>
      <c r="BT79" s="120">
        <f t="shared" si="814"/>
        <v>0</v>
      </c>
      <c r="BU79" s="120">
        <f t="shared" si="815"/>
        <v>425.488889852174</v>
      </c>
      <c r="BV79" s="120">
        <f t="shared" si="816"/>
        <v>724.34877415478275</v>
      </c>
      <c r="BW79" s="120">
        <f t="shared" si="817"/>
        <v>1260.5432616730436</v>
      </c>
      <c r="BX79" s="120">
        <f t="shared" si="818"/>
        <v>0</v>
      </c>
      <c r="BY79" s="8"/>
      <c r="BZ79" s="72">
        <f t="shared" si="442"/>
        <v>947.58</v>
      </c>
      <c r="CA79" s="72">
        <f t="shared" si="443"/>
        <v>6876.77</v>
      </c>
      <c r="CB79" s="97"/>
      <c r="CC79" s="72">
        <f t="shared" si="819"/>
        <v>0</v>
      </c>
      <c r="CD79" s="72">
        <f t="shared" si="819"/>
        <v>0</v>
      </c>
      <c r="CE79" s="72">
        <f t="shared" si="819"/>
        <v>285</v>
      </c>
      <c r="CF79" s="72">
        <f t="shared" si="819"/>
        <v>6876.77</v>
      </c>
      <c r="CG79" s="72">
        <f t="shared" si="819"/>
        <v>7083.0731000000005</v>
      </c>
      <c r="CH79" s="72">
        <f t="shared" si="819"/>
        <v>8622.8716000000004</v>
      </c>
      <c r="CI79" s="72">
        <f t="shared" si="819"/>
        <v>8881.5577480000011</v>
      </c>
      <c r="CJ79" s="72">
        <f t="shared" si="819"/>
        <v>9148.0044804400004</v>
      </c>
      <c r="CL79" s="13"/>
      <c r="CM79" s="13"/>
    </row>
    <row r="80" spans="1:92" x14ac:dyDescent="0.3">
      <c r="A80" s="97" t="str">
        <f>'DCS Detail'!A80</f>
        <v xml:space="preserve">         650.1 Fundraiser Supplies</v>
      </c>
      <c r="B80" s="106" t="str">
        <f>IF('DCS Detail'!$B80="","",'DCS Detail'!$B80)</f>
        <v>Supplies</v>
      </c>
      <c r="C80" s="106"/>
      <c r="D80" s="106"/>
      <c r="E80" s="18">
        <v>0</v>
      </c>
      <c r="F80" s="18">
        <v>0</v>
      </c>
      <c r="G80" s="18">
        <v>0</v>
      </c>
      <c r="H80" s="18">
        <v>0</v>
      </c>
      <c r="I80" s="18">
        <v>0</v>
      </c>
      <c r="J80" s="18">
        <v>0</v>
      </c>
      <c r="K80" s="18">
        <v>0</v>
      </c>
      <c r="L80" s="18">
        <v>0</v>
      </c>
      <c r="M80" s="18">
        <v>0</v>
      </c>
      <c r="N80" s="18">
        <v>0</v>
      </c>
      <c r="O80" s="18">
        <v>0</v>
      </c>
      <c r="P80" s="18">
        <v>0</v>
      </c>
      <c r="Q80" s="18">
        <v>0</v>
      </c>
      <c r="R80" s="18">
        <v>0</v>
      </c>
      <c r="S80" s="18">
        <v>0</v>
      </c>
      <c r="T80" s="18">
        <v>156</v>
      </c>
      <c r="U80" s="18">
        <v>0</v>
      </c>
      <c r="V80" s="18">
        <v>15.6</v>
      </c>
      <c r="W80" s="18">
        <v>1605.89</v>
      </c>
      <c r="X80" s="18">
        <v>-113.1</v>
      </c>
      <c r="Y80" s="18">
        <v>-236.54</v>
      </c>
      <c r="Z80" s="18">
        <v>-11.9</v>
      </c>
      <c r="AA80" s="18">
        <v>0</v>
      </c>
      <c r="AB80" s="120">
        <f t="shared" si="771"/>
        <v>0</v>
      </c>
      <c r="AC80" s="120">
        <f t="shared" si="772"/>
        <v>0</v>
      </c>
      <c r="AD80" s="120">
        <f t="shared" si="773"/>
        <v>0</v>
      </c>
      <c r="AE80" s="120">
        <f t="shared" si="774"/>
        <v>0</v>
      </c>
      <c r="AF80" s="120">
        <f t="shared" si="775"/>
        <v>160.68</v>
      </c>
      <c r="AG80" s="120">
        <f t="shared" si="776"/>
        <v>0</v>
      </c>
      <c r="AH80" s="120">
        <f t="shared" si="777"/>
        <v>16.068000000000001</v>
      </c>
      <c r="AI80" s="120">
        <f t="shared" si="778"/>
        <v>1654.0667000000001</v>
      </c>
      <c r="AJ80" s="120">
        <f t="shared" si="779"/>
        <v>-116.49299999999999</v>
      </c>
      <c r="AK80" s="120">
        <f t="shared" si="780"/>
        <v>-243.6362</v>
      </c>
      <c r="AL80" s="120">
        <f t="shared" si="781"/>
        <v>-12.257000000000001</v>
      </c>
      <c r="AM80" s="120">
        <f t="shared" si="782"/>
        <v>0</v>
      </c>
      <c r="AN80" s="120">
        <f t="shared" si="783"/>
        <v>0</v>
      </c>
      <c r="AO80" s="397">
        <f t="shared" si="784"/>
        <v>0</v>
      </c>
      <c r="AP80" s="397">
        <f t="shared" si="784"/>
        <v>0</v>
      </c>
      <c r="AQ80" s="397">
        <f t="shared" si="785"/>
        <v>0</v>
      </c>
      <c r="AR80" s="397">
        <f t="shared" si="786"/>
        <v>195.61043478260871</v>
      </c>
      <c r="AS80" s="397">
        <f t="shared" si="787"/>
        <v>0</v>
      </c>
      <c r="AT80" s="397">
        <f t="shared" si="788"/>
        <v>19.561043478260874</v>
      </c>
      <c r="AU80" s="397">
        <f t="shared" si="789"/>
        <v>2013.6464173913046</v>
      </c>
      <c r="AV80" s="397">
        <f t="shared" si="790"/>
        <v>-141.81756521739132</v>
      </c>
      <c r="AW80" s="397">
        <f t="shared" si="791"/>
        <v>-296.60059130434786</v>
      </c>
      <c r="AX80" s="397">
        <f t="shared" si="792"/>
        <v>-14.921565217391308</v>
      </c>
      <c r="AY80" s="397">
        <f t="shared" si="793"/>
        <v>0</v>
      </c>
      <c r="AZ80" s="397">
        <f t="shared" si="794"/>
        <v>0</v>
      </c>
      <c r="BA80" s="120">
        <f t="shared" si="795"/>
        <v>0</v>
      </c>
      <c r="BB80" s="120">
        <f t="shared" si="796"/>
        <v>0</v>
      </c>
      <c r="BC80" s="120">
        <f t="shared" si="797"/>
        <v>0</v>
      </c>
      <c r="BD80" s="120">
        <f t="shared" si="798"/>
        <v>201.47874782608696</v>
      </c>
      <c r="BE80" s="120">
        <f t="shared" si="799"/>
        <v>0</v>
      </c>
      <c r="BF80" s="120">
        <f t="shared" si="800"/>
        <v>20.147874782608699</v>
      </c>
      <c r="BG80" s="120">
        <f t="shared" si="801"/>
        <v>2074.055809913044</v>
      </c>
      <c r="BH80" s="120">
        <f t="shared" si="802"/>
        <v>-146.07209217391306</v>
      </c>
      <c r="BI80" s="120">
        <f t="shared" si="803"/>
        <v>-305.49860904347833</v>
      </c>
      <c r="BJ80" s="120">
        <f t="shared" si="804"/>
        <v>-15.369212173913047</v>
      </c>
      <c r="BK80" s="120">
        <f t="shared" si="805"/>
        <v>0</v>
      </c>
      <c r="BL80" s="120">
        <f t="shared" si="806"/>
        <v>0</v>
      </c>
      <c r="BM80" s="120">
        <f t="shared" si="807"/>
        <v>0</v>
      </c>
      <c r="BN80" s="120">
        <f t="shared" si="808"/>
        <v>0</v>
      </c>
      <c r="BO80" s="120">
        <f t="shared" si="809"/>
        <v>0</v>
      </c>
      <c r="BP80" s="120">
        <f t="shared" si="810"/>
        <v>207.52311026086957</v>
      </c>
      <c r="BQ80" s="120">
        <f t="shared" si="811"/>
        <v>0</v>
      </c>
      <c r="BR80" s="120">
        <f t="shared" si="812"/>
        <v>20.752311026086961</v>
      </c>
      <c r="BS80" s="120">
        <f t="shared" si="813"/>
        <v>2136.2774842104354</v>
      </c>
      <c r="BT80" s="120">
        <f t="shared" si="814"/>
        <v>-150.45425493913046</v>
      </c>
      <c r="BU80" s="120">
        <f t="shared" si="815"/>
        <v>-314.66356731478271</v>
      </c>
      <c r="BV80" s="120">
        <f t="shared" si="816"/>
        <v>-15.830288539130439</v>
      </c>
      <c r="BW80" s="120">
        <f t="shared" si="817"/>
        <v>0</v>
      </c>
      <c r="BX80" s="120">
        <f t="shared" si="818"/>
        <v>0</v>
      </c>
      <c r="BY80" s="8"/>
      <c r="BZ80" s="72">
        <f t="shared" si="442"/>
        <v>0</v>
      </c>
      <c r="CA80" s="72">
        <f t="shared" si="443"/>
        <v>1415.95</v>
      </c>
      <c r="CB80" s="97"/>
      <c r="CC80" s="72">
        <f t="shared" si="819"/>
        <v>0</v>
      </c>
      <c r="CD80" s="72">
        <f t="shared" si="819"/>
        <v>0</v>
      </c>
      <c r="CE80" s="72">
        <f t="shared" si="819"/>
        <v>0</v>
      </c>
      <c r="CF80" s="72">
        <f t="shared" si="819"/>
        <v>1415.95</v>
      </c>
      <c r="CG80" s="72">
        <f t="shared" si="819"/>
        <v>1458.4285000000002</v>
      </c>
      <c r="CH80" s="72">
        <f t="shared" si="819"/>
        <v>1775.4781739130437</v>
      </c>
      <c r="CI80" s="72">
        <f t="shared" si="819"/>
        <v>1828.7425191304351</v>
      </c>
      <c r="CJ80" s="72">
        <f t="shared" si="819"/>
        <v>1883.6047947043487</v>
      </c>
      <c r="CL80" s="13"/>
      <c r="CM80" s="13"/>
    </row>
    <row r="81" spans="1:91" x14ac:dyDescent="0.3">
      <c r="A81" s="97" t="str">
        <f>'DCS Detail'!A81</f>
        <v xml:space="preserve">         890.3 Music Kits</v>
      </c>
      <c r="B81" s="106" t="str">
        <f>IF('DCS Detail'!$B81="","",'DCS Detail'!$B81)</f>
        <v>Curriculum</v>
      </c>
      <c r="C81" s="106"/>
      <c r="D81" s="106"/>
      <c r="E81" s="18">
        <v>0</v>
      </c>
      <c r="F81" s="18">
        <v>0</v>
      </c>
      <c r="G81" s="18">
        <v>0</v>
      </c>
      <c r="H81" s="18">
        <v>439.74</v>
      </c>
      <c r="I81" s="18">
        <v>0</v>
      </c>
      <c r="J81" s="18">
        <f>462.66</f>
        <v>462.66</v>
      </c>
      <c r="K81" s="18">
        <v>0</v>
      </c>
      <c r="L81" s="18">
        <v>0</v>
      </c>
      <c r="M81" s="18">
        <v>0</v>
      </c>
      <c r="N81" s="18">
        <v>0</v>
      </c>
      <c r="O81" s="18">
        <v>0</v>
      </c>
      <c r="P81" s="18">
        <v>27.32</v>
      </c>
      <c r="Q81" s="18">
        <v>0</v>
      </c>
      <c r="R81" s="18">
        <v>0</v>
      </c>
      <c r="S81" s="18">
        <v>0</v>
      </c>
      <c r="T81" s="18">
        <v>0</v>
      </c>
      <c r="U81" s="18">
        <v>0</v>
      </c>
      <c r="V81" s="18">
        <v>0</v>
      </c>
      <c r="W81" s="18">
        <v>0</v>
      </c>
      <c r="X81" s="18">
        <v>0</v>
      </c>
      <c r="Y81" s="18">
        <v>0</v>
      </c>
      <c r="Z81" s="18">
        <v>0</v>
      </c>
      <c r="AA81" s="18">
        <v>0</v>
      </c>
      <c r="AB81" s="120">
        <f t="shared" si="771"/>
        <v>28.139600000000002</v>
      </c>
      <c r="AC81" s="120">
        <f t="shared" si="772"/>
        <v>0</v>
      </c>
      <c r="AD81" s="120">
        <f t="shared" si="773"/>
        <v>0</v>
      </c>
      <c r="AE81" s="120">
        <f t="shared" si="774"/>
        <v>0</v>
      </c>
      <c r="AF81" s="120">
        <f t="shared" si="775"/>
        <v>0</v>
      </c>
      <c r="AG81" s="120">
        <f t="shared" si="776"/>
        <v>0</v>
      </c>
      <c r="AH81" s="120">
        <f t="shared" si="777"/>
        <v>0</v>
      </c>
      <c r="AI81" s="120">
        <f t="shared" si="778"/>
        <v>0</v>
      </c>
      <c r="AJ81" s="120">
        <f t="shared" si="779"/>
        <v>0</v>
      </c>
      <c r="AK81" s="120">
        <f t="shared" si="780"/>
        <v>0</v>
      </c>
      <c r="AL81" s="120">
        <f t="shared" si="781"/>
        <v>0</v>
      </c>
      <c r="AM81" s="120">
        <f t="shared" si="782"/>
        <v>0</v>
      </c>
      <c r="AN81" s="120">
        <f t="shared" si="783"/>
        <v>28.983788000000001</v>
      </c>
      <c r="AO81" s="397">
        <f t="shared" si="784"/>
        <v>0</v>
      </c>
      <c r="AP81" s="397">
        <f t="shared" si="784"/>
        <v>0</v>
      </c>
      <c r="AQ81" s="397">
        <f t="shared" si="785"/>
        <v>0</v>
      </c>
      <c r="AR81" s="397">
        <f t="shared" si="786"/>
        <v>0</v>
      </c>
      <c r="AS81" s="397">
        <f t="shared" si="787"/>
        <v>0</v>
      </c>
      <c r="AT81" s="397">
        <f t="shared" si="788"/>
        <v>0</v>
      </c>
      <c r="AU81" s="397">
        <f t="shared" si="789"/>
        <v>0</v>
      </c>
      <c r="AV81" s="397">
        <f t="shared" si="790"/>
        <v>0</v>
      </c>
      <c r="AW81" s="397">
        <f t="shared" si="791"/>
        <v>0</v>
      </c>
      <c r="AX81" s="397">
        <f t="shared" si="792"/>
        <v>0</v>
      </c>
      <c r="AY81" s="397">
        <f t="shared" si="793"/>
        <v>0</v>
      </c>
      <c r="AZ81" s="397">
        <f t="shared" si="794"/>
        <v>35.284611478260871</v>
      </c>
      <c r="BA81" s="120">
        <f t="shared" si="795"/>
        <v>0</v>
      </c>
      <c r="BB81" s="120">
        <f t="shared" si="796"/>
        <v>0</v>
      </c>
      <c r="BC81" s="120">
        <f t="shared" si="797"/>
        <v>0</v>
      </c>
      <c r="BD81" s="120">
        <f t="shared" si="798"/>
        <v>0</v>
      </c>
      <c r="BE81" s="120">
        <f t="shared" si="799"/>
        <v>0</v>
      </c>
      <c r="BF81" s="120">
        <f t="shared" si="800"/>
        <v>0</v>
      </c>
      <c r="BG81" s="120">
        <f t="shared" si="801"/>
        <v>0</v>
      </c>
      <c r="BH81" s="120">
        <f t="shared" si="802"/>
        <v>0</v>
      </c>
      <c r="BI81" s="120">
        <f t="shared" si="803"/>
        <v>0</v>
      </c>
      <c r="BJ81" s="120">
        <f t="shared" si="804"/>
        <v>0</v>
      </c>
      <c r="BK81" s="120">
        <f t="shared" si="805"/>
        <v>0</v>
      </c>
      <c r="BL81" s="120">
        <f t="shared" si="806"/>
        <v>36.343149822608694</v>
      </c>
      <c r="BM81" s="120">
        <f t="shared" si="807"/>
        <v>0</v>
      </c>
      <c r="BN81" s="120">
        <f t="shared" si="808"/>
        <v>0</v>
      </c>
      <c r="BO81" s="120">
        <f t="shared" si="809"/>
        <v>0</v>
      </c>
      <c r="BP81" s="120">
        <f t="shared" si="810"/>
        <v>0</v>
      </c>
      <c r="BQ81" s="120">
        <f t="shared" si="811"/>
        <v>0</v>
      </c>
      <c r="BR81" s="120">
        <f t="shared" si="812"/>
        <v>0</v>
      </c>
      <c r="BS81" s="120">
        <f t="shared" si="813"/>
        <v>0</v>
      </c>
      <c r="BT81" s="120">
        <f t="shared" si="814"/>
        <v>0</v>
      </c>
      <c r="BU81" s="120">
        <f t="shared" si="815"/>
        <v>0</v>
      </c>
      <c r="BV81" s="120">
        <f t="shared" si="816"/>
        <v>0</v>
      </c>
      <c r="BW81" s="120">
        <f t="shared" si="817"/>
        <v>0</v>
      </c>
      <c r="BX81" s="120">
        <f t="shared" si="818"/>
        <v>37.433444317286956</v>
      </c>
      <c r="BY81" s="8"/>
      <c r="BZ81" s="72">
        <f t="shared" si="442"/>
        <v>0</v>
      </c>
      <c r="CA81" s="72">
        <f t="shared" si="443"/>
        <v>0</v>
      </c>
      <c r="CB81" s="97"/>
      <c r="CC81" s="72">
        <f t="shared" si="819"/>
        <v>0</v>
      </c>
      <c r="CD81" s="72">
        <f t="shared" si="819"/>
        <v>0</v>
      </c>
      <c r="CE81" s="72">
        <f t="shared" si="819"/>
        <v>929.72000000000014</v>
      </c>
      <c r="CF81" s="72">
        <f t="shared" si="819"/>
        <v>28.139600000000002</v>
      </c>
      <c r="CG81" s="72">
        <f t="shared" si="819"/>
        <v>28.983788000000001</v>
      </c>
      <c r="CH81" s="72">
        <f t="shared" si="819"/>
        <v>35.284611478260871</v>
      </c>
      <c r="CI81" s="72">
        <f t="shared" si="819"/>
        <v>36.343149822608694</v>
      </c>
      <c r="CJ81" s="72">
        <f t="shared" si="819"/>
        <v>37.433444317286956</v>
      </c>
      <c r="CL81" s="13"/>
      <c r="CM81" s="13"/>
    </row>
    <row r="82" spans="1:91" x14ac:dyDescent="0.3">
      <c r="A82" s="97" t="str">
        <f>'DCS Detail'!A82</f>
        <v xml:space="preserve">         890.5 Incentives - Student</v>
      </c>
      <c r="B82" s="106" t="str">
        <f>IF('DCS Detail'!$B82="","",'DCS Detail'!$B82)</f>
        <v>Curriculum</v>
      </c>
      <c r="C82" s="106"/>
      <c r="D82" s="106"/>
      <c r="E82" s="18">
        <v>0</v>
      </c>
      <c r="F82" s="18">
        <v>0</v>
      </c>
      <c r="G82" s="18">
        <v>864.71</v>
      </c>
      <c r="H82" s="18">
        <v>0</v>
      </c>
      <c r="I82" s="18">
        <v>0</v>
      </c>
      <c r="J82" s="18">
        <v>0</v>
      </c>
      <c r="K82" s="18">
        <v>0</v>
      </c>
      <c r="L82" s="18">
        <v>187.20000000000005</v>
      </c>
      <c r="M82" s="18">
        <v>780</v>
      </c>
      <c r="N82" s="18">
        <v>0</v>
      </c>
      <c r="O82" s="18">
        <v>901.16</v>
      </c>
      <c r="P82" s="18">
        <v>0</v>
      </c>
      <c r="Q82" s="18">
        <v>0</v>
      </c>
      <c r="R82" s="18">
        <v>0</v>
      </c>
      <c r="S82" s="18">
        <v>35.1</v>
      </c>
      <c r="T82" s="18">
        <v>0</v>
      </c>
      <c r="U82" s="18">
        <v>0</v>
      </c>
      <c r="V82" s="18">
        <v>0</v>
      </c>
      <c r="W82" s="18">
        <v>259.99</v>
      </c>
      <c r="X82" s="18">
        <v>158.44</v>
      </c>
      <c r="Y82" s="18">
        <v>565.34</v>
      </c>
      <c r="Z82" s="18">
        <v>0</v>
      </c>
      <c r="AA82" s="18">
        <v>982</v>
      </c>
      <c r="AB82" s="120">
        <f t="shared" si="771"/>
        <v>0</v>
      </c>
      <c r="AC82" s="120">
        <f t="shared" si="772"/>
        <v>0</v>
      </c>
      <c r="AD82" s="120">
        <f t="shared" si="773"/>
        <v>0</v>
      </c>
      <c r="AE82" s="120">
        <f t="shared" si="774"/>
        <v>36.153000000000006</v>
      </c>
      <c r="AF82" s="120">
        <f t="shared" si="775"/>
        <v>0</v>
      </c>
      <c r="AG82" s="120">
        <f t="shared" si="776"/>
        <v>0</v>
      </c>
      <c r="AH82" s="120">
        <f t="shared" si="777"/>
        <v>0</v>
      </c>
      <c r="AI82" s="120">
        <f t="shared" si="778"/>
        <v>267.78970000000004</v>
      </c>
      <c r="AJ82" s="120">
        <f t="shared" si="779"/>
        <v>163.19319999999999</v>
      </c>
      <c r="AK82" s="120">
        <f t="shared" si="780"/>
        <v>582.30020000000002</v>
      </c>
      <c r="AL82" s="120">
        <f t="shared" si="781"/>
        <v>0</v>
      </c>
      <c r="AM82" s="120">
        <f t="shared" si="782"/>
        <v>1011.46</v>
      </c>
      <c r="AN82" s="120">
        <f t="shared" si="783"/>
        <v>0</v>
      </c>
      <c r="AO82" s="397">
        <f t="shared" si="784"/>
        <v>0</v>
      </c>
      <c r="AP82" s="397">
        <f t="shared" si="784"/>
        <v>0</v>
      </c>
      <c r="AQ82" s="397">
        <f t="shared" si="785"/>
        <v>44.012347826086966</v>
      </c>
      <c r="AR82" s="397">
        <f t="shared" si="786"/>
        <v>0</v>
      </c>
      <c r="AS82" s="397">
        <f t="shared" si="787"/>
        <v>0</v>
      </c>
      <c r="AT82" s="397">
        <f t="shared" si="788"/>
        <v>0</v>
      </c>
      <c r="AU82" s="397">
        <f t="shared" si="789"/>
        <v>326.00485217391309</v>
      </c>
      <c r="AV82" s="397">
        <f t="shared" si="790"/>
        <v>198.66998260869565</v>
      </c>
      <c r="AW82" s="397">
        <f t="shared" si="791"/>
        <v>708.88720000000012</v>
      </c>
      <c r="AX82" s="397">
        <f t="shared" si="792"/>
        <v>0</v>
      </c>
      <c r="AY82" s="397">
        <f t="shared" si="793"/>
        <v>1231.3426086956522</v>
      </c>
      <c r="AZ82" s="397">
        <f t="shared" si="794"/>
        <v>0</v>
      </c>
      <c r="BA82" s="120">
        <f t="shared" si="795"/>
        <v>0</v>
      </c>
      <c r="BB82" s="120">
        <f t="shared" si="796"/>
        <v>0</v>
      </c>
      <c r="BC82" s="120">
        <f t="shared" si="797"/>
        <v>45.332718260869576</v>
      </c>
      <c r="BD82" s="120">
        <f t="shared" si="798"/>
        <v>0</v>
      </c>
      <c r="BE82" s="120">
        <f t="shared" si="799"/>
        <v>0</v>
      </c>
      <c r="BF82" s="120">
        <f t="shared" si="800"/>
        <v>0</v>
      </c>
      <c r="BG82" s="120">
        <f t="shared" si="801"/>
        <v>335.78499773913052</v>
      </c>
      <c r="BH82" s="120">
        <f t="shared" si="802"/>
        <v>204.63008208695652</v>
      </c>
      <c r="BI82" s="120">
        <f t="shared" si="803"/>
        <v>730.15381600000012</v>
      </c>
      <c r="BJ82" s="120">
        <f t="shared" si="804"/>
        <v>0</v>
      </c>
      <c r="BK82" s="120">
        <f t="shared" si="805"/>
        <v>1268.2828869565217</v>
      </c>
      <c r="BL82" s="120">
        <f t="shared" si="806"/>
        <v>0</v>
      </c>
      <c r="BM82" s="120">
        <f t="shared" si="807"/>
        <v>0</v>
      </c>
      <c r="BN82" s="120">
        <f t="shared" si="808"/>
        <v>0</v>
      </c>
      <c r="BO82" s="120">
        <f t="shared" si="809"/>
        <v>46.692699808695664</v>
      </c>
      <c r="BP82" s="120">
        <f t="shared" si="810"/>
        <v>0</v>
      </c>
      <c r="BQ82" s="120">
        <f t="shared" si="811"/>
        <v>0</v>
      </c>
      <c r="BR82" s="120">
        <f t="shared" si="812"/>
        <v>0</v>
      </c>
      <c r="BS82" s="120">
        <f t="shared" si="813"/>
        <v>345.85854767130445</v>
      </c>
      <c r="BT82" s="120">
        <f t="shared" si="814"/>
        <v>210.76898454956523</v>
      </c>
      <c r="BU82" s="120">
        <f t="shared" si="815"/>
        <v>752.0584304800002</v>
      </c>
      <c r="BV82" s="120">
        <f t="shared" si="816"/>
        <v>0</v>
      </c>
      <c r="BW82" s="120">
        <f t="shared" si="817"/>
        <v>1306.3313735652173</v>
      </c>
      <c r="BX82" s="120">
        <f t="shared" si="818"/>
        <v>0</v>
      </c>
      <c r="BY82" s="8"/>
      <c r="BZ82" s="72">
        <f t="shared" si="442"/>
        <v>982</v>
      </c>
      <c r="CA82" s="72">
        <f t="shared" si="443"/>
        <v>2000.8700000000001</v>
      </c>
      <c r="CB82" s="97"/>
      <c r="CC82" s="72">
        <f t="shared" si="819"/>
        <v>0</v>
      </c>
      <c r="CD82" s="72">
        <f t="shared" si="819"/>
        <v>0</v>
      </c>
      <c r="CE82" s="72">
        <f t="shared" si="819"/>
        <v>2733.07</v>
      </c>
      <c r="CF82" s="72">
        <f t="shared" si="819"/>
        <v>2000.8700000000001</v>
      </c>
      <c r="CG82" s="72">
        <f t="shared" si="819"/>
        <v>2060.8960999999999</v>
      </c>
      <c r="CH82" s="72">
        <f t="shared" si="819"/>
        <v>2508.9169913043479</v>
      </c>
      <c r="CI82" s="72">
        <f t="shared" si="819"/>
        <v>2584.1845010434781</v>
      </c>
      <c r="CJ82" s="72">
        <f t="shared" si="819"/>
        <v>2661.7100360747827</v>
      </c>
      <c r="CL82" s="13"/>
      <c r="CM82" s="13"/>
    </row>
    <row r="83" spans="1:91" x14ac:dyDescent="0.3">
      <c r="A83" s="97" t="str">
        <f>'DCS Detail'!A83</f>
        <v xml:space="preserve">         890.8 Yearbook Expenses</v>
      </c>
      <c r="B83" s="106" t="str">
        <f>IF('DCS Detail'!$B83="","",'DCS Detail'!$B83)</f>
        <v>Curriculum</v>
      </c>
      <c r="C83" s="106"/>
      <c r="D83" s="106"/>
      <c r="E83" s="18">
        <v>-1362.24</v>
      </c>
      <c r="F83" s="18">
        <v>818</v>
      </c>
      <c r="G83" s="18">
        <v>0</v>
      </c>
      <c r="H83" s="18">
        <v>0</v>
      </c>
      <c r="I83" s="18">
        <v>0</v>
      </c>
      <c r="J83" s="18">
        <f>721.46*0.78</f>
        <v>562.73880000000008</v>
      </c>
      <c r="K83" s="18">
        <v>0</v>
      </c>
      <c r="L83" s="18">
        <v>-361.54880000000009</v>
      </c>
      <c r="M83" s="18">
        <v>903.15</v>
      </c>
      <c r="N83" s="18">
        <v>1128.25</v>
      </c>
      <c r="O83" s="18">
        <v>0</v>
      </c>
      <c r="P83" s="18">
        <v>0</v>
      </c>
      <c r="Q83" s="18">
        <v>0</v>
      </c>
      <c r="R83" s="18">
        <v>0</v>
      </c>
      <c r="S83" s="18">
        <v>0</v>
      </c>
      <c r="T83" s="18">
        <v>0</v>
      </c>
      <c r="U83" s="18">
        <v>0</v>
      </c>
      <c r="V83" s="18">
        <v>0</v>
      </c>
      <c r="W83" s="18">
        <v>0</v>
      </c>
      <c r="X83" s="18">
        <v>0</v>
      </c>
      <c r="Y83" s="18">
        <v>0</v>
      </c>
      <c r="Z83" s="18">
        <v>0</v>
      </c>
      <c r="AA83" s="18">
        <v>0</v>
      </c>
      <c r="AB83" s="120">
        <f t="shared" si="771"/>
        <v>0</v>
      </c>
      <c r="AC83" s="120">
        <f t="shared" si="772"/>
        <v>0</v>
      </c>
      <c r="AD83" s="120">
        <f t="shared" si="773"/>
        <v>0</v>
      </c>
      <c r="AE83" s="120">
        <f t="shared" si="774"/>
        <v>0</v>
      </c>
      <c r="AF83" s="120">
        <f t="shared" si="775"/>
        <v>0</v>
      </c>
      <c r="AG83" s="120">
        <f t="shared" si="776"/>
        <v>0</v>
      </c>
      <c r="AH83" s="120">
        <f t="shared" si="777"/>
        <v>0</v>
      </c>
      <c r="AI83" s="120">
        <f t="shared" si="778"/>
        <v>0</v>
      </c>
      <c r="AJ83" s="120">
        <f t="shared" si="779"/>
        <v>0</v>
      </c>
      <c r="AK83" s="120">
        <f t="shared" si="780"/>
        <v>0</v>
      </c>
      <c r="AL83" s="120">
        <f t="shared" si="781"/>
        <v>0</v>
      </c>
      <c r="AM83" s="120">
        <f t="shared" si="782"/>
        <v>0</v>
      </c>
      <c r="AN83" s="120">
        <f t="shared" si="783"/>
        <v>0</v>
      </c>
      <c r="AO83" s="397">
        <f t="shared" si="784"/>
        <v>0</v>
      </c>
      <c r="AP83" s="397">
        <f t="shared" si="784"/>
        <v>0</v>
      </c>
      <c r="AQ83" s="397">
        <f t="shared" si="785"/>
        <v>0</v>
      </c>
      <c r="AR83" s="397">
        <f t="shared" si="786"/>
        <v>0</v>
      </c>
      <c r="AS83" s="397">
        <f t="shared" si="787"/>
        <v>0</v>
      </c>
      <c r="AT83" s="397">
        <f t="shared" si="788"/>
        <v>0</v>
      </c>
      <c r="AU83" s="397">
        <f t="shared" si="789"/>
        <v>0</v>
      </c>
      <c r="AV83" s="397">
        <f t="shared" si="790"/>
        <v>0</v>
      </c>
      <c r="AW83" s="397">
        <f t="shared" si="791"/>
        <v>0</v>
      </c>
      <c r="AX83" s="397">
        <f t="shared" si="792"/>
        <v>0</v>
      </c>
      <c r="AY83" s="397">
        <f t="shared" si="793"/>
        <v>0</v>
      </c>
      <c r="AZ83" s="397">
        <f t="shared" si="794"/>
        <v>0</v>
      </c>
      <c r="BA83" s="120">
        <f t="shared" si="795"/>
        <v>0</v>
      </c>
      <c r="BB83" s="120">
        <f t="shared" si="796"/>
        <v>0</v>
      </c>
      <c r="BC83" s="120">
        <f t="shared" si="797"/>
        <v>0</v>
      </c>
      <c r="BD83" s="120">
        <f t="shared" si="798"/>
        <v>0</v>
      </c>
      <c r="BE83" s="120">
        <f t="shared" si="799"/>
        <v>0</v>
      </c>
      <c r="BF83" s="120">
        <f t="shared" si="800"/>
        <v>0</v>
      </c>
      <c r="BG83" s="120">
        <f t="shared" si="801"/>
        <v>0</v>
      </c>
      <c r="BH83" s="120">
        <f t="shared" si="802"/>
        <v>0</v>
      </c>
      <c r="BI83" s="120">
        <f t="shared" si="803"/>
        <v>0</v>
      </c>
      <c r="BJ83" s="120">
        <f t="shared" si="804"/>
        <v>0</v>
      </c>
      <c r="BK83" s="120">
        <f t="shared" si="805"/>
        <v>0</v>
      </c>
      <c r="BL83" s="120">
        <f t="shared" si="806"/>
        <v>0</v>
      </c>
      <c r="BM83" s="120">
        <f t="shared" si="807"/>
        <v>0</v>
      </c>
      <c r="BN83" s="120">
        <f t="shared" si="808"/>
        <v>0</v>
      </c>
      <c r="BO83" s="120">
        <f t="shared" si="809"/>
        <v>0</v>
      </c>
      <c r="BP83" s="120">
        <f t="shared" si="810"/>
        <v>0</v>
      </c>
      <c r="BQ83" s="120">
        <f t="shared" si="811"/>
        <v>0</v>
      </c>
      <c r="BR83" s="120">
        <f t="shared" si="812"/>
        <v>0</v>
      </c>
      <c r="BS83" s="120">
        <f t="shared" si="813"/>
        <v>0</v>
      </c>
      <c r="BT83" s="120">
        <f t="shared" si="814"/>
        <v>0</v>
      </c>
      <c r="BU83" s="120">
        <f t="shared" si="815"/>
        <v>0</v>
      </c>
      <c r="BV83" s="120">
        <f t="shared" si="816"/>
        <v>0</v>
      </c>
      <c r="BW83" s="120">
        <f t="shared" si="817"/>
        <v>0</v>
      </c>
      <c r="BX83" s="120">
        <f t="shared" si="818"/>
        <v>0</v>
      </c>
      <c r="BY83" s="8"/>
      <c r="BZ83" s="72">
        <f t="shared" si="442"/>
        <v>0</v>
      </c>
      <c r="CA83" s="72">
        <f t="shared" si="443"/>
        <v>0</v>
      </c>
      <c r="CB83" s="97"/>
      <c r="CC83" s="72">
        <f t="shared" si="819"/>
        <v>0</v>
      </c>
      <c r="CD83" s="72">
        <f t="shared" si="819"/>
        <v>0</v>
      </c>
      <c r="CE83" s="72">
        <f t="shared" si="819"/>
        <v>1688.35</v>
      </c>
      <c r="CF83" s="72">
        <f t="shared" si="819"/>
        <v>0</v>
      </c>
      <c r="CG83" s="72">
        <f t="shared" si="819"/>
        <v>0</v>
      </c>
      <c r="CH83" s="72">
        <f t="shared" si="819"/>
        <v>0</v>
      </c>
      <c r="CI83" s="72">
        <f t="shared" si="819"/>
        <v>0</v>
      </c>
      <c r="CJ83" s="72">
        <f t="shared" si="819"/>
        <v>0</v>
      </c>
      <c r="CL83" s="13"/>
      <c r="CM83" s="13"/>
    </row>
    <row r="84" spans="1:91" x14ac:dyDescent="0.3">
      <c r="A84" s="97" t="str">
        <f>'DCS Detail'!A84</f>
        <v xml:space="preserve">         890.9 Sports Expenses</v>
      </c>
      <c r="B84" s="106" t="str">
        <f>IF('DCS Detail'!$B84="","",'DCS Detail'!$B84)</f>
        <v>Curriculum</v>
      </c>
      <c r="C84" s="139"/>
      <c r="D84" s="139"/>
      <c r="E84" s="121">
        <v>0</v>
      </c>
      <c r="F84" s="121">
        <v>0</v>
      </c>
      <c r="G84" s="121">
        <v>0</v>
      </c>
      <c r="H84" s="121">
        <v>0</v>
      </c>
      <c r="I84" s="121">
        <v>0</v>
      </c>
      <c r="J84" s="121">
        <v>0</v>
      </c>
      <c r="K84" s="121">
        <v>0</v>
      </c>
      <c r="L84" s="121">
        <v>0</v>
      </c>
      <c r="M84" s="121">
        <v>0</v>
      </c>
      <c r="N84" s="121">
        <v>875.28</v>
      </c>
      <c r="O84" s="121">
        <v>1802.8</v>
      </c>
      <c r="P84" s="121">
        <v>156</v>
      </c>
      <c r="Q84" s="121">
        <v>0</v>
      </c>
      <c r="R84" s="121">
        <v>0</v>
      </c>
      <c r="S84" s="121">
        <v>0</v>
      </c>
      <c r="T84" s="121">
        <v>285.73</v>
      </c>
      <c r="U84" s="121">
        <v>0</v>
      </c>
      <c r="V84" s="121">
        <v>0</v>
      </c>
      <c r="W84" s="121">
        <v>2773.46</v>
      </c>
      <c r="X84" s="121">
        <v>0</v>
      </c>
      <c r="Y84" s="121">
        <v>819</v>
      </c>
      <c r="Z84" s="121">
        <v>52.26</v>
      </c>
      <c r="AA84" s="121">
        <v>1174.3900000000001</v>
      </c>
      <c r="AB84" s="144">
        <f t="shared" si="771"/>
        <v>160.68</v>
      </c>
      <c r="AC84" s="144">
        <f t="shared" si="772"/>
        <v>0</v>
      </c>
      <c r="AD84" s="144">
        <f t="shared" si="773"/>
        <v>0</v>
      </c>
      <c r="AE84" s="144">
        <f t="shared" si="774"/>
        <v>0</v>
      </c>
      <c r="AF84" s="144">
        <f t="shared" si="775"/>
        <v>294.30190000000005</v>
      </c>
      <c r="AG84" s="144">
        <f t="shared" si="776"/>
        <v>0</v>
      </c>
      <c r="AH84" s="144">
        <f t="shared" si="777"/>
        <v>0</v>
      </c>
      <c r="AI84" s="144">
        <f t="shared" si="778"/>
        <v>2856.6638000000003</v>
      </c>
      <c r="AJ84" s="144">
        <f t="shared" si="779"/>
        <v>0</v>
      </c>
      <c r="AK84" s="144">
        <f t="shared" si="780"/>
        <v>843.57</v>
      </c>
      <c r="AL84" s="144">
        <f t="shared" si="781"/>
        <v>53.827799999999996</v>
      </c>
      <c r="AM84" s="144">
        <f t="shared" si="782"/>
        <v>1209.6217000000001</v>
      </c>
      <c r="AN84" s="144">
        <f t="shared" si="783"/>
        <v>165.50040000000001</v>
      </c>
      <c r="AO84" s="398">
        <f t="shared" si="784"/>
        <v>0</v>
      </c>
      <c r="AP84" s="398">
        <f t="shared" si="784"/>
        <v>0</v>
      </c>
      <c r="AQ84" s="398">
        <f t="shared" si="785"/>
        <v>0</v>
      </c>
      <c r="AR84" s="398">
        <f t="shared" si="786"/>
        <v>358.28057391304355</v>
      </c>
      <c r="AS84" s="398">
        <f t="shared" si="787"/>
        <v>0</v>
      </c>
      <c r="AT84" s="398">
        <f t="shared" si="788"/>
        <v>0</v>
      </c>
      <c r="AU84" s="398">
        <f t="shared" si="789"/>
        <v>3477.6776695652179</v>
      </c>
      <c r="AV84" s="398">
        <f t="shared" si="790"/>
        <v>0</v>
      </c>
      <c r="AW84" s="398">
        <f t="shared" si="791"/>
        <v>1026.9547826086957</v>
      </c>
      <c r="AX84" s="398">
        <f t="shared" si="792"/>
        <v>65.529495652173907</v>
      </c>
      <c r="AY84" s="398">
        <f t="shared" si="793"/>
        <v>1472.5829391304351</v>
      </c>
      <c r="AZ84" s="398">
        <f t="shared" si="794"/>
        <v>201.47874782608699</v>
      </c>
      <c r="BA84" s="144">
        <f t="shared" si="795"/>
        <v>0</v>
      </c>
      <c r="BB84" s="144">
        <f t="shared" si="796"/>
        <v>0</v>
      </c>
      <c r="BC84" s="144">
        <f t="shared" si="797"/>
        <v>0</v>
      </c>
      <c r="BD84" s="144">
        <f t="shared" si="798"/>
        <v>369.02899113043486</v>
      </c>
      <c r="BE84" s="144">
        <f t="shared" si="799"/>
        <v>0</v>
      </c>
      <c r="BF84" s="144">
        <f t="shared" si="800"/>
        <v>0</v>
      </c>
      <c r="BG84" s="144">
        <f t="shared" si="801"/>
        <v>3582.0079996521745</v>
      </c>
      <c r="BH84" s="144">
        <f t="shared" si="802"/>
        <v>0</v>
      </c>
      <c r="BI84" s="144">
        <f t="shared" si="803"/>
        <v>1057.7634260869565</v>
      </c>
      <c r="BJ84" s="144">
        <f t="shared" si="804"/>
        <v>67.495380521739122</v>
      </c>
      <c r="BK84" s="144">
        <f t="shared" si="805"/>
        <v>1516.7604273043482</v>
      </c>
      <c r="BL84" s="144">
        <f t="shared" si="806"/>
        <v>207.5231102608696</v>
      </c>
      <c r="BM84" s="144">
        <f t="shared" si="807"/>
        <v>0</v>
      </c>
      <c r="BN84" s="144">
        <f t="shared" si="808"/>
        <v>0</v>
      </c>
      <c r="BO84" s="144">
        <f t="shared" si="809"/>
        <v>0</v>
      </c>
      <c r="BP84" s="144">
        <f t="shared" si="810"/>
        <v>380.09986086434793</v>
      </c>
      <c r="BQ84" s="144">
        <f t="shared" si="811"/>
        <v>0</v>
      </c>
      <c r="BR84" s="144">
        <f t="shared" si="812"/>
        <v>0</v>
      </c>
      <c r="BS84" s="144">
        <f t="shared" si="813"/>
        <v>3689.4682396417397</v>
      </c>
      <c r="BT84" s="144">
        <f t="shared" si="814"/>
        <v>0</v>
      </c>
      <c r="BU84" s="144">
        <f t="shared" si="815"/>
        <v>1089.4963288695653</v>
      </c>
      <c r="BV84" s="144">
        <f t="shared" si="816"/>
        <v>69.520241937391305</v>
      </c>
      <c r="BW84" s="144">
        <f t="shared" si="817"/>
        <v>1562.2632401234787</v>
      </c>
      <c r="BX84" s="144">
        <f t="shared" si="818"/>
        <v>213.74880356869571</v>
      </c>
      <c r="BY84" s="8"/>
      <c r="BZ84" s="73">
        <f t="shared" si="442"/>
        <v>1174.3900000000001</v>
      </c>
      <c r="CA84" s="73">
        <f t="shared" si="443"/>
        <v>5104.84</v>
      </c>
      <c r="CB84" s="97"/>
      <c r="CC84" s="73">
        <f t="shared" si="819"/>
        <v>0</v>
      </c>
      <c r="CD84" s="73">
        <f t="shared" si="819"/>
        <v>0</v>
      </c>
      <c r="CE84" s="73">
        <f t="shared" si="819"/>
        <v>2834.08</v>
      </c>
      <c r="CF84" s="73">
        <f t="shared" si="819"/>
        <v>5265.52</v>
      </c>
      <c r="CG84" s="73">
        <f t="shared" si="819"/>
        <v>5423.4856000000009</v>
      </c>
      <c r="CH84" s="73">
        <f t="shared" si="819"/>
        <v>6602.5042086956528</v>
      </c>
      <c r="CI84" s="73">
        <f t="shared" si="819"/>
        <v>6800.5793349565229</v>
      </c>
      <c r="CJ84" s="73">
        <f t="shared" si="819"/>
        <v>7004.5967150052184</v>
      </c>
      <c r="CL84" s="13"/>
      <c r="CM84" s="13"/>
    </row>
    <row r="85" spans="1:91" x14ac:dyDescent="0.3">
      <c r="A85" s="97" t="str">
        <f>'DCS Detail'!A85</f>
        <v xml:space="preserve">      Total 2100 Support Services - Student</v>
      </c>
      <c r="B85" s="106" t="str">
        <f>IF('DCS Detail'!$B85="","",'DCS Detail'!$B85)</f>
        <v/>
      </c>
      <c r="C85" s="36">
        <f>SUM(C75:C83)</f>
        <v>0</v>
      </c>
      <c r="D85" s="36">
        <f t="shared" ref="D85" si="820">SUM(D75:D83)</f>
        <v>0</v>
      </c>
      <c r="E85" s="36">
        <f>SUM(E75:E84)</f>
        <v>-1362.24</v>
      </c>
      <c r="F85" s="36">
        <f t="shared" ref="F85:AZ85" si="821">SUM(F75:F84)</f>
        <v>3251.9</v>
      </c>
      <c r="G85" s="36">
        <f t="shared" si="821"/>
        <v>892.32</v>
      </c>
      <c r="H85" s="36">
        <f t="shared" si="821"/>
        <v>1343.63</v>
      </c>
      <c r="I85" s="36">
        <f t="shared" si="821"/>
        <v>0</v>
      </c>
      <c r="J85" s="36">
        <f t="shared" si="821"/>
        <v>1025.3988000000002</v>
      </c>
      <c r="K85" s="36">
        <f t="shared" si="821"/>
        <v>1675.51</v>
      </c>
      <c r="L85" s="36">
        <f t="shared" si="821"/>
        <v>2143.6511999999998</v>
      </c>
      <c r="M85" s="36">
        <f t="shared" si="821"/>
        <v>4084.3</v>
      </c>
      <c r="N85" s="36">
        <f t="shared" si="821"/>
        <v>6235.83</v>
      </c>
      <c r="O85" s="36">
        <f t="shared" si="821"/>
        <v>2703.96</v>
      </c>
      <c r="P85" s="36">
        <f t="shared" si="821"/>
        <v>2386.4900000000002</v>
      </c>
      <c r="Q85" s="36">
        <f t="shared" ref="Q85:R85" si="822">SUM(Q75:Q84)</f>
        <v>2365.9299999999998</v>
      </c>
      <c r="R85" s="36">
        <f t="shared" si="822"/>
        <v>2309.08</v>
      </c>
      <c r="S85" s="36">
        <f t="shared" ref="S85:T85" si="823">SUM(S75:S84)</f>
        <v>2151.25</v>
      </c>
      <c r="T85" s="36">
        <f t="shared" si="823"/>
        <v>7622.7099999999991</v>
      </c>
      <c r="U85" s="36">
        <f t="shared" ref="U85:V85" si="824">SUM(U75:U84)</f>
        <v>2795</v>
      </c>
      <c r="V85" s="36">
        <f t="shared" si="824"/>
        <v>3221.45</v>
      </c>
      <c r="W85" s="36">
        <f t="shared" ref="W85" si="825">SUM(W75:W84)</f>
        <v>7434.34</v>
      </c>
      <c r="X85" s="36">
        <f t="shared" si="821"/>
        <v>2840.34</v>
      </c>
      <c r="Y85" s="36">
        <f t="shared" si="821"/>
        <v>7057.6500000000005</v>
      </c>
      <c r="Z85" s="36">
        <f t="shared" si="821"/>
        <v>1891.4799999999998</v>
      </c>
      <c r="AA85" s="36">
        <f t="shared" si="821"/>
        <v>5898.97</v>
      </c>
      <c r="AB85" s="36">
        <f t="shared" si="821"/>
        <v>2458.0846999999999</v>
      </c>
      <c r="AC85" s="36">
        <f t="shared" si="821"/>
        <v>2436.9078999999997</v>
      </c>
      <c r="AD85" s="36">
        <f t="shared" si="821"/>
        <v>2378.3523999999998</v>
      </c>
      <c r="AE85" s="36">
        <f t="shared" si="821"/>
        <v>2215.7874999999999</v>
      </c>
      <c r="AF85" s="36">
        <f t="shared" si="821"/>
        <v>7851.3913000000011</v>
      </c>
      <c r="AG85" s="36">
        <f t="shared" si="821"/>
        <v>2878.85</v>
      </c>
      <c r="AH85" s="36">
        <f t="shared" si="821"/>
        <v>3318.0935000000004</v>
      </c>
      <c r="AI85" s="36">
        <f t="shared" si="821"/>
        <v>7657.3702000000003</v>
      </c>
      <c r="AJ85" s="36">
        <f t="shared" si="821"/>
        <v>2925.5502000000001</v>
      </c>
      <c r="AK85" s="36">
        <f t="shared" si="821"/>
        <v>7269.3794999999991</v>
      </c>
      <c r="AL85" s="36">
        <f t="shared" si="821"/>
        <v>1948.2243999999998</v>
      </c>
      <c r="AM85" s="36">
        <f t="shared" si="821"/>
        <v>6075.9390999999996</v>
      </c>
      <c r="AN85" s="36">
        <f t="shared" si="821"/>
        <v>2531.827241</v>
      </c>
      <c r="AO85" s="36">
        <f t="shared" si="821"/>
        <v>2966.6704869565219</v>
      </c>
      <c r="AP85" s="36">
        <f t="shared" si="821"/>
        <v>2895.3855304347826</v>
      </c>
      <c r="AQ85" s="36">
        <f t="shared" si="821"/>
        <v>2697.4804347826093</v>
      </c>
      <c r="AR85" s="36">
        <f t="shared" si="821"/>
        <v>9558.2154956521754</v>
      </c>
      <c r="AS85" s="36">
        <f t="shared" si="821"/>
        <v>3504.6869565217394</v>
      </c>
      <c r="AT85" s="36">
        <f t="shared" si="821"/>
        <v>4039.4181739130436</v>
      </c>
      <c r="AU85" s="36">
        <f t="shared" si="821"/>
        <v>9322.0158956521736</v>
      </c>
      <c r="AV85" s="36">
        <f t="shared" si="821"/>
        <v>3561.5393739130436</v>
      </c>
      <c r="AW85" s="36">
        <f t="shared" si="821"/>
        <v>8849.6793913043475</v>
      </c>
      <c r="AX85" s="36">
        <f t="shared" si="821"/>
        <v>2371.7514434782611</v>
      </c>
      <c r="AY85" s="36">
        <f t="shared" si="821"/>
        <v>7396.7954260869574</v>
      </c>
      <c r="AZ85" s="36">
        <f t="shared" si="821"/>
        <v>3082.2244673043483</v>
      </c>
      <c r="BA85" s="36">
        <f t="shared" ref="BA85:BX85" si="826">SUM(BA75:BA84)</f>
        <v>3055.6706015652176</v>
      </c>
      <c r="BB85" s="36">
        <f t="shared" si="826"/>
        <v>2982.2470963478263</v>
      </c>
      <c r="BC85" s="36">
        <f t="shared" si="826"/>
        <v>2778.4048478260875</v>
      </c>
      <c r="BD85" s="36">
        <f t="shared" si="826"/>
        <v>9844.9619605217413</v>
      </c>
      <c r="BE85" s="36">
        <f t="shared" si="826"/>
        <v>3609.8275652173916</v>
      </c>
      <c r="BF85" s="36">
        <f t="shared" si="826"/>
        <v>4160.6007191304352</v>
      </c>
      <c r="BG85" s="36">
        <f t="shared" si="826"/>
        <v>9601.6763725217406</v>
      </c>
      <c r="BH85" s="36">
        <f t="shared" si="826"/>
        <v>3668.385555130435</v>
      </c>
      <c r="BI85" s="36">
        <f t="shared" si="826"/>
        <v>9115.1697730434789</v>
      </c>
      <c r="BJ85" s="36">
        <f t="shared" si="826"/>
        <v>2442.9039867826086</v>
      </c>
      <c r="BK85" s="36">
        <f t="shared" si="826"/>
        <v>7618.6992888695659</v>
      </c>
      <c r="BL85" s="36">
        <f t="shared" si="826"/>
        <v>3174.6912013234787</v>
      </c>
      <c r="BM85" s="36">
        <f t="shared" si="826"/>
        <v>3147.3407196121743</v>
      </c>
      <c r="BN85" s="36">
        <f t="shared" si="826"/>
        <v>3071.7145092382611</v>
      </c>
      <c r="BO85" s="36">
        <f t="shared" si="826"/>
        <v>2861.7569932608699</v>
      </c>
      <c r="BP85" s="36">
        <f t="shared" si="826"/>
        <v>10140.310819337394</v>
      </c>
      <c r="BQ85" s="36">
        <f t="shared" si="826"/>
        <v>3718.1223921739133</v>
      </c>
      <c r="BR85" s="36">
        <f t="shared" si="826"/>
        <v>4285.4187407043491</v>
      </c>
      <c r="BS85" s="36">
        <f t="shared" si="826"/>
        <v>9889.7266636973927</v>
      </c>
      <c r="BT85" s="36">
        <f t="shared" si="826"/>
        <v>3778.4371217843482</v>
      </c>
      <c r="BU85" s="36">
        <f t="shared" si="826"/>
        <v>9388.6248662347825</v>
      </c>
      <c r="BV85" s="36">
        <f t="shared" si="826"/>
        <v>2516.1911063860871</v>
      </c>
      <c r="BW85" s="36">
        <f t="shared" si="826"/>
        <v>7847.2602675356529</v>
      </c>
      <c r="BX85" s="36">
        <f t="shared" si="826"/>
        <v>3269.9319373631834</v>
      </c>
      <c r="BY85" s="8"/>
      <c r="BZ85" s="72">
        <f t="shared" si="442"/>
        <v>5898.97</v>
      </c>
      <c r="CA85" s="72">
        <f t="shared" si="443"/>
        <v>45588.200000000004</v>
      </c>
      <c r="CB85" s="97"/>
      <c r="CC85" s="72">
        <f t="shared" si="819"/>
        <v>0</v>
      </c>
      <c r="CD85" s="72">
        <f t="shared" si="819"/>
        <v>0</v>
      </c>
      <c r="CE85" s="72">
        <f t="shared" si="819"/>
        <v>24380.750000000004</v>
      </c>
      <c r="CF85" s="72">
        <f t="shared" si="819"/>
        <v>48046.284700000004</v>
      </c>
      <c r="CG85" s="72">
        <f t="shared" si="819"/>
        <v>49487.673241000004</v>
      </c>
      <c r="CH85" s="72">
        <f t="shared" si="819"/>
        <v>60245.863076000009</v>
      </c>
      <c r="CI85" s="72">
        <f t="shared" si="819"/>
        <v>62053.238968280006</v>
      </c>
      <c r="CJ85" s="72">
        <f t="shared" si="819"/>
        <v>63914.836137328413</v>
      </c>
      <c r="CL85" s="13"/>
      <c r="CM85" s="13"/>
    </row>
    <row r="86" spans="1:91" x14ac:dyDescent="0.3">
      <c r="A86" s="97" t="str">
        <f>'DCS Detail'!A86</f>
        <v xml:space="preserve">      2200 Support Services - Instruction</v>
      </c>
      <c r="B86" s="106" t="str">
        <f>IF('DCS Detail'!$B86="","",'DCS Detail'!$B86)</f>
        <v/>
      </c>
      <c r="C86" s="106"/>
      <c r="D86" s="106"/>
      <c r="E86" s="18">
        <v>0</v>
      </c>
      <c r="F86" s="18">
        <v>0</v>
      </c>
      <c r="G86" s="18">
        <v>0</v>
      </c>
      <c r="H86" s="18">
        <v>0</v>
      </c>
      <c r="I86" s="18">
        <v>0</v>
      </c>
      <c r="J86" s="18">
        <v>0</v>
      </c>
      <c r="K86" s="18">
        <v>0</v>
      </c>
      <c r="L86" s="18">
        <v>0</v>
      </c>
      <c r="M86" s="18">
        <v>0</v>
      </c>
      <c r="N86" s="18">
        <v>0</v>
      </c>
      <c r="O86" s="18">
        <v>0</v>
      </c>
      <c r="P86" s="18">
        <v>0</v>
      </c>
      <c r="Q86" s="18">
        <v>0</v>
      </c>
      <c r="R86" s="18">
        <v>0</v>
      </c>
      <c r="S86" s="18">
        <v>0</v>
      </c>
      <c r="T86" s="18">
        <v>0</v>
      </c>
      <c r="U86" s="18">
        <v>0</v>
      </c>
      <c r="V86" s="18">
        <v>0</v>
      </c>
      <c r="W86" s="18">
        <v>0</v>
      </c>
      <c r="X86" s="18">
        <v>0</v>
      </c>
      <c r="Y86" s="18">
        <v>0</v>
      </c>
      <c r="Z86" s="18">
        <v>0</v>
      </c>
      <c r="AA86" s="146">
        <v>0</v>
      </c>
      <c r="AB86" s="18">
        <v>0</v>
      </c>
      <c r="AC86" s="18">
        <v>0</v>
      </c>
      <c r="AD86" s="18">
        <v>0</v>
      </c>
      <c r="AE86" s="18">
        <v>0</v>
      </c>
      <c r="AF86" s="18">
        <v>0</v>
      </c>
      <c r="AG86" s="18">
        <v>0</v>
      </c>
      <c r="AH86" s="18">
        <v>0</v>
      </c>
      <c r="AI86" s="18">
        <v>0</v>
      </c>
      <c r="AJ86" s="18">
        <v>0</v>
      </c>
      <c r="AK86" s="18">
        <v>0</v>
      </c>
      <c r="AL86" s="18">
        <v>0</v>
      </c>
      <c r="AM86" s="18">
        <v>0</v>
      </c>
      <c r="AN86" s="18">
        <v>0</v>
      </c>
      <c r="AO86" s="18">
        <v>0</v>
      </c>
      <c r="AP86" s="18">
        <v>0</v>
      </c>
      <c r="AQ86" s="18">
        <v>0</v>
      </c>
      <c r="AR86" s="18">
        <v>0</v>
      </c>
      <c r="AS86" s="18">
        <v>0</v>
      </c>
      <c r="AT86" s="18">
        <v>0</v>
      </c>
      <c r="AU86" s="18">
        <v>0</v>
      </c>
      <c r="AV86" s="18">
        <v>0</v>
      </c>
      <c r="AW86" s="18">
        <v>0</v>
      </c>
      <c r="AX86" s="18">
        <v>0</v>
      </c>
      <c r="AY86" s="18">
        <v>0</v>
      </c>
      <c r="AZ86" s="18">
        <v>0</v>
      </c>
      <c r="BA86" s="18">
        <v>0</v>
      </c>
      <c r="BB86" s="18">
        <v>0</v>
      </c>
      <c r="BC86" s="18">
        <v>0</v>
      </c>
      <c r="BD86" s="18">
        <v>0</v>
      </c>
      <c r="BE86" s="18">
        <v>0</v>
      </c>
      <c r="BF86" s="18">
        <v>0</v>
      </c>
      <c r="BG86" s="18">
        <v>0</v>
      </c>
      <c r="BH86" s="18">
        <v>0</v>
      </c>
      <c r="BI86" s="18">
        <v>0</v>
      </c>
      <c r="BJ86" s="18">
        <v>0</v>
      </c>
      <c r="BK86" s="18">
        <v>0</v>
      </c>
      <c r="BL86" s="18">
        <v>0</v>
      </c>
      <c r="BM86" s="18">
        <v>0</v>
      </c>
      <c r="BN86" s="18">
        <v>0</v>
      </c>
      <c r="BO86" s="18">
        <v>0</v>
      </c>
      <c r="BP86" s="18">
        <v>0</v>
      </c>
      <c r="BQ86" s="18">
        <v>0</v>
      </c>
      <c r="BR86" s="18">
        <v>0</v>
      </c>
      <c r="BS86" s="18">
        <v>0</v>
      </c>
      <c r="BT86" s="18">
        <v>0</v>
      </c>
      <c r="BU86" s="18">
        <v>0</v>
      </c>
      <c r="BV86" s="18">
        <v>0</v>
      </c>
      <c r="BW86" s="18">
        <v>0</v>
      </c>
      <c r="BX86" s="18">
        <v>0</v>
      </c>
      <c r="BY86" s="8"/>
      <c r="BZ86" s="72">
        <f t="shared" si="442"/>
        <v>0</v>
      </c>
      <c r="CA86" s="72">
        <f t="shared" si="443"/>
        <v>0</v>
      </c>
      <c r="CB86" s="97"/>
      <c r="CC86" s="72">
        <f t="shared" si="819"/>
        <v>0</v>
      </c>
      <c r="CD86" s="72">
        <f t="shared" si="819"/>
        <v>0</v>
      </c>
      <c r="CE86" s="72">
        <f t="shared" si="819"/>
        <v>0</v>
      </c>
      <c r="CF86" s="72">
        <f t="shared" si="819"/>
        <v>0</v>
      </c>
      <c r="CG86" s="72">
        <f t="shared" si="819"/>
        <v>0</v>
      </c>
      <c r="CH86" s="72">
        <f t="shared" si="819"/>
        <v>0</v>
      </c>
      <c r="CI86" s="72">
        <f t="shared" si="819"/>
        <v>0</v>
      </c>
      <c r="CJ86" s="72">
        <f t="shared" si="819"/>
        <v>0</v>
      </c>
      <c r="CL86" s="13"/>
      <c r="CM86" s="13"/>
    </row>
    <row r="87" spans="1:91" x14ac:dyDescent="0.3">
      <c r="A87" s="97" t="str">
        <f>'DCS Detail'!A87</f>
        <v xml:space="preserve">         112.1 Wages - Support Staff</v>
      </c>
      <c r="B87" s="106" t="str">
        <f>IF('DCS Detail'!$B87="","",'DCS Detail'!$B87)</f>
        <v>Salaries</v>
      </c>
      <c r="C87" s="106"/>
      <c r="D87" s="106"/>
      <c r="E87" s="18">
        <v>-13543.42</v>
      </c>
      <c r="F87" s="18">
        <v>10434.450000000001</v>
      </c>
      <c r="G87" s="18">
        <v>9977.07</v>
      </c>
      <c r="H87" s="18">
        <v>11273.91</v>
      </c>
      <c r="I87" s="18">
        <v>14083.86</v>
      </c>
      <c r="J87" s="18">
        <v>12696.9</v>
      </c>
      <c r="K87" s="18">
        <v>12099.8</v>
      </c>
      <c r="L87" s="18">
        <v>14491.009999999995</v>
      </c>
      <c r="M87" s="18">
        <v>14313.2</v>
      </c>
      <c r="N87" s="18">
        <v>14767.25</v>
      </c>
      <c r="O87" s="18">
        <v>14164.87</v>
      </c>
      <c r="P87" s="18">
        <v>28935</v>
      </c>
      <c r="Q87" s="18">
        <v>0</v>
      </c>
      <c r="R87" s="18">
        <v>19460.62</v>
      </c>
      <c r="S87" s="18">
        <v>25014.44</v>
      </c>
      <c r="T87" s="18">
        <v>23359.65</v>
      </c>
      <c r="U87" s="18">
        <v>23961.09</v>
      </c>
      <c r="V87" s="18">
        <v>21951.62</v>
      </c>
      <c r="W87" s="18">
        <v>19718.28</v>
      </c>
      <c r="X87" s="18">
        <v>24512.36</v>
      </c>
      <c r="Y87" s="18">
        <v>23383.63</v>
      </c>
      <c r="Z87" s="18">
        <v>22815.62</v>
      </c>
      <c r="AA87" s="146">
        <v>24915.54</v>
      </c>
      <c r="AB87" s="102">
        <f t="shared" ref="AB87:AZ87" si="827">AB267*AB274</f>
        <v>44121.506666666668</v>
      </c>
      <c r="AC87" s="102">
        <f t="shared" si="827"/>
        <v>0</v>
      </c>
      <c r="AD87" s="102">
        <f t="shared" si="827"/>
        <v>20222.357222222221</v>
      </c>
      <c r="AE87" s="102">
        <f t="shared" si="827"/>
        <v>20222.357222222221</v>
      </c>
      <c r="AF87" s="102">
        <f t="shared" si="827"/>
        <v>20222.357222222221</v>
      </c>
      <c r="AG87" s="102">
        <f t="shared" si="827"/>
        <v>20222.357222222221</v>
      </c>
      <c r="AH87" s="102">
        <f t="shared" si="827"/>
        <v>20222.357222222221</v>
      </c>
      <c r="AI87" s="102">
        <f t="shared" si="827"/>
        <v>20222.357222222221</v>
      </c>
      <c r="AJ87" s="102">
        <f t="shared" si="827"/>
        <v>20222.357222222221</v>
      </c>
      <c r="AK87" s="102">
        <f t="shared" si="827"/>
        <v>20222.357222222221</v>
      </c>
      <c r="AL87" s="102">
        <f t="shared" si="827"/>
        <v>20222.357222222221</v>
      </c>
      <c r="AM87" s="102">
        <f t="shared" si="827"/>
        <v>20222.357222222221</v>
      </c>
      <c r="AN87" s="102">
        <f t="shared" si="827"/>
        <v>40444.714444444442</v>
      </c>
      <c r="AO87" s="102">
        <f t="shared" si="827"/>
        <v>0</v>
      </c>
      <c r="AP87" s="102">
        <f t="shared" si="827"/>
        <v>26509.671922222224</v>
      </c>
      <c r="AQ87" s="102">
        <f t="shared" si="827"/>
        <v>26509.671922222224</v>
      </c>
      <c r="AR87" s="102">
        <f t="shared" si="827"/>
        <v>26509.671922222224</v>
      </c>
      <c r="AS87" s="102">
        <f t="shared" si="827"/>
        <v>26509.671922222224</v>
      </c>
      <c r="AT87" s="102">
        <f t="shared" si="827"/>
        <v>26509.671922222224</v>
      </c>
      <c r="AU87" s="102">
        <f t="shared" si="827"/>
        <v>26509.671922222224</v>
      </c>
      <c r="AV87" s="102">
        <f t="shared" si="827"/>
        <v>26509.671922222224</v>
      </c>
      <c r="AW87" s="102">
        <f t="shared" si="827"/>
        <v>26509.671922222224</v>
      </c>
      <c r="AX87" s="102">
        <f t="shared" si="827"/>
        <v>26509.671922222224</v>
      </c>
      <c r="AY87" s="102">
        <f t="shared" si="827"/>
        <v>26509.671922222224</v>
      </c>
      <c r="AZ87" s="102">
        <f t="shared" si="827"/>
        <v>53019.343844444447</v>
      </c>
      <c r="BA87" s="102">
        <f t="shared" ref="BA87:BX87" si="828">BA267*BA274</f>
        <v>0</v>
      </c>
      <c r="BB87" s="102">
        <f t="shared" si="828"/>
        <v>27304.96207988889</v>
      </c>
      <c r="BC87" s="102">
        <f t="shared" si="828"/>
        <v>27304.96207988889</v>
      </c>
      <c r="BD87" s="102">
        <f t="shared" si="828"/>
        <v>27304.96207988889</v>
      </c>
      <c r="BE87" s="102">
        <f t="shared" si="828"/>
        <v>27304.96207988889</v>
      </c>
      <c r="BF87" s="102">
        <f t="shared" si="828"/>
        <v>27304.96207988889</v>
      </c>
      <c r="BG87" s="102">
        <f t="shared" si="828"/>
        <v>27304.96207988889</v>
      </c>
      <c r="BH87" s="102">
        <f t="shared" si="828"/>
        <v>27304.96207988889</v>
      </c>
      <c r="BI87" s="102">
        <f t="shared" si="828"/>
        <v>27304.96207988889</v>
      </c>
      <c r="BJ87" s="102">
        <f t="shared" si="828"/>
        <v>27304.96207988889</v>
      </c>
      <c r="BK87" s="102">
        <f t="shared" si="828"/>
        <v>27304.96207988889</v>
      </c>
      <c r="BL87" s="102">
        <f t="shared" si="828"/>
        <v>54609.92415977778</v>
      </c>
      <c r="BM87" s="102">
        <f t="shared" si="828"/>
        <v>0</v>
      </c>
      <c r="BN87" s="102">
        <f t="shared" si="828"/>
        <v>28124.110942285559</v>
      </c>
      <c r="BO87" s="102">
        <f t="shared" si="828"/>
        <v>28124.110942285559</v>
      </c>
      <c r="BP87" s="102">
        <f t="shared" si="828"/>
        <v>28124.110942285559</v>
      </c>
      <c r="BQ87" s="102">
        <f t="shared" si="828"/>
        <v>28124.110942285559</v>
      </c>
      <c r="BR87" s="102">
        <f t="shared" si="828"/>
        <v>28124.110942285559</v>
      </c>
      <c r="BS87" s="102">
        <f t="shared" si="828"/>
        <v>28124.110942285559</v>
      </c>
      <c r="BT87" s="102">
        <f t="shared" si="828"/>
        <v>28124.110942285559</v>
      </c>
      <c r="BU87" s="102">
        <f t="shared" si="828"/>
        <v>28124.110942285559</v>
      </c>
      <c r="BV87" s="102">
        <f t="shared" si="828"/>
        <v>28124.110942285559</v>
      </c>
      <c r="BW87" s="102">
        <f t="shared" si="828"/>
        <v>28124.110942285559</v>
      </c>
      <c r="BX87" s="102">
        <f t="shared" si="828"/>
        <v>56248.221884571118</v>
      </c>
      <c r="BY87" s="8"/>
      <c r="BZ87" s="72">
        <f t="shared" si="442"/>
        <v>24915.54</v>
      </c>
      <c r="CA87" s="72">
        <f t="shared" si="443"/>
        <v>229092.85</v>
      </c>
      <c r="CB87" s="97"/>
      <c r="CC87" s="72">
        <f t="shared" si="819"/>
        <v>0</v>
      </c>
      <c r="CD87" s="72">
        <f t="shared" si="819"/>
        <v>0</v>
      </c>
      <c r="CE87" s="72">
        <f t="shared" si="819"/>
        <v>143693.9</v>
      </c>
      <c r="CF87" s="72">
        <f t="shared" si="819"/>
        <v>273214.35666666669</v>
      </c>
      <c r="CG87" s="72">
        <f t="shared" si="819"/>
        <v>242668.28666666668</v>
      </c>
      <c r="CH87" s="72">
        <f t="shared" si="819"/>
        <v>318116.06306666665</v>
      </c>
      <c r="CI87" s="72">
        <f t="shared" si="819"/>
        <v>327659.54495866661</v>
      </c>
      <c r="CJ87" s="72">
        <f t="shared" si="819"/>
        <v>337489.33130742674</v>
      </c>
      <c r="CL87" s="13"/>
      <c r="CM87" s="13"/>
    </row>
    <row r="88" spans="1:91" x14ac:dyDescent="0.3">
      <c r="A88" s="97" t="str">
        <f>'DCS Detail'!A88</f>
        <v xml:space="preserve">         212.1 Medical Ins. - Support Staff</v>
      </c>
      <c r="B88" s="106" t="str">
        <f>IF('DCS Detail'!$B88="","",'DCS Detail'!$B88)</f>
        <v>Benefits</v>
      </c>
      <c r="C88" s="106"/>
      <c r="D88" s="106"/>
      <c r="E88" s="18">
        <v>0</v>
      </c>
      <c r="F88" s="18">
        <v>0</v>
      </c>
      <c r="G88" s="18">
        <v>0</v>
      </c>
      <c r="H88" s="18">
        <v>0</v>
      </c>
      <c r="I88" s="18">
        <v>0</v>
      </c>
      <c r="J88" s="18">
        <v>0</v>
      </c>
      <c r="K88" s="18">
        <v>0</v>
      </c>
      <c r="L88" s="18">
        <v>0</v>
      </c>
      <c r="M88" s="18">
        <v>0</v>
      </c>
      <c r="N88" s="18">
        <v>0</v>
      </c>
      <c r="O88" s="18">
        <v>0</v>
      </c>
      <c r="P88" s="18">
        <v>0</v>
      </c>
      <c r="Q88" s="18">
        <v>0</v>
      </c>
      <c r="R88" s="18">
        <v>0</v>
      </c>
      <c r="S88" s="18">
        <v>0</v>
      </c>
      <c r="T88" s="18">
        <v>0</v>
      </c>
      <c r="U88" s="18">
        <v>0</v>
      </c>
      <c r="V88" s="18">
        <v>0</v>
      </c>
      <c r="W88" s="18">
        <v>0</v>
      </c>
      <c r="X88" s="18">
        <v>0</v>
      </c>
      <c r="Y88" s="18">
        <v>0</v>
      </c>
      <c r="Z88" s="18">
        <v>0</v>
      </c>
      <c r="AA88" s="146">
        <v>0</v>
      </c>
      <c r="AB88" s="18">
        <v>0</v>
      </c>
      <c r="AC88" s="18">
        <v>0</v>
      </c>
      <c r="AD88" s="18">
        <v>0</v>
      </c>
      <c r="AE88" s="18">
        <v>0</v>
      </c>
      <c r="AF88" s="18">
        <v>0</v>
      </c>
      <c r="AG88" s="18">
        <v>0</v>
      </c>
      <c r="AH88" s="18">
        <v>0</v>
      </c>
      <c r="AI88" s="18">
        <v>0</v>
      </c>
      <c r="AJ88" s="18">
        <v>0</v>
      </c>
      <c r="AK88" s="18">
        <v>0</v>
      </c>
      <c r="AL88" s="18">
        <v>0</v>
      </c>
      <c r="AM88" s="18">
        <v>0</v>
      </c>
      <c r="AN88" s="18">
        <v>0</v>
      </c>
      <c r="AO88" s="18">
        <v>0</v>
      </c>
      <c r="AP88" s="18">
        <v>0</v>
      </c>
      <c r="AQ88" s="18">
        <v>0</v>
      </c>
      <c r="AR88" s="18">
        <v>0</v>
      </c>
      <c r="AS88" s="18">
        <v>0</v>
      </c>
      <c r="AT88" s="18">
        <v>0</v>
      </c>
      <c r="AU88" s="18">
        <v>0</v>
      </c>
      <c r="AV88" s="18">
        <v>0</v>
      </c>
      <c r="AW88" s="18">
        <v>0</v>
      </c>
      <c r="AX88" s="18">
        <v>0</v>
      </c>
      <c r="AY88" s="18">
        <v>0</v>
      </c>
      <c r="AZ88" s="18">
        <v>0</v>
      </c>
      <c r="BA88" s="18">
        <v>0</v>
      </c>
      <c r="BB88" s="18">
        <v>0</v>
      </c>
      <c r="BC88" s="18">
        <v>0</v>
      </c>
      <c r="BD88" s="18">
        <v>0</v>
      </c>
      <c r="BE88" s="18">
        <v>0</v>
      </c>
      <c r="BF88" s="18">
        <v>0</v>
      </c>
      <c r="BG88" s="18">
        <v>0</v>
      </c>
      <c r="BH88" s="18">
        <v>0</v>
      </c>
      <c r="BI88" s="18">
        <v>0</v>
      </c>
      <c r="BJ88" s="18">
        <v>0</v>
      </c>
      <c r="BK88" s="18">
        <v>0</v>
      </c>
      <c r="BL88" s="18">
        <v>0</v>
      </c>
      <c r="BM88" s="18">
        <v>0</v>
      </c>
      <c r="BN88" s="18">
        <v>0</v>
      </c>
      <c r="BO88" s="18">
        <v>0</v>
      </c>
      <c r="BP88" s="18">
        <v>0</v>
      </c>
      <c r="BQ88" s="18">
        <v>0</v>
      </c>
      <c r="BR88" s="18">
        <v>0</v>
      </c>
      <c r="BS88" s="18">
        <v>0</v>
      </c>
      <c r="BT88" s="18">
        <v>0</v>
      </c>
      <c r="BU88" s="18">
        <v>0</v>
      </c>
      <c r="BV88" s="18">
        <v>0</v>
      </c>
      <c r="BW88" s="18">
        <v>0</v>
      </c>
      <c r="BX88" s="18">
        <v>0</v>
      </c>
      <c r="BY88" s="8"/>
      <c r="BZ88" s="72">
        <f t="shared" si="442"/>
        <v>0</v>
      </c>
      <c r="CA88" s="72">
        <f t="shared" si="443"/>
        <v>0</v>
      </c>
      <c r="CB88" s="97"/>
      <c r="CC88" s="72">
        <f t="shared" ref="CC88:CJ97" si="829">SUMIF($C$3:$BY$3,CC$3,$C88:$BY88)</f>
        <v>0</v>
      </c>
      <c r="CD88" s="72">
        <f t="shared" si="829"/>
        <v>0</v>
      </c>
      <c r="CE88" s="72">
        <f t="shared" si="829"/>
        <v>0</v>
      </c>
      <c r="CF88" s="72">
        <f t="shared" si="829"/>
        <v>0</v>
      </c>
      <c r="CG88" s="72">
        <f t="shared" si="829"/>
        <v>0</v>
      </c>
      <c r="CH88" s="72">
        <f t="shared" si="829"/>
        <v>0</v>
      </c>
      <c r="CI88" s="72">
        <f t="shared" si="829"/>
        <v>0</v>
      </c>
      <c r="CJ88" s="72">
        <f t="shared" si="829"/>
        <v>0</v>
      </c>
      <c r="CL88" s="13"/>
      <c r="CM88" s="13"/>
    </row>
    <row r="89" spans="1:91" x14ac:dyDescent="0.3">
      <c r="A89" s="97" t="str">
        <f>'DCS Detail'!A89</f>
        <v xml:space="preserve">         222.1 Payroll Tax - Support Staff</v>
      </c>
      <c r="B89" s="106" t="str">
        <f>IF('DCS Detail'!$B89="","",'DCS Detail'!$B89)</f>
        <v>Benefits</v>
      </c>
      <c r="C89" s="106"/>
      <c r="D89" s="106"/>
      <c r="E89" s="18">
        <v>-432.2</v>
      </c>
      <c r="F89" s="18">
        <v>344.39</v>
      </c>
      <c r="G89" s="18">
        <v>343.73</v>
      </c>
      <c r="H89" s="18">
        <v>454.86</v>
      </c>
      <c r="I89" s="18">
        <v>586.47</v>
      </c>
      <c r="J89" s="18">
        <v>472.63</v>
      </c>
      <c r="K89" s="18">
        <v>418.3</v>
      </c>
      <c r="L89" s="18">
        <v>534.7199999999998</v>
      </c>
      <c r="M89" s="18">
        <v>508.91</v>
      </c>
      <c r="N89" s="18">
        <v>484.39</v>
      </c>
      <c r="O89" s="18">
        <v>410.44</v>
      </c>
      <c r="P89" s="18">
        <v>592.48</v>
      </c>
      <c r="Q89" s="18">
        <v>0</v>
      </c>
      <c r="R89" s="18">
        <v>808.18</v>
      </c>
      <c r="S89" s="18">
        <v>1087.3699999999999</v>
      </c>
      <c r="T89" s="18">
        <v>817.34</v>
      </c>
      <c r="U89" s="18">
        <v>770.26</v>
      </c>
      <c r="V89" s="18">
        <v>705.61</v>
      </c>
      <c r="W89" s="18">
        <v>701.63</v>
      </c>
      <c r="X89" s="18">
        <v>1103.8399999999999</v>
      </c>
      <c r="Y89" s="18">
        <v>968.78</v>
      </c>
      <c r="Z89" s="18">
        <v>891.03</v>
      </c>
      <c r="AA89" s="146">
        <v>1103.5</v>
      </c>
      <c r="AB89" s="102">
        <f t="shared" ref="AB89:AZ89" si="830">SUM(U89:AA89)/SUM(U$87:AA$87)*AB$87</f>
        <v>1708.5857904971492</v>
      </c>
      <c r="AC89" s="102">
        <f t="shared" si="830"/>
        <v>0</v>
      </c>
      <c r="AD89" s="102">
        <f t="shared" si="830"/>
        <v>821.40917492030485</v>
      </c>
      <c r="AE89" s="102">
        <f t="shared" si="830"/>
        <v>833.96247166451724</v>
      </c>
      <c r="AF89" s="102">
        <f t="shared" si="830"/>
        <v>821.88740579212492</v>
      </c>
      <c r="AG89" s="102">
        <f t="shared" si="830"/>
        <v>819.44638251795777</v>
      </c>
      <c r="AH89" s="102">
        <f t="shared" si="830"/>
        <v>823.9649327985361</v>
      </c>
      <c r="AI89" s="102">
        <f t="shared" si="830"/>
        <v>811.66857898856313</v>
      </c>
      <c r="AJ89" s="102">
        <f t="shared" si="830"/>
        <v>822.05649111366711</v>
      </c>
      <c r="AK89" s="102">
        <f t="shared" si="830"/>
        <v>822.05649111366711</v>
      </c>
      <c r="AL89" s="102">
        <f t="shared" si="830"/>
        <v>822.14896485557608</v>
      </c>
      <c r="AM89" s="102">
        <f t="shared" si="830"/>
        <v>820.46132102572744</v>
      </c>
      <c r="AN89" s="102">
        <f t="shared" si="830"/>
        <v>1640.5151892610559</v>
      </c>
      <c r="AO89" s="102">
        <f t="shared" si="830"/>
        <v>0</v>
      </c>
      <c r="AP89" s="102">
        <f t="shared" si="830"/>
        <v>1074.7407722634555</v>
      </c>
      <c r="AQ89" s="102">
        <f t="shared" si="830"/>
        <v>1076.2066711180055</v>
      </c>
      <c r="AR89" s="102">
        <f t="shared" si="830"/>
        <v>1076.01844092286</v>
      </c>
      <c r="AS89" s="102">
        <f t="shared" si="830"/>
        <v>1075.8138597664581</v>
      </c>
      <c r="AT89" s="102">
        <f t="shared" si="830"/>
        <v>1075.5774722963833</v>
      </c>
      <c r="AU89" s="102">
        <f t="shared" si="830"/>
        <v>1075.5806598210302</v>
      </c>
      <c r="AV89" s="102">
        <f t="shared" si="830"/>
        <v>1075.6563126980323</v>
      </c>
      <c r="AW89" s="102">
        <f t="shared" si="830"/>
        <v>1075.6563126980323</v>
      </c>
      <c r="AX89" s="102">
        <f t="shared" si="830"/>
        <v>1075.787104188686</v>
      </c>
      <c r="AY89" s="102">
        <f t="shared" si="830"/>
        <v>1075.7271660559263</v>
      </c>
      <c r="AZ89" s="102">
        <f t="shared" si="830"/>
        <v>2151.3711107212998</v>
      </c>
      <c r="BA89" s="102">
        <f t="shared" ref="BA89:BA92" si="831">SUM(AT89:AZ89)/SUM(AT$87:AZ$87)*BA$87</f>
        <v>0</v>
      </c>
      <c r="BB89" s="102">
        <f t="shared" ref="BB89:BB92" si="832">SUM(AU89:BA89)/SUM(AU$87:BA$87)*BB$87</f>
        <v>1107.9531465954997</v>
      </c>
      <c r="BC89" s="102">
        <f t="shared" ref="BC89:BC92" si="833">SUM(AV89:BB89)/SUM(AV$87:BB$87)*BC$87</f>
        <v>1107.9680921118352</v>
      </c>
      <c r="BD89" s="102">
        <f t="shared" ref="BD89:BD92" si="834">SUM(AW89:BC89)/SUM(AW$87:BC$87)*BD$87</f>
        <v>1107.974053872864</v>
      </c>
      <c r="BE89" s="102">
        <f t="shared" ref="BE89:BE92" si="835">SUM(AX89:BD89)/SUM(AX$87:BD$87)*BE$87</f>
        <v>1107.9808312767975</v>
      </c>
      <c r="BF89" s="102">
        <f t="shared" ref="BF89:BF92" si="836">SUM(AY89:BE89)/SUM(AY$87:BE$87)*BF$87</f>
        <v>1107.9696113277037</v>
      </c>
      <c r="BG89" s="102">
        <f t="shared" ref="BG89:BG92" si="837">SUM(AZ89:BF89)/SUM(AZ$87:BF$87)*BG$87</f>
        <v>1107.9655036759691</v>
      </c>
      <c r="BH89" s="102">
        <f t="shared" ref="BH89:BH92" si="838">SUM(BA89:BG89)/SUM(BA$87:BG$87)*BH$87</f>
        <v>1107.9685398101115</v>
      </c>
      <c r="BI89" s="102">
        <f t="shared" ref="BI89:BI92" si="839">SUM(BB89:BH89)/SUM(BB$87:BH$87)*BI$87</f>
        <v>1107.9685398101115</v>
      </c>
      <c r="BJ89" s="102">
        <f t="shared" ref="BJ89:BJ92" si="840">SUM(BC89:BI89)/SUM(BC$87:BI$87)*BJ$87</f>
        <v>1107.9707388407705</v>
      </c>
      <c r="BK89" s="102">
        <f t="shared" ref="BK89:BK92" si="841">SUM(BD89:BJ89)/SUM(BD$87:BJ$87)*BK$87</f>
        <v>1107.9711169449042</v>
      </c>
      <c r="BL89" s="102">
        <f t="shared" ref="BL89:BL92" si="842">SUM(BE89:BK89)/SUM(BE$87:BK$87)*BL$87</f>
        <v>2215.9413947675339</v>
      </c>
      <c r="BM89" s="102">
        <f t="shared" ref="BM89:BM92" si="843">SUM(BF89:BL89)/SUM(BF$87:BL$87)*BM$87</f>
        <v>0</v>
      </c>
      <c r="BN89" s="102">
        <f t="shared" ref="BN89:BN92" si="844">SUM(BG89:BM89)/SUM(BG$87:BM$87)*BN$87</f>
        <v>1141.2084869806974</v>
      </c>
      <c r="BO89" s="102">
        <f t="shared" ref="BO89:BO92" si="845">SUM(BH89:BN89)/SUM(BH$87:BN$87)*BO$87</f>
        <v>1141.2090585588553</v>
      </c>
      <c r="BP89" s="102">
        <f t="shared" ref="BP89:BP92" si="846">SUM(BI89:BO89)/SUM(BI$87:BO$87)*BP$87</f>
        <v>1141.209265719541</v>
      </c>
      <c r="BQ89" s="102">
        <f t="shared" ref="BQ89:BQ92" si="847">SUM(BJ89:BP89)/SUM(BJ$87:BP$87)*BQ$87</f>
        <v>1141.2095012223797</v>
      </c>
      <c r="BR89" s="102">
        <f t="shared" ref="BR89:BR92" si="848">SUM(BK89:BQ89)/SUM(BK$87:BQ$87)*BR$87</f>
        <v>1141.209450690973</v>
      </c>
      <c r="BS89" s="102">
        <f t="shared" ref="BS89:BS92" si="849">SUM(BL89:BR89)/SUM(BL$87:BR$87)*BS$87</f>
        <v>1141.2093388361091</v>
      </c>
      <c r="BT89" s="102">
        <f t="shared" ref="BT89:BT92" si="850">SUM(BM89:BS89)/SUM(BM$87:BS$87)*BT$87</f>
        <v>1141.2091836680922</v>
      </c>
      <c r="BU89" s="102">
        <f t="shared" ref="BU89:BU92" si="851">SUM(BN89:BT89)/SUM(BN$87:BT$87)*BU$87</f>
        <v>1141.2091836680922</v>
      </c>
      <c r="BV89" s="102">
        <f t="shared" ref="BV89:BV92" si="852">SUM(BO89:BU89)/SUM(BO$87:BU$87)*BV$87</f>
        <v>1141.209283194863</v>
      </c>
      <c r="BW89" s="102">
        <f t="shared" ref="BW89:BW92" si="853">SUM(BP89:BV89)/SUM(BP$87:BV$87)*BW$87</f>
        <v>1141.2093152857215</v>
      </c>
      <c r="BX89" s="102">
        <f t="shared" ref="BX89:BX92" si="854">SUM(BQ89:BW89)/SUM(BQ$87:BW$87)*BX$87</f>
        <v>2282.4186447332086</v>
      </c>
      <c r="BY89" s="8"/>
      <c r="BZ89" s="72">
        <f t="shared" si="442"/>
        <v>1103.5</v>
      </c>
      <c r="CA89" s="72">
        <f t="shared" si="443"/>
        <v>8957.5399999999991</v>
      </c>
      <c r="CB89" s="97"/>
      <c r="CC89" s="72">
        <f t="shared" si="829"/>
        <v>0</v>
      </c>
      <c r="CD89" s="72">
        <f t="shared" si="829"/>
        <v>0</v>
      </c>
      <c r="CE89" s="72">
        <f t="shared" si="829"/>
        <v>4719.119999999999</v>
      </c>
      <c r="CF89" s="72">
        <f t="shared" si="829"/>
        <v>10666.125790497148</v>
      </c>
      <c r="CG89" s="72">
        <f t="shared" si="829"/>
        <v>9859.5774040516972</v>
      </c>
      <c r="CH89" s="72">
        <f t="shared" si="829"/>
        <v>12908.135882550172</v>
      </c>
      <c r="CI89" s="72">
        <f t="shared" si="829"/>
        <v>13295.6315690341</v>
      </c>
      <c r="CJ89" s="72">
        <f t="shared" si="829"/>
        <v>13694.510712558533</v>
      </c>
      <c r="CL89" s="13"/>
      <c r="CM89" s="13"/>
    </row>
    <row r="90" spans="1:91" x14ac:dyDescent="0.3">
      <c r="A90" s="97" t="str">
        <f>'DCS Detail'!A90</f>
        <v xml:space="preserve">         232.1 PERS - Support Staff</v>
      </c>
      <c r="B90" s="106" t="str">
        <f>IF('DCS Detail'!$B90="","",'DCS Detail'!$B90)</f>
        <v>Benefits</v>
      </c>
      <c r="C90" s="106"/>
      <c r="D90" s="106"/>
      <c r="E90" s="18">
        <v>-1377.5</v>
      </c>
      <c r="F90" s="18">
        <v>1377.5</v>
      </c>
      <c r="G90" s="18">
        <v>1129.4100000000001</v>
      </c>
      <c r="H90" s="18">
        <v>1129.4100000000001</v>
      </c>
      <c r="I90" s="18">
        <v>1129.4100000000001</v>
      </c>
      <c r="J90" s="18">
        <v>1129.4100000000001</v>
      </c>
      <c r="K90" s="18">
        <v>1129.4100000000001</v>
      </c>
      <c r="L90" s="18">
        <v>1129.4099999999999</v>
      </c>
      <c r="M90" s="18">
        <v>1129.4100000000001</v>
      </c>
      <c r="N90" s="18">
        <v>1129.4100000000001</v>
      </c>
      <c r="O90" s="18">
        <v>1129.4100000000001</v>
      </c>
      <c r="P90" s="18">
        <v>2798.85</v>
      </c>
      <c r="Q90" s="18">
        <v>0</v>
      </c>
      <c r="R90" s="18">
        <v>1439.63</v>
      </c>
      <c r="S90" s="18">
        <v>2670.6</v>
      </c>
      <c r="T90" s="18">
        <v>1220.33</v>
      </c>
      <c r="U90" s="18">
        <v>1208.44</v>
      </c>
      <c r="V90" s="18">
        <v>540.03</v>
      </c>
      <c r="W90" s="18">
        <v>554.9</v>
      </c>
      <c r="X90" s="18">
        <v>548.95000000000005</v>
      </c>
      <c r="Y90" s="18">
        <v>543</v>
      </c>
      <c r="Z90" s="18">
        <v>548.95000000000005</v>
      </c>
      <c r="AA90" s="146">
        <v>862.41</v>
      </c>
      <c r="AB90" s="102">
        <f>SUM(U90:AA90)/SUM(U$87:AA$87)*AB$87</f>
        <v>1315.1457883895555</v>
      </c>
      <c r="AC90" s="102">
        <f t="shared" ref="AC90:AC92" si="855">SUM(V90:AB90)/SUM(V$87:AB$87)*AC$87</f>
        <v>0</v>
      </c>
      <c r="AD90" s="102">
        <f t="shared" ref="AD90:AD92" si="856">SUM(W90:AC90)/SUM(W$87:AC$87)*AD$87</f>
        <v>554.59498289323699</v>
      </c>
      <c r="AE90" s="102">
        <f t="shared" ref="AE90:AE92" si="857">SUM(X90:AD90)/SUM(X$87:AD$87)*AE$87</f>
        <v>552.80886641887651</v>
      </c>
      <c r="AF90" s="102">
        <f t="shared" ref="AF90:AF92" si="858">SUM(Y90:AE90)/SUM(Y$87:AE$87)*AF$87</f>
        <v>568.54352108375565</v>
      </c>
      <c r="AG90" s="102">
        <f t="shared" ref="AG90:AG92" si="859">SUM(Z90:AF90)/SUM(Z$87:AF$87)*AG$87</f>
        <v>583.71448445897522</v>
      </c>
      <c r="AH90" s="102">
        <f t="shared" ref="AH90:AH92" si="860">SUM(AA90:AG90)/SUM(AA$87:AG$87)*AH$87</f>
        <v>598.50003091138649</v>
      </c>
      <c r="AI90" s="102">
        <f t="shared" ref="AI90:AI92" si="861">SUM(AB90:AH90)/SUM(AB$87:AH$87)*AI$87</f>
        <v>581.09347361662833</v>
      </c>
      <c r="AJ90" s="102">
        <f t="shared" ref="AJ90:AJ92" si="862">SUM(AC90:AI90)/SUM(AC$87:AI$87)*AJ$87</f>
        <v>573.20922656380981</v>
      </c>
      <c r="AK90" s="102">
        <f t="shared" ref="AK90:AK92" si="863">SUM(AD90:AJ90)/SUM(AD$87:AJ$87)*AK$87</f>
        <v>573.20922656380969</v>
      </c>
      <c r="AL90" s="102">
        <f t="shared" ref="AL90:AL92" si="864">SUM(AE90:AK90)/SUM(AE$87:AK$87)*AL$87</f>
        <v>575.86840423103445</v>
      </c>
      <c r="AM90" s="102">
        <f t="shared" ref="AM90:AM92" si="865">SUM(AF90:AL90)/SUM(AF$87:AL$87)*AM$87</f>
        <v>579.16262391848556</v>
      </c>
      <c r="AN90" s="102">
        <f t="shared" ref="AN90:AN92" si="866">SUM(AG90:AM90)/SUM(AG$87:AM$87)*AN$87</f>
        <v>1161.3592772183226</v>
      </c>
      <c r="AO90" s="102">
        <f t="shared" ref="AO90:AO92" si="867">SUM(AH90:AN90)/SUM(AH$87:AN$87)*AO$87</f>
        <v>0</v>
      </c>
      <c r="AP90" s="102">
        <f t="shared" ref="AP90:AP92" si="868">SUM(AI90:AO90)/SUM(AI$87:AO$87)*AP$87</f>
        <v>757.31259983190046</v>
      </c>
      <c r="AQ90" s="102">
        <f t="shared" ref="AQ90:AQ92" si="869">SUM(AJ90:AP90)/SUM(AJ$87:AP$87)*AQ$87</f>
        <v>756.70417790450836</v>
      </c>
      <c r="AR90" s="102">
        <f t="shared" ref="AR90:AR92" si="870">SUM(AK90:AQ90)/SUM(AK$87:AQ$87)*AR$87</f>
        <v>757.39679371914895</v>
      </c>
      <c r="AS90" s="102">
        <f t="shared" ref="AS90:AS92" si="871">SUM(AL90:AR90)/SUM(AL$87:AR$87)*AS$87</f>
        <v>758.14957487730283</v>
      </c>
      <c r="AT90" s="102">
        <f t="shared" ref="AT90:AT92" si="872">SUM(AM90:AS90)/SUM(AM$87:AS$87)*AT$87</f>
        <v>758.54241712078328</v>
      </c>
      <c r="AU90" s="102">
        <f t="shared" ref="AU90:AU92" si="873">SUM(AN90:AT90)/SUM(AN$87:AT$87)*AU$87</f>
        <v>758.46209354399332</v>
      </c>
      <c r="AV90" s="102">
        <f t="shared" ref="AV90:AV92" si="874">SUM(AO90:AU90)/SUM(AO$87:AU$87)*AV$87</f>
        <v>757.76127616627286</v>
      </c>
      <c r="AW90" s="102">
        <f t="shared" ref="AW90:AW92" si="875">SUM(AP90:AV90)/SUM(AP$87:AV$87)*AW$87</f>
        <v>757.76127616627298</v>
      </c>
      <c r="AX90" s="102">
        <f t="shared" ref="AX90:AX92" si="876">SUM(AQ90:AW90)/SUM(AQ$87:AW$87)*AX$87</f>
        <v>757.82537278546909</v>
      </c>
      <c r="AY90" s="102">
        <f t="shared" ref="AY90:AY92" si="877">SUM(AR90:AX90)/SUM(AR$87:AX$87)*AY$87</f>
        <v>757.98554348274911</v>
      </c>
      <c r="AZ90" s="102">
        <f t="shared" ref="AZ90:AZ92" si="878">SUM(AS90:AY90)/SUM(AS$87:AY$87)*AZ$87</f>
        <v>1516.1393011836697</v>
      </c>
      <c r="BA90" s="102">
        <f t="shared" si="831"/>
        <v>0</v>
      </c>
      <c r="BB90" s="102">
        <f t="shared" si="832"/>
        <v>780.73041560403999</v>
      </c>
      <c r="BC90" s="102">
        <f t="shared" si="833"/>
        <v>780.66134864155435</v>
      </c>
      <c r="BD90" s="102">
        <f t="shared" si="834"/>
        <v>780.68503620391903</v>
      </c>
      <c r="BE90" s="102">
        <f t="shared" si="835"/>
        <v>780.71196451882145</v>
      </c>
      <c r="BF90" s="102">
        <f t="shared" si="836"/>
        <v>780.73328903424112</v>
      </c>
      <c r="BG90" s="102">
        <f t="shared" si="837"/>
        <v>780.73443298487189</v>
      </c>
      <c r="BH90" s="102">
        <f t="shared" si="838"/>
        <v>780.70941449790803</v>
      </c>
      <c r="BI90" s="102">
        <f t="shared" si="839"/>
        <v>780.70941449790803</v>
      </c>
      <c r="BJ90" s="102">
        <f t="shared" si="840"/>
        <v>780.70641433988931</v>
      </c>
      <c r="BK90" s="102">
        <f t="shared" si="841"/>
        <v>780.71285229679427</v>
      </c>
      <c r="BL90" s="102">
        <f t="shared" si="842"/>
        <v>1561.4336520486956</v>
      </c>
      <c r="BM90" s="102">
        <f t="shared" si="843"/>
        <v>0</v>
      </c>
      <c r="BN90" s="102">
        <f t="shared" si="844"/>
        <v>804.13662372657836</v>
      </c>
      <c r="BO90" s="102">
        <f t="shared" si="845"/>
        <v>804.13380121621719</v>
      </c>
      <c r="BP90" s="102">
        <f t="shared" si="846"/>
        <v>804.1342409164115</v>
      </c>
      <c r="BQ90" s="102">
        <f t="shared" si="847"/>
        <v>804.13474077304988</v>
      </c>
      <c r="BR90" s="102">
        <f t="shared" si="848"/>
        <v>804.13574273975826</v>
      </c>
      <c r="BS90" s="102">
        <f t="shared" si="849"/>
        <v>804.13595321165485</v>
      </c>
      <c r="BT90" s="102">
        <f t="shared" si="850"/>
        <v>804.13518376394484</v>
      </c>
      <c r="BU90" s="102">
        <f t="shared" si="851"/>
        <v>804.13518376394484</v>
      </c>
      <c r="BV90" s="102">
        <f t="shared" si="852"/>
        <v>804.13497805499719</v>
      </c>
      <c r="BW90" s="102">
        <f t="shared" si="853"/>
        <v>804.13514617482303</v>
      </c>
      <c r="BX90" s="102">
        <f t="shared" si="854"/>
        <v>1608.2705509949062</v>
      </c>
      <c r="BY90" s="8"/>
      <c r="BZ90" s="72">
        <f t="shared" ref="BZ90:BZ121" si="879">SUMIF($B$252:$BY$252,1,$B90:$BY90)</f>
        <v>862.41</v>
      </c>
      <c r="CA90" s="72">
        <f t="shared" ref="CA90:CA121" si="880">SUMIF($B$253:$BY$253,1,$B90:$BY90)</f>
        <v>10137.24</v>
      </c>
      <c r="CB90" s="97"/>
      <c r="CC90" s="72">
        <f t="shared" si="829"/>
        <v>0</v>
      </c>
      <c r="CD90" s="72">
        <f t="shared" si="829"/>
        <v>0</v>
      </c>
      <c r="CE90" s="72">
        <f t="shared" si="829"/>
        <v>12963.54</v>
      </c>
      <c r="CF90" s="72">
        <f t="shared" si="829"/>
        <v>11452.385788389554</v>
      </c>
      <c r="CG90" s="72">
        <f t="shared" si="829"/>
        <v>6902.0641178783208</v>
      </c>
      <c r="CH90" s="72">
        <f t="shared" si="829"/>
        <v>9094.0404267820704</v>
      </c>
      <c r="CI90" s="72">
        <f t="shared" si="829"/>
        <v>9368.5282346686436</v>
      </c>
      <c r="CJ90" s="72">
        <f t="shared" si="829"/>
        <v>9649.622145336285</v>
      </c>
      <c r="CL90" s="13"/>
      <c r="CM90" s="13"/>
    </row>
    <row r="91" spans="1:91" x14ac:dyDescent="0.3">
      <c r="A91" s="97" t="str">
        <f>'DCS Detail'!A91</f>
        <v xml:space="preserve">         262.1 SUI - Support Staff</v>
      </c>
      <c r="B91" s="106" t="str">
        <f>IF('DCS Detail'!$B91="","",'DCS Detail'!$B91)</f>
        <v>Benefits</v>
      </c>
      <c r="C91" s="106"/>
      <c r="D91" s="106"/>
      <c r="E91" s="18">
        <v>-243.78</v>
      </c>
      <c r="F91" s="18">
        <v>187.82</v>
      </c>
      <c r="G91" s="18">
        <v>170.31</v>
      </c>
      <c r="H91" s="18">
        <v>209.41</v>
      </c>
      <c r="I91" s="18">
        <v>253.51</v>
      </c>
      <c r="J91" s="18">
        <v>228.55</v>
      </c>
      <c r="K91" s="18">
        <v>217.8</v>
      </c>
      <c r="L91" s="18">
        <v>260.83000000000015</v>
      </c>
      <c r="M91" s="18">
        <v>214.7</v>
      </c>
      <c r="N91" s="18">
        <v>221.51</v>
      </c>
      <c r="O91" s="18">
        <v>212.47</v>
      </c>
      <c r="P91" s="18">
        <v>434.03</v>
      </c>
      <c r="Q91" s="18">
        <v>0</v>
      </c>
      <c r="R91" s="18">
        <v>291.91000000000003</v>
      </c>
      <c r="S91" s="18">
        <v>375.22</v>
      </c>
      <c r="T91" s="18">
        <v>350.39</v>
      </c>
      <c r="U91" s="18">
        <v>359.42</v>
      </c>
      <c r="V91" s="18">
        <v>305.58</v>
      </c>
      <c r="W91" s="18">
        <v>295.77999999999997</v>
      </c>
      <c r="X91" s="18">
        <v>367.68</v>
      </c>
      <c r="Y91" s="18">
        <v>350.75</v>
      </c>
      <c r="Z91" s="18">
        <v>342.23</v>
      </c>
      <c r="AA91" s="146">
        <v>373.73</v>
      </c>
      <c r="AB91" s="102">
        <f>SUM(U91:AA91)/SUM(U$87:AA$87)*AB$87</f>
        <v>655.3375173668752</v>
      </c>
      <c r="AC91" s="102">
        <f t="shared" si="855"/>
        <v>0</v>
      </c>
      <c r="AD91" s="102">
        <f t="shared" si="856"/>
        <v>302.51151856843279</v>
      </c>
      <c r="AE91" s="102">
        <f t="shared" si="857"/>
        <v>302.409237583687</v>
      </c>
      <c r="AF91" s="102">
        <f t="shared" si="858"/>
        <v>302.2641190215158</v>
      </c>
      <c r="AG91" s="102">
        <f t="shared" si="859"/>
        <v>302.10047151928364</v>
      </c>
      <c r="AH91" s="102">
        <f t="shared" si="860"/>
        <v>301.91312800939158</v>
      </c>
      <c r="AI91" s="102">
        <f t="shared" si="861"/>
        <v>301.66956851596257</v>
      </c>
      <c r="AJ91" s="102">
        <f t="shared" si="862"/>
        <v>302.14467386971222</v>
      </c>
      <c r="AK91" s="102">
        <f t="shared" si="863"/>
        <v>302.14467386971216</v>
      </c>
      <c r="AL91" s="102">
        <f t="shared" si="864"/>
        <v>302.0922674841807</v>
      </c>
      <c r="AM91" s="102">
        <f t="shared" si="865"/>
        <v>302.04698604139406</v>
      </c>
      <c r="AN91" s="102">
        <f t="shared" si="866"/>
        <v>604.03193408846744</v>
      </c>
      <c r="AO91" s="102">
        <f t="shared" si="867"/>
        <v>0</v>
      </c>
      <c r="AP91" s="102">
        <f t="shared" si="868"/>
        <v>395.91891036100213</v>
      </c>
      <c r="AQ91" s="102">
        <f t="shared" si="869"/>
        <v>395.98149225569057</v>
      </c>
      <c r="AR91" s="102">
        <f t="shared" si="870"/>
        <v>395.96801679781072</v>
      </c>
      <c r="AS91" s="102">
        <f t="shared" si="871"/>
        <v>395.95337076955803</v>
      </c>
      <c r="AT91" s="102">
        <f t="shared" si="872"/>
        <v>395.94583417210828</v>
      </c>
      <c r="AU91" s="102">
        <f t="shared" si="873"/>
        <v>395.944629466224</v>
      </c>
      <c r="AV91" s="102">
        <f t="shared" si="874"/>
        <v>395.95204230373236</v>
      </c>
      <c r="AW91" s="102">
        <f t="shared" si="875"/>
        <v>395.95204230373236</v>
      </c>
      <c r="AX91" s="102">
        <f t="shared" si="876"/>
        <v>395.9567754384081</v>
      </c>
      <c r="AY91" s="102">
        <f t="shared" si="877"/>
        <v>395.95324446451065</v>
      </c>
      <c r="AZ91" s="102">
        <f t="shared" si="878"/>
        <v>791.90226826236403</v>
      </c>
      <c r="BA91" s="102">
        <f t="shared" si="831"/>
        <v>0</v>
      </c>
      <c r="BB91" s="102">
        <f t="shared" si="832"/>
        <v>407.83011890087727</v>
      </c>
      <c r="BC91" s="102">
        <f t="shared" si="833"/>
        <v>407.8311360489094</v>
      </c>
      <c r="BD91" s="102">
        <f t="shared" si="834"/>
        <v>407.83121147044841</v>
      </c>
      <c r="BE91" s="102">
        <f t="shared" si="835"/>
        <v>407.83129721059009</v>
      </c>
      <c r="BF91" s="102">
        <f t="shared" si="836"/>
        <v>407.83070992253244</v>
      </c>
      <c r="BG91" s="102">
        <f t="shared" si="837"/>
        <v>407.83055161820891</v>
      </c>
      <c r="BH91" s="102">
        <f t="shared" si="838"/>
        <v>407.83083752859443</v>
      </c>
      <c r="BI91" s="102">
        <f t="shared" si="839"/>
        <v>407.83083752859449</v>
      </c>
      <c r="BJ91" s="102">
        <f t="shared" si="840"/>
        <v>407.83094018969689</v>
      </c>
      <c r="BK91" s="102">
        <f t="shared" si="841"/>
        <v>407.83091220980936</v>
      </c>
      <c r="BL91" s="102">
        <f t="shared" si="842"/>
        <v>815.66173891657911</v>
      </c>
      <c r="BM91" s="102">
        <f t="shared" si="843"/>
        <v>0</v>
      </c>
      <c r="BN91" s="102">
        <f t="shared" si="844"/>
        <v>420.06575607588962</v>
      </c>
      <c r="BO91" s="102">
        <f t="shared" si="845"/>
        <v>420.06579703024732</v>
      </c>
      <c r="BP91" s="102">
        <f t="shared" si="846"/>
        <v>420.0658018993401</v>
      </c>
      <c r="BQ91" s="102">
        <f t="shared" si="847"/>
        <v>420.06580743458517</v>
      </c>
      <c r="BR91" s="102">
        <f t="shared" si="848"/>
        <v>420.06579887267463</v>
      </c>
      <c r="BS91" s="102">
        <f t="shared" si="849"/>
        <v>420.06579317988752</v>
      </c>
      <c r="BT91" s="102">
        <f t="shared" si="850"/>
        <v>420.06579241543727</v>
      </c>
      <c r="BU91" s="102">
        <f t="shared" si="851"/>
        <v>420.06579241543733</v>
      </c>
      <c r="BV91" s="102">
        <f t="shared" si="852"/>
        <v>420.06579760680125</v>
      </c>
      <c r="BW91" s="102">
        <f t="shared" si="853"/>
        <v>420.06579768916623</v>
      </c>
      <c r="BX91" s="102">
        <f t="shared" si="854"/>
        <v>840.13159417542545</v>
      </c>
      <c r="BY91" s="8"/>
      <c r="BZ91" s="72">
        <f t="shared" si="879"/>
        <v>373.73</v>
      </c>
      <c r="CA91" s="72">
        <f t="shared" si="880"/>
        <v>3412.69</v>
      </c>
      <c r="CB91" s="97"/>
      <c r="CC91" s="72">
        <f t="shared" si="829"/>
        <v>0</v>
      </c>
      <c r="CD91" s="72">
        <f t="shared" si="829"/>
        <v>0</v>
      </c>
      <c r="CE91" s="72">
        <f t="shared" si="829"/>
        <v>2367.16</v>
      </c>
      <c r="CF91" s="72">
        <f t="shared" si="829"/>
        <v>4068.0275173668751</v>
      </c>
      <c r="CG91" s="72">
        <f t="shared" si="829"/>
        <v>3625.3285785717403</v>
      </c>
      <c r="CH91" s="72">
        <f t="shared" si="829"/>
        <v>4751.4286265951414</v>
      </c>
      <c r="CI91" s="72">
        <f t="shared" si="829"/>
        <v>4893.9702915448415</v>
      </c>
      <c r="CJ91" s="72">
        <f t="shared" si="829"/>
        <v>5040.7895287948922</v>
      </c>
      <c r="CL91" s="13"/>
      <c r="CM91" s="13"/>
    </row>
    <row r="92" spans="1:91" x14ac:dyDescent="0.3">
      <c r="A92" s="97" t="str">
        <f>'DCS Detail'!A92</f>
        <v xml:space="preserve">         272.1 WC - Support Staff</v>
      </c>
      <c r="B92" s="106" t="str">
        <f>IF('DCS Detail'!$B92="","",'DCS Detail'!$B92)</f>
        <v>Benefits</v>
      </c>
      <c r="C92" s="106"/>
      <c r="D92" s="106"/>
      <c r="E92" s="18">
        <v>286.67</v>
      </c>
      <c r="F92" s="18">
        <v>179.17</v>
      </c>
      <c r="G92" s="18">
        <v>143.33000000000001</v>
      </c>
      <c r="H92" s="18">
        <v>143.33000000000001</v>
      </c>
      <c r="I92" s="18">
        <v>143.33000000000001</v>
      </c>
      <c r="J92" s="18">
        <v>143.33000000000001</v>
      </c>
      <c r="K92" s="18">
        <v>143.33000000000001</v>
      </c>
      <c r="L92" s="18">
        <v>143.32999999999993</v>
      </c>
      <c r="M92" s="18">
        <v>143.33000000000001</v>
      </c>
      <c r="N92" s="18">
        <v>143.33000000000001</v>
      </c>
      <c r="O92" s="18">
        <v>143.33000000000001</v>
      </c>
      <c r="P92" s="18">
        <v>214.99</v>
      </c>
      <c r="Q92" s="18">
        <v>143.33000000000001</v>
      </c>
      <c r="R92" s="18">
        <v>200.35</v>
      </c>
      <c r="S92" s="18">
        <v>279.39</v>
      </c>
      <c r="T92" s="18">
        <v>179.92</v>
      </c>
      <c r="U92" s="18">
        <v>161.21</v>
      </c>
      <c r="V92" s="18">
        <v>110.84</v>
      </c>
      <c r="W92" s="18">
        <v>99.68</v>
      </c>
      <c r="X92" s="18">
        <v>111.77</v>
      </c>
      <c r="Y92" s="18">
        <v>95.44</v>
      </c>
      <c r="Z92" s="18">
        <v>100.5</v>
      </c>
      <c r="AA92" s="146">
        <v>96.99</v>
      </c>
      <c r="AB92" s="102">
        <f>SUM(U92:AA92)/SUM(U$87:AA$87)*AB$87</f>
        <v>212.43740887250715</v>
      </c>
      <c r="AC92" s="102">
        <f t="shared" si="855"/>
        <v>0</v>
      </c>
      <c r="AD92" s="102">
        <f t="shared" si="856"/>
        <v>90.901211300170445</v>
      </c>
      <c r="AE92" s="102">
        <f t="shared" si="857"/>
        <v>89.505026918227856</v>
      </c>
      <c r="AF92" s="102">
        <f t="shared" si="858"/>
        <v>89.079326798312863</v>
      </c>
      <c r="AG92" s="102">
        <f t="shared" si="859"/>
        <v>90.082319898639412</v>
      </c>
      <c r="AH92" s="102">
        <f t="shared" si="860"/>
        <v>90.235308746055907</v>
      </c>
      <c r="AI92" s="102">
        <f t="shared" si="861"/>
        <v>92.210716808519592</v>
      </c>
      <c r="AJ92" s="102">
        <f t="shared" si="862"/>
        <v>90.335651744987672</v>
      </c>
      <c r="AK92" s="102">
        <f t="shared" si="863"/>
        <v>90.335651744987672</v>
      </c>
      <c r="AL92" s="102">
        <f t="shared" si="864"/>
        <v>90.254857522818682</v>
      </c>
      <c r="AM92" s="102">
        <f t="shared" si="865"/>
        <v>90.361976180617404</v>
      </c>
      <c r="AN92" s="102">
        <f t="shared" si="866"/>
        <v>181.0904236133218</v>
      </c>
      <c r="AO92" s="102">
        <f t="shared" si="867"/>
        <v>0</v>
      </c>
      <c r="AP92" s="102">
        <f t="shared" si="868"/>
        <v>118.84126471703824</v>
      </c>
      <c r="AQ92" s="102">
        <f t="shared" si="869"/>
        <v>118.56242084124329</v>
      </c>
      <c r="AR92" s="102">
        <f t="shared" si="870"/>
        <v>118.58086706131671</v>
      </c>
      <c r="AS92" s="102">
        <f t="shared" si="871"/>
        <v>118.60091564614092</v>
      </c>
      <c r="AT92" s="102">
        <f t="shared" si="872"/>
        <v>118.63548806154128</v>
      </c>
      <c r="AU92" s="102">
        <f t="shared" si="873"/>
        <v>118.65643037984576</v>
      </c>
      <c r="AV92" s="102">
        <f t="shared" si="874"/>
        <v>118.6462311178544</v>
      </c>
      <c r="AW92" s="102">
        <f t="shared" si="875"/>
        <v>118.6462311178544</v>
      </c>
      <c r="AX92" s="102">
        <f t="shared" si="876"/>
        <v>118.61836917511386</v>
      </c>
      <c r="AY92" s="102">
        <f t="shared" si="877"/>
        <v>118.62636179423821</v>
      </c>
      <c r="AZ92" s="102">
        <f t="shared" si="878"/>
        <v>237.26572208359684</v>
      </c>
      <c r="BA92" s="102">
        <f t="shared" si="831"/>
        <v>0</v>
      </c>
      <c r="BB92" s="102">
        <f t="shared" si="832"/>
        <v>122.19616086265124</v>
      </c>
      <c r="BC92" s="102">
        <f t="shared" si="833"/>
        <v>122.1933212568774</v>
      </c>
      <c r="BD92" s="102">
        <f t="shared" si="834"/>
        <v>122.19157950128073</v>
      </c>
      <c r="BE92" s="102">
        <f t="shared" si="835"/>
        <v>122.18959945190004</v>
      </c>
      <c r="BF92" s="102">
        <f t="shared" si="836"/>
        <v>122.19138023863215</v>
      </c>
      <c r="BG92" s="102">
        <f t="shared" si="837"/>
        <v>122.19225123031978</v>
      </c>
      <c r="BH92" s="102">
        <f t="shared" si="838"/>
        <v>122.19238209027689</v>
      </c>
      <c r="BI92" s="102">
        <f t="shared" si="839"/>
        <v>122.19238209027689</v>
      </c>
      <c r="BJ92" s="102">
        <f t="shared" si="840"/>
        <v>122.19184226565199</v>
      </c>
      <c r="BK92" s="102">
        <f t="shared" si="841"/>
        <v>122.19163098119122</v>
      </c>
      <c r="BL92" s="102">
        <f t="shared" si="842"/>
        <v>244.3832766709283</v>
      </c>
      <c r="BM92" s="102">
        <f t="shared" si="843"/>
        <v>0</v>
      </c>
      <c r="BN92" s="102">
        <f t="shared" si="844"/>
        <v>125.85772546978635</v>
      </c>
      <c r="BO92" s="102">
        <f t="shared" si="845"/>
        <v>125.85768374895522</v>
      </c>
      <c r="BP92" s="102">
        <f t="shared" si="846"/>
        <v>125.85761720447503</v>
      </c>
      <c r="BQ92" s="102">
        <f t="shared" si="847"/>
        <v>125.857541555884</v>
      </c>
      <c r="BR92" s="102">
        <f t="shared" si="848"/>
        <v>125.85753369384223</v>
      </c>
      <c r="BS92" s="102">
        <f t="shared" si="849"/>
        <v>125.85755520198421</v>
      </c>
      <c r="BT92" s="102">
        <f t="shared" si="850"/>
        <v>125.8576094791545</v>
      </c>
      <c r="BU92" s="102">
        <f t="shared" si="851"/>
        <v>125.85760947915448</v>
      </c>
      <c r="BV92" s="102">
        <f t="shared" si="852"/>
        <v>125.85759290906422</v>
      </c>
      <c r="BW92" s="102">
        <f t="shared" si="853"/>
        <v>125.85757993193695</v>
      </c>
      <c r="BX92" s="102">
        <f t="shared" si="854"/>
        <v>251.71514921457731</v>
      </c>
      <c r="BY92" s="8"/>
      <c r="BZ92" s="72">
        <f t="shared" si="879"/>
        <v>96.99</v>
      </c>
      <c r="CA92" s="72">
        <f t="shared" si="880"/>
        <v>1579.42</v>
      </c>
      <c r="CB92" s="97"/>
      <c r="CC92" s="72">
        <f t="shared" si="829"/>
        <v>0</v>
      </c>
      <c r="CD92" s="72">
        <f t="shared" si="829"/>
        <v>0</v>
      </c>
      <c r="CE92" s="72">
        <f t="shared" si="829"/>
        <v>1970.7999999999997</v>
      </c>
      <c r="CF92" s="72">
        <f t="shared" si="829"/>
        <v>1791.8574088725072</v>
      </c>
      <c r="CG92" s="72">
        <f t="shared" si="829"/>
        <v>1084.3924712766593</v>
      </c>
      <c r="CH92" s="72">
        <f t="shared" si="829"/>
        <v>1423.680301995784</v>
      </c>
      <c r="CI92" s="72">
        <f t="shared" si="829"/>
        <v>1466.3058066399867</v>
      </c>
      <c r="CJ92" s="72">
        <f t="shared" si="829"/>
        <v>1510.2911978888142</v>
      </c>
      <c r="CL92" s="13"/>
      <c r="CM92" s="13"/>
    </row>
    <row r="93" spans="1:91" x14ac:dyDescent="0.3">
      <c r="A93" s="97" t="str">
        <f>'DCS Detail'!A93</f>
        <v xml:space="preserve">         340.8 Contracted Services</v>
      </c>
      <c r="B93" s="106" t="str">
        <f>IF('DCS Detail'!$B93="","",'DCS Detail'!$B93)</f>
        <v>Prof. Serv.</v>
      </c>
      <c r="C93" s="106"/>
      <c r="D93" s="106"/>
      <c r="E93" s="18">
        <v>0</v>
      </c>
      <c r="F93" s="18">
        <v>0</v>
      </c>
      <c r="G93" s="18">
        <v>0</v>
      </c>
      <c r="H93" s="18">
        <v>0</v>
      </c>
      <c r="I93" s="18">
        <v>152</v>
      </c>
      <c r="J93" s="103">
        <v>0</v>
      </c>
      <c r="K93" s="18">
        <v>3261.38</v>
      </c>
      <c r="L93" s="18">
        <v>152</v>
      </c>
      <c r="M93" s="18">
        <v>776</v>
      </c>
      <c r="N93" s="18">
        <v>1322</v>
      </c>
      <c r="O93" s="18">
        <v>152</v>
      </c>
      <c r="P93" s="18">
        <v>4056</v>
      </c>
      <c r="Q93" s="18">
        <v>604</v>
      </c>
      <c r="R93" s="18">
        <v>152</v>
      </c>
      <c r="S93" s="18">
        <v>2336</v>
      </c>
      <c r="T93" s="18">
        <v>1131</v>
      </c>
      <c r="U93" s="18">
        <v>5602</v>
      </c>
      <c r="V93" s="18">
        <v>11513.35</v>
      </c>
      <c r="W93" s="18">
        <v>3629.3</v>
      </c>
      <c r="X93" s="18">
        <v>5687.5</v>
      </c>
      <c r="Y93" s="18">
        <v>4056</v>
      </c>
      <c r="Z93" s="18">
        <v>7455</v>
      </c>
      <c r="AA93" s="441">
        <v>17213</v>
      </c>
      <c r="AB93" s="18">
        <v>5687.5</v>
      </c>
      <c r="AC93" s="18">
        <v>0</v>
      </c>
      <c r="AD93" s="18">
        <f>55000/11</f>
        <v>5000</v>
      </c>
      <c r="AE93" s="18">
        <f t="shared" ref="AE93:AN93" si="881">55000/11</f>
        <v>5000</v>
      </c>
      <c r="AF93" s="18">
        <f t="shared" si="881"/>
        <v>5000</v>
      </c>
      <c r="AG93" s="18">
        <f t="shared" si="881"/>
        <v>5000</v>
      </c>
      <c r="AH93" s="18">
        <f t="shared" si="881"/>
        <v>5000</v>
      </c>
      <c r="AI93" s="18">
        <f t="shared" si="881"/>
        <v>5000</v>
      </c>
      <c r="AJ93" s="18">
        <f t="shared" si="881"/>
        <v>5000</v>
      </c>
      <c r="AK93" s="18">
        <f t="shared" si="881"/>
        <v>5000</v>
      </c>
      <c r="AL93" s="18">
        <f t="shared" si="881"/>
        <v>5000</v>
      </c>
      <c r="AM93" s="18">
        <f t="shared" si="881"/>
        <v>5000</v>
      </c>
      <c r="AN93" s="18">
        <f t="shared" si="881"/>
        <v>5000</v>
      </c>
      <c r="AO93" s="120">
        <f t="shared" ref="AO93:AX95" si="882">AC93*(1+AO$263)</f>
        <v>0</v>
      </c>
      <c r="AP93" s="120">
        <f t="shared" si="882"/>
        <v>5150</v>
      </c>
      <c r="AQ93" s="120">
        <f t="shared" si="882"/>
        <v>5150</v>
      </c>
      <c r="AR93" s="120">
        <f t="shared" si="882"/>
        <v>5150</v>
      </c>
      <c r="AS93" s="120">
        <f t="shared" si="882"/>
        <v>5150</v>
      </c>
      <c r="AT93" s="120">
        <f t="shared" si="882"/>
        <v>5150</v>
      </c>
      <c r="AU93" s="120">
        <f t="shared" si="882"/>
        <v>5150</v>
      </c>
      <c r="AV93" s="120">
        <f t="shared" si="882"/>
        <v>5150</v>
      </c>
      <c r="AW93" s="120">
        <f t="shared" si="882"/>
        <v>5150</v>
      </c>
      <c r="AX93" s="120">
        <f t="shared" si="882"/>
        <v>5150</v>
      </c>
      <c r="AY93" s="120">
        <f t="shared" ref="AY93:BH95" si="883">AM93*(1+AY$263)</f>
        <v>5150</v>
      </c>
      <c r="AZ93" s="120">
        <f t="shared" si="883"/>
        <v>5150</v>
      </c>
      <c r="BA93" s="120">
        <f t="shared" si="883"/>
        <v>0</v>
      </c>
      <c r="BB93" s="120">
        <f t="shared" si="883"/>
        <v>5304.5</v>
      </c>
      <c r="BC93" s="120">
        <f t="shared" si="883"/>
        <v>5304.5</v>
      </c>
      <c r="BD93" s="120">
        <f t="shared" si="883"/>
        <v>5304.5</v>
      </c>
      <c r="BE93" s="120">
        <f t="shared" si="883"/>
        <v>5304.5</v>
      </c>
      <c r="BF93" s="120">
        <f t="shared" si="883"/>
        <v>5304.5</v>
      </c>
      <c r="BG93" s="120">
        <f t="shared" si="883"/>
        <v>5304.5</v>
      </c>
      <c r="BH93" s="120">
        <f t="shared" si="883"/>
        <v>5304.5</v>
      </c>
      <c r="BI93" s="120">
        <f t="shared" ref="BI93:BR95" si="884">AW93*(1+BI$263)</f>
        <v>5304.5</v>
      </c>
      <c r="BJ93" s="120">
        <f t="shared" si="884"/>
        <v>5304.5</v>
      </c>
      <c r="BK93" s="120">
        <f t="shared" si="884"/>
        <v>5304.5</v>
      </c>
      <c r="BL93" s="120">
        <f t="shared" si="884"/>
        <v>5304.5</v>
      </c>
      <c r="BM93" s="120">
        <f t="shared" si="884"/>
        <v>0</v>
      </c>
      <c r="BN93" s="120">
        <f t="shared" si="884"/>
        <v>5463.6350000000002</v>
      </c>
      <c r="BO93" s="120">
        <f t="shared" si="884"/>
        <v>5463.6350000000002</v>
      </c>
      <c r="BP93" s="120">
        <f t="shared" si="884"/>
        <v>5463.6350000000002</v>
      </c>
      <c r="BQ93" s="120">
        <f t="shared" si="884"/>
        <v>5463.6350000000002</v>
      </c>
      <c r="BR93" s="120">
        <f t="shared" si="884"/>
        <v>5463.6350000000002</v>
      </c>
      <c r="BS93" s="120">
        <f t="shared" ref="BS93:BX95" si="885">BG93*(1+BS$263)</f>
        <v>5463.6350000000002</v>
      </c>
      <c r="BT93" s="120">
        <f t="shared" si="885"/>
        <v>5463.6350000000002</v>
      </c>
      <c r="BU93" s="120">
        <f t="shared" si="885"/>
        <v>5463.6350000000002</v>
      </c>
      <c r="BV93" s="120">
        <f t="shared" si="885"/>
        <v>5463.6350000000002</v>
      </c>
      <c r="BW93" s="120">
        <f t="shared" si="885"/>
        <v>5463.6350000000002</v>
      </c>
      <c r="BX93" s="120">
        <f t="shared" si="885"/>
        <v>5463.6350000000002</v>
      </c>
      <c r="BY93" s="8"/>
      <c r="BZ93" s="72">
        <f t="shared" si="879"/>
        <v>17213</v>
      </c>
      <c r="CA93" s="72">
        <f t="shared" si="880"/>
        <v>59379.149999999994</v>
      </c>
      <c r="CB93" s="97"/>
      <c r="CC93" s="72">
        <f t="shared" si="829"/>
        <v>0</v>
      </c>
      <c r="CD93" s="72">
        <f t="shared" si="829"/>
        <v>0</v>
      </c>
      <c r="CE93" s="72">
        <f t="shared" si="829"/>
        <v>9871.380000000001</v>
      </c>
      <c r="CF93" s="72">
        <f t="shared" si="829"/>
        <v>65066.649999999994</v>
      </c>
      <c r="CG93" s="72">
        <f t="shared" si="829"/>
        <v>55000</v>
      </c>
      <c r="CH93" s="72">
        <f t="shared" si="829"/>
        <v>56650</v>
      </c>
      <c r="CI93" s="72">
        <f t="shared" si="829"/>
        <v>58349.5</v>
      </c>
      <c r="CJ93" s="72">
        <f t="shared" si="829"/>
        <v>60099.985000000015</v>
      </c>
      <c r="CL93" s="13"/>
      <c r="CM93" s="13"/>
    </row>
    <row r="94" spans="1:91" x14ac:dyDescent="0.3">
      <c r="A94" s="97" t="str">
        <f>'DCS Detail'!A94</f>
        <v xml:space="preserve">         350.2 Instructional Contracted Ser</v>
      </c>
      <c r="B94" s="106" t="str">
        <f>IF('DCS Detail'!$B94="","",'DCS Detail'!$B94)</f>
        <v>Prof. Serv.</v>
      </c>
      <c r="C94" s="106"/>
      <c r="D94" s="106"/>
      <c r="E94" s="18">
        <v>-2632.5</v>
      </c>
      <c r="F94" s="18">
        <v>0</v>
      </c>
      <c r="G94" s="18">
        <v>0</v>
      </c>
      <c r="H94" s="18">
        <v>0</v>
      </c>
      <c r="I94" s="18">
        <v>0</v>
      </c>
      <c r="J94" s="18">
        <v>0</v>
      </c>
      <c r="K94" s="18">
        <v>0</v>
      </c>
      <c r="L94" s="18">
        <v>0</v>
      </c>
      <c r="M94" s="18">
        <v>0</v>
      </c>
      <c r="N94" s="18">
        <v>0</v>
      </c>
      <c r="O94" s="18">
        <v>0</v>
      </c>
      <c r="P94" s="18">
        <v>0</v>
      </c>
      <c r="Q94" s="18">
        <v>0</v>
      </c>
      <c r="R94" s="18">
        <v>0</v>
      </c>
      <c r="S94" s="18">
        <v>0</v>
      </c>
      <c r="T94" s="18">
        <v>0</v>
      </c>
      <c r="U94" s="18">
        <v>234</v>
      </c>
      <c r="V94" s="18">
        <v>0</v>
      </c>
      <c r="W94" s="18">
        <v>0</v>
      </c>
      <c r="X94" s="18">
        <v>0</v>
      </c>
      <c r="Y94" s="18">
        <v>0</v>
      </c>
      <c r="Z94" s="18">
        <v>0</v>
      </c>
      <c r="AA94" s="146">
        <v>0</v>
      </c>
      <c r="AB94" s="120">
        <f t="shared" ref="AB94:AN95" si="886">P94*(1+AB$263)</f>
        <v>0</v>
      </c>
      <c r="AC94" s="120">
        <f t="shared" si="886"/>
        <v>0</v>
      </c>
      <c r="AD94" s="120">
        <f t="shared" si="886"/>
        <v>0</v>
      </c>
      <c r="AE94" s="120">
        <f t="shared" si="886"/>
        <v>0</v>
      </c>
      <c r="AF94" s="120">
        <f t="shared" si="886"/>
        <v>0</v>
      </c>
      <c r="AG94" s="120">
        <f t="shared" si="886"/>
        <v>241.02</v>
      </c>
      <c r="AH94" s="120">
        <f t="shared" si="886"/>
        <v>0</v>
      </c>
      <c r="AI94" s="120">
        <f t="shared" si="886"/>
        <v>0</v>
      </c>
      <c r="AJ94" s="120">
        <f t="shared" si="886"/>
        <v>0</v>
      </c>
      <c r="AK94" s="120">
        <f t="shared" si="886"/>
        <v>0</v>
      </c>
      <c r="AL94" s="120">
        <f t="shared" si="886"/>
        <v>0</v>
      </c>
      <c r="AM94" s="120">
        <f t="shared" si="886"/>
        <v>0</v>
      </c>
      <c r="AN94" s="120">
        <f t="shared" si="886"/>
        <v>0</v>
      </c>
      <c r="AO94" s="120">
        <f t="shared" si="882"/>
        <v>0</v>
      </c>
      <c r="AP94" s="120">
        <f t="shared" si="882"/>
        <v>0</v>
      </c>
      <c r="AQ94" s="120">
        <f t="shared" si="882"/>
        <v>0</v>
      </c>
      <c r="AR94" s="120">
        <f t="shared" si="882"/>
        <v>0</v>
      </c>
      <c r="AS94" s="120">
        <f t="shared" si="882"/>
        <v>248.25060000000002</v>
      </c>
      <c r="AT94" s="120">
        <f t="shared" si="882"/>
        <v>0</v>
      </c>
      <c r="AU94" s="120">
        <f t="shared" si="882"/>
        <v>0</v>
      </c>
      <c r="AV94" s="120">
        <f t="shared" si="882"/>
        <v>0</v>
      </c>
      <c r="AW94" s="120">
        <f t="shared" si="882"/>
        <v>0</v>
      </c>
      <c r="AX94" s="120">
        <f t="shared" si="882"/>
        <v>0</v>
      </c>
      <c r="AY94" s="120">
        <f t="shared" si="883"/>
        <v>0</v>
      </c>
      <c r="AZ94" s="120">
        <f t="shared" si="883"/>
        <v>0</v>
      </c>
      <c r="BA94" s="120">
        <f t="shared" si="883"/>
        <v>0</v>
      </c>
      <c r="BB94" s="120">
        <f t="shared" si="883"/>
        <v>0</v>
      </c>
      <c r="BC94" s="120">
        <f t="shared" si="883"/>
        <v>0</v>
      </c>
      <c r="BD94" s="120">
        <f t="shared" si="883"/>
        <v>0</v>
      </c>
      <c r="BE94" s="120">
        <f t="shared" si="883"/>
        <v>255.69811800000002</v>
      </c>
      <c r="BF94" s="120">
        <f t="shared" si="883"/>
        <v>0</v>
      </c>
      <c r="BG94" s="120">
        <f t="shared" si="883"/>
        <v>0</v>
      </c>
      <c r="BH94" s="120">
        <f t="shared" si="883"/>
        <v>0</v>
      </c>
      <c r="BI94" s="120">
        <f t="shared" si="884"/>
        <v>0</v>
      </c>
      <c r="BJ94" s="120">
        <f t="shared" si="884"/>
        <v>0</v>
      </c>
      <c r="BK94" s="120">
        <f t="shared" si="884"/>
        <v>0</v>
      </c>
      <c r="BL94" s="120">
        <f t="shared" si="884"/>
        <v>0</v>
      </c>
      <c r="BM94" s="120">
        <f t="shared" si="884"/>
        <v>0</v>
      </c>
      <c r="BN94" s="120">
        <f t="shared" si="884"/>
        <v>0</v>
      </c>
      <c r="BO94" s="120">
        <f t="shared" si="884"/>
        <v>0</v>
      </c>
      <c r="BP94" s="120">
        <f t="shared" si="884"/>
        <v>0</v>
      </c>
      <c r="BQ94" s="120">
        <f t="shared" si="884"/>
        <v>263.36906154000002</v>
      </c>
      <c r="BR94" s="120">
        <f t="shared" si="884"/>
        <v>0</v>
      </c>
      <c r="BS94" s="120">
        <f t="shared" si="885"/>
        <v>0</v>
      </c>
      <c r="BT94" s="120">
        <f t="shared" si="885"/>
        <v>0</v>
      </c>
      <c r="BU94" s="120">
        <f t="shared" si="885"/>
        <v>0</v>
      </c>
      <c r="BV94" s="120">
        <f t="shared" si="885"/>
        <v>0</v>
      </c>
      <c r="BW94" s="120">
        <f t="shared" si="885"/>
        <v>0</v>
      </c>
      <c r="BX94" s="120">
        <f t="shared" si="885"/>
        <v>0</v>
      </c>
      <c r="BY94" s="8"/>
      <c r="BZ94" s="72">
        <f t="shared" si="879"/>
        <v>0</v>
      </c>
      <c r="CA94" s="72">
        <f t="shared" si="880"/>
        <v>234</v>
      </c>
      <c r="CB94" s="97"/>
      <c r="CC94" s="72">
        <f t="shared" si="829"/>
        <v>0</v>
      </c>
      <c r="CD94" s="72">
        <f t="shared" si="829"/>
        <v>0</v>
      </c>
      <c r="CE94" s="72">
        <f t="shared" si="829"/>
        <v>-2632.5</v>
      </c>
      <c r="CF94" s="72">
        <f t="shared" si="829"/>
        <v>234</v>
      </c>
      <c r="CG94" s="72">
        <f t="shared" si="829"/>
        <v>241.02</v>
      </c>
      <c r="CH94" s="72">
        <f t="shared" si="829"/>
        <v>248.25060000000002</v>
      </c>
      <c r="CI94" s="72">
        <f t="shared" si="829"/>
        <v>255.69811800000002</v>
      </c>
      <c r="CJ94" s="72">
        <f t="shared" si="829"/>
        <v>263.36906154000002</v>
      </c>
      <c r="CL94" s="13"/>
      <c r="CM94" s="13"/>
    </row>
    <row r="95" spans="1:91" x14ac:dyDescent="0.3">
      <c r="A95" s="97" t="str">
        <f>'DCS Detail'!A95</f>
        <v xml:space="preserve">         892.5 Incentives - Staff</v>
      </c>
      <c r="B95" s="106" t="str">
        <f>IF('DCS Detail'!$B95="","",'DCS Detail'!$B95)</f>
        <v>Salaries</v>
      </c>
      <c r="C95" s="139"/>
      <c r="D95" s="139"/>
      <c r="E95" s="121">
        <v>0</v>
      </c>
      <c r="F95" s="121">
        <v>0</v>
      </c>
      <c r="G95" s="121">
        <v>0</v>
      </c>
      <c r="H95" s="121">
        <v>0</v>
      </c>
      <c r="I95" s="121">
        <v>0</v>
      </c>
      <c r="J95" s="121">
        <v>2886</v>
      </c>
      <c r="K95" s="121">
        <v>0</v>
      </c>
      <c r="L95" s="121">
        <v>0</v>
      </c>
      <c r="M95" s="121">
        <v>0</v>
      </c>
      <c r="N95" s="121">
        <v>0</v>
      </c>
      <c r="O95" s="121">
        <v>0</v>
      </c>
      <c r="P95" s="121">
        <v>0</v>
      </c>
      <c r="Q95" s="121">
        <v>0</v>
      </c>
      <c r="R95" s="121">
        <v>0</v>
      </c>
      <c r="S95" s="121">
        <v>0</v>
      </c>
      <c r="T95" s="121">
        <v>0</v>
      </c>
      <c r="U95" s="121">
        <v>0</v>
      </c>
      <c r="V95" s="121">
        <v>0</v>
      </c>
      <c r="W95" s="121">
        <v>0</v>
      </c>
      <c r="X95" s="121">
        <v>0</v>
      </c>
      <c r="Y95" s="121">
        <v>0</v>
      </c>
      <c r="Z95" s="121">
        <v>0</v>
      </c>
      <c r="AA95" s="121">
        <v>78</v>
      </c>
      <c r="AB95" s="144">
        <f t="shared" si="886"/>
        <v>0</v>
      </c>
      <c r="AC95" s="144">
        <f t="shared" si="886"/>
        <v>0</v>
      </c>
      <c r="AD95" s="144">
        <f t="shared" si="886"/>
        <v>0</v>
      </c>
      <c r="AE95" s="144">
        <f t="shared" si="886"/>
        <v>0</v>
      </c>
      <c r="AF95" s="144">
        <f t="shared" si="886"/>
        <v>0</v>
      </c>
      <c r="AG95" s="144">
        <f t="shared" si="886"/>
        <v>0</v>
      </c>
      <c r="AH95" s="144">
        <f t="shared" si="886"/>
        <v>0</v>
      </c>
      <c r="AI95" s="144">
        <f t="shared" si="886"/>
        <v>0</v>
      </c>
      <c r="AJ95" s="144">
        <f t="shared" si="886"/>
        <v>0</v>
      </c>
      <c r="AK95" s="144">
        <f t="shared" si="886"/>
        <v>0</v>
      </c>
      <c r="AL95" s="144">
        <f t="shared" si="886"/>
        <v>0</v>
      </c>
      <c r="AM95" s="144">
        <f t="shared" si="886"/>
        <v>80.34</v>
      </c>
      <c r="AN95" s="144">
        <f t="shared" si="886"/>
        <v>0</v>
      </c>
      <c r="AO95" s="144">
        <f t="shared" si="882"/>
        <v>0</v>
      </c>
      <c r="AP95" s="144">
        <f t="shared" si="882"/>
        <v>0</v>
      </c>
      <c r="AQ95" s="144">
        <f t="shared" si="882"/>
        <v>0</v>
      </c>
      <c r="AR95" s="144">
        <f t="shared" si="882"/>
        <v>0</v>
      </c>
      <c r="AS95" s="144">
        <f t="shared" si="882"/>
        <v>0</v>
      </c>
      <c r="AT95" s="144">
        <f t="shared" si="882"/>
        <v>0</v>
      </c>
      <c r="AU95" s="144">
        <f t="shared" si="882"/>
        <v>0</v>
      </c>
      <c r="AV95" s="144">
        <f t="shared" si="882"/>
        <v>0</v>
      </c>
      <c r="AW95" s="144">
        <f t="shared" si="882"/>
        <v>0</v>
      </c>
      <c r="AX95" s="144">
        <f t="shared" si="882"/>
        <v>0</v>
      </c>
      <c r="AY95" s="144">
        <f t="shared" si="883"/>
        <v>82.750200000000007</v>
      </c>
      <c r="AZ95" s="144">
        <f t="shared" si="883"/>
        <v>0</v>
      </c>
      <c r="BA95" s="144">
        <f t="shared" si="883"/>
        <v>0</v>
      </c>
      <c r="BB95" s="144">
        <f t="shared" si="883"/>
        <v>0</v>
      </c>
      <c r="BC95" s="144">
        <f t="shared" si="883"/>
        <v>0</v>
      </c>
      <c r="BD95" s="144">
        <f t="shared" si="883"/>
        <v>0</v>
      </c>
      <c r="BE95" s="144">
        <f t="shared" si="883"/>
        <v>0</v>
      </c>
      <c r="BF95" s="144">
        <f t="shared" si="883"/>
        <v>0</v>
      </c>
      <c r="BG95" s="144">
        <f t="shared" si="883"/>
        <v>0</v>
      </c>
      <c r="BH95" s="144">
        <f t="shared" si="883"/>
        <v>0</v>
      </c>
      <c r="BI95" s="144">
        <f t="shared" si="884"/>
        <v>0</v>
      </c>
      <c r="BJ95" s="144">
        <f t="shared" si="884"/>
        <v>0</v>
      </c>
      <c r="BK95" s="144">
        <f t="shared" si="884"/>
        <v>85.232706000000007</v>
      </c>
      <c r="BL95" s="144">
        <f t="shared" si="884"/>
        <v>0</v>
      </c>
      <c r="BM95" s="144">
        <f t="shared" si="884"/>
        <v>0</v>
      </c>
      <c r="BN95" s="144">
        <f t="shared" si="884"/>
        <v>0</v>
      </c>
      <c r="BO95" s="144">
        <f t="shared" si="884"/>
        <v>0</v>
      </c>
      <c r="BP95" s="144">
        <f t="shared" si="884"/>
        <v>0</v>
      </c>
      <c r="BQ95" s="144">
        <f t="shared" si="884"/>
        <v>0</v>
      </c>
      <c r="BR95" s="144">
        <f t="shared" si="884"/>
        <v>0</v>
      </c>
      <c r="BS95" s="144">
        <f t="shared" si="885"/>
        <v>0</v>
      </c>
      <c r="BT95" s="144">
        <f t="shared" si="885"/>
        <v>0</v>
      </c>
      <c r="BU95" s="144">
        <f t="shared" si="885"/>
        <v>0</v>
      </c>
      <c r="BV95" s="144">
        <f t="shared" si="885"/>
        <v>0</v>
      </c>
      <c r="BW95" s="144">
        <f t="shared" si="885"/>
        <v>87.789687180000016</v>
      </c>
      <c r="BX95" s="144">
        <f t="shared" si="885"/>
        <v>0</v>
      </c>
      <c r="BY95" s="8"/>
      <c r="BZ95" s="73">
        <f t="shared" si="879"/>
        <v>78</v>
      </c>
      <c r="CA95" s="73">
        <f t="shared" si="880"/>
        <v>78</v>
      </c>
      <c r="CB95" s="97"/>
      <c r="CC95" s="73">
        <f t="shared" si="829"/>
        <v>0</v>
      </c>
      <c r="CD95" s="73">
        <f t="shared" si="829"/>
        <v>0</v>
      </c>
      <c r="CE95" s="73">
        <f t="shared" si="829"/>
        <v>2886</v>
      </c>
      <c r="CF95" s="73">
        <f t="shared" si="829"/>
        <v>78</v>
      </c>
      <c r="CG95" s="73">
        <f t="shared" si="829"/>
        <v>80.34</v>
      </c>
      <c r="CH95" s="73">
        <f t="shared" si="829"/>
        <v>82.750200000000007</v>
      </c>
      <c r="CI95" s="73">
        <f t="shared" si="829"/>
        <v>85.232706000000007</v>
      </c>
      <c r="CJ95" s="73">
        <f t="shared" si="829"/>
        <v>87.789687180000016</v>
      </c>
      <c r="CL95" s="13"/>
      <c r="CM95" s="13"/>
    </row>
    <row r="96" spans="1:91" x14ac:dyDescent="0.3">
      <c r="A96" s="97" t="str">
        <f>'DCS Detail'!A96</f>
        <v xml:space="preserve">      Total 2200 Support Services - Instruction</v>
      </c>
      <c r="B96" s="106" t="str">
        <f>IF('DCS Detail'!$B96="","",'DCS Detail'!$B96)</f>
        <v/>
      </c>
      <c r="C96" s="36">
        <f>SUM(C86:C95)</f>
        <v>0</v>
      </c>
      <c r="D96" s="36">
        <f t="shared" ref="D96:AZ96" si="887">SUM(D86:D95)</f>
        <v>0</v>
      </c>
      <c r="E96" s="36">
        <f t="shared" si="887"/>
        <v>-17942.730000000003</v>
      </c>
      <c r="F96" s="36">
        <f t="shared" si="887"/>
        <v>12523.33</v>
      </c>
      <c r="G96" s="36">
        <f t="shared" si="887"/>
        <v>11763.849999999999</v>
      </c>
      <c r="H96" s="36">
        <f t="shared" si="887"/>
        <v>13210.92</v>
      </c>
      <c r="I96" s="36">
        <f t="shared" si="887"/>
        <v>16348.58</v>
      </c>
      <c r="J96" s="36">
        <f t="shared" si="887"/>
        <v>17556.82</v>
      </c>
      <c r="K96" s="36">
        <f t="shared" si="887"/>
        <v>17270.019999999997</v>
      </c>
      <c r="L96" s="36">
        <f t="shared" si="887"/>
        <v>16711.299999999996</v>
      </c>
      <c r="M96" s="36">
        <f t="shared" si="887"/>
        <v>17085.550000000003</v>
      </c>
      <c r="N96" s="36">
        <f t="shared" si="887"/>
        <v>18067.89</v>
      </c>
      <c r="O96" s="36">
        <f t="shared" si="887"/>
        <v>16212.52</v>
      </c>
      <c r="P96" s="36">
        <f t="shared" si="887"/>
        <v>37031.35</v>
      </c>
      <c r="Q96" s="36">
        <f t="shared" ref="Q96:R96" si="888">SUM(Q86:Q95)</f>
        <v>747.33</v>
      </c>
      <c r="R96" s="36">
        <f t="shared" si="888"/>
        <v>22352.69</v>
      </c>
      <c r="S96" s="36">
        <f t="shared" ref="S96:T96" si="889">SUM(S86:S95)</f>
        <v>31763.019999999997</v>
      </c>
      <c r="T96" s="36">
        <f t="shared" si="889"/>
        <v>27058.629999999997</v>
      </c>
      <c r="U96" s="36">
        <f t="shared" ref="U96:V96" si="890">SUM(U86:U95)</f>
        <v>32296.419999999995</v>
      </c>
      <c r="V96" s="36">
        <f t="shared" si="890"/>
        <v>35127.03</v>
      </c>
      <c r="W96" s="36">
        <f t="shared" ref="W96" si="891">SUM(W86:W95)</f>
        <v>24999.57</v>
      </c>
      <c r="X96" s="36">
        <f t="shared" si="887"/>
        <v>32332.100000000002</v>
      </c>
      <c r="Y96" s="36">
        <f t="shared" si="887"/>
        <v>29397.599999999999</v>
      </c>
      <c r="Z96" s="36">
        <f t="shared" si="887"/>
        <v>32153.329999999998</v>
      </c>
      <c r="AA96" s="36">
        <f t="shared" si="887"/>
        <v>44643.17</v>
      </c>
      <c r="AB96" s="36">
        <f t="shared" si="887"/>
        <v>53700.513171792758</v>
      </c>
      <c r="AC96" s="36">
        <f t="shared" si="887"/>
        <v>0</v>
      </c>
      <c r="AD96" s="36">
        <f t="shared" si="887"/>
        <v>26991.774109904363</v>
      </c>
      <c r="AE96" s="36">
        <f t="shared" si="887"/>
        <v>27001.04282480753</v>
      </c>
      <c r="AF96" s="36">
        <f t="shared" si="887"/>
        <v>27004.13159491793</v>
      </c>
      <c r="AG96" s="36">
        <f t="shared" si="887"/>
        <v>27258.720880617078</v>
      </c>
      <c r="AH96" s="36">
        <f t="shared" si="887"/>
        <v>27036.97062268759</v>
      </c>
      <c r="AI96" s="36">
        <f t="shared" si="887"/>
        <v>27008.999560151893</v>
      </c>
      <c r="AJ96" s="36">
        <f t="shared" si="887"/>
        <v>27010.103265514397</v>
      </c>
      <c r="AK96" s="36">
        <f t="shared" si="887"/>
        <v>27010.103265514397</v>
      </c>
      <c r="AL96" s="36">
        <f t="shared" si="887"/>
        <v>27012.721716315831</v>
      </c>
      <c r="AM96" s="36">
        <f t="shared" si="887"/>
        <v>27094.730129388445</v>
      </c>
      <c r="AN96" s="36">
        <f t="shared" si="887"/>
        <v>49031.711268625615</v>
      </c>
      <c r="AO96" s="36">
        <f t="shared" si="887"/>
        <v>0</v>
      </c>
      <c r="AP96" s="36">
        <f t="shared" si="887"/>
        <v>34006.485469395615</v>
      </c>
      <c r="AQ96" s="36">
        <f t="shared" si="887"/>
        <v>34007.126684341667</v>
      </c>
      <c r="AR96" s="36">
        <f t="shared" si="887"/>
        <v>34007.636040723359</v>
      </c>
      <c r="AS96" s="36">
        <f t="shared" si="887"/>
        <v>34256.440243281686</v>
      </c>
      <c r="AT96" s="36">
        <f t="shared" si="887"/>
        <v>34008.373133873043</v>
      </c>
      <c r="AU96" s="36">
        <f t="shared" si="887"/>
        <v>34008.315735433309</v>
      </c>
      <c r="AV96" s="36">
        <f t="shared" si="887"/>
        <v>34007.687784508118</v>
      </c>
      <c r="AW96" s="36">
        <f t="shared" si="887"/>
        <v>34007.687784508118</v>
      </c>
      <c r="AX96" s="36">
        <f t="shared" si="887"/>
        <v>34007.8595438099</v>
      </c>
      <c r="AY96" s="36">
        <f t="shared" si="887"/>
        <v>34090.714438019648</v>
      </c>
      <c r="AZ96" s="36">
        <f t="shared" si="887"/>
        <v>62866.022246695378</v>
      </c>
      <c r="BA96" s="36">
        <f t="shared" ref="BA96:BX96" si="892">SUM(BA86:BA95)</f>
        <v>0</v>
      </c>
      <c r="BB96" s="36">
        <f t="shared" si="892"/>
        <v>35028.171921851957</v>
      </c>
      <c r="BC96" s="36">
        <f t="shared" si="892"/>
        <v>35028.115977948066</v>
      </c>
      <c r="BD96" s="36">
        <f t="shared" si="892"/>
        <v>35028.143960937407</v>
      </c>
      <c r="BE96" s="36">
        <f t="shared" si="892"/>
        <v>35283.873890346993</v>
      </c>
      <c r="BF96" s="36">
        <f t="shared" si="892"/>
        <v>35028.187070411994</v>
      </c>
      <c r="BG96" s="36">
        <f t="shared" si="892"/>
        <v>35028.184819398259</v>
      </c>
      <c r="BH96" s="36">
        <f t="shared" si="892"/>
        <v>35028.163253815786</v>
      </c>
      <c r="BI96" s="36">
        <f t="shared" si="892"/>
        <v>35028.163253815786</v>
      </c>
      <c r="BJ96" s="36">
        <f t="shared" si="892"/>
        <v>35028.162015524897</v>
      </c>
      <c r="BK96" s="36">
        <f t="shared" si="892"/>
        <v>35113.401298321587</v>
      </c>
      <c r="BL96" s="36">
        <f t="shared" si="892"/>
        <v>64751.84422218152</v>
      </c>
      <c r="BM96" s="36">
        <f t="shared" si="892"/>
        <v>0</v>
      </c>
      <c r="BN96" s="36">
        <f t="shared" si="892"/>
        <v>36079.01453453851</v>
      </c>
      <c r="BO96" s="36">
        <f t="shared" si="892"/>
        <v>36079.012282839838</v>
      </c>
      <c r="BP96" s="36">
        <f t="shared" si="892"/>
        <v>36079.012868025326</v>
      </c>
      <c r="BQ96" s="36">
        <f t="shared" si="892"/>
        <v>36342.382594811454</v>
      </c>
      <c r="BR96" s="36">
        <f t="shared" si="892"/>
        <v>36079.01446828281</v>
      </c>
      <c r="BS96" s="36">
        <f t="shared" si="892"/>
        <v>36079.014582715194</v>
      </c>
      <c r="BT96" s="36">
        <f t="shared" si="892"/>
        <v>36079.013711612184</v>
      </c>
      <c r="BU96" s="36">
        <f t="shared" si="892"/>
        <v>36079.013711612184</v>
      </c>
      <c r="BV96" s="36">
        <f t="shared" si="892"/>
        <v>36079.013594051285</v>
      </c>
      <c r="BW96" s="36">
        <f t="shared" si="892"/>
        <v>36166.803468547201</v>
      </c>
      <c r="BX96" s="36">
        <f t="shared" si="892"/>
        <v>66694.392823689239</v>
      </c>
      <c r="BY96" s="8"/>
      <c r="BZ96" s="72">
        <f t="shared" si="879"/>
        <v>44643.17</v>
      </c>
      <c r="CA96" s="72">
        <f t="shared" si="880"/>
        <v>312870.89</v>
      </c>
      <c r="CB96" s="97"/>
      <c r="CC96" s="72">
        <f t="shared" si="829"/>
        <v>0</v>
      </c>
      <c r="CD96" s="72">
        <f t="shared" si="829"/>
        <v>0</v>
      </c>
      <c r="CE96" s="72">
        <f t="shared" si="829"/>
        <v>175839.4</v>
      </c>
      <c r="CF96" s="72">
        <f t="shared" si="829"/>
        <v>366571.40317179274</v>
      </c>
      <c r="CG96" s="72">
        <f t="shared" si="829"/>
        <v>319461.00923844508</v>
      </c>
      <c r="CH96" s="72">
        <f t="shared" si="829"/>
        <v>403274.34910458984</v>
      </c>
      <c r="CI96" s="72">
        <f t="shared" si="829"/>
        <v>415374.4116845543</v>
      </c>
      <c r="CJ96" s="72">
        <f t="shared" si="829"/>
        <v>427835.68864072522</v>
      </c>
      <c r="CL96" s="13"/>
      <c r="CM96" s="13"/>
    </row>
    <row r="97" spans="1:92" x14ac:dyDescent="0.3">
      <c r="A97" s="97" t="str">
        <f>'DCS Detail'!A97</f>
        <v xml:space="preserve">      2220 Library/Media</v>
      </c>
      <c r="B97" s="106" t="str">
        <f>IF('DCS Detail'!$B97="","",'DCS Detail'!$B97)</f>
        <v>Computers</v>
      </c>
      <c r="C97" s="106"/>
      <c r="D97" s="106"/>
      <c r="E97" s="18">
        <v>0</v>
      </c>
      <c r="F97" s="18">
        <v>0</v>
      </c>
      <c r="G97" s="18">
        <v>0</v>
      </c>
      <c r="H97" s="18">
        <v>0</v>
      </c>
      <c r="I97" s="18">
        <v>0</v>
      </c>
      <c r="J97" s="18">
        <v>0</v>
      </c>
      <c r="K97" s="18">
        <v>0</v>
      </c>
      <c r="L97" s="18">
        <v>0</v>
      </c>
      <c r="M97" s="18">
        <v>0</v>
      </c>
      <c r="N97" s="18">
        <v>0</v>
      </c>
      <c r="O97" s="18">
        <v>0</v>
      </c>
      <c r="P97" s="18">
        <v>0</v>
      </c>
      <c r="Q97" s="18">
        <v>0</v>
      </c>
      <c r="R97" s="18">
        <v>0</v>
      </c>
      <c r="S97" s="18">
        <v>0</v>
      </c>
      <c r="T97" s="18">
        <v>0</v>
      </c>
      <c r="U97" s="18">
        <v>0</v>
      </c>
      <c r="V97" s="18">
        <v>0</v>
      </c>
      <c r="W97" s="18">
        <v>0</v>
      </c>
      <c r="X97" s="18">
        <v>0</v>
      </c>
      <c r="Y97" s="18">
        <v>0</v>
      </c>
      <c r="Z97" s="18">
        <v>0</v>
      </c>
      <c r="AA97" s="146">
        <v>0</v>
      </c>
      <c r="AB97" s="18">
        <v>0</v>
      </c>
      <c r="AC97" s="18">
        <v>0</v>
      </c>
      <c r="AD97" s="18">
        <v>0</v>
      </c>
      <c r="AE97" s="18">
        <v>0</v>
      </c>
      <c r="AF97" s="18">
        <v>0</v>
      </c>
      <c r="AG97" s="18">
        <v>0</v>
      </c>
      <c r="AH97" s="18">
        <v>0</v>
      </c>
      <c r="AI97" s="18">
        <v>0</v>
      </c>
      <c r="AJ97" s="18">
        <v>0</v>
      </c>
      <c r="AK97" s="18">
        <v>0</v>
      </c>
      <c r="AL97" s="18">
        <v>0</v>
      </c>
      <c r="AM97" s="18">
        <v>0</v>
      </c>
      <c r="AN97" s="18">
        <v>0</v>
      </c>
      <c r="AO97" s="18">
        <v>0</v>
      </c>
      <c r="AP97" s="18">
        <v>0</v>
      </c>
      <c r="AQ97" s="18">
        <v>0</v>
      </c>
      <c r="AR97" s="18">
        <v>0</v>
      </c>
      <c r="AS97" s="18">
        <v>0</v>
      </c>
      <c r="AT97" s="18">
        <v>0</v>
      </c>
      <c r="AU97" s="18">
        <v>0</v>
      </c>
      <c r="AV97" s="18">
        <v>0</v>
      </c>
      <c r="AW97" s="18">
        <v>0</v>
      </c>
      <c r="AX97" s="18">
        <v>0</v>
      </c>
      <c r="AY97" s="18">
        <v>0</v>
      </c>
      <c r="AZ97" s="18">
        <v>0</v>
      </c>
      <c r="BA97" s="18">
        <v>0</v>
      </c>
      <c r="BB97" s="18">
        <v>0</v>
      </c>
      <c r="BC97" s="18">
        <v>0</v>
      </c>
      <c r="BD97" s="18">
        <v>0</v>
      </c>
      <c r="BE97" s="18">
        <v>0</v>
      </c>
      <c r="BF97" s="18">
        <v>0</v>
      </c>
      <c r="BG97" s="18">
        <v>0</v>
      </c>
      <c r="BH97" s="18">
        <v>0</v>
      </c>
      <c r="BI97" s="18">
        <v>0</v>
      </c>
      <c r="BJ97" s="18">
        <v>0</v>
      </c>
      <c r="BK97" s="18">
        <v>0</v>
      </c>
      <c r="BL97" s="18">
        <v>0</v>
      </c>
      <c r="BM97" s="18">
        <v>0</v>
      </c>
      <c r="BN97" s="18">
        <v>0</v>
      </c>
      <c r="BO97" s="18">
        <v>0</v>
      </c>
      <c r="BP97" s="18">
        <v>0</v>
      </c>
      <c r="BQ97" s="18">
        <v>0</v>
      </c>
      <c r="BR97" s="18">
        <v>0</v>
      </c>
      <c r="BS97" s="18">
        <v>0</v>
      </c>
      <c r="BT97" s="18">
        <v>0</v>
      </c>
      <c r="BU97" s="18">
        <v>0</v>
      </c>
      <c r="BV97" s="18">
        <v>0</v>
      </c>
      <c r="BW97" s="18">
        <v>0</v>
      </c>
      <c r="BX97" s="18">
        <v>0</v>
      </c>
      <c r="BY97" s="8"/>
      <c r="BZ97" s="72">
        <f t="shared" si="879"/>
        <v>0</v>
      </c>
      <c r="CA97" s="72">
        <f t="shared" si="880"/>
        <v>0</v>
      </c>
      <c r="CB97" s="97"/>
      <c r="CC97" s="72">
        <f t="shared" si="829"/>
        <v>0</v>
      </c>
      <c r="CD97" s="72">
        <f t="shared" si="829"/>
        <v>0</v>
      </c>
      <c r="CE97" s="72">
        <f t="shared" si="829"/>
        <v>0</v>
      </c>
      <c r="CF97" s="72">
        <f t="shared" si="829"/>
        <v>0</v>
      </c>
      <c r="CG97" s="72">
        <f t="shared" si="829"/>
        <v>0</v>
      </c>
      <c r="CH97" s="72">
        <f t="shared" si="829"/>
        <v>0</v>
      </c>
      <c r="CI97" s="72">
        <f t="shared" si="829"/>
        <v>0</v>
      </c>
      <c r="CJ97" s="72">
        <f t="shared" si="829"/>
        <v>0</v>
      </c>
      <c r="CL97" s="13"/>
      <c r="CM97" s="13"/>
    </row>
    <row r="98" spans="1:92" x14ac:dyDescent="0.3">
      <c r="A98" s="97" t="str">
        <f>'DCS Detail'!A98</f>
        <v xml:space="preserve">         652.3 Computer/Technology</v>
      </c>
      <c r="B98" s="106" t="str">
        <f>IF('DCS Detail'!$B98="","",'DCS Detail'!$B98)</f>
        <v>Computers</v>
      </c>
      <c r="C98" s="121"/>
      <c r="D98" s="121"/>
      <c r="E98" s="121">
        <v>59.16</v>
      </c>
      <c r="F98" s="121">
        <v>585</v>
      </c>
      <c r="G98" s="121">
        <v>0</v>
      </c>
      <c r="H98" s="140">
        <v>0</v>
      </c>
      <c r="I98" s="140">
        <f>18051.23-16005.4</f>
        <v>2045.83</v>
      </c>
      <c r="J98" s="121">
        <v>0</v>
      </c>
      <c r="K98" s="121">
        <v>0</v>
      </c>
      <c r="L98" s="121">
        <v>7304</v>
      </c>
      <c r="M98" s="121">
        <v>175.5</v>
      </c>
      <c r="N98" s="121">
        <v>0</v>
      </c>
      <c r="O98" s="121">
        <v>1358.76</v>
      </c>
      <c r="P98" s="121">
        <v>0</v>
      </c>
      <c r="Q98" s="121">
        <v>574.08000000000004</v>
      </c>
      <c r="R98" s="121">
        <v>3510</v>
      </c>
      <c r="S98" s="121">
        <v>0</v>
      </c>
      <c r="T98" s="121">
        <v>194.13</v>
      </c>
      <c r="U98" s="121">
        <v>0</v>
      </c>
      <c r="V98" s="121">
        <v>0</v>
      </c>
      <c r="W98" s="121">
        <v>0</v>
      </c>
      <c r="X98" s="121">
        <v>0</v>
      </c>
      <c r="Y98" s="121">
        <v>2139.6</v>
      </c>
      <c r="Z98" s="121">
        <v>4457.5</v>
      </c>
      <c r="AA98" s="121">
        <v>1186.68</v>
      </c>
      <c r="AB98" s="144">
        <f t="shared" ref="AB98:BE98" si="893">P98*(1+AB$263)</f>
        <v>0</v>
      </c>
      <c r="AC98" s="144">
        <f t="shared" si="893"/>
        <v>591.30240000000003</v>
      </c>
      <c r="AD98" s="144">
        <f t="shared" si="893"/>
        <v>3615.3</v>
      </c>
      <c r="AE98" s="144">
        <f t="shared" si="893"/>
        <v>0</v>
      </c>
      <c r="AF98" s="144">
        <f t="shared" si="893"/>
        <v>199.9539</v>
      </c>
      <c r="AG98" s="144">
        <f t="shared" si="893"/>
        <v>0</v>
      </c>
      <c r="AH98" s="144">
        <f t="shared" si="893"/>
        <v>0</v>
      </c>
      <c r="AI98" s="144">
        <f t="shared" si="893"/>
        <v>0</v>
      </c>
      <c r="AJ98" s="144">
        <f t="shared" si="893"/>
        <v>0</v>
      </c>
      <c r="AK98" s="144">
        <f t="shared" si="893"/>
        <v>2203.788</v>
      </c>
      <c r="AL98" s="144">
        <f t="shared" si="893"/>
        <v>4591.2250000000004</v>
      </c>
      <c r="AM98" s="144">
        <f t="shared" si="893"/>
        <v>1222.2804000000001</v>
      </c>
      <c r="AN98" s="144">
        <f t="shared" si="893"/>
        <v>0</v>
      </c>
      <c r="AO98" s="144">
        <f t="shared" si="893"/>
        <v>609.041472</v>
      </c>
      <c r="AP98" s="144">
        <f t="shared" si="893"/>
        <v>3723.7590000000005</v>
      </c>
      <c r="AQ98" s="144">
        <f t="shared" si="893"/>
        <v>0</v>
      </c>
      <c r="AR98" s="144">
        <f t="shared" si="893"/>
        <v>205.952517</v>
      </c>
      <c r="AS98" s="144">
        <f t="shared" si="893"/>
        <v>0</v>
      </c>
      <c r="AT98" s="144">
        <f t="shared" si="893"/>
        <v>0</v>
      </c>
      <c r="AU98" s="144">
        <f t="shared" si="893"/>
        <v>0</v>
      </c>
      <c r="AV98" s="144">
        <f t="shared" si="893"/>
        <v>0</v>
      </c>
      <c r="AW98" s="144">
        <f t="shared" si="893"/>
        <v>2269.90164</v>
      </c>
      <c r="AX98" s="144">
        <f t="shared" si="893"/>
        <v>4728.9617500000004</v>
      </c>
      <c r="AY98" s="144">
        <f t="shared" si="893"/>
        <v>1258.9488120000001</v>
      </c>
      <c r="AZ98" s="144">
        <f t="shared" si="893"/>
        <v>0</v>
      </c>
      <c r="BA98" s="144">
        <f t="shared" si="893"/>
        <v>627.31271616000004</v>
      </c>
      <c r="BB98" s="144">
        <f t="shared" si="893"/>
        <v>3835.4717700000006</v>
      </c>
      <c r="BC98" s="144">
        <f t="shared" si="893"/>
        <v>0</v>
      </c>
      <c r="BD98" s="144">
        <f t="shared" si="893"/>
        <v>212.13109251</v>
      </c>
      <c r="BE98" s="144">
        <f t="shared" si="893"/>
        <v>0</v>
      </c>
      <c r="BF98" s="144">
        <f t="shared" ref="BF98:BX98" si="894">AT98*(1+BF$263)</f>
        <v>0</v>
      </c>
      <c r="BG98" s="144">
        <f t="shared" si="894"/>
        <v>0</v>
      </c>
      <c r="BH98" s="144">
        <f t="shared" si="894"/>
        <v>0</v>
      </c>
      <c r="BI98" s="144">
        <f t="shared" si="894"/>
        <v>2337.9986892000002</v>
      </c>
      <c r="BJ98" s="144">
        <f t="shared" si="894"/>
        <v>4870.8306025000002</v>
      </c>
      <c r="BK98" s="144">
        <f t="shared" si="894"/>
        <v>1296.7172763600001</v>
      </c>
      <c r="BL98" s="144">
        <f t="shared" si="894"/>
        <v>0</v>
      </c>
      <c r="BM98" s="144">
        <f t="shared" si="894"/>
        <v>646.13209764480007</v>
      </c>
      <c r="BN98" s="144">
        <f t="shared" si="894"/>
        <v>3950.5359231000007</v>
      </c>
      <c r="BO98" s="144">
        <f t="shared" si="894"/>
        <v>0</v>
      </c>
      <c r="BP98" s="144">
        <f t="shared" si="894"/>
        <v>218.49502528530002</v>
      </c>
      <c r="BQ98" s="144">
        <f t="shared" si="894"/>
        <v>0</v>
      </c>
      <c r="BR98" s="144">
        <f t="shared" si="894"/>
        <v>0</v>
      </c>
      <c r="BS98" s="144">
        <f t="shared" si="894"/>
        <v>0</v>
      </c>
      <c r="BT98" s="144">
        <f t="shared" si="894"/>
        <v>0</v>
      </c>
      <c r="BU98" s="144">
        <f t="shared" si="894"/>
        <v>2408.1386498760003</v>
      </c>
      <c r="BV98" s="144">
        <f t="shared" si="894"/>
        <v>5016.9555205750003</v>
      </c>
      <c r="BW98" s="144">
        <f t="shared" si="894"/>
        <v>1335.6187946508003</v>
      </c>
      <c r="BX98" s="144">
        <f t="shared" si="894"/>
        <v>0</v>
      </c>
      <c r="BY98" s="8"/>
      <c r="BZ98" s="73">
        <f t="shared" si="879"/>
        <v>1186.68</v>
      </c>
      <c r="CA98" s="73">
        <f t="shared" si="880"/>
        <v>12061.99</v>
      </c>
      <c r="CB98" s="97"/>
      <c r="CC98" s="73">
        <f t="shared" ref="CC98:CC163" si="895">SUMIF($C$3:$BY$3,CC$3,$C98:$BY98)</f>
        <v>0</v>
      </c>
      <c r="CD98" s="73">
        <f t="shared" ref="CD98:CJ107" si="896">SUMIF($C$3:$BY$3,CD$3,$C98:$BY98)</f>
        <v>0</v>
      </c>
      <c r="CE98" s="73">
        <f t="shared" si="896"/>
        <v>11528.25</v>
      </c>
      <c r="CF98" s="73">
        <f t="shared" si="896"/>
        <v>12061.99</v>
      </c>
      <c r="CG98" s="73">
        <f t="shared" si="896"/>
        <v>12423.849700000001</v>
      </c>
      <c r="CH98" s="73">
        <f t="shared" si="896"/>
        <v>12796.565191000002</v>
      </c>
      <c r="CI98" s="73">
        <f t="shared" si="896"/>
        <v>13180.462146730002</v>
      </c>
      <c r="CJ98" s="73">
        <f t="shared" si="896"/>
        <v>13575.876011131901</v>
      </c>
      <c r="CL98" s="13"/>
      <c r="CM98" s="13"/>
    </row>
    <row r="99" spans="1:92" x14ac:dyDescent="0.3">
      <c r="A99" s="97" t="str">
        <f>'DCS Detail'!A99</f>
        <v xml:space="preserve">      Total 2220 Library/Media</v>
      </c>
      <c r="B99" s="106" t="str">
        <f>IF('DCS Detail'!$B99="","",'DCS Detail'!$B99)</f>
        <v/>
      </c>
      <c r="C99" s="36">
        <f>SUM(C97:C98)</f>
        <v>0</v>
      </c>
      <c r="D99" s="36">
        <f t="shared" ref="D99:X99" si="897">SUM(D97:D98)</f>
        <v>0</v>
      </c>
      <c r="E99" s="36">
        <f t="shared" si="897"/>
        <v>59.16</v>
      </c>
      <c r="F99" s="36">
        <f t="shared" si="897"/>
        <v>585</v>
      </c>
      <c r="G99" s="36">
        <f t="shared" si="897"/>
        <v>0</v>
      </c>
      <c r="H99" s="36">
        <f t="shared" si="897"/>
        <v>0</v>
      </c>
      <c r="I99" s="36">
        <f t="shared" si="897"/>
        <v>2045.83</v>
      </c>
      <c r="J99" s="36">
        <f t="shared" si="897"/>
        <v>0</v>
      </c>
      <c r="K99" s="36">
        <f t="shared" si="897"/>
        <v>0</v>
      </c>
      <c r="L99" s="36">
        <f t="shared" si="897"/>
        <v>7304</v>
      </c>
      <c r="M99" s="36">
        <f t="shared" si="897"/>
        <v>175.5</v>
      </c>
      <c r="N99" s="36">
        <f t="shared" si="897"/>
        <v>0</v>
      </c>
      <c r="O99" s="36">
        <f t="shared" si="897"/>
        <v>1358.76</v>
      </c>
      <c r="P99" s="36">
        <f t="shared" si="897"/>
        <v>0</v>
      </c>
      <c r="Q99" s="36">
        <f t="shared" ref="Q99:R99" si="898">SUM(Q97:Q98)</f>
        <v>574.08000000000004</v>
      </c>
      <c r="R99" s="36">
        <f t="shared" si="898"/>
        <v>3510</v>
      </c>
      <c r="S99" s="36">
        <f t="shared" ref="S99:T99" si="899">SUM(S97:S98)</f>
        <v>0</v>
      </c>
      <c r="T99" s="36">
        <f t="shared" si="899"/>
        <v>194.13</v>
      </c>
      <c r="U99" s="36">
        <f t="shared" ref="U99:V99" si="900">SUM(U97:U98)</f>
        <v>0</v>
      </c>
      <c r="V99" s="36">
        <f t="shared" si="900"/>
        <v>0</v>
      </c>
      <c r="W99" s="36">
        <f t="shared" ref="W99" si="901">SUM(W97:W98)</f>
        <v>0</v>
      </c>
      <c r="X99" s="36">
        <f t="shared" si="897"/>
        <v>0</v>
      </c>
      <c r="Y99" s="36">
        <f t="shared" ref="Y99:AZ99" si="902">SUM(Y97:Y98)</f>
        <v>2139.6</v>
      </c>
      <c r="Z99" s="36">
        <f t="shared" si="902"/>
        <v>4457.5</v>
      </c>
      <c r="AA99" s="36">
        <f t="shared" si="902"/>
        <v>1186.68</v>
      </c>
      <c r="AB99" s="36">
        <f t="shared" si="902"/>
        <v>0</v>
      </c>
      <c r="AC99" s="36">
        <f t="shared" si="902"/>
        <v>591.30240000000003</v>
      </c>
      <c r="AD99" s="36">
        <f t="shared" si="902"/>
        <v>3615.3</v>
      </c>
      <c r="AE99" s="36">
        <f t="shared" si="902"/>
        <v>0</v>
      </c>
      <c r="AF99" s="36">
        <f t="shared" si="902"/>
        <v>199.9539</v>
      </c>
      <c r="AG99" s="36">
        <f t="shared" si="902"/>
        <v>0</v>
      </c>
      <c r="AH99" s="36">
        <f t="shared" si="902"/>
        <v>0</v>
      </c>
      <c r="AI99" s="36">
        <f t="shared" si="902"/>
        <v>0</v>
      </c>
      <c r="AJ99" s="36">
        <f t="shared" si="902"/>
        <v>0</v>
      </c>
      <c r="AK99" s="36">
        <f t="shared" si="902"/>
        <v>2203.788</v>
      </c>
      <c r="AL99" s="36">
        <f t="shared" si="902"/>
        <v>4591.2250000000004</v>
      </c>
      <c r="AM99" s="36">
        <f t="shared" si="902"/>
        <v>1222.2804000000001</v>
      </c>
      <c r="AN99" s="36">
        <f t="shared" si="902"/>
        <v>0</v>
      </c>
      <c r="AO99" s="36">
        <f t="shared" si="902"/>
        <v>609.041472</v>
      </c>
      <c r="AP99" s="36">
        <f t="shared" si="902"/>
        <v>3723.7590000000005</v>
      </c>
      <c r="AQ99" s="36">
        <f t="shared" si="902"/>
        <v>0</v>
      </c>
      <c r="AR99" s="36">
        <f t="shared" si="902"/>
        <v>205.952517</v>
      </c>
      <c r="AS99" s="36">
        <f t="shared" si="902"/>
        <v>0</v>
      </c>
      <c r="AT99" s="36">
        <f t="shared" si="902"/>
        <v>0</v>
      </c>
      <c r="AU99" s="36">
        <f t="shared" si="902"/>
        <v>0</v>
      </c>
      <c r="AV99" s="36">
        <f t="shared" si="902"/>
        <v>0</v>
      </c>
      <c r="AW99" s="36">
        <f t="shared" si="902"/>
        <v>2269.90164</v>
      </c>
      <c r="AX99" s="36">
        <f t="shared" si="902"/>
        <v>4728.9617500000004</v>
      </c>
      <c r="AY99" s="36">
        <f t="shared" si="902"/>
        <v>1258.9488120000001</v>
      </c>
      <c r="AZ99" s="36">
        <f t="shared" si="902"/>
        <v>0</v>
      </c>
      <c r="BA99" s="36">
        <f t="shared" ref="BA99:BX99" si="903">SUM(BA97:BA98)</f>
        <v>627.31271616000004</v>
      </c>
      <c r="BB99" s="36">
        <f t="shared" si="903"/>
        <v>3835.4717700000006</v>
      </c>
      <c r="BC99" s="36">
        <f t="shared" si="903"/>
        <v>0</v>
      </c>
      <c r="BD99" s="36">
        <f t="shared" si="903"/>
        <v>212.13109251</v>
      </c>
      <c r="BE99" s="36">
        <f t="shared" si="903"/>
        <v>0</v>
      </c>
      <c r="BF99" s="36">
        <f t="shared" si="903"/>
        <v>0</v>
      </c>
      <c r="BG99" s="36">
        <f t="shared" si="903"/>
        <v>0</v>
      </c>
      <c r="BH99" s="36">
        <f t="shared" si="903"/>
        <v>0</v>
      </c>
      <c r="BI99" s="36">
        <f t="shared" si="903"/>
        <v>2337.9986892000002</v>
      </c>
      <c r="BJ99" s="36">
        <f t="shared" si="903"/>
        <v>4870.8306025000002</v>
      </c>
      <c r="BK99" s="36">
        <f t="shared" si="903"/>
        <v>1296.7172763600001</v>
      </c>
      <c r="BL99" s="36">
        <f t="shared" si="903"/>
        <v>0</v>
      </c>
      <c r="BM99" s="36">
        <f t="shared" si="903"/>
        <v>646.13209764480007</v>
      </c>
      <c r="BN99" s="36">
        <f t="shared" si="903"/>
        <v>3950.5359231000007</v>
      </c>
      <c r="BO99" s="36">
        <f t="shared" si="903"/>
        <v>0</v>
      </c>
      <c r="BP99" s="36">
        <f t="shared" si="903"/>
        <v>218.49502528530002</v>
      </c>
      <c r="BQ99" s="36">
        <f t="shared" si="903"/>
        <v>0</v>
      </c>
      <c r="BR99" s="36">
        <f t="shared" si="903"/>
        <v>0</v>
      </c>
      <c r="BS99" s="36">
        <f t="shared" si="903"/>
        <v>0</v>
      </c>
      <c r="BT99" s="36">
        <f t="shared" si="903"/>
        <v>0</v>
      </c>
      <c r="BU99" s="36">
        <f t="shared" si="903"/>
        <v>2408.1386498760003</v>
      </c>
      <c r="BV99" s="36">
        <f t="shared" si="903"/>
        <v>5016.9555205750003</v>
      </c>
      <c r="BW99" s="36">
        <f t="shared" si="903"/>
        <v>1335.6187946508003</v>
      </c>
      <c r="BX99" s="36">
        <f t="shared" si="903"/>
        <v>0</v>
      </c>
      <c r="BY99" s="8"/>
      <c r="BZ99" s="72">
        <f t="shared" si="879"/>
        <v>1186.68</v>
      </c>
      <c r="CA99" s="72">
        <f t="shared" si="880"/>
        <v>12061.99</v>
      </c>
      <c r="CB99" s="97"/>
      <c r="CC99" s="72">
        <f t="shared" si="895"/>
        <v>0</v>
      </c>
      <c r="CD99" s="72">
        <f t="shared" si="896"/>
        <v>0</v>
      </c>
      <c r="CE99" s="72">
        <f t="shared" si="896"/>
        <v>11528.25</v>
      </c>
      <c r="CF99" s="72">
        <f t="shared" si="896"/>
        <v>12061.99</v>
      </c>
      <c r="CG99" s="72">
        <f t="shared" si="896"/>
        <v>12423.849700000001</v>
      </c>
      <c r="CH99" s="72">
        <f t="shared" si="896"/>
        <v>12796.565191000002</v>
      </c>
      <c r="CI99" s="72">
        <f t="shared" si="896"/>
        <v>13180.462146730002</v>
      </c>
      <c r="CJ99" s="72">
        <f t="shared" si="896"/>
        <v>13575.876011131901</v>
      </c>
      <c r="CL99" s="13"/>
      <c r="CM99" s="13"/>
    </row>
    <row r="100" spans="1:92" x14ac:dyDescent="0.3">
      <c r="A100" s="97" t="str">
        <f>'DCS Detail'!A100</f>
        <v xml:space="preserve">      2300 Support - General Admin</v>
      </c>
      <c r="B100" s="106" t="str">
        <f>IF('DCS Detail'!$B100="","",'DCS Detail'!$B100)</f>
        <v>Misc.</v>
      </c>
      <c r="C100" s="106"/>
      <c r="D100" s="106"/>
      <c r="E100" s="18">
        <v>201.36</v>
      </c>
      <c r="F100" s="18">
        <v>0</v>
      </c>
      <c r="G100" s="18">
        <v>0</v>
      </c>
      <c r="H100" s="18">
        <v>0</v>
      </c>
      <c r="I100" s="18">
        <v>0</v>
      </c>
      <c r="J100" s="18">
        <v>0</v>
      </c>
      <c r="K100" s="18">
        <v>0</v>
      </c>
      <c r="L100" s="18">
        <v>0</v>
      </c>
      <c r="M100" s="18">
        <v>0</v>
      </c>
      <c r="N100" s="18">
        <v>0</v>
      </c>
      <c r="O100" s="18">
        <v>0</v>
      </c>
      <c r="P100" s="18">
        <v>0</v>
      </c>
      <c r="Q100" s="18">
        <v>0</v>
      </c>
      <c r="R100" s="18">
        <v>0</v>
      </c>
      <c r="S100" s="18">
        <v>0</v>
      </c>
      <c r="T100" s="18">
        <v>0</v>
      </c>
      <c r="U100" s="18">
        <v>0</v>
      </c>
      <c r="V100" s="18">
        <v>0</v>
      </c>
      <c r="W100" s="18">
        <v>0</v>
      </c>
      <c r="X100" s="18">
        <v>0</v>
      </c>
      <c r="Y100" s="18">
        <v>0</v>
      </c>
      <c r="Z100" s="18">
        <v>0</v>
      </c>
      <c r="AA100" s="146">
        <v>0</v>
      </c>
      <c r="AB100" s="18">
        <v>0</v>
      </c>
      <c r="AC100" s="18">
        <v>0</v>
      </c>
      <c r="AD100" s="18">
        <v>0</v>
      </c>
      <c r="AE100" s="18">
        <v>0</v>
      </c>
      <c r="AF100" s="18">
        <v>0</v>
      </c>
      <c r="AG100" s="18">
        <v>0</v>
      </c>
      <c r="AH100" s="18">
        <v>0</v>
      </c>
      <c r="AI100" s="18">
        <v>0</v>
      </c>
      <c r="AJ100" s="18">
        <v>0</v>
      </c>
      <c r="AK100" s="18">
        <v>0</v>
      </c>
      <c r="AL100" s="18">
        <v>0</v>
      </c>
      <c r="AM100" s="18">
        <v>0</v>
      </c>
      <c r="AN100" s="18">
        <v>0</v>
      </c>
      <c r="AO100" s="18">
        <v>0</v>
      </c>
      <c r="AP100" s="18">
        <v>0</v>
      </c>
      <c r="AQ100" s="18">
        <v>0</v>
      </c>
      <c r="AR100" s="18">
        <v>0</v>
      </c>
      <c r="AS100" s="18">
        <v>0</v>
      </c>
      <c r="AT100" s="18">
        <v>0</v>
      </c>
      <c r="AU100" s="18">
        <v>0</v>
      </c>
      <c r="AV100" s="18">
        <v>0</v>
      </c>
      <c r="AW100" s="18">
        <v>0</v>
      </c>
      <c r="AX100" s="18">
        <v>0</v>
      </c>
      <c r="AY100" s="18">
        <v>0</v>
      </c>
      <c r="AZ100" s="18">
        <v>0</v>
      </c>
      <c r="BA100" s="18">
        <v>0</v>
      </c>
      <c r="BB100" s="18">
        <v>0</v>
      </c>
      <c r="BC100" s="18">
        <v>0</v>
      </c>
      <c r="BD100" s="18">
        <v>0</v>
      </c>
      <c r="BE100" s="18">
        <v>0</v>
      </c>
      <c r="BF100" s="18">
        <v>0</v>
      </c>
      <c r="BG100" s="18">
        <v>0</v>
      </c>
      <c r="BH100" s="18">
        <v>0</v>
      </c>
      <c r="BI100" s="18">
        <v>0</v>
      </c>
      <c r="BJ100" s="18">
        <v>0</v>
      </c>
      <c r="BK100" s="18">
        <v>0</v>
      </c>
      <c r="BL100" s="18">
        <v>0</v>
      </c>
      <c r="BM100" s="18">
        <v>0</v>
      </c>
      <c r="BN100" s="18">
        <v>0</v>
      </c>
      <c r="BO100" s="18">
        <v>0</v>
      </c>
      <c r="BP100" s="18">
        <v>0</v>
      </c>
      <c r="BQ100" s="18">
        <v>0</v>
      </c>
      <c r="BR100" s="18">
        <v>0</v>
      </c>
      <c r="BS100" s="18">
        <v>0</v>
      </c>
      <c r="BT100" s="18">
        <v>0</v>
      </c>
      <c r="BU100" s="18">
        <v>0</v>
      </c>
      <c r="BV100" s="18">
        <v>0</v>
      </c>
      <c r="BW100" s="18">
        <v>0</v>
      </c>
      <c r="BX100" s="18">
        <v>0</v>
      </c>
      <c r="BY100" s="8"/>
      <c r="BZ100" s="72">
        <f t="shared" si="879"/>
        <v>0</v>
      </c>
      <c r="CA100" s="72">
        <f t="shared" si="880"/>
        <v>0</v>
      </c>
      <c r="CB100" s="97"/>
      <c r="CC100" s="72">
        <f t="shared" si="895"/>
        <v>0</v>
      </c>
      <c r="CD100" s="72">
        <f t="shared" si="896"/>
        <v>0</v>
      </c>
      <c r="CE100" s="72">
        <f t="shared" si="896"/>
        <v>201.36</v>
      </c>
      <c r="CF100" s="72">
        <f t="shared" si="896"/>
        <v>0</v>
      </c>
      <c r="CG100" s="72">
        <f t="shared" si="896"/>
        <v>0</v>
      </c>
      <c r="CH100" s="72">
        <f t="shared" si="896"/>
        <v>0</v>
      </c>
      <c r="CI100" s="72">
        <f t="shared" si="896"/>
        <v>0</v>
      </c>
      <c r="CJ100" s="72">
        <f t="shared" si="896"/>
        <v>0</v>
      </c>
      <c r="CL100" s="13"/>
      <c r="CM100" s="13"/>
    </row>
    <row r="101" spans="1:92" x14ac:dyDescent="0.3">
      <c r="A101" s="97" t="str">
        <f>'DCS Detail'!A101</f>
        <v xml:space="preserve">         115.1 Wages - Nurse</v>
      </c>
      <c r="B101" s="106" t="str">
        <f>IF('DCS Detail'!$B101="","",'DCS Detail'!$B101)</f>
        <v>Salaries</v>
      </c>
      <c r="C101" s="106"/>
      <c r="D101" s="106"/>
      <c r="E101" s="18">
        <v>0</v>
      </c>
      <c r="F101" s="18">
        <v>821.93</v>
      </c>
      <c r="G101" s="18">
        <v>1579.5</v>
      </c>
      <c r="H101" s="18">
        <v>1146.5999999999999</v>
      </c>
      <c r="I101" s="18">
        <v>702</v>
      </c>
      <c r="J101" s="18">
        <v>0</v>
      </c>
      <c r="K101" s="18">
        <v>0</v>
      </c>
      <c r="L101" s="18">
        <v>0</v>
      </c>
      <c r="M101" s="18">
        <v>0</v>
      </c>
      <c r="N101" s="18">
        <v>702</v>
      </c>
      <c r="O101" s="18">
        <v>156</v>
      </c>
      <c r="P101" s="18">
        <v>0</v>
      </c>
      <c r="Q101" s="18">
        <v>0</v>
      </c>
      <c r="R101" s="18">
        <v>234</v>
      </c>
      <c r="S101" s="18">
        <v>0</v>
      </c>
      <c r="T101" s="18">
        <v>0</v>
      </c>
      <c r="U101" s="18">
        <v>1053</v>
      </c>
      <c r="V101" s="18">
        <v>0</v>
      </c>
      <c r="W101" s="18">
        <v>702</v>
      </c>
      <c r="X101" s="18">
        <v>0</v>
      </c>
      <c r="Y101" s="18">
        <v>0</v>
      </c>
      <c r="Z101" s="18">
        <v>819</v>
      </c>
      <c r="AA101" s="146">
        <v>0</v>
      </c>
      <c r="AB101" s="120">
        <f t="shared" ref="AB101:AI105" si="904">P101*(1+AB$263)</f>
        <v>0</v>
      </c>
      <c r="AC101" s="120">
        <f t="shared" si="904"/>
        <v>0</v>
      </c>
      <c r="AD101" s="120">
        <f t="shared" si="904"/>
        <v>241.02</v>
      </c>
      <c r="AE101" s="120">
        <f t="shared" si="904"/>
        <v>0</v>
      </c>
      <c r="AF101" s="120">
        <f t="shared" si="904"/>
        <v>0</v>
      </c>
      <c r="AG101" s="120">
        <f t="shared" si="904"/>
        <v>1084.5899999999999</v>
      </c>
      <c r="AH101" s="120">
        <f t="shared" si="904"/>
        <v>0</v>
      </c>
      <c r="AI101" s="120">
        <f t="shared" si="904"/>
        <v>723.06000000000006</v>
      </c>
      <c r="AJ101" s="120">
        <f t="shared" ref="AJ101:AS105" si="905">X101*(1+AJ$263)</f>
        <v>0</v>
      </c>
      <c r="AK101" s="120">
        <f t="shared" si="905"/>
        <v>0</v>
      </c>
      <c r="AL101" s="120">
        <f t="shared" si="905"/>
        <v>843.57</v>
      </c>
      <c r="AM101" s="120">
        <f t="shared" si="905"/>
        <v>0</v>
      </c>
      <c r="AN101" s="120">
        <f t="shared" si="905"/>
        <v>0</v>
      </c>
      <c r="AO101" s="120">
        <f t="shared" si="905"/>
        <v>0</v>
      </c>
      <c r="AP101" s="120">
        <f t="shared" si="905"/>
        <v>248.25060000000002</v>
      </c>
      <c r="AQ101" s="120">
        <f t="shared" si="905"/>
        <v>0</v>
      </c>
      <c r="AR101" s="120">
        <f t="shared" si="905"/>
        <v>0</v>
      </c>
      <c r="AS101" s="120">
        <f t="shared" si="905"/>
        <v>1117.1277</v>
      </c>
      <c r="AT101" s="120">
        <f t="shared" ref="AT101:BC105" si="906">AH101*(1+AT$263)</f>
        <v>0</v>
      </c>
      <c r="AU101" s="120">
        <f t="shared" si="906"/>
        <v>744.75180000000012</v>
      </c>
      <c r="AV101" s="120">
        <f t="shared" si="906"/>
        <v>0</v>
      </c>
      <c r="AW101" s="120">
        <f t="shared" si="906"/>
        <v>0</v>
      </c>
      <c r="AX101" s="120">
        <f t="shared" si="906"/>
        <v>868.87710000000004</v>
      </c>
      <c r="AY101" s="120">
        <f t="shared" si="906"/>
        <v>0</v>
      </c>
      <c r="AZ101" s="120">
        <f t="shared" si="906"/>
        <v>0</v>
      </c>
      <c r="BA101" s="120">
        <f t="shared" si="906"/>
        <v>0</v>
      </c>
      <c r="BB101" s="120">
        <f t="shared" si="906"/>
        <v>255.69811800000002</v>
      </c>
      <c r="BC101" s="120">
        <f t="shared" si="906"/>
        <v>0</v>
      </c>
      <c r="BD101" s="120">
        <f t="shared" ref="BD101:BM105" si="907">AR101*(1+BD$263)</f>
        <v>0</v>
      </c>
      <c r="BE101" s="120">
        <f t="shared" si="907"/>
        <v>1150.641531</v>
      </c>
      <c r="BF101" s="120">
        <f t="shared" si="907"/>
        <v>0</v>
      </c>
      <c r="BG101" s="120">
        <f t="shared" si="907"/>
        <v>767.09435400000018</v>
      </c>
      <c r="BH101" s="120">
        <f t="shared" si="907"/>
        <v>0</v>
      </c>
      <c r="BI101" s="120">
        <f t="shared" si="907"/>
        <v>0</v>
      </c>
      <c r="BJ101" s="120">
        <f t="shared" si="907"/>
        <v>894.94341300000008</v>
      </c>
      <c r="BK101" s="120">
        <f t="shared" si="907"/>
        <v>0</v>
      </c>
      <c r="BL101" s="120">
        <f t="shared" si="907"/>
        <v>0</v>
      </c>
      <c r="BM101" s="120">
        <f t="shared" si="907"/>
        <v>0</v>
      </c>
      <c r="BN101" s="120">
        <f t="shared" ref="BN101:BW105" si="908">BB101*(1+BN$263)</f>
        <v>263.36906154000002</v>
      </c>
      <c r="BO101" s="120">
        <f t="shared" si="908"/>
        <v>0</v>
      </c>
      <c r="BP101" s="120">
        <f t="shared" si="908"/>
        <v>0</v>
      </c>
      <c r="BQ101" s="120">
        <f t="shared" si="908"/>
        <v>1185.1607769300001</v>
      </c>
      <c r="BR101" s="120">
        <f t="shared" si="908"/>
        <v>0</v>
      </c>
      <c r="BS101" s="120">
        <f t="shared" si="908"/>
        <v>790.10718462000023</v>
      </c>
      <c r="BT101" s="120">
        <f t="shared" si="908"/>
        <v>0</v>
      </c>
      <c r="BU101" s="120">
        <f t="shared" si="908"/>
        <v>0</v>
      </c>
      <c r="BV101" s="120">
        <f t="shared" si="908"/>
        <v>921.79171539000015</v>
      </c>
      <c r="BW101" s="120">
        <f t="shared" si="908"/>
        <v>0</v>
      </c>
      <c r="BX101" s="120">
        <f t="shared" ref="BX101:BX105" si="909">BL101*(1+BX$263)</f>
        <v>0</v>
      </c>
      <c r="BY101" s="8"/>
      <c r="BZ101" s="72">
        <f t="shared" si="879"/>
        <v>0</v>
      </c>
      <c r="CA101" s="72">
        <f t="shared" si="880"/>
        <v>2808</v>
      </c>
      <c r="CB101" s="97"/>
      <c r="CC101" s="72">
        <f t="shared" si="895"/>
        <v>0</v>
      </c>
      <c r="CD101" s="72">
        <f t="shared" si="896"/>
        <v>0</v>
      </c>
      <c r="CE101" s="72">
        <f t="shared" si="896"/>
        <v>5108.03</v>
      </c>
      <c r="CF101" s="72">
        <f t="shared" si="896"/>
        <v>2808</v>
      </c>
      <c r="CG101" s="72">
        <f t="shared" si="896"/>
        <v>2892.2400000000002</v>
      </c>
      <c r="CH101" s="72">
        <f t="shared" si="896"/>
        <v>2979.0072000000005</v>
      </c>
      <c r="CI101" s="72">
        <f t="shared" si="896"/>
        <v>3068.3774160000003</v>
      </c>
      <c r="CJ101" s="72">
        <f t="shared" si="896"/>
        <v>3160.4287384800004</v>
      </c>
      <c r="CL101" s="13"/>
      <c r="CM101" s="13"/>
    </row>
    <row r="102" spans="1:92" x14ac:dyDescent="0.3">
      <c r="A102" s="97" t="str">
        <f>'DCS Detail'!A102</f>
        <v xml:space="preserve">         225.1 Payroll Tax - Nurse</v>
      </c>
      <c r="B102" s="106" t="str">
        <f>IF('DCS Detail'!$B102="","",'DCS Detail'!$B102)</f>
        <v>Benefits</v>
      </c>
      <c r="C102" s="106"/>
      <c r="D102" s="106"/>
      <c r="E102" s="18">
        <v>0</v>
      </c>
      <c r="F102" s="18">
        <v>67.819999999999993</v>
      </c>
      <c r="G102" s="18">
        <v>130.31</v>
      </c>
      <c r="H102" s="18">
        <v>94.6</v>
      </c>
      <c r="I102" s="18">
        <v>57.92</v>
      </c>
      <c r="J102" s="18">
        <v>0</v>
      </c>
      <c r="K102" s="18">
        <v>0</v>
      </c>
      <c r="L102" s="18">
        <v>0</v>
      </c>
      <c r="M102" s="18">
        <v>0</v>
      </c>
      <c r="N102" s="18">
        <v>57.92</v>
      </c>
      <c r="O102" s="18">
        <v>12.87</v>
      </c>
      <c r="P102" s="18">
        <v>0</v>
      </c>
      <c r="Q102" s="18">
        <v>0</v>
      </c>
      <c r="R102" s="18">
        <v>19.3</v>
      </c>
      <c r="S102" s="18">
        <v>0</v>
      </c>
      <c r="T102" s="18">
        <v>0</v>
      </c>
      <c r="U102" s="18">
        <v>86.88</v>
      </c>
      <c r="V102" s="18">
        <v>0</v>
      </c>
      <c r="W102" s="18">
        <v>57.92</v>
      </c>
      <c r="X102" s="18">
        <v>0</v>
      </c>
      <c r="Y102" s="18">
        <v>0</v>
      </c>
      <c r="Z102" s="18">
        <v>67.569999999999993</v>
      </c>
      <c r="AA102" s="146">
        <v>0</v>
      </c>
      <c r="AB102" s="120">
        <f t="shared" si="904"/>
        <v>0</v>
      </c>
      <c r="AC102" s="120">
        <f t="shared" si="904"/>
        <v>0</v>
      </c>
      <c r="AD102" s="120">
        <f t="shared" si="904"/>
        <v>19.879000000000001</v>
      </c>
      <c r="AE102" s="120">
        <f t="shared" si="904"/>
        <v>0</v>
      </c>
      <c r="AF102" s="120">
        <f t="shared" si="904"/>
        <v>0</v>
      </c>
      <c r="AG102" s="120">
        <f t="shared" si="904"/>
        <v>89.486400000000003</v>
      </c>
      <c r="AH102" s="120">
        <f t="shared" si="904"/>
        <v>0</v>
      </c>
      <c r="AI102" s="120">
        <f t="shared" si="904"/>
        <v>59.657600000000002</v>
      </c>
      <c r="AJ102" s="120">
        <f t="shared" si="905"/>
        <v>0</v>
      </c>
      <c r="AK102" s="120">
        <f t="shared" si="905"/>
        <v>0</v>
      </c>
      <c r="AL102" s="120">
        <f t="shared" si="905"/>
        <v>69.597099999999998</v>
      </c>
      <c r="AM102" s="120">
        <f t="shared" si="905"/>
        <v>0</v>
      </c>
      <c r="AN102" s="120">
        <f t="shared" si="905"/>
        <v>0</v>
      </c>
      <c r="AO102" s="120">
        <f t="shared" si="905"/>
        <v>0</v>
      </c>
      <c r="AP102" s="120">
        <f t="shared" si="905"/>
        <v>20.475370000000002</v>
      </c>
      <c r="AQ102" s="120">
        <f t="shared" si="905"/>
        <v>0</v>
      </c>
      <c r="AR102" s="120">
        <f t="shared" si="905"/>
        <v>0</v>
      </c>
      <c r="AS102" s="120">
        <f t="shared" si="905"/>
        <v>92.170992000000012</v>
      </c>
      <c r="AT102" s="120">
        <f t="shared" si="906"/>
        <v>0</v>
      </c>
      <c r="AU102" s="120">
        <f t="shared" si="906"/>
        <v>61.447328000000006</v>
      </c>
      <c r="AV102" s="120">
        <f t="shared" si="906"/>
        <v>0</v>
      </c>
      <c r="AW102" s="120">
        <f t="shared" si="906"/>
        <v>0</v>
      </c>
      <c r="AX102" s="120">
        <f t="shared" si="906"/>
        <v>71.685012999999998</v>
      </c>
      <c r="AY102" s="120">
        <f t="shared" si="906"/>
        <v>0</v>
      </c>
      <c r="AZ102" s="120">
        <f t="shared" si="906"/>
        <v>0</v>
      </c>
      <c r="BA102" s="120">
        <f t="shared" si="906"/>
        <v>0</v>
      </c>
      <c r="BB102" s="120">
        <f t="shared" si="906"/>
        <v>21.089631100000002</v>
      </c>
      <c r="BC102" s="120">
        <f t="shared" si="906"/>
        <v>0</v>
      </c>
      <c r="BD102" s="120">
        <f t="shared" si="907"/>
        <v>0</v>
      </c>
      <c r="BE102" s="120">
        <f t="shared" si="907"/>
        <v>94.93612176000002</v>
      </c>
      <c r="BF102" s="120">
        <f t="shared" si="907"/>
        <v>0</v>
      </c>
      <c r="BG102" s="120">
        <f t="shared" si="907"/>
        <v>63.290747840000009</v>
      </c>
      <c r="BH102" s="120">
        <f t="shared" si="907"/>
        <v>0</v>
      </c>
      <c r="BI102" s="120">
        <f t="shared" si="907"/>
        <v>0</v>
      </c>
      <c r="BJ102" s="120">
        <f t="shared" si="907"/>
        <v>73.835563390000004</v>
      </c>
      <c r="BK102" s="120">
        <f t="shared" si="907"/>
        <v>0</v>
      </c>
      <c r="BL102" s="120">
        <f t="shared" si="907"/>
        <v>0</v>
      </c>
      <c r="BM102" s="120">
        <f t="shared" si="907"/>
        <v>0</v>
      </c>
      <c r="BN102" s="120">
        <f t="shared" si="908"/>
        <v>21.722320033000003</v>
      </c>
      <c r="BO102" s="120">
        <f t="shared" si="908"/>
        <v>0</v>
      </c>
      <c r="BP102" s="120">
        <f t="shared" si="908"/>
        <v>0</v>
      </c>
      <c r="BQ102" s="120">
        <f t="shared" si="908"/>
        <v>97.78420541280002</v>
      </c>
      <c r="BR102" s="120">
        <f t="shared" si="908"/>
        <v>0</v>
      </c>
      <c r="BS102" s="120">
        <f t="shared" si="908"/>
        <v>65.189470275200009</v>
      </c>
      <c r="BT102" s="120">
        <f t="shared" si="908"/>
        <v>0</v>
      </c>
      <c r="BU102" s="120">
        <f t="shared" si="908"/>
        <v>0</v>
      </c>
      <c r="BV102" s="120">
        <f t="shared" si="908"/>
        <v>76.050630291700003</v>
      </c>
      <c r="BW102" s="120">
        <f t="shared" si="908"/>
        <v>0</v>
      </c>
      <c r="BX102" s="120">
        <f t="shared" si="909"/>
        <v>0</v>
      </c>
      <c r="BY102" s="8"/>
      <c r="BZ102" s="72">
        <f t="shared" si="879"/>
        <v>0</v>
      </c>
      <c r="CA102" s="72">
        <f t="shared" si="880"/>
        <v>231.67</v>
      </c>
      <c r="CB102" s="97"/>
      <c r="CC102" s="72">
        <f t="shared" si="895"/>
        <v>0</v>
      </c>
      <c r="CD102" s="72">
        <f t="shared" si="896"/>
        <v>0</v>
      </c>
      <c r="CE102" s="72">
        <f t="shared" si="896"/>
        <v>421.44000000000005</v>
      </c>
      <c r="CF102" s="72">
        <f t="shared" si="896"/>
        <v>231.67</v>
      </c>
      <c r="CG102" s="72">
        <f t="shared" si="896"/>
        <v>238.62010000000004</v>
      </c>
      <c r="CH102" s="72">
        <f t="shared" si="896"/>
        <v>245.77870300000001</v>
      </c>
      <c r="CI102" s="72">
        <f t="shared" si="896"/>
        <v>253.15206409000004</v>
      </c>
      <c r="CJ102" s="72">
        <f t="shared" si="896"/>
        <v>260.74662601270006</v>
      </c>
      <c r="CL102" s="13"/>
      <c r="CM102" s="13"/>
    </row>
    <row r="103" spans="1:92" x14ac:dyDescent="0.3">
      <c r="A103" s="97" t="str">
        <f>'DCS Detail'!A103</f>
        <v xml:space="preserve">         265.1 SUI - Nurse</v>
      </c>
      <c r="B103" s="106" t="str">
        <f>IF('DCS Detail'!$B103="","",'DCS Detail'!$B103)</f>
        <v>Benefits</v>
      </c>
      <c r="C103" s="106"/>
      <c r="D103" s="106"/>
      <c r="E103" s="18">
        <v>0</v>
      </c>
      <c r="F103" s="18">
        <v>14.8</v>
      </c>
      <c r="G103" s="18">
        <v>28.43</v>
      </c>
      <c r="H103" s="18">
        <v>20.64</v>
      </c>
      <c r="I103" s="18">
        <v>12.64</v>
      </c>
      <c r="J103" s="18">
        <v>0</v>
      </c>
      <c r="K103" s="18">
        <v>0</v>
      </c>
      <c r="L103" s="18">
        <v>0</v>
      </c>
      <c r="M103" s="18">
        <v>0</v>
      </c>
      <c r="N103" s="18">
        <v>10.53</v>
      </c>
      <c r="O103" s="18">
        <v>2.34</v>
      </c>
      <c r="P103" s="18">
        <v>0</v>
      </c>
      <c r="Q103" s="18">
        <v>0</v>
      </c>
      <c r="R103" s="18">
        <v>3.51</v>
      </c>
      <c r="S103" s="18">
        <v>0</v>
      </c>
      <c r="T103" s="18">
        <v>0</v>
      </c>
      <c r="U103" s="18">
        <v>15.8</v>
      </c>
      <c r="V103" s="18">
        <v>0</v>
      </c>
      <c r="W103" s="18">
        <v>10.53</v>
      </c>
      <c r="X103" s="18">
        <v>0</v>
      </c>
      <c r="Y103" s="18">
        <v>0</v>
      </c>
      <c r="Z103" s="18">
        <v>12.29</v>
      </c>
      <c r="AA103" s="146">
        <v>0</v>
      </c>
      <c r="AB103" s="120">
        <f t="shared" si="904"/>
        <v>0</v>
      </c>
      <c r="AC103" s="120">
        <f t="shared" si="904"/>
        <v>0</v>
      </c>
      <c r="AD103" s="120">
        <f t="shared" si="904"/>
        <v>3.6153</v>
      </c>
      <c r="AE103" s="120">
        <f t="shared" si="904"/>
        <v>0</v>
      </c>
      <c r="AF103" s="120">
        <f t="shared" si="904"/>
        <v>0</v>
      </c>
      <c r="AG103" s="120">
        <f t="shared" si="904"/>
        <v>16.274000000000001</v>
      </c>
      <c r="AH103" s="120">
        <f t="shared" si="904"/>
        <v>0</v>
      </c>
      <c r="AI103" s="120">
        <f t="shared" si="904"/>
        <v>10.8459</v>
      </c>
      <c r="AJ103" s="120">
        <f t="shared" si="905"/>
        <v>0</v>
      </c>
      <c r="AK103" s="120">
        <f t="shared" si="905"/>
        <v>0</v>
      </c>
      <c r="AL103" s="120">
        <f t="shared" si="905"/>
        <v>12.6587</v>
      </c>
      <c r="AM103" s="120">
        <f t="shared" si="905"/>
        <v>0</v>
      </c>
      <c r="AN103" s="120">
        <f t="shared" si="905"/>
        <v>0</v>
      </c>
      <c r="AO103" s="120">
        <f t="shared" si="905"/>
        <v>0</v>
      </c>
      <c r="AP103" s="120">
        <f t="shared" si="905"/>
        <v>3.7237590000000003</v>
      </c>
      <c r="AQ103" s="120">
        <f t="shared" si="905"/>
        <v>0</v>
      </c>
      <c r="AR103" s="120">
        <f t="shared" si="905"/>
        <v>0</v>
      </c>
      <c r="AS103" s="120">
        <f t="shared" si="905"/>
        <v>16.762220000000003</v>
      </c>
      <c r="AT103" s="120">
        <f t="shared" si="906"/>
        <v>0</v>
      </c>
      <c r="AU103" s="120">
        <f t="shared" si="906"/>
        <v>11.171277</v>
      </c>
      <c r="AV103" s="120">
        <f t="shared" si="906"/>
        <v>0</v>
      </c>
      <c r="AW103" s="120">
        <f t="shared" si="906"/>
        <v>0</v>
      </c>
      <c r="AX103" s="120">
        <f t="shared" si="906"/>
        <v>13.038461</v>
      </c>
      <c r="AY103" s="120">
        <f t="shared" si="906"/>
        <v>0</v>
      </c>
      <c r="AZ103" s="120">
        <f t="shared" si="906"/>
        <v>0</v>
      </c>
      <c r="BA103" s="120">
        <f t="shared" si="906"/>
        <v>0</v>
      </c>
      <c r="BB103" s="120">
        <f t="shared" si="906"/>
        <v>3.8354717700000003</v>
      </c>
      <c r="BC103" s="120">
        <f t="shared" si="906"/>
        <v>0</v>
      </c>
      <c r="BD103" s="120">
        <f t="shared" si="907"/>
        <v>0</v>
      </c>
      <c r="BE103" s="120">
        <f t="shared" si="907"/>
        <v>17.265086600000004</v>
      </c>
      <c r="BF103" s="120">
        <f t="shared" si="907"/>
        <v>0</v>
      </c>
      <c r="BG103" s="120">
        <f t="shared" si="907"/>
        <v>11.50641531</v>
      </c>
      <c r="BH103" s="120">
        <f t="shared" si="907"/>
        <v>0</v>
      </c>
      <c r="BI103" s="120">
        <f t="shared" si="907"/>
        <v>0</v>
      </c>
      <c r="BJ103" s="120">
        <f t="shared" si="907"/>
        <v>13.42961483</v>
      </c>
      <c r="BK103" s="120">
        <f t="shared" si="907"/>
        <v>0</v>
      </c>
      <c r="BL103" s="120">
        <f t="shared" si="907"/>
        <v>0</v>
      </c>
      <c r="BM103" s="120">
        <f t="shared" si="907"/>
        <v>0</v>
      </c>
      <c r="BN103" s="120">
        <f t="shared" si="908"/>
        <v>3.9505359231000003</v>
      </c>
      <c r="BO103" s="120">
        <f t="shared" si="908"/>
        <v>0</v>
      </c>
      <c r="BP103" s="120">
        <f t="shared" si="908"/>
        <v>0</v>
      </c>
      <c r="BQ103" s="120">
        <f t="shared" si="908"/>
        <v>17.783039198000004</v>
      </c>
      <c r="BR103" s="120">
        <f t="shared" si="908"/>
        <v>0</v>
      </c>
      <c r="BS103" s="120">
        <f t="shared" si="908"/>
        <v>11.851607769299999</v>
      </c>
      <c r="BT103" s="120">
        <f t="shared" si="908"/>
        <v>0</v>
      </c>
      <c r="BU103" s="120">
        <f t="shared" si="908"/>
        <v>0</v>
      </c>
      <c r="BV103" s="120">
        <f t="shared" si="908"/>
        <v>13.832503274900001</v>
      </c>
      <c r="BW103" s="120">
        <f t="shared" si="908"/>
        <v>0</v>
      </c>
      <c r="BX103" s="120">
        <f t="shared" si="909"/>
        <v>0</v>
      </c>
      <c r="BY103" s="8"/>
      <c r="BZ103" s="72">
        <f t="shared" si="879"/>
        <v>0</v>
      </c>
      <c r="CA103" s="72">
        <f t="shared" si="880"/>
        <v>42.13</v>
      </c>
      <c r="CB103" s="97"/>
      <c r="CC103" s="72">
        <f t="shared" si="895"/>
        <v>0</v>
      </c>
      <c r="CD103" s="72">
        <f t="shared" si="896"/>
        <v>0</v>
      </c>
      <c r="CE103" s="72">
        <f t="shared" si="896"/>
        <v>89.38000000000001</v>
      </c>
      <c r="CF103" s="72">
        <f t="shared" si="896"/>
        <v>42.13</v>
      </c>
      <c r="CG103" s="72">
        <f t="shared" si="896"/>
        <v>43.393900000000002</v>
      </c>
      <c r="CH103" s="72">
        <f t="shared" si="896"/>
        <v>44.695717000000002</v>
      </c>
      <c r="CI103" s="72">
        <f t="shared" si="896"/>
        <v>46.036588510000001</v>
      </c>
      <c r="CJ103" s="72">
        <f t="shared" si="896"/>
        <v>47.417686165300005</v>
      </c>
      <c r="CL103" s="13"/>
      <c r="CM103" s="13"/>
    </row>
    <row r="104" spans="1:92" x14ac:dyDescent="0.3">
      <c r="A104" s="97" t="str">
        <f>'DCS Detail'!A104</f>
        <v xml:space="preserve">         340.1 Audit</v>
      </c>
      <c r="B104" s="106" t="str">
        <f>IF('DCS Detail'!$B104="","",'DCS Detail'!$B104)</f>
        <v>Prof. Serv.</v>
      </c>
      <c r="C104" s="106"/>
      <c r="D104" s="106"/>
      <c r="E104" s="18">
        <v>0</v>
      </c>
      <c r="F104" s="18">
        <v>0</v>
      </c>
      <c r="G104" s="18">
        <v>0</v>
      </c>
      <c r="H104" s="18">
        <v>5021.25</v>
      </c>
      <c r="I104" s="18">
        <v>5021.25</v>
      </c>
      <c r="J104" s="18">
        <v>0</v>
      </c>
      <c r="K104" s="18">
        <v>5512.65</v>
      </c>
      <c r="L104" s="18">
        <v>5247.2100000000009</v>
      </c>
      <c r="M104" s="18">
        <v>0</v>
      </c>
      <c r="N104" s="18">
        <v>0</v>
      </c>
      <c r="O104" s="18">
        <v>0</v>
      </c>
      <c r="P104" s="18">
        <v>0</v>
      </c>
      <c r="Q104" s="18">
        <v>0</v>
      </c>
      <c r="R104" s="18">
        <v>0</v>
      </c>
      <c r="S104" s="18">
        <v>0</v>
      </c>
      <c r="T104" s="18">
        <v>0</v>
      </c>
      <c r="U104" s="18">
        <v>26535.599999999999</v>
      </c>
      <c r="V104" s="18">
        <v>0</v>
      </c>
      <c r="W104" s="18">
        <v>0</v>
      </c>
      <c r="X104" s="18">
        <v>0</v>
      </c>
      <c r="Y104" s="18">
        <v>0</v>
      </c>
      <c r="Z104" s="18">
        <v>0</v>
      </c>
      <c r="AA104" s="146">
        <v>0</v>
      </c>
      <c r="AB104" s="120">
        <f t="shared" si="904"/>
        <v>0</v>
      </c>
      <c r="AC104" s="120">
        <f t="shared" si="904"/>
        <v>0</v>
      </c>
      <c r="AD104" s="120">
        <f t="shared" si="904"/>
        <v>0</v>
      </c>
      <c r="AE104" s="120">
        <f t="shared" si="904"/>
        <v>0</v>
      </c>
      <c r="AF104" s="120">
        <f t="shared" si="904"/>
        <v>0</v>
      </c>
      <c r="AG104" s="120">
        <f t="shared" si="904"/>
        <v>27331.667999999998</v>
      </c>
      <c r="AH104" s="120">
        <f t="shared" si="904"/>
        <v>0</v>
      </c>
      <c r="AI104" s="120">
        <f t="shared" si="904"/>
        <v>0</v>
      </c>
      <c r="AJ104" s="120">
        <f t="shared" si="905"/>
        <v>0</v>
      </c>
      <c r="AK104" s="120">
        <f t="shared" si="905"/>
        <v>0</v>
      </c>
      <c r="AL104" s="120">
        <f t="shared" si="905"/>
        <v>0</v>
      </c>
      <c r="AM104" s="120">
        <f t="shared" si="905"/>
        <v>0</v>
      </c>
      <c r="AN104" s="120">
        <f t="shared" si="905"/>
        <v>0</v>
      </c>
      <c r="AO104" s="120">
        <f t="shared" si="905"/>
        <v>0</v>
      </c>
      <c r="AP104" s="120">
        <f t="shared" si="905"/>
        <v>0</v>
      </c>
      <c r="AQ104" s="120">
        <f t="shared" si="905"/>
        <v>0</v>
      </c>
      <c r="AR104" s="120">
        <f t="shared" si="905"/>
        <v>0</v>
      </c>
      <c r="AS104" s="120">
        <f t="shared" si="905"/>
        <v>28151.618039999998</v>
      </c>
      <c r="AT104" s="120">
        <f t="shared" si="906"/>
        <v>0</v>
      </c>
      <c r="AU104" s="120">
        <f t="shared" si="906"/>
        <v>0</v>
      </c>
      <c r="AV104" s="120">
        <f t="shared" si="906"/>
        <v>0</v>
      </c>
      <c r="AW104" s="120">
        <f t="shared" si="906"/>
        <v>0</v>
      </c>
      <c r="AX104" s="120">
        <f t="shared" si="906"/>
        <v>0</v>
      </c>
      <c r="AY104" s="120">
        <f t="shared" si="906"/>
        <v>0</v>
      </c>
      <c r="AZ104" s="120">
        <f t="shared" si="906"/>
        <v>0</v>
      </c>
      <c r="BA104" s="120">
        <f t="shared" si="906"/>
        <v>0</v>
      </c>
      <c r="BB104" s="120">
        <f t="shared" si="906"/>
        <v>0</v>
      </c>
      <c r="BC104" s="120">
        <f t="shared" si="906"/>
        <v>0</v>
      </c>
      <c r="BD104" s="120">
        <f t="shared" si="907"/>
        <v>0</v>
      </c>
      <c r="BE104" s="120">
        <f t="shared" si="907"/>
        <v>28996.166581199999</v>
      </c>
      <c r="BF104" s="120">
        <f t="shared" si="907"/>
        <v>0</v>
      </c>
      <c r="BG104" s="120">
        <f t="shared" si="907"/>
        <v>0</v>
      </c>
      <c r="BH104" s="120">
        <f t="shared" si="907"/>
        <v>0</v>
      </c>
      <c r="BI104" s="120">
        <f t="shared" si="907"/>
        <v>0</v>
      </c>
      <c r="BJ104" s="120">
        <f t="shared" si="907"/>
        <v>0</v>
      </c>
      <c r="BK104" s="120">
        <f t="shared" si="907"/>
        <v>0</v>
      </c>
      <c r="BL104" s="120">
        <f t="shared" si="907"/>
        <v>0</v>
      </c>
      <c r="BM104" s="120">
        <f t="shared" si="907"/>
        <v>0</v>
      </c>
      <c r="BN104" s="120">
        <f t="shared" si="908"/>
        <v>0</v>
      </c>
      <c r="BO104" s="120">
        <f t="shared" si="908"/>
        <v>0</v>
      </c>
      <c r="BP104" s="120">
        <f t="shared" si="908"/>
        <v>0</v>
      </c>
      <c r="BQ104" s="120">
        <f t="shared" si="908"/>
        <v>29866.051578636001</v>
      </c>
      <c r="BR104" s="120">
        <f t="shared" si="908"/>
        <v>0</v>
      </c>
      <c r="BS104" s="120">
        <f t="shared" si="908"/>
        <v>0</v>
      </c>
      <c r="BT104" s="120">
        <f t="shared" si="908"/>
        <v>0</v>
      </c>
      <c r="BU104" s="120">
        <f t="shared" si="908"/>
        <v>0</v>
      </c>
      <c r="BV104" s="120">
        <f t="shared" si="908"/>
        <v>0</v>
      </c>
      <c r="BW104" s="120">
        <f t="shared" si="908"/>
        <v>0</v>
      </c>
      <c r="BX104" s="120">
        <f t="shared" si="909"/>
        <v>0</v>
      </c>
      <c r="BY104" s="8"/>
      <c r="BZ104" s="72">
        <f t="shared" si="879"/>
        <v>0</v>
      </c>
      <c r="CA104" s="72">
        <f t="shared" si="880"/>
        <v>26535.599999999999</v>
      </c>
      <c r="CB104" s="97"/>
      <c r="CC104" s="72">
        <f t="shared" si="895"/>
        <v>0</v>
      </c>
      <c r="CD104" s="72">
        <f t="shared" si="896"/>
        <v>0</v>
      </c>
      <c r="CE104" s="72">
        <f t="shared" si="896"/>
        <v>20802.36</v>
      </c>
      <c r="CF104" s="72">
        <f t="shared" si="896"/>
        <v>26535.599999999999</v>
      </c>
      <c r="CG104" s="72">
        <f t="shared" si="896"/>
        <v>27331.667999999998</v>
      </c>
      <c r="CH104" s="72">
        <f t="shared" si="896"/>
        <v>28151.618039999998</v>
      </c>
      <c r="CI104" s="72">
        <f t="shared" si="896"/>
        <v>28996.166581199999</v>
      </c>
      <c r="CJ104" s="72">
        <f t="shared" si="896"/>
        <v>29866.051578636001</v>
      </c>
      <c r="CL104" s="13"/>
      <c r="CM104" s="13"/>
    </row>
    <row r="105" spans="1:92" x14ac:dyDescent="0.3">
      <c r="A105" s="97" t="str">
        <f>'DCS Detail'!A105</f>
        <v xml:space="preserve">         340.2 Legal</v>
      </c>
      <c r="B105" s="106" t="str">
        <f>IF('DCS Detail'!$B105="","",'DCS Detail'!$B105)</f>
        <v>Prof. Serv.</v>
      </c>
      <c r="C105" s="106"/>
      <c r="D105" s="106"/>
      <c r="E105" s="18">
        <v>0</v>
      </c>
      <c r="F105" s="18">
        <v>0</v>
      </c>
      <c r="G105" s="18">
        <v>2129.4</v>
      </c>
      <c r="H105" s="18">
        <v>10680.5</v>
      </c>
      <c r="I105" s="18">
        <v>8157.5</v>
      </c>
      <c r="J105" s="18">
        <v>0</v>
      </c>
      <c r="K105" s="18">
        <v>0</v>
      </c>
      <c r="L105" s="18">
        <v>0</v>
      </c>
      <c r="M105" s="18">
        <v>0</v>
      </c>
      <c r="N105" s="18">
        <v>0</v>
      </c>
      <c r="O105" s="18">
        <v>0</v>
      </c>
      <c r="P105" s="18">
        <v>1272.96</v>
      </c>
      <c r="Q105" s="18">
        <v>0</v>
      </c>
      <c r="R105" s="18">
        <v>2599.35</v>
      </c>
      <c r="S105" s="18">
        <v>4592.25</v>
      </c>
      <c r="T105" s="18">
        <v>7584.82</v>
      </c>
      <c r="U105" s="18">
        <v>245.7</v>
      </c>
      <c r="V105" s="18">
        <v>0</v>
      </c>
      <c r="W105" s="18">
        <v>779.9</v>
      </c>
      <c r="X105" s="18">
        <v>0</v>
      </c>
      <c r="Y105" s="18">
        <v>0</v>
      </c>
      <c r="Z105" s="18">
        <v>2071.6799999999998</v>
      </c>
      <c r="AA105" s="146">
        <v>1310.56</v>
      </c>
      <c r="AB105" s="120">
        <f t="shared" si="904"/>
        <v>1311.1488000000002</v>
      </c>
      <c r="AC105" s="120">
        <f t="shared" si="904"/>
        <v>0</v>
      </c>
      <c r="AD105" s="120">
        <f t="shared" si="904"/>
        <v>2677.3305</v>
      </c>
      <c r="AE105" s="120">
        <f t="shared" si="904"/>
        <v>4730.0174999999999</v>
      </c>
      <c r="AF105" s="120">
        <f t="shared" si="904"/>
        <v>7812.3645999999999</v>
      </c>
      <c r="AG105" s="120">
        <f t="shared" si="904"/>
        <v>253.071</v>
      </c>
      <c r="AH105" s="120">
        <f t="shared" si="904"/>
        <v>0</v>
      </c>
      <c r="AI105" s="120">
        <f t="shared" si="904"/>
        <v>803.29700000000003</v>
      </c>
      <c r="AJ105" s="120">
        <f t="shared" si="905"/>
        <v>0</v>
      </c>
      <c r="AK105" s="120">
        <f t="shared" si="905"/>
        <v>0</v>
      </c>
      <c r="AL105" s="120">
        <f t="shared" si="905"/>
        <v>2133.8303999999998</v>
      </c>
      <c r="AM105" s="120">
        <f t="shared" si="905"/>
        <v>1349.8768</v>
      </c>
      <c r="AN105" s="120">
        <f t="shared" si="905"/>
        <v>1350.4832640000002</v>
      </c>
      <c r="AO105" s="120">
        <f t="shared" si="905"/>
        <v>0</v>
      </c>
      <c r="AP105" s="120">
        <f t="shared" si="905"/>
        <v>2757.6504150000001</v>
      </c>
      <c r="AQ105" s="120">
        <f t="shared" si="905"/>
        <v>4871.9180249999999</v>
      </c>
      <c r="AR105" s="120">
        <f t="shared" si="905"/>
        <v>8046.7355379999999</v>
      </c>
      <c r="AS105" s="120">
        <f t="shared" si="905"/>
        <v>260.66313000000002</v>
      </c>
      <c r="AT105" s="120">
        <f t="shared" si="906"/>
        <v>0</v>
      </c>
      <c r="AU105" s="120">
        <f t="shared" si="906"/>
        <v>827.39591000000007</v>
      </c>
      <c r="AV105" s="120">
        <f t="shared" si="906"/>
        <v>0</v>
      </c>
      <c r="AW105" s="120">
        <f t="shared" si="906"/>
        <v>0</v>
      </c>
      <c r="AX105" s="120">
        <f t="shared" si="906"/>
        <v>2197.8453119999999</v>
      </c>
      <c r="AY105" s="120">
        <f t="shared" si="906"/>
        <v>1390.373104</v>
      </c>
      <c r="AZ105" s="120">
        <f t="shared" si="906"/>
        <v>1390.9977619200001</v>
      </c>
      <c r="BA105" s="120">
        <f t="shared" si="906"/>
        <v>0</v>
      </c>
      <c r="BB105" s="120">
        <f t="shared" si="906"/>
        <v>2840.3799274500002</v>
      </c>
      <c r="BC105" s="120">
        <f t="shared" si="906"/>
        <v>5018.0755657500004</v>
      </c>
      <c r="BD105" s="120">
        <f t="shared" si="907"/>
        <v>8288.1376041399999</v>
      </c>
      <c r="BE105" s="120">
        <f t="shared" si="907"/>
        <v>268.48302390000003</v>
      </c>
      <c r="BF105" s="120">
        <f t="shared" si="907"/>
        <v>0</v>
      </c>
      <c r="BG105" s="120">
        <f t="shared" si="907"/>
        <v>852.21778730000005</v>
      </c>
      <c r="BH105" s="120">
        <f t="shared" si="907"/>
        <v>0</v>
      </c>
      <c r="BI105" s="120">
        <f t="shared" si="907"/>
        <v>0</v>
      </c>
      <c r="BJ105" s="120">
        <f t="shared" si="907"/>
        <v>2263.7806713599998</v>
      </c>
      <c r="BK105" s="120">
        <f t="shared" si="907"/>
        <v>1432.08429712</v>
      </c>
      <c r="BL105" s="120">
        <f t="shared" si="907"/>
        <v>1432.7276947776002</v>
      </c>
      <c r="BM105" s="120">
        <f t="shared" si="907"/>
        <v>0</v>
      </c>
      <c r="BN105" s="120">
        <f t="shared" si="908"/>
        <v>2925.5913252735004</v>
      </c>
      <c r="BO105" s="120">
        <f t="shared" si="908"/>
        <v>5168.6178327225007</v>
      </c>
      <c r="BP105" s="120">
        <f t="shared" si="908"/>
        <v>8536.7817322642004</v>
      </c>
      <c r="BQ105" s="120">
        <f t="shared" si="908"/>
        <v>276.53751461700006</v>
      </c>
      <c r="BR105" s="120">
        <f t="shared" si="908"/>
        <v>0</v>
      </c>
      <c r="BS105" s="120">
        <f t="shared" si="908"/>
        <v>877.78432091900004</v>
      </c>
      <c r="BT105" s="120">
        <f t="shared" si="908"/>
        <v>0</v>
      </c>
      <c r="BU105" s="120">
        <f t="shared" si="908"/>
        <v>0</v>
      </c>
      <c r="BV105" s="120">
        <f t="shared" si="908"/>
        <v>2331.6940915007999</v>
      </c>
      <c r="BW105" s="120">
        <f t="shared" si="908"/>
        <v>1475.0468260335999</v>
      </c>
      <c r="BX105" s="120">
        <f t="shared" si="909"/>
        <v>1475.7095256209282</v>
      </c>
      <c r="BY105" s="8"/>
      <c r="BZ105" s="72">
        <f t="shared" si="879"/>
        <v>1310.56</v>
      </c>
      <c r="CA105" s="72">
        <f t="shared" si="880"/>
        <v>19184.260000000002</v>
      </c>
      <c r="CB105" s="97"/>
      <c r="CC105" s="72">
        <f t="shared" si="895"/>
        <v>0</v>
      </c>
      <c r="CD105" s="72">
        <f t="shared" si="896"/>
        <v>0</v>
      </c>
      <c r="CE105" s="72">
        <f t="shared" si="896"/>
        <v>22240.36</v>
      </c>
      <c r="CF105" s="72">
        <f t="shared" si="896"/>
        <v>20495.408800000001</v>
      </c>
      <c r="CG105" s="72">
        <f t="shared" si="896"/>
        <v>21110.271063999997</v>
      </c>
      <c r="CH105" s="72">
        <f t="shared" si="896"/>
        <v>21743.57919592</v>
      </c>
      <c r="CI105" s="72">
        <f t="shared" si="896"/>
        <v>22395.8865717976</v>
      </c>
      <c r="CJ105" s="72">
        <f t="shared" si="896"/>
        <v>23067.763168951533</v>
      </c>
      <c r="CL105" s="13"/>
      <c r="CM105" s="13"/>
    </row>
    <row r="106" spans="1:92" x14ac:dyDescent="0.3">
      <c r="A106" s="97" t="str">
        <f>'DCS Detail'!A106</f>
        <v xml:space="preserve">         340.4 Financial Consultant</v>
      </c>
      <c r="B106" s="106" t="str">
        <f>IF('DCS Detail'!$B106="","",'DCS Detail'!$B106)</f>
        <v>Prof. Serv.</v>
      </c>
      <c r="C106" s="106"/>
      <c r="D106" s="106"/>
      <c r="E106" s="18">
        <v>2340</v>
      </c>
      <c r="F106" s="18">
        <v>0</v>
      </c>
      <c r="G106" s="18">
        <v>0</v>
      </c>
      <c r="H106" s="18">
        <v>1170</v>
      </c>
      <c r="I106" s="18">
        <v>1170</v>
      </c>
      <c r="J106" s="18">
        <v>1170</v>
      </c>
      <c r="K106" s="18">
        <v>1170</v>
      </c>
      <c r="L106" s="18">
        <v>1170</v>
      </c>
      <c r="M106" s="18">
        <v>1170</v>
      </c>
      <c r="N106" s="18">
        <v>1170</v>
      </c>
      <c r="O106" s="18">
        <v>12905.1</v>
      </c>
      <c r="P106" s="18">
        <v>2340</v>
      </c>
      <c r="Q106" s="18">
        <v>3510</v>
      </c>
      <c r="R106" s="18">
        <v>2340</v>
      </c>
      <c r="S106" s="18">
        <v>39000</v>
      </c>
      <c r="T106" s="18">
        <v>4680</v>
      </c>
      <c r="U106" s="18">
        <v>2340</v>
      </c>
      <c r="V106" s="18">
        <v>0</v>
      </c>
      <c r="W106" s="18">
        <v>2340</v>
      </c>
      <c r="X106" s="18">
        <v>4875</v>
      </c>
      <c r="Y106" s="18">
        <v>6500</v>
      </c>
      <c r="Z106" s="18">
        <v>0</v>
      </c>
      <c r="AA106" s="146">
        <v>7020</v>
      </c>
      <c r="AB106" s="138">
        <f t="shared" ref="AB106:BE106" si="910">IF(AB47&gt;0,AB47*0.05,P106*(1+AB$263))</f>
        <v>2410.2000000000003</v>
      </c>
      <c r="AC106" s="138">
        <f t="shared" si="910"/>
        <v>3615.3</v>
      </c>
      <c r="AD106" s="138">
        <f t="shared" si="910"/>
        <v>2410.2000000000003</v>
      </c>
      <c r="AE106" s="138">
        <f t="shared" si="910"/>
        <v>19500</v>
      </c>
      <c r="AF106" s="138">
        <f t="shared" si="910"/>
        <v>4820.4000000000005</v>
      </c>
      <c r="AG106" s="138">
        <f t="shared" si="910"/>
        <v>2410.2000000000003</v>
      </c>
      <c r="AH106" s="138">
        <f t="shared" si="910"/>
        <v>0</v>
      </c>
      <c r="AI106" s="138">
        <f t="shared" si="910"/>
        <v>2410.2000000000003</v>
      </c>
      <c r="AJ106" s="138">
        <f t="shared" si="910"/>
        <v>5021.25</v>
      </c>
      <c r="AK106" s="138">
        <f t="shared" si="910"/>
        <v>6695</v>
      </c>
      <c r="AL106" s="138">
        <f t="shared" si="910"/>
        <v>0</v>
      </c>
      <c r="AM106" s="138">
        <f t="shared" si="910"/>
        <v>7230.6</v>
      </c>
      <c r="AN106" s="138">
        <f t="shared" si="910"/>
        <v>2482.5060000000003</v>
      </c>
      <c r="AO106" s="138">
        <f t="shared" si="910"/>
        <v>3723.7590000000005</v>
      </c>
      <c r="AP106" s="138">
        <f t="shared" si="910"/>
        <v>2482.5060000000003</v>
      </c>
      <c r="AQ106" s="138">
        <f t="shared" si="910"/>
        <v>19500</v>
      </c>
      <c r="AR106" s="138">
        <f t="shared" si="910"/>
        <v>4965.0120000000006</v>
      </c>
      <c r="AS106" s="138">
        <f t="shared" si="910"/>
        <v>2482.5060000000003</v>
      </c>
      <c r="AT106" s="138">
        <f t="shared" si="910"/>
        <v>0</v>
      </c>
      <c r="AU106" s="138">
        <f t="shared" si="910"/>
        <v>2482.5060000000003</v>
      </c>
      <c r="AV106" s="138">
        <f t="shared" si="910"/>
        <v>5171.8874999999998</v>
      </c>
      <c r="AW106" s="138">
        <f t="shared" si="910"/>
        <v>6895.85</v>
      </c>
      <c r="AX106" s="138">
        <f t="shared" si="910"/>
        <v>0</v>
      </c>
      <c r="AY106" s="138">
        <f t="shared" si="910"/>
        <v>7447.5180000000009</v>
      </c>
      <c r="AZ106" s="138">
        <f t="shared" si="910"/>
        <v>2556.9811800000002</v>
      </c>
      <c r="BA106" s="138">
        <f t="shared" si="910"/>
        <v>3835.4717700000006</v>
      </c>
      <c r="BB106" s="138">
        <f t="shared" si="910"/>
        <v>2556.9811800000002</v>
      </c>
      <c r="BC106" s="138">
        <f t="shared" si="910"/>
        <v>19500</v>
      </c>
      <c r="BD106" s="138">
        <f t="shared" si="910"/>
        <v>5113.9623600000004</v>
      </c>
      <c r="BE106" s="138">
        <f t="shared" si="910"/>
        <v>2556.9811800000002</v>
      </c>
      <c r="BF106" s="138">
        <f t="shared" ref="BF106:BX106" si="911">IF(BF47&gt;0,BF47*0.05,AT106*(1+BF$263))</f>
        <v>0</v>
      </c>
      <c r="BG106" s="138">
        <f t="shared" si="911"/>
        <v>2556.9811800000002</v>
      </c>
      <c r="BH106" s="138">
        <f t="shared" si="911"/>
        <v>5327.0441250000003</v>
      </c>
      <c r="BI106" s="138">
        <f t="shared" si="911"/>
        <v>7102.7255000000005</v>
      </c>
      <c r="BJ106" s="138">
        <f t="shared" si="911"/>
        <v>0</v>
      </c>
      <c r="BK106" s="138">
        <f t="shared" si="911"/>
        <v>7670.9435400000011</v>
      </c>
      <c r="BL106" s="138">
        <f t="shared" si="911"/>
        <v>2633.6906154000003</v>
      </c>
      <c r="BM106" s="138">
        <f t="shared" si="911"/>
        <v>3950.5359231000007</v>
      </c>
      <c r="BN106" s="138">
        <f t="shared" si="911"/>
        <v>2633.6906154000003</v>
      </c>
      <c r="BO106" s="138">
        <f t="shared" si="911"/>
        <v>19500</v>
      </c>
      <c r="BP106" s="138">
        <f t="shared" si="911"/>
        <v>5267.3812308000006</v>
      </c>
      <c r="BQ106" s="138">
        <f t="shared" si="911"/>
        <v>2633.6906154000003</v>
      </c>
      <c r="BR106" s="138">
        <f t="shared" si="911"/>
        <v>0</v>
      </c>
      <c r="BS106" s="138">
        <f t="shared" si="911"/>
        <v>2633.6906154000003</v>
      </c>
      <c r="BT106" s="138">
        <f t="shared" si="911"/>
        <v>5486.8554487500005</v>
      </c>
      <c r="BU106" s="138">
        <f t="shared" si="911"/>
        <v>7315.8072650000004</v>
      </c>
      <c r="BV106" s="138">
        <f t="shared" si="911"/>
        <v>0</v>
      </c>
      <c r="BW106" s="138">
        <f t="shared" si="911"/>
        <v>7901.0718462000013</v>
      </c>
      <c r="BX106" s="138">
        <f t="shared" si="911"/>
        <v>2712.7013338620004</v>
      </c>
      <c r="BY106" s="8"/>
      <c r="BZ106" s="72">
        <f t="shared" si="879"/>
        <v>7020</v>
      </c>
      <c r="CA106" s="72">
        <f t="shared" si="880"/>
        <v>72605</v>
      </c>
      <c r="CB106" s="97"/>
      <c r="CC106" s="72">
        <f t="shared" si="895"/>
        <v>0</v>
      </c>
      <c r="CD106" s="72">
        <f t="shared" si="896"/>
        <v>0</v>
      </c>
      <c r="CE106" s="72">
        <f t="shared" si="896"/>
        <v>25775.1</v>
      </c>
      <c r="CF106" s="72">
        <f t="shared" si="896"/>
        <v>75015.199999999997</v>
      </c>
      <c r="CG106" s="72">
        <f t="shared" si="896"/>
        <v>56595.656000000003</v>
      </c>
      <c r="CH106" s="72">
        <f t="shared" si="896"/>
        <v>57708.525680000006</v>
      </c>
      <c r="CI106" s="72">
        <f t="shared" si="896"/>
        <v>58854.781450400005</v>
      </c>
      <c r="CJ106" s="72">
        <f t="shared" si="896"/>
        <v>60035.424893912008</v>
      </c>
      <c r="CL106" s="13"/>
      <c r="CM106" s="13"/>
      <c r="CN106" s="13"/>
    </row>
    <row r="107" spans="1:92" x14ac:dyDescent="0.3">
      <c r="A107" s="97" t="str">
        <f>'DCS Detail'!A107</f>
        <v xml:space="preserve">         340.5 Payroll Service</v>
      </c>
      <c r="B107" s="106" t="str">
        <f>IF('DCS Detail'!$B107="","",'DCS Detail'!$B107)</f>
        <v>Prof. Serv.</v>
      </c>
      <c r="C107" s="106"/>
      <c r="D107" s="106"/>
      <c r="E107" s="18">
        <v>527.28</v>
      </c>
      <c r="F107" s="18">
        <v>552.04999999999995</v>
      </c>
      <c r="G107" s="18">
        <v>722.75</v>
      </c>
      <c r="H107" s="103">
        <f>718.89+314.5</f>
        <v>1033.3899999999999</v>
      </c>
      <c r="I107" s="18">
        <v>383.29</v>
      </c>
      <c r="J107" s="18">
        <v>922.08</v>
      </c>
      <c r="K107" s="18">
        <v>577.04</v>
      </c>
      <c r="L107" s="18">
        <v>742.21</v>
      </c>
      <c r="M107" s="18">
        <v>920.05</v>
      </c>
      <c r="N107" s="18">
        <v>0</v>
      </c>
      <c r="O107" s="18">
        <v>0</v>
      </c>
      <c r="P107" s="18">
        <v>442.49</v>
      </c>
      <c r="Q107" s="18">
        <v>-442.49</v>
      </c>
      <c r="R107" s="18">
        <v>0</v>
      </c>
      <c r="S107" s="18">
        <v>0</v>
      </c>
      <c r="T107" s="18">
        <v>0</v>
      </c>
      <c r="U107" s="18">
        <v>0</v>
      </c>
      <c r="V107" s="18">
        <v>0</v>
      </c>
      <c r="W107" s="18">
        <v>0</v>
      </c>
      <c r="X107" s="18">
        <v>0</v>
      </c>
      <c r="Y107" s="18">
        <v>0</v>
      </c>
      <c r="Z107" s="18">
        <v>0</v>
      </c>
      <c r="AA107" s="146">
        <v>0</v>
      </c>
      <c r="AB107" s="120">
        <f t="shared" ref="AB107:AI112" si="912">P107*(1+AB$263)</f>
        <v>455.7647</v>
      </c>
      <c r="AC107" s="120">
        <f t="shared" si="912"/>
        <v>-455.7647</v>
      </c>
      <c r="AD107" s="120">
        <f t="shared" si="912"/>
        <v>0</v>
      </c>
      <c r="AE107" s="120">
        <f t="shared" si="912"/>
        <v>0</v>
      </c>
      <c r="AF107" s="120">
        <f t="shared" si="912"/>
        <v>0</v>
      </c>
      <c r="AG107" s="120">
        <f t="shared" si="912"/>
        <v>0</v>
      </c>
      <c r="AH107" s="120">
        <f t="shared" si="912"/>
        <v>0</v>
      </c>
      <c r="AI107" s="120">
        <f t="shared" si="912"/>
        <v>0</v>
      </c>
      <c r="AJ107" s="120">
        <f t="shared" ref="AJ107:AS112" si="913">X107*(1+AJ$263)</f>
        <v>0</v>
      </c>
      <c r="AK107" s="120">
        <f t="shared" si="913"/>
        <v>0</v>
      </c>
      <c r="AL107" s="120">
        <f t="shared" si="913"/>
        <v>0</v>
      </c>
      <c r="AM107" s="120">
        <f t="shared" si="913"/>
        <v>0</v>
      </c>
      <c r="AN107" s="120">
        <f t="shared" si="913"/>
        <v>469.43764100000004</v>
      </c>
      <c r="AO107" s="120">
        <f t="shared" si="913"/>
        <v>-469.43764100000004</v>
      </c>
      <c r="AP107" s="120">
        <f t="shared" si="913"/>
        <v>0</v>
      </c>
      <c r="AQ107" s="120">
        <f t="shared" si="913"/>
        <v>0</v>
      </c>
      <c r="AR107" s="120">
        <f t="shared" si="913"/>
        <v>0</v>
      </c>
      <c r="AS107" s="120">
        <f t="shared" si="913"/>
        <v>0</v>
      </c>
      <c r="AT107" s="120">
        <f t="shared" ref="AT107:BC112" si="914">AH107*(1+AT$263)</f>
        <v>0</v>
      </c>
      <c r="AU107" s="120">
        <f t="shared" si="914"/>
        <v>0</v>
      </c>
      <c r="AV107" s="120">
        <f t="shared" si="914"/>
        <v>0</v>
      </c>
      <c r="AW107" s="120">
        <f t="shared" si="914"/>
        <v>0</v>
      </c>
      <c r="AX107" s="120">
        <f t="shared" si="914"/>
        <v>0</v>
      </c>
      <c r="AY107" s="120">
        <f t="shared" si="914"/>
        <v>0</v>
      </c>
      <c r="AZ107" s="120">
        <f t="shared" si="914"/>
        <v>483.52077023000004</v>
      </c>
      <c r="BA107" s="120">
        <f t="shared" si="914"/>
        <v>-483.52077023000004</v>
      </c>
      <c r="BB107" s="120">
        <f t="shared" si="914"/>
        <v>0</v>
      </c>
      <c r="BC107" s="120">
        <f t="shared" si="914"/>
        <v>0</v>
      </c>
      <c r="BD107" s="120">
        <f t="shared" ref="BD107:BM112" si="915">AR107*(1+BD$263)</f>
        <v>0</v>
      </c>
      <c r="BE107" s="120">
        <f t="shared" si="915"/>
        <v>0</v>
      </c>
      <c r="BF107" s="120">
        <f t="shared" si="915"/>
        <v>0</v>
      </c>
      <c r="BG107" s="120">
        <f t="shared" si="915"/>
        <v>0</v>
      </c>
      <c r="BH107" s="120">
        <f t="shared" si="915"/>
        <v>0</v>
      </c>
      <c r="BI107" s="120">
        <f t="shared" si="915"/>
        <v>0</v>
      </c>
      <c r="BJ107" s="120">
        <f t="shared" si="915"/>
        <v>0</v>
      </c>
      <c r="BK107" s="120">
        <f t="shared" si="915"/>
        <v>0</v>
      </c>
      <c r="BL107" s="120">
        <f t="shared" si="915"/>
        <v>498.02639333690007</v>
      </c>
      <c r="BM107" s="120">
        <f t="shared" si="915"/>
        <v>-498.02639333690007</v>
      </c>
      <c r="BN107" s="120">
        <f t="shared" ref="BN107:BW112" si="916">BB107*(1+BN$263)</f>
        <v>0</v>
      </c>
      <c r="BO107" s="120">
        <f t="shared" si="916"/>
        <v>0</v>
      </c>
      <c r="BP107" s="120">
        <f t="shared" si="916"/>
        <v>0</v>
      </c>
      <c r="BQ107" s="120">
        <f t="shared" si="916"/>
        <v>0</v>
      </c>
      <c r="BR107" s="120">
        <f t="shared" si="916"/>
        <v>0</v>
      </c>
      <c r="BS107" s="120">
        <f t="shared" si="916"/>
        <v>0</v>
      </c>
      <c r="BT107" s="120">
        <f t="shared" si="916"/>
        <v>0</v>
      </c>
      <c r="BU107" s="120">
        <f t="shared" si="916"/>
        <v>0</v>
      </c>
      <c r="BV107" s="120">
        <f t="shared" si="916"/>
        <v>0</v>
      </c>
      <c r="BW107" s="120">
        <f t="shared" si="916"/>
        <v>0</v>
      </c>
      <c r="BX107" s="120">
        <f t="shared" ref="BX107:BX112" si="917">BL107*(1+BX$263)</f>
        <v>512.96718513700705</v>
      </c>
      <c r="BY107" s="8"/>
      <c r="BZ107" s="72">
        <f t="shared" si="879"/>
        <v>0</v>
      </c>
      <c r="CA107" s="72">
        <f t="shared" si="880"/>
        <v>-442.49</v>
      </c>
      <c r="CB107" s="97"/>
      <c r="CC107" s="72">
        <f t="shared" si="895"/>
        <v>0</v>
      </c>
      <c r="CD107" s="72">
        <f t="shared" si="896"/>
        <v>0</v>
      </c>
      <c r="CE107" s="72">
        <f t="shared" si="896"/>
        <v>6822.63</v>
      </c>
      <c r="CF107" s="72">
        <f t="shared" si="896"/>
        <v>13.274699999999996</v>
      </c>
      <c r="CG107" s="72">
        <f t="shared" si="896"/>
        <v>13.672941000000037</v>
      </c>
      <c r="CH107" s="72">
        <f t="shared" si="896"/>
        <v>14.083129229999997</v>
      </c>
      <c r="CI107" s="72">
        <f t="shared" si="896"/>
        <v>14.505623106900032</v>
      </c>
      <c r="CJ107" s="72">
        <f t="shared" si="896"/>
        <v>14.940791800106979</v>
      </c>
      <c r="CL107" s="13"/>
      <c r="CM107" s="13"/>
    </row>
    <row r="108" spans="1:92" x14ac:dyDescent="0.3">
      <c r="A108" s="97" t="str">
        <f>'DCS Detail'!A108</f>
        <v xml:space="preserve">         340.7 IT Consult/Website</v>
      </c>
      <c r="B108" s="106" t="str">
        <f>IF('DCS Detail'!$B108="","",'DCS Detail'!$B108)</f>
        <v>Prof. Serv.</v>
      </c>
      <c r="C108" s="106"/>
      <c r="D108" s="106"/>
      <c r="E108" s="18">
        <v>0</v>
      </c>
      <c r="F108" s="18">
        <v>0</v>
      </c>
      <c r="G108" s="18">
        <v>0</v>
      </c>
      <c r="H108" s="18">
        <v>0</v>
      </c>
      <c r="I108" s="18">
        <v>0</v>
      </c>
      <c r="J108" s="18">
        <v>0</v>
      </c>
      <c r="K108" s="18">
        <v>0</v>
      </c>
      <c r="L108" s="18">
        <v>0</v>
      </c>
      <c r="M108" s="18">
        <v>0</v>
      </c>
      <c r="N108" s="18">
        <v>3042</v>
      </c>
      <c r="O108" s="18">
        <v>0</v>
      </c>
      <c r="P108" s="18">
        <v>0</v>
      </c>
      <c r="Q108" s="18">
        <v>0</v>
      </c>
      <c r="R108" s="18">
        <v>0</v>
      </c>
      <c r="S108" s="18">
        <v>0</v>
      </c>
      <c r="T108" s="18">
        <v>0</v>
      </c>
      <c r="U108" s="18">
        <v>0</v>
      </c>
      <c r="V108" s="18">
        <v>0</v>
      </c>
      <c r="W108" s="18">
        <v>0</v>
      </c>
      <c r="X108" s="18">
        <v>0</v>
      </c>
      <c r="Y108" s="18">
        <v>0</v>
      </c>
      <c r="Z108" s="18">
        <v>0</v>
      </c>
      <c r="AA108" s="146">
        <v>0</v>
      </c>
      <c r="AB108" s="120">
        <f t="shared" si="912"/>
        <v>0</v>
      </c>
      <c r="AC108" s="120">
        <f t="shared" si="912"/>
        <v>0</v>
      </c>
      <c r="AD108" s="120">
        <f t="shared" si="912"/>
        <v>0</v>
      </c>
      <c r="AE108" s="120">
        <f t="shared" si="912"/>
        <v>0</v>
      </c>
      <c r="AF108" s="120">
        <f t="shared" si="912"/>
        <v>0</v>
      </c>
      <c r="AG108" s="120">
        <f t="shared" si="912"/>
        <v>0</v>
      </c>
      <c r="AH108" s="120">
        <f t="shared" si="912"/>
        <v>0</v>
      </c>
      <c r="AI108" s="120">
        <f t="shared" si="912"/>
        <v>0</v>
      </c>
      <c r="AJ108" s="120">
        <f t="shared" si="913"/>
        <v>0</v>
      </c>
      <c r="AK108" s="120">
        <f t="shared" si="913"/>
        <v>0</v>
      </c>
      <c r="AL108" s="120">
        <f t="shared" si="913"/>
        <v>0</v>
      </c>
      <c r="AM108" s="120">
        <f t="shared" si="913"/>
        <v>0</v>
      </c>
      <c r="AN108" s="120">
        <f t="shared" si="913"/>
        <v>0</v>
      </c>
      <c r="AO108" s="120">
        <f t="shared" si="913"/>
        <v>0</v>
      </c>
      <c r="AP108" s="120">
        <f t="shared" si="913"/>
        <v>0</v>
      </c>
      <c r="AQ108" s="120">
        <f t="shared" si="913"/>
        <v>0</v>
      </c>
      <c r="AR108" s="120">
        <f t="shared" si="913"/>
        <v>0</v>
      </c>
      <c r="AS108" s="120">
        <f t="shared" si="913"/>
        <v>0</v>
      </c>
      <c r="AT108" s="120">
        <f t="shared" si="914"/>
        <v>0</v>
      </c>
      <c r="AU108" s="120">
        <f t="shared" si="914"/>
        <v>0</v>
      </c>
      <c r="AV108" s="120">
        <f t="shared" si="914"/>
        <v>0</v>
      </c>
      <c r="AW108" s="120">
        <f t="shared" si="914"/>
        <v>0</v>
      </c>
      <c r="AX108" s="120">
        <f t="shared" si="914"/>
        <v>0</v>
      </c>
      <c r="AY108" s="120">
        <f t="shared" si="914"/>
        <v>0</v>
      </c>
      <c r="AZ108" s="120">
        <f t="shared" si="914"/>
        <v>0</v>
      </c>
      <c r="BA108" s="120">
        <f t="shared" si="914"/>
        <v>0</v>
      </c>
      <c r="BB108" s="120">
        <f t="shared" si="914"/>
        <v>0</v>
      </c>
      <c r="BC108" s="120">
        <f t="shared" si="914"/>
        <v>0</v>
      </c>
      <c r="BD108" s="120">
        <f t="shared" si="915"/>
        <v>0</v>
      </c>
      <c r="BE108" s="120">
        <f t="shared" si="915"/>
        <v>0</v>
      </c>
      <c r="BF108" s="120">
        <f t="shared" si="915"/>
        <v>0</v>
      </c>
      <c r="BG108" s="120">
        <f t="shared" si="915"/>
        <v>0</v>
      </c>
      <c r="BH108" s="120">
        <f t="shared" si="915"/>
        <v>0</v>
      </c>
      <c r="BI108" s="120">
        <f t="shared" si="915"/>
        <v>0</v>
      </c>
      <c r="BJ108" s="120">
        <f t="shared" si="915"/>
        <v>0</v>
      </c>
      <c r="BK108" s="120">
        <f t="shared" si="915"/>
        <v>0</v>
      </c>
      <c r="BL108" s="120">
        <f t="shared" si="915"/>
        <v>0</v>
      </c>
      <c r="BM108" s="120">
        <f t="shared" si="915"/>
        <v>0</v>
      </c>
      <c r="BN108" s="120">
        <f t="shared" si="916"/>
        <v>0</v>
      </c>
      <c r="BO108" s="120">
        <f t="shared" si="916"/>
        <v>0</v>
      </c>
      <c r="BP108" s="120">
        <f t="shared" si="916"/>
        <v>0</v>
      </c>
      <c r="BQ108" s="120">
        <f t="shared" si="916"/>
        <v>0</v>
      </c>
      <c r="BR108" s="120">
        <f t="shared" si="916"/>
        <v>0</v>
      </c>
      <c r="BS108" s="120">
        <f t="shared" si="916"/>
        <v>0</v>
      </c>
      <c r="BT108" s="120">
        <f t="shared" si="916"/>
        <v>0</v>
      </c>
      <c r="BU108" s="120">
        <f t="shared" si="916"/>
        <v>0</v>
      </c>
      <c r="BV108" s="120">
        <f t="shared" si="916"/>
        <v>0</v>
      </c>
      <c r="BW108" s="120">
        <f t="shared" si="916"/>
        <v>0</v>
      </c>
      <c r="BX108" s="120">
        <f t="shared" si="917"/>
        <v>0</v>
      </c>
      <c r="BY108" s="8"/>
      <c r="BZ108" s="72">
        <f t="shared" si="879"/>
        <v>0</v>
      </c>
      <c r="CA108" s="72">
        <f t="shared" si="880"/>
        <v>0</v>
      </c>
      <c r="CB108" s="97"/>
      <c r="CC108" s="72">
        <f t="shared" si="895"/>
        <v>0</v>
      </c>
      <c r="CD108" s="72">
        <f t="shared" ref="CD108:CJ117" si="918">SUMIF($C$3:$BY$3,CD$3,$C108:$BY108)</f>
        <v>0</v>
      </c>
      <c r="CE108" s="72">
        <f t="shared" si="918"/>
        <v>3042</v>
      </c>
      <c r="CF108" s="72">
        <f t="shared" si="918"/>
        <v>0</v>
      </c>
      <c r="CG108" s="72">
        <f t="shared" si="918"/>
        <v>0</v>
      </c>
      <c r="CH108" s="72">
        <f t="shared" si="918"/>
        <v>0</v>
      </c>
      <c r="CI108" s="72">
        <f t="shared" si="918"/>
        <v>0</v>
      </c>
      <c r="CJ108" s="72">
        <f t="shared" si="918"/>
        <v>0</v>
      </c>
      <c r="CL108" s="13"/>
      <c r="CM108" s="13"/>
    </row>
    <row r="109" spans="1:92" x14ac:dyDescent="0.3">
      <c r="A109" s="97" t="str">
        <f>'DCS Detail'!A109</f>
        <v xml:space="preserve">         600.3 General Office Supplies</v>
      </c>
      <c r="B109" s="106" t="str">
        <f>IF('DCS Detail'!$B109="","",'DCS Detail'!$B109)</f>
        <v>Supplies</v>
      </c>
      <c r="C109" s="106"/>
      <c r="D109" s="106"/>
      <c r="E109" s="18">
        <v>307.06</v>
      </c>
      <c r="F109" s="18">
        <v>204.25</v>
      </c>
      <c r="G109" s="18">
        <v>1406.91</v>
      </c>
      <c r="H109" s="18">
        <v>88.57</v>
      </c>
      <c r="I109" s="18">
        <v>182.45</v>
      </c>
      <c r="J109" s="18">
        <v>-56.18</v>
      </c>
      <c r="K109" s="18">
        <v>31.21</v>
      </c>
      <c r="L109" s="18">
        <v>21.420000000000073</v>
      </c>
      <c r="M109" s="18">
        <v>274.5</v>
      </c>
      <c r="N109" s="18">
        <v>73.44</v>
      </c>
      <c r="O109" s="18">
        <v>3438.1</v>
      </c>
      <c r="P109" s="18">
        <v>0</v>
      </c>
      <c r="Q109" s="18">
        <v>0</v>
      </c>
      <c r="R109" s="18">
        <v>399.9</v>
      </c>
      <c r="S109" s="18">
        <v>889.68</v>
      </c>
      <c r="T109" s="18">
        <v>559.86</v>
      </c>
      <c r="U109" s="18">
        <v>401.88</v>
      </c>
      <c r="V109" s="18">
        <v>15.23</v>
      </c>
      <c r="W109" s="18">
        <v>5090.68</v>
      </c>
      <c r="X109" s="18">
        <v>167.49</v>
      </c>
      <c r="Y109" s="18">
        <v>15.64</v>
      </c>
      <c r="Z109" s="18">
        <v>0</v>
      </c>
      <c r="AA109" s="146">
        <v>17.12</v>
      </c>
      <c r="AB109" s="120">
        <f t="shared" si="912"/>
        <v>0</v>
      </c>
      <c r="AC109" s="120">
        <f t="shared" si="912"/>
        <v>0</v>
      </c>
      <c r="AD109" s="120">
        <f t="shared" si="912"/>
        <v>411.89699999999999</v>
      </c>
      <c r="AE109" s="120">
        <f t="shared" si="912"/>
        <v>916.37040000000002</v>
      </c>
      <c r="AF109" s="120">
        <f t="shared" si="912"/>
        <v>576.6558</v>
      </c>
      <c r="AG109" s="120">
        <f t="shared" si="912"/>
        <v>413.93639999999999</v>
      </c>
      <c r="AH109" s="120">
        <f t="shared" si="912"/>
        <v>15.686900000000001</v>
      </c>
      <c r="AI109" s="120">
        <f t="shared" si="912"/>
        <v>5243.4004000000004</v>
      </c>
      <c r="AJ109" s="120">
        <f t="shared" si="913"/>
        <v>172.5147</v>
      </c>
      <c r="AK109" s="120">
        <f t="shared" si="913"/>
        <v>16.109200000000001</v>
      </c>
      <c r="AL109" s="120">
        <f t="shared" si="913"/>
        <v>0</v>
      </c>
      <c r="AM109" s="120">
        <f t="shared" si="913"/>
        <v>17.633600000000001</v>
      </c>
      <c r="AN109" s="120">
        <f t="shared" si="913"/>
        <v>0</v>
      </c>
      <c r="AO109" s="120">
        <f t="shared" si="913"/>
        <v>0</v>
      </c>
      <c r="AP109" s="120">
        <f t="shared" si="913"/>
        <v>424.25391000000002</v>
      </c>
      <c r="AQ109" s="120">
        <f t="shared" si="913"/>
        <v>943.86151200000006</v>
      </c>
      <c r="AR109" s="120">
        <f t="shared" si="913"/>
        <v>593.95547399999998</v>
      </c>
      <c r="AS109" s="120">
        <f t="shared" si="913"/>
        <v>426.35449199999999</v>
      </c>
      <c r="AT109" s="120">
        <f t="shared" si="914"/>
        <v>16.157507000000003</v>
      </c>
      <c r="AU109" s="120">
        <f t="shared" si="914"/>
        <v>5400.7024120000005</v>
      </c>
      <c r="AV109" s="120">
        <f t="shared" si="914"/>
        <v>177.69014100000001</v>
      </c>
      <c r="AW109" s="120">
        <f t="shared" si="914"/>
        <v>16.592476000000001</v>
      </c>
      <c r="AX109" s="120">
        <f t="shared" si="914"/>
        <v>0</v>
      </c>
      <c r="AY109" s="120">
        <f t="shared" si="914"/>
        <v>18.162608000000002</v>
      </c>
      <c r="AZ109" s="120">
        <f t="shared" si="914"/>
        <v>0</v>
      </c>
      <c r="BA109" s="120">
        <f t="shared" si="914"/>
        <v>0</v>
      </c>
      <c r="BB109" s="120">
        <f t="shared" si="914"/>
        <v>436.98152730000004</v>
      </c>
      <c r="BC109" s="120">
        <f t="shared" si="914"/>
        <v>972.17735736000009</v>
      </c>
      <c r="BD109" s="120">
        <f t="shared" si="915"/>
        <v>611.77413821999994</v>
      </c>
      <c r="BE109" s="120">
        <f t="shared" si="915"/>
        <v>439.14512675999998</v>
      </c>
      <c r="BF109" s="120">
        <f t="shared" si="915"/>
        <v>16.642232210000003</v>
      </c>
      <c r="BG109" s="120">
        <f t="shared" si="915"/>
        <v>5562.7234843600008</v>
      </c>
      <c r="BH109" s="120">
        <f t="shared" si="915"/>
        <v>183.02084523000002</v>
      </c>
      <c r="BI109" s="120">
        <f t="shared" si="915"/>
        <v>17.090250280000003</v>
      </c>
      <c r="BJ109" s="120">
        <f t="shared" si="915"/>
        <v>0</v>
      </c>
      <c r="BK109" s="120">
        <f t="shared" si="915"/>
        <v>18.707486240000001</v>
      </c>
      <c r="BL109" s="120">
        <f t="shared" si="915"/>
        <v>0</v>
      </c>
      <c r="BM109" s="120">
        <f t="shared" si="915"/>
        <v>0</v>
      </c>
      <c r="BN109" s="120">
        <f t="shared" si="916"/>
        <v>450.09097311900007</v>
      </c>
      <c r="BO109" s="120">
        <f t="shared" si="916"/>
        <v>1001.3426780808002</v>
      </c>
      <c r="BP109" s="120">
        <f t="shared" si="916"/>
        <v>630.12736236659998</v>
      </c>
      <c r="BQ109" s="120">
        <f t="shared" si="916"/>
        <v>452.31948056279998</v>
      </c>
      <c r="BR109" s="120">
        <f t="shared" si="916"/>
        <v>17.141499176300005</v>
      </c>
      <c r="BS109" s="120">
        <f t="shared" si="916"/>
        <v>5729.6051888908014</v>
      </c>
      <c r="BT109" s="120">
        <f t="shared" si="916"/>
        <v>188.51147058690003</v>
      </c>
      <c r="BU109" s="120">
        <f t="shared" si="916"/>
        <v>17.602957788400005</v>
      </c>
      <c r="BV109" s="120">
        <f t="shared" si="916"/>
        <v>0</v>
      </c>
      <c r="BW109" s="120">
        <f t="shared" si="916"/>
        <v>19.268710827200003</v>
      </c>
      <c r="BX109" s="120">
        <f t="shared" si="917"/>
        <v>0</v>
      </c>
      <c r="BY109" s="8"/>
      <c r="BZ109" s="72">
        <f t="shared" si="879"/>
        <v>17.12</v>
      </c>
      <c r="CA109" s="72">
        <f t="shared" si="880"/>
        <v>7557.4800000000005</v>
      </c>
      <c r="CB109" s="97"/>
      <c r="CC109" s="72">
        <f t="shared" si="895"/>
        <v>0</v>
      </c>
      <c r="CD109" s="72">
        <f t="shared" si="918"/>
        <v>0</v>
      </c>
      <c r="CE109" s="72">
        <f t="shared" si="918"/>
        <v>5971.73</v>
      </c>
      <c r="CF109" s="72">
        <f t="shared" si="918"/>
        <v>7557.4800000000005</v>
      </c>
      <c r="CG109" s="72">
        <f t="shared" si="918"/>
        <v>7784.2044000000005</v>
      </c>
      <c r="CH109" s="72">
        <f t="shared" si="918"/>
        <v>8017.7305319999996</v>
      </c>
      <c r="CI109" s="72">
        <f t="shared" si="918"/>
        <v>8258.2624479600017</v>
      </c>
      <c r="CJ109" s="72">
        <f t="shared" si="918"/>
        <v>8506.0103213988023</v>
      </c>
      <c r="CL109" s="13"/>
      <c r="CM109" s="13"/>
    </row>
    <row r="110" spans="1:92" x14ac:dyDescent="0.3">
      <c r="A110" s="97" t="str">
        <f>'DCS Detail'!A110</f>
        <v xml:space="preserve">         890 SUNSHINE COMMITTEE EXPENSE</v>
      </c>
      <c r="B110" s="106" t="str">
        <f>IF('DCS Detail'!$B110="","",'DCS Detail'!$B110)</f>
        <v>Misc.</v>
      </c>
      <c r="C110" s="106"/>
      <c r="D110" s="106"/>
      <c r="E110" s="18">
        <v>0</v>
      </c>
      <c r="F110" s="18">
        <v>0</v>
      </c>
      <c r="G110" s="18">
        <v>38.97</v>
      </c>
      <c r="H110" s="18">
        <v>42.65</v>
      </c>
      <c r="I110" s="18">
        <v>16.260000000000002</v>
      </c>
      <c r="J110" s="18">
        <v>0</v>
      </c>
      <c r="K110" s="18">
        <v>0</v>
      </c>
      <c r="L110" s="18">
        <v>18.579999999999984</v>
      </c>
      <c r="M110" s="18">
        <v>57.98</v>
      </c>
      <c r="N110" s="18">
        <v>0</v>
      </c>
      <c r="O110" s="18">
        <v>0</v>
      </c>
      <c r="P110" s="18">
        <v>0</v>
      </c>
      <c r="Q110" s="18">
        <v>37.71</v>
      </c>
      <c r="R110" s="18">
        <v>0</v>
      </c>
      <c r="S110" s="18">
        <v>0</v>
      </c>
      <c r="T110" s="18">
        <v>0</v>
      </c>
      <c r="U110" s="18">
        <v>40.54</v>
      </c>
      <c r="V110" s="18">
        <v>0</v>
      </c>
      <c r="W110" s="18">
        <v>0</v>
      </c>
      <c r="X110" s="18">
        <v>0</v>
      </c>
      <c r="Y110" s="18">
        <v>0</v>
      </c>
      <c r="Z110" s="18">
        <v>0</v>
      </c>
      <c r="AA110" s="146">
        <v>0</v>
      </c>
      <c r="AB110" s="120">
        <f t="shared" si="912"/>
        <v>0</v>
      </c>
      <c r="AC110" s="120">
        <f t="shared" si="912"/>
        <v>38.841300000000004</v>
      </c>
      <c r="AD110" s="120">
        <f t="shared" si="912"/>
        <v>0</v>
      </c>
      <c r="AE110" s="120">
        <f t="shared" si="912"/>
        <v>0</v>
      </c>
      <c r="AF110" s="120">
        <f t="shared" si="912"/>
        <v>0</v>
      </c>
      <c r="AG110" s="120">
        <f t="shared" si="912"/>
        <v>41.7562</v>
      </c>
      <c r="AH110" s="120">
        <f t="shared" si="912"/>
        <v>0</v>
      </c>
      <c r="AI110" s="120">
        <f t="shared" si="912"/>
        <v>0</v>
      </c>
      <c r="AJ110" s="120">
        <f t="shared" si="913"/>
        <v>0</v>
      </c>
      <c r="AK110" s="120">
        <f t="shared" si="913"/>
        <v>0</v>
      </c>
      <c r="AL110" s="120">
        <f t="shared" si="913"/>
        <v>0</v>
      </c>
      <c r="AM110" s="120">
        <f t="shared" si="913"/>
        <v>0</v>
      </c>
      <c r="AN110" s="120">
        <f t="shared" si="913"/>
        <v>0</v>
      </c>
      <c r="AO110" s="120">
        <f t="shared" si="913"/>
        <v>40.006539000000004</v>
      </c>
      <c r="AP110" s="120">
        <f t="shared" si="913"/>
        <v>0</v>
      </c>
      <c r="AQ110" s="120">
        <f t="shared" si="913"/>
        <v>0</v>
      </c>
      <c r="AR110" s="120">
        <f t="shared" si="913"/>
        <v>0</v>
      </c>
      <c r="AS110" s="120">
        <f t="shared" si="913"/>
        <v>43.008886000000004</v>
      </c>
      <c r="AT110" s="120">
        <f t="shared" si="914"/>
        <v>0</v>
      </c>
      <c r="AU110" s="120">
        <f t="shared" si="914"/>
        <v>0</v>
      </c>
      <c r="AV110" s="120">
        <f t="shared" si="914"/>
        <v>0</v>
      </c>
      <c r="AW110" s="120">
        <f t="shared" si="914"/>
        <v>0</v>
      </c>
      <c r="AX110" s="120">
        <f t="shared" si="914"/>
        <v>0</v>
      </c>
      <c r="AY110" s="120">
        <f t="shared" si="914"/>
        <v>0</v>
      </c>
      <c r="AZ110" s="120">
        <f t="shared" si="914"/>
        <v>0</v>
      </c>
      <c r="BA110" s="120">
        <f t="shared" si="914"/>
        <v>41.206735170000002</v>
      </c>
      <c r="BB110" s="120">
        <f t="shared" si="914"/>
        <v>0</v>
      </c>
      <c r="BC110" s="120">
        <f t="shared" si="914"/>
        <v>0</v>
      </c>
      <c r="BD110" s="120">
        <f t="shared" si="915"/>
        <v>0</v>
      </c>
      <c r="BE110" s="120">
        <f t="shared" si="915"/>
        <v>44.299152580000005</v>
      </c>
      <c r="BF110" s="120">
        <f t="shared" si="915"/>
        <v>0</v>
      </c>
      <c r="BG110" s="120">
        <f t="shared" si="915"/>
        <v>0</v>
      </c>
      <c r="BH110" s="120">
        <f t="shared" si="915"/>
        <v>0</v>
      </c>
      <c r="BI110" s="120">
        <f t="shared" si="915"/>
        <v>0</v>
      </c>
      <c r="BJ110" s="120">
        <f t="shared" si="915"/>
        <v>0</v>
      </c>
      <c r="BK110" s="120">
        <f t="shared" si="915"/>
        <v>0</v>
      </c>
      <c r="BL110" s="120">
        <f t="shared" si="915"/>
        <v>0</v>
      </c>
      <c r="BM110" s="120">
        <f t="shared" si="915"/>
        <v>42.442937225100003</v>
      </c>
      <c r="BN110" s="120">
        <f t="shared" si="916"/>
        <v>0</v>
      </c>
      <c r="BO110" s="120">
        <f t="shared" si="916"/>
        <v>0</v>
      </c>
      <c r="BP110" s="120">
        <f t="shared" si="916"/>
        <v>0</v>
      </c>
      <c r="BQ110" s="120">
        <f t="shared" si="916"/>
        <v>45.628127157400009</v>
      </c>
      <c r="BR110" s="120">
        <f t="shared" si="916"/>
        <v>0</v>
      </c>
      <c r="BS110" s="120">
        <f t="shared" si="916"/>
        <v>0</v>
      </c>
      <c r="BT110" s="120">
        <f t="shared" si="916"/>
        <v>0</v>
      </c>
      <c r="BU110" s="120">
        <f t="shared" si="916"/>
        <v>0</v>
      </c>
      <c r="BV110" s="120">
        <f t="shared" si="916"/>
        <v>0</v>
      </c>
      <c r="BW110" s="120">
        <f t="shared" si="916"/>
        <v>0</v>
      </c>
      <c r="BX110" s="120">
        <f t="shared" si="917"/>
        <v>0</v>
      </c>
      <c r="BY110" s="8"/>
      <c r="BZ110" s="72">
        <f t="shared" si="879"/>
        <v>0</v>
      </c>
      <c r="CA110" s="72">
        <f t="shared" si="880"/>
        <v>78.25</v>
      </c>
      <c r="CB110" s="97"/>
      <c r="CC110" s="72">
        <f t="shared" si="895"/>
        <v>0</v>
      </c>
      <c r="CD110" s="72">
        <f t="shared" si="918"/>
        <v>0</v>
      </c>
      <c r="CE110" s="72">
        <f t="shared" si="918"/>
        <v>174.44</v>
      </c>
      <c r="CF110" s="72">
        <f t="shared" si="918"/>
        <v>78.25</v>
      </c>
      <c r="CG110" s="72">
        <f t="shared" si="918"/>
        <v>80.597499999999997</v>
      </c>
      <c r="CH110" s="72">
        <f t="shared" si="918"/>
        <v>83.015425000000008</v>
      </c>
      <c r="CI110" s="72">
        <f t="shared" si="918"/>
        <v>85.505887749999999</v>
      </c>
      <c r="CJ110" s="72">
        <f t="shared" si="918"/>
        <v>88.071064382500012</v>
      </c>
      <c r="CL110" s="13"/>
      <c r="CM110" s="13"/>
    </row>
    <row r="111" spans="1:92" x14ac:dyDescent="0.3">
      <c r="A111" s="97" t="str">
        <f>'DCS Detail'!A111</f>
        <v xml:space="preserve">         810.1 Dues &amp; Subscriptions</v>
      </c>
      <c r="B111" s="106" t="str">
        <f>IF('DCS Detail'!$B111="","",'DCS Detail'!$B111)</f>
        <v>Misc.</v>
      </c>
      <c r="C111" s="106"/>
      <c r="D111" s="106"/>
      <c r="E111" s="18">
        <v>0</v>
      </c>
      <c r="F111" s="18">
        <v>0</v>
      </c>
      <c r="G111" s="18">
        <v>0</v>
      </c>
      <c r="H111" s="18">
        <v>0</v>
      </c>
      <c r="I111" s="18">
        <v>0</v>
      </c>
      <c r="J111" s="18">
        <v>0</v>
      </c>
      <c r="K111" s="18">
        <v>0</v>
      </c>
      <c r="L111" s="18">
        <v>0</v>
      </c>
      <c r="M111" s="18">
        <v>0</v>
      </c>
      <c r="N111" s="18">
        <v>0</v>
      </c>
      <c r="O111" s="18">
        <v>588.9</v>
      </c>
      <c r="P111" s="18">
        <v>255.06</v>
      </c>
      <c r="Q111" s="18">
        <v>458.64</v>
      </c>
      <c r="R111" s="18">
        <v>0</v>
      </c>
      <c r="S111" s="18">
        <v>0</v>
      </c>
      <c r="T111" s="18">
        <v>92.82</v>
      </c>
      <c r="U111" s="18">
        <v>0</v>
      </c>
      <c r="V111" s="18">
        <v>0</v>
      </c>
      <c r="W111" s="18">
        <v>386.1</v>
      </c>
      <c r="X111" s="18">
        <v>125</v>
      </c>
      <c r="Y111" s="18">
        <v>575</v>
      </c>
      <c r="Z111" s="18">
        <v>863.6</v>
      </c>
      <c r="AA111" s="146">
        <v>1530.5</v>
      </c>
      <c r="AB111" s="120">
        <f t="shared" si="912"/>
        <v>262.71179999999998</v>
      </c>
      <c r="AC111" s="120">
        <f t="shared" si="912"/>
        <v>472.39920000000001</v>
      </c>
      <c r="AD111" s="120">
        <f t="shared" si="912"/>
        <v>0</v>
      </c>
      <c r="AE111" s="120">
        <f t="shared" si="912"/>
        <v>0</v>
      </c>
      <c r="AF111" s="120">
        <f t="shared" si="912"/>
        <v>95.604599999999991</v>
      </c>
      <c r="AG111" s="120">
        <f t="shared" si="912"/>
        <v>0</v>
      </c>
      <c r="AH111" s="120">
        <f t="shared" si="912"/>
        <v>0</v>
      </c>
      <c r="AI111" s="120">
        <f t="shared" si="912"/>
        <v>397.68300000000005</v>
      </c>
      <c r="AJ111" s="120">
        <f t="shared" si="913"/>
        <v>128.75</v>
      </c>
      <c r="AK111" s="120">
        <f t="shared" si="913"/>
        <v>592.25</v>
      </c>
      <c r="AL111" s="120">
        <f t="shared" si="913"/>
        <v>889.50800000000004</v>
      </c>
      <c r="AM111" s="120">
        <f t="shared" si="913"/>
        <v>1576.415</v>
      </c>
      <c r="AN111" s="120">
        <f t="shared" si="913"/>
        <v>270.59315399999997</v>
      </c>
      <c r="AO111" s="120">
        <f t="shared" si="913"/>
        <v>486.57117600000004</v>
      </c>
      <c r="AP111" s="120">
        <f t="shared" si="913"/>
        <v>0</v>
      </c>
      <c r="AQ111" s="120">
        <f t="shared" si="913"/>
        <v>0</v>
      </c>
      <c r="AR111" s="120">
        <f t="shared" si="913"/>
        <v>98.472737999999993</v>
      </c>
      <c r="AS111" s="120">
        <f t="shared" si="913"/>
        <v>0</v>
      </c>
      <c r="AT111" s="120">
        <f t="shared" si="914"/>
        <v>0</v>
      </c>
      <c r="AU111" s="120">
        <f t="shared" si="914"/>
        <v>409.61349000000007</v>
      </c>
      <c r="AV111" s="120">
        <f t="shared" si="914"/>
        <v>132.61250000000001</v>
      </c>
      <c r="AW111" s="120">
        <f t="shared" si="914"/>
        <v>610.01750000000004</v>
      </c>
      <c r="AX111" s="120">
        <f t="shared" si="914"/>
        <v>916.19324000000006</v>
      </c>
      <c r="AY111" s="120">
        <f t="shared" si="914"/>
        <v>1623.7074500000001</v>
      </c>
      <c r="AZ111" s="120">
        <f t="shared" si="914"/>
        <v>278.71094861999995</v>
      </c>
      <c r="BA111" s="120">
        <f t="shared" si="914"/>
        <v>501.16831128000007</v>
      </c>
      <c r="BB111" s="120">
        <f t="shared" si="914"/>
        <v>0</v>
      </c>
      <c r="BC111" s="120">
        <f t="shared" si="914"/>
        <v>0</v>
      </c>
      <c r="BD111" s="120">
        <f t="shared" si="915"/>
        <v>101.42692013999999</v>
      </c>
      <c r="BE111" s="120">
        <f t="shared" si="915"/>
        <v>0</v>
      </c>
      <c r="BF111" s="120">
        <f t="shared" si="915"/>
        <v>0</v>
      </c>
      <c r="BG111" s="120">
        <f t="shared" si="915"/>
        <v>421.90189470000007</v>
      </c>
      <c r="BH111" s="120">
        <f t="shared" si="915"/>
        <v>136.59087500000001</v>
      </c>
      <c r="BI111" s="120">
        <f t="shared" si="915"/>
        <v>628.31802500000003</v>
      </c>
      <c r="BJ111" s="120">
        <f t="shared" si="915"/>
        <v>943.67903720000004</v>
      </c>
      <c r="BK111" s="120">
        <f t="shared" si="915"/>
        <v>1672.4186735000001</v>
      </c>
      <c r="BL111" s="120">
        <f t="shared" si="915"/>
        <v>287.07227707859994</v>
      </c>
      <c r="BM111" s="120">
        <f t="shared" si="915"/>
        <v>516.2033606184001</v>
      </c>
      <c r="BN111" s="120">
        <f t="shared" si="916"/>
        <v>0</v>
      </c>
      <c r="BO111" s="120">
        <f t="shared" si="916"/>
        <v>0</v>
      </c>
      <c r="BP111" s="120">
        <f t="shared" si="916"/>
        <v>104.4697277442</v>
      </c>
      <c r="BQ111" s="120">
        <f t="shared" si="916"/>
        <v>0</v>
      </c>
      <c r="BR111" s="120">
        <f t="shared" si="916"/>
        <v>0</v>
      </c>
      <c r="BS111" s="120">
        <f t="shared" si="916"/>
        <v>434.55895154100006</v>
      </c>
      <c r="BT111" s="120">
        <f t="shared" si="916"/>
        <v>140.68860125</v>
      </c>
      <c r="BU111" s="120">
        <f t="shared" si="916"/>
        <v>647.16756575000011</v>
      </c>
      <c r="BV111" s="120">
        <f t="shared" si="916"/>
        <v>971.98940831600009</v>
      </c>
      <c r="BW111" s="120">
        <f t="shared" si="916"/>
        <v>1722.5912337050001</v>
      </c>
      <c r="BX111" s="120">
        <f t="shared" si="917"/>
        <v>295.68444539095793</v>
      </c>
      <c r="BY111" s="8"/>
      <c r="BZ111" s="72">
        <f t="shared" si="879"/>
        <v>1530.5</v>
      </c>
      <c r="CA111" s="72">
        <f t="shared" si="880"/>
        <v>4031.66</v>
      </c>
      <c r="CB111" s="97"/>
      <c r="CC111" s="72">
        <f t="shared" si="895"/>
        <v>0</v>
      </c>
      <c r="CD111" s="72">
        <f t="shared" si="918"/>
        <v>0</v>
      </c>
      <c r="CE111" s="72">
        <f t="shared" si="918"/>
        <v>843.96</v>
      </c>
      <c r="CF111" s="72">
        <f t="shared" si="918"/>
        <v>4294.3717999999999</v>
      </c>
      <c r="CG111" s="72">
        <f t="shared" si="918"/>
        <v>4423.2029540000003</v>
      </c>
      <c r="CH111" s="72">
        <f t="shared" si="918"/>
        <v>4555.8990426199998</v>
      </c>
      <c r="CI111" s="72">
        <f t="shared" si="918"/>
        <v>4692.5760138986006</v>
      </c>
      <c r="CJ111" s="72">
        <f t="shared" si="918"/>
        <v>4833.3532943155587</v>
      </c>
      <c r="CL111" s="13"/>
      <c r="CM111" s="13"/>
    </row>
    <row r="112" spans="1:92" x14ac:dyDescent="0.3">
      <c r="A112" s="97" t="str">
        <f>'DCS Detail'!A112</f>
        <v xml:space="preserve">         890.7 Bank Charges</v>
      </c>
      <c r="B112" s="106" t="str">
        <f>IF('DCS Detail'!$B112="","",'DCS Detail'!$B112)</f>
        <v>Misc.</v>
      </c>
      <c r="C112" s="139"/>
      <c r="D112" s="139"/>
      <c r="E112" s="121">
        <v>25</v>
      </c>
      <c r="F112" s="121">
        <v>19.5</v>
      </c>
      <c r="G112" s="121">
        <v>19.5</v>
      </c>
      <c r="H112" s="121">
        <v>19.5</v>
      </c>
      <c r="I112" s="121">
        <v>39</v>
      </c>
      <c r="J112" s="121">
        <v>0</v>
      </c>
      <c r="K112" s="121">
        <v>19.5</v>
      </c>
      <c r="L112" s="121">
        <v>19.5</v>
      </c>
      <c r="M112" s="121">
        <v>19.5</v>
      </c>
      <c r="N112" s="121">
        <v>19.5</v>
      </c>
      <c r="O112" s="121">
        <v>19.5</v>
      </c>
      <c r="P112" s="121">
        <v>19.5</v>
      </c>
      <c r="Q112" s="121">
        <v>27.3</v>
      </c>
      <c r="R112" s="121">
        <v>19.5</v>
      </c>
      <c r="S112" s="121">
        <v>19.5</v>
      </c>
      <c r="T112" s="121">
        <v>19.93</v>
      </c>
      <c r="U112" s="121">
        <v>19.5</v>
      </c>
      <c r="V112" s="121">
        <v>19.5</v>
      </c>
      <c r="W112" s="121">
        <v>19.5</v>
      </c>
      <c r="X112" s="121">
        <v>19.5</v>
      </c>
      <c r="Y112" s="121">
        <v>28.86</v>
      </c>
      <c r="Z112" s="121">
        <v>19.5</v>
      </c>
      <c r="AA112" s="121">
        <v>19.5</v>
      </c>
      <c r="AB112" s="144">
        <f t="shared" si="912"/>
        <v>20.085000000000001</v>
      </c>
      <c r="AC112" s="144">
        <f t="shared" si="912"/>
        <v>28.119</v>
      </c>
      <c r="AD112" s="144">
        <f t="shared" si="912"/>
        <v>20.085000000000001</v>
      </c>
      <c r="AE112" s="144">
        <f t="shared" si="912"/>
        <v>20.085000000000001</v>
      </c>
      <c r="AF112" s="144">
        <f t="shared" si="912"/>
        <v>20.527899999999999</v>
      </c>
      <c r="AG112" s="144">
        <f t="shared" si="912"/>
        <v>20.085000000000001</v>
      </c>
      <c r="AH112" s="144">
        <f t="shared" si="912"/>
        <v>20.085000000000001</v>
      </c>
      <c r="AI112" s="144">
        <f t="shared" si="912"/>
        <v>20.085000000000001</v>
      </c>
      <c r="AJ112" s="144">
        <f t="shared" si="913"/>
        <v>20.085000000000001</v>
      </c>
      <c r="AK112" s="144">
        <f t="shared" si="913"/>
        <v>29.7258</v>
      </c>
      <c r="AL112" s="144">
        <f t="shared" si="913"/>
        <v>20.085000000000001</v>
      </c>
      <c r="AM112" s="144">
        <f t="shared" si="913"/>
        <v>20.085000000000001</v>
      </c>
      <c r="AN112" s="144">
        <f t="shared" si="913"/>
        <v>20.687550000000002</v>
      </c>
      <c r="AO112" s="144">
        <f t="shared" si="913"/>
        <v>28.962569999999999</v>
      </c>
      <c r="AP112" s="144">
        <f t="shared" si="913"/>
        <v>20.687550000000002</v>
      </c>
      <c r="AQ112" s="144">
        <f t="shared" si="913"/>
        <v>20.687550000000002</v>
      </c>
      <c r="AR112" s="144">
        <f t="shared" si="913"/>
        <v>21.143736999999998</v>
      </c>
      <c r="AS112" s="144">
        <f t="shared" si="913"/>
        <v>20.687550000000002</v>
      </c>
      <c r="AT112" s="144">
        <f t="shared" si="914"/>
        <v>20.687550000000002</v>
      </c>
      <c r="AU112" s="144">
        <f t="shared" si="914"/>
        <v>20.687550000000002</v>
      </c>
      <c r="AV112" s="144">
        <f t="shared" si="914"/>
        <v>20.687550000000002</v>
      </c>
      <c r="AW112" s="144">
        <f t="shared" si="914"/>
        <v>30.617574000000001</v>
      </c>
      <c r="AX112" s="144">
        <f t="shared" si="914"/>
        <v>20.687550000000002</v>
      </c>
      <c r="AY112" s="144">
        <f t="shared" si="914"/>
        <v>20.687550000000002</v>
      </c>
      <c r="AZ112" s="144">
        <f t="shared" si="914"/>
        <v>21.308176500000002</v>
      </c>
      <c r="BA112" s="144">
        <f t="shared" si="914"/>
        <v>29.831447100000002</v>
      </c>
      <c r="BB112" s="144">
        <f t="shared" si="914"/>
        <v>21.308176500000002</v>
      </c>
      <c r="BC112" s="144">
        <f t="shared" si="914"/>
        <v>21.308176500000002</v>
      </c>
      <c r="BD112" s="144">
        <f t="shared" si="915"/>
        <v>21.778049109999998</v>
      </c>
      <c r="BE112" s="144">
        <f t="shared" si="915"/>
        <v>21.308176500000002</v>
      </c>
      <c r="BF112" s="144">
        <f t="shared" si="915"/>
        <v>21.308176500000002</v>
      </c>
      <c r="BG112" s="144">
        <f t="shared" si="915"/>
        <v>21.308176500000002</v>
      </c>
      <c r="BH112" s="144">
        <f t="shared" si="915"/>
        <v>21.308176500000002</v>
      </c>
      <c r="BI112" s="144">
        <f t="shared" si="915"/>
        <v>31.536101220000003</v>
      </c>
      <c r="BJ112" s="144">
        <f t="shared" si="915"/>
        <v>21.308176500000002</v>
      </c>
      <c r="BK112" s="144">
        <f t="shared" si="915"/>
        <v>21.308176500000002</v>
      </c>
      <c r="BL112" s="144">
        <f t="shared" si="915"/>
        <v>21.947421795000004</v>
      </c>
      <c r="BM112" s="144">
        <f t="shared" si="915"/>
        <v>30.726390513000002</v>
      </c>
      <c r="BN112" s="144">
        <f t="shared" si="916"/>
        <v>21.947421795000004</v>
      </c>
      <c r="BO112" s="144">
        <f t="shared" si="916"/>
        <v>21.947421795000004</v>
      </c>
      <c r="BP112" s="144">
        <f t="shared" si="916"/>
        <v>22.431390583299997</v>
      </c>
      <c r="BQ112" s="144">
        <f t="shared" si="916"/>
        <v>21.947421795000004</v>
      </c>
      <c r="BR112" s="144">
        <f t="shared" si="916"/>
        <v>21.947421795000004</v>
      </c>
      <c r="BS112" s="144">
        <f t="shared" si="916"/>
        <v>21.947421795000004</v>
      </c>
      <c r="BT112" s="144">
        <f t="shared" si="916"/>
        <v>21.947421795000004</v>
      </c>
      <c r="BU112" s="144">
        <f t="shared" si="916"/>
        <v>32.4821842566</v>
      </c>
      <c r="BV112" s="144">
        <f t="shared" si="916"/>
        <v>21.947421795000004</v>
      </c>
      <c r="BW112" s="144">
        <f t="shared" si="916"/>
        <v>21.947421795000004</v>
      </c>
      <c r="BX112" s="144">
        <f t="shared" si="917"/>
        <v>22.605844448850004</v>
      </c>
      <c r="BY112" s="8"/>
      <c r="BZ112" s="73">
        <f t="shared" si="879"/>
        <v>19.5</v>
      </c>
      <c r="CA112" s="73">
        <f t="shared" si="880"/>
        <v>232.08999999999997</v>
      </c>
      <c r="CB112" s="97"/>
      <c r="CC112" s="73">
        <f t="shared" si="895"/>
        <v>0</v>
      </c>
      <c r="CD112" s="73">
        <f t="shared" si="918"/>
        <v>0</v>
      </c>
      <c r="CE112" s="73">
        <f t="shared" si="918"/>
        <v>239.5</v>
      </c>
      <c r="CF112" s="73">
        <f t="shared" si="918"/>
        <v>252.17499999999998</v>
      </c>
      <c r="CG112" s="73">
        <f t="shared" si="918"/>
        <v>259.74025000000006</v>
      </c>
      <c r="CH112" s="73">
        <f t="shared" si="918"/>
        <v>267.53245749999996</v>
      </c>
      <c r="CI112" s="73">
        <f t="shared" si="918"/>
        <v>275.55843122500005</v>
      </c>
      <c r="CJ112" s="73">
        <f t="shared" si="918"/>
        <v>283.82518416175003</v>
      </c>
      <c r="CL112" s="13"/>
      <c r="CM112" s="13"/>
    </row>
    <row r="113" spans="1:91" x14ac:dyDescent="0.3">
      <c r="A113" s="97" t="str">
        <f>'DCS Detail'!A113</f>
        <v xml:space="preserve">      Total 2300 Support - General Admin</v>
      </c>
      <c r="B113" s="106" t="str">
        <f>IF('DCS Detail'!$B113="","",'DCS Detail'!$B113)</f>
        <v/>
      </c>
      <c r="C113" s="36">
        <f>SUM(C100:C112)</f>
        <v>0</v>
      </c>
      <c r="D113" s="36">
        <f t="shared" ref="D113:AZ113" si="919">SUM(D100:D112)</f>
        <v>0</v>
      </c>
      <c r="E113" s="36">
        <f t="shared" si="919"/>
        <v>3400.7000000000003</v>
      </c>
      <c r="F113" s="36">
        <f t="shared" si="919"/>
        <v>1680.35</v>
      </c>
      <c r="G113" s="36">
        <f t="shared" si="919"/>
        <v>6055.77</v>
      </c>
      <c r="H113" s="36">
        <f t="shared" si="919"/>
        <v>19317.7</v>
      </c>
      <c r="I113" s="36">
        <f t="shared" si="919"/>
        <v>15742.310000000001</v>
      </c>
      <c r="J113" s="36">
        <f t="shared" si="919"/>
        <v>2035.8999999999999</v>
      </c>
      <c r="K113" s="36">
        <f t="shared" si="919"/>
        <v>7310.4</v>
      </c>
      <c r="L113" s="36">
        <f t="shared" si="919"/>
        <v>7218.920000000001</v>
      </c>
      <c r="M113" s="36">
        <f t="shared" si="919"/>
        <v>2442.0300000000002</v>
      </c>
      <c r="N113" s="36">
        <f t="shared" si="919"/>
        <v>5075.3899999999994</v>
      </c>
      <c r="O113" s="36">
        <f t="shared" si="919"/>
        <v>17122.810000000001</v>
      </c>
      <c r="P113" s="36">
        <f t="shared" si="919"/>
        <v>4330.01</v>
      </c>
      <c r="Q113" s="36">
        <f t="shared" ref="Q113:R113" si="920">SUM(Q100:Q112)</f>
        <v>3591.1600000000003</v>
      </c>
      <c r="R113" s="36">
        <f t="shared" si="920"/>
        <v>5615.5599999999995</v>
      </c>
      <c r="S113" s="36">
        <f t="shared" ref="S113:T113" si="921">SUM(S100:S112)</f>
        <v>44501.43</v>
      </c>
      <c r="T113" s="36">
        <f t="shared" si="921"/>
        <v>12937.43</v>
      </c>
      <c r="U113" s="36">
        <f t="shared" ref="U113:V113" si="922">SUM(U100:U112)</f>
        <v>30738.9</v>
      </c>
      <c r="V113" s="36">
        <f t="shared" si="922"/>
        <v>34.730000000000004</v>
      </c>
      <c r="W113" s="36">
        <f t="shared" ref="W113" si="923">SUM(W100:W112)</f>
        <v>9386.630000000001</v>
      </c>
      <c r="X113" s="36">
        <f t="shared" si="919"/>
        <v>5186.99</v>
      </c>
      <c r="Y113" s="36">
        <f t="shared" si="919"/>
        <v>7119.5</v>
      </c>
      <c r="Z113" s="36">
        <f t="shared" si="919"/>
        <v>3853.64</v>
      </c>
      <c r="AA113" s="36">
        <f t="shared" si="919"/>
        <v>9897.68</v>
      </c>
      <c r="AB113" s="36">
        <f t="shared" si="919"/>
        <v>4459.9103000000005</v>
      </c>
      <c r="AC113" s="36">
        <f t="shared" si="919"/>
        <v>3698.8948</v>
      </c>
      <c r="AD113" s="36">
        <f t="shared" si="919"/>
        <v>5784.0267999999996</v>
      </c>
      <c r="AE113" s="36">
        <f t="shared" si="919"/>
        <v>25166.472900000001</v>
      </c>
      <c r="AF113" s="36">
        <f t="shared" si="919"/>
        <v>13325.552900000001</v>
      </c>
      <c r="AG113" s="36">
        <f t="shared" si="919"/>
        <v>31661.066999999995</v>
      </c>
      <c r="AH113" s="36">
        <f t="shared" si="919"/>
        <v>35.771900000000002</v>
      </c>
      <c r="AI113" s="36">
        <f t="shared" si="919"/>
        <v>9668.2289000000019</v>
      </c>
      <c r="AJ113" s="36">
        <f t="shared" si="919"/>
        <v>5342.5996999999998</v>
      </c>
      <c r="AK113" s="36">
        <f t="shared" si="919"/>
        <v>7333.085</v>
      </c>
      <c r="AL113" s="36">
        <f t="shared" si="919"/>
        <v>3969.2492000000002</v>
      </c>
      <c r="AM113" s="36">
        <f t="shared" si="919"/>
        <v>10194.610399999998</v>
      </c>
      <c r="AN113" s="36">
        <f t="shared" si="919"/>
        <v>4593.707609000001</v>
      </c>
      <c r="AO113" s="36">
        <f t="shared" si="919"/>
        <v>3809.8616440000005</v>
      </c>
      <c r="AP113" s="36">
        <f t="shared" si="919"/>
        <v>5957.5476040000003</v>
      </c>
      <c r="AQ113" s="36">
        <f t="shared" si="919"/>
        <v>25336.467086999997</v>
      </c>
      <c r="AR113" s="36">
        <f t="shared" si="919"/>
        <v>13725.319487000001</v>
      </c>
      <c r="AS113" s="36">
        <f t="shared" si="919"/>
        <v>32610.899009999997</v>
      </c>
      <c r="AT113" s="36">
        <f t="shared" si="919"/>
        <v>36.845057000000004</v>
      </c>
      <c r="AU113" s="36">
        <f t="shared" si="919"/>
        <v>9958.275767000001</v>
      </c>
      <c r="AV113" s="36">
        <f t="shared" si="919"/>
        <v>5502.8776909999997</v>
      </c>
      <c r="AW113" s="36">
        <f t="shared" si="919"/>
        <v>7553.07755</v>
      </c>
      <c r="AX113" s="36">
        <f t="shared" si="919"/>
        <v>4088.3266760000001</v>
      </c>
      <c r="AY113" s="36">
        <f t="shared" si="919"/>
        <v>10500.448712000001</v>
      </c>
      <c r="AZ113" s="36">
        <f t="shared" si="919"/>
        <v>4731.5188372700004</v>
      </c>
      <c r="BA113" s="36">
        <f t="shared" ref="BA113:BX113" si="924">SUM(BA100:BA112)</f>
        <v>3924.1574933200004</v>
      </c>
      <c r="BB113" s="36">
        <f t="shared" si="924"/>
        <v>6136.2740321200008</v>
      </c>
      <c r="BC113" s="36">
        <f t="shared" si="924"/>
        <v>25511.56109961</v>
      </c>
      <c r="BD113" s="36">
        <f t="shared" si="924"/>
        <v>14137.079071610002</v>
      </c>
      <c r="BE113" s="36">
        <f t="shared" si="924"/>
        <v>33589.225980300005</v>
      </c>
      <c r="BF113" s="36">
        <f t="shared" si="924"/>
        <v>37.950408710000005</v>
      </c>
      <c r="BG113" s="36">
        <f t="shared" si="924"/>
        <v>10257.024040010003</v>
      </c>
      <c r="BH113" s="36">
        <f t="shared" si="924"/>
        <v>5667.9640217300002</v>
      </c>
      <c r="BI113" s="36">
        <f t="shared" si="924"/>
        <v>7779.669876500001</v>
      </c>
      <c r="BJ113" s="36">
        <f t="shared" si="924"/>
        <v>4210.9764762799996</v>
      </c>
      <c r="BK113" s="36">
        <f t="shared" si="924"/>
        <v>10815.462173360002</v>
      </c>
      <c r="BL113" s="36">
        <f t="shared" si="924"/>
        <v>4873.4644023881001</v>
      </c>
      <c r="BM113" s="36">
        <f t="shared" si="924"/>
        <v>4041.8822181196006</v>
      </c>
      <c r="BN113" s="36">
        <f t="shared" si="924"/>
        <v>6320.362253083601</v>
      </c>
      <c r="BO113" s="36">
        <f t="shared" si="924"/>
        <v>25691.9079325983</v>
      </c>
      <c r="BP113" s="36">
        <f t="shared" si="924"/>
        <v>14561.191443758302</v>
      </c>
      <c r="BQ113" s="36">
        <f t="shared" si="924"/>
        <v>34596.902759708995</v>
      </c>
      <c r="BR113" s="36">
        <f t="shared" si="924"/>
        <v>39.088920971300013</v>
      </c>
      <c r="BS113" s="36">
        <f t="shared" si="924"/>
        <v>10564.7347612103</v>
      </c>
      <c r="BT113" s="36">
        <f t="shared" si="924"/>
        <v>5838.0029423819005</v>
      </c>
      <c r="BU113" s="36">
        <f t="shared" si="924"/>
        <v>8013.0599727950002</v>
      </c>
      <c r="BV113" s="36">
        <f t="shared" si="924"/>
        <v>4337.3057705684005</v>
      </c>
      <c r="BW113" s="36">
        <f t="shared" si="924"/>
        <v>11139.926038560799</v>
      </c>
      <c r="BX113" s="36">
        <f t="shared" si="924"/>
        <v>5019.6683344597432</v>
      </c>
      <c r="BY113" s="8"/>
      <c r="BZ113" s="72">
        <f t="shared" si="879"/>
        <v>9897.68</v>
      </c>
      <c r="CA113" s="72">
        <f t="shared" si="880"/>
        <v>132863.65000000002</v>
      </c>
      <c r="CB113" s="97"/>
      <c r="CC113" s="72">
        <f t="shared" si="895"/>
        <v>0</v>
      </c>
      <c r="CD113" s="72">
        <f t="shared" si="918"/>
        <v>0</v>
      </c>
      <c r="CE113" s="72">
        <f t="shared" si="918"/>
        <v>91732.29</v>
      </c>
      <c r="CF113" s="72">
        <f t="shared" si="918"/>
        <v>137323.56030000001</v>
      </c>
      <c r="CG113" s="72">
        <f t="shared" si="918"/>
        <v>120773.26710900004</v>
      </c>
      <c r="CH113" s="72">
        <f t="shared" si="918"/>
        <v>123811.46512226999</v>
      </c>
      <c r="CI113" s="72">
        <f t="shared" si="918"/>
        <v>126940.80907593813</v>
      </c>
      <c r="CJ113" s="72">
        <f t="shared" si="918"/>
        <v>130164.03334821627</v>
      </c>
      <c r="CL113" s="13"/>
      <c r="CM113" s="13"/>
    </row>
    <row r="114" spans="1:91" x14ac:dyDescent="0.3">
      <c r="A114" s="97" t="str">
        <f>'DCS Detail'!A114</f>
        <v xml:space="preserve">      2400 School Administration</v>
      </c>
      <c r="B114" s="106" t="str">
        <f>IF('DCS Detail'!$B114="","",'DCS Detail'!$B114)</f>
        <v/>
      </c>
      <c r="C114" s="106"/>
      <c r="D114" s="106"/>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46">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0</v>
      </c>
      <c r="BE114" s="18">
        <v>0</v>
      </c>
      <c r="BF114" s="18">
        <v>0</v>
      </c>
      <c r="BG114" s="18">
        <v>0</v>
      </c>
      <c r="BH114" s="18">
        <v>0</v>
      </c>
      <c r="BI114" s="18">
        <v>0</v>
      </c>
      <c r="BJ114" s="18">
        <v>0</v>
      </c>
      <c r="BK114" s="18">
        <v>0</v>
      </c>
      <c r="BL114" s="18">
        <v>0</v>
      </c>
      <c r="BM114" s="18">
        <v>0</v>
      </c>
      <c r="BN114" s="18">
        <v>0</v>
      </c>
      <c r="BO114" s="18">
        <v>0</v>
      </c>
      <c r="BP114" s="18">
        <v>0</v>
      </c>
      <c r="BQ114" s="18">
        <v>0</v>
      </c>
      <c r="BR114" s="18">
        <v>0</v>
      </c>
      <c r="BS114" s="18">
        <v>0</v>
      </c>
      <c r="BT114" s="18">
        <v>0</v>
      </c>
      <c r="BU114" s="18">
        <v>0</v>
      </c>
      <c r="BV114" s="18">
        <v>0</v>
      </c>
      <c r="BW114" s="18">
        <v>0</v>
      </c>
      <c r="BX114" s="18">
        <v>0</v>
      </c>
      <c r="BY114" s="8"/>
      <c r="BZ114" s="72">
        <f t="shared" si="879"/>
        <v>0</v>
      </c>
      <c r="CA114" s="72">
        <f t="shared" si="880"/>
        <v>0</v>
      </c>
      <c r="CB114" s="97"/>
      <c r="CC114" s="72">
        <f t="shared" si="895"/>
        <v>0</v>
      </c>
      <c r="CD114" s="72">
        <f t="shared" si="918"/>
        <v>0</v>
      </c>
      <c r="CE114" s="72">
        <f t="shared" si="918"/>
        <v>0</v>
      </c>
      <c r="CF114" s="72">
        <f t="shared" si="918"/>
        <v>0</v>
      </c>
      <c r="CG114" s="72">
        <f t="shared" si="918"/>
        <v>0</v>
      </c>
      <c r="CH114" s="72">
        <f t="shared" si="918"/>
        <v>0</v>
      </c>
      <c r="CI114" s="72">
        <f t="shared" si="918"/>
        <v>0</v>
      </c>
      <c r="CJ114" s="72">
        <f t="shared" si="918"/>
        <v>0</v>
      </c>
      <c r="CL114" s="13"/>
      <c r="CM114" s="13"/>
    </row>
    <row r="115" spans="1:91" x14ac:dyDescent="0.3">
      <c r="A115" s="97" t="str">
        <f>'DCS Detail'!A115</f>
        <v xml:space="preserve">         114.1 Wages - Admin Licensed</v>
      </c>
      <c r="B115" s="106" t="str">
        <f>IF('DCS Detail'!$B115="","",'DCS Detail'!$B115)</f>
        <v>Salaries</v>
      </c>
      <c r="C115" s="106"/>
      <c r="D115" s="106"/>
      <c r="E115" s="18">
        <v>-12732.84</v>
      </c>
      <c r="F115" s="18">
        <v>11153.34</v>
      </c>
      <c r="G115" s="18">
        <v>12008.76</v>
      </c>
      <c r="H115" s="18">
        <v>12837.51</v>
      </c>
      <c r="I115" s="18">
        <v>12837.51</v>
      </c>
      <c r="J115" s="18">
        <v>12837.51</v>
      </c>
      <c r="K115" s="18">
        <v>12837.51</v>
      </c>
      <c r="L115" s="18">
        <v>12837.509999999995</v>
      </c>
      <c r="M115" s="18">
        <v>12837.51</v>
      </c>
      <c r="N115" s="18">
        <v>12837.51</v>
      </c>
      <c r="O115" s="18">
        <v>12837.51</v>
      </c>
      <c r="P115" s="18">
        <v>32175.02</v>
      </c>
      <c r="Q115" s="18">
        <v>0</v>
      </c>
      <c r="R115" s="18">
        <v>14625.86</v>
      </c>
      <c r="S115" s="18">
        <v>14649.26</v>
      </c>
      <c r="T115" s="18">
        <v>14625.86</v>
      </c>
      <c r="U115" s="18">
        <v>14625.86</v>
      </c>
      <c r="V115" s="18">
        <v>14781.86</v>
      </c>
      <c r="W115" s="18">
        <v>14625.86</v>
      </c>
      <c r="X115" s="18">
        <v>14625.86</v>
      </c>
      <c r="Y115" s="18">
        <v>14625.86</v>
      </c>
      <c r="Z115" s="18">
        <v>14625.86</v>
      </c>
      <c r="AA115" s="146">
        <v>15152.36</v>
      </c>
      <c r="AB115" s="102">
        <f t="shared" ref="AB115:AZ115" si="925">AB268*AB275</f>
        <v>29355.72</v>
      </c>
      <c r="AC115" s="102">
        <f t="shared" si="925"/>
        <v>0</v>
      </c>
      <c r="AD115" s="102">
        <f t="shared" si="925"/>
        <v>14677.86</v>
      </c>
      <c r="AE115" s="102">
        <f t="shared" si="925"/>
        <v>14677.86</v>
      </c>
      <c r="AF115" s="102">
        <f t="shared" si="925"/>
        <v>14677.86</v>
      </c>
      <c r="AG115" s="102">
        <f t="shared" si="925"/>
        <v>14677.86</v>
      </c>
      <c r="AH115" s="102">
        <f t="shared" si="925"/>
        <v>14677.86</v>
      </c>
      <c r="AI115" s="102">
        <f t="shared" si="925"/>
        <v>14677.86</v>
      </c>
      <c r="AJ115" s="102">
        <f t="shared" si="925"/>
        <v>14677.86</v>
      </c>
      <c r="AK115" s="102">
        <f t="shared" si="925"/>
        <v>14677.86</v>
      </c>
      <c r="AL115" s="102">
        <f t="shared" si="925"/>
        <v>14677.86</v>
      </c>
      <c r="AM115" s="102">
        <f t="shared" si="925"/>
        <v>14677.86</v>
      </c>
      <c r="AN115" s="102">
        <f t="shared" si="925"/>
        <v>29355.72</v>
      </c>
      <c r="AO115" s="102">
        <f t="shared" si="925"/>
        <v>0</v>
      </c>
      <c r="AP115" s="102">
        <f t="shared" si="925"/>
        <v>15118.195800000001</v>
      </c>
      <c r="AQ115" s="102">
        <f t="shared" si="925"/>
        <v>15118.195800000001</v>
      </c>
      <c r="AR115" s="102">
        <f t="shared" si="925"/>
        <v>15118.195800000001</v>
      </c>
      <c r="AS115" s="102">
        <f t="shared" si="925"/>
        <v>15118.195800000001</v>
      </c>
      <c r="AT115" s="102">
        <f t="shared" si="925"/>
        <v>15118.195800000001</v>
      </c>
      <c r="AU115" s="102">
        <f t="shared" si="925"/>
        <v>15118.195800000001</v>
      </c>
      <c r="AV115" s="102">
        <f t="shared" si="925"/>
        <v>15118.195800000001</v>
      </c>
      <c r="AW115" s="102">
        <f t="shared" si="925"/>
        <v>15118.195800000001</v>
      </c>
      <c r="AX115" s="102">
        <f t="shared" si="925"/>
        <v>15118.195800000001</v>
      </c>
      <c r="AY115" s="102">
        <f t="shared" si="925"/>
        <v>15118.195800000001</v>
      </c>
      <c r="AZ115" s="102">
        <f t="shared" si="925"/>
        <v>30236.391600000003</v>
      </c>
      <c r="BA115" s="102">
        <f t="shared" ref="BA115:BX115" si="926">BA268*BA275</f>
        <v>0</v>
      </c>
      <c r="BB115" s="102">
        <f t="shared" si="926"/>
        <v>15571.741674000003</v>
      </c>
      <c r="BC115" s="102">
        <f t="shared" si="926"/>
        <v>15571.741674000003</v>
      </c>
      <c r="BD115" s="102">
        <f t="shared" si="926"/>
        <v>15571.741674000003</v>
      </c>
      <c r="BE115" s="102">
        <f t="shared" si="926"/>
        <v>15571.741674000003</v>
      </c>
      <c r="BF115" s="102">
        <f t="shared" si="926"/>
        <v>15571.741674000003</v>
      </c>
      <c r="BG115" s="102">
        <f t="shared" si="926"/>
        <v>15571.741674000003</v>
      </c>
      <c r="BH115" s="102">
        <f t="shared" si="926"/>
        <v>15571.741674000003</v>
      </c>
      <c r="BI115" s="102">
        <f t="shared" si="926"/>
        <v>15571.741674000003</v>
      </c>
      <c r="BJ115" s="102">
        <f t="shared" si="926"/>
        <v>15571.741674000003</v>
      </c>
      <c r="BK115" s="102">
        <f t="shared" si="926"/>
        <v>15571.741674000003</v>
      </c>
      <c r="BL115" s="102">
        <f t="shared" si="926"/>
        <v>31143.483348000005</v>
      </c>
      <c r="BM115" s="102">
        <f t="shared" si="926"/>
        <v>0</v>
      </c>
      <c r="BN115" s="102">
        <f t="shared" si="926"/>
        <v>16038.893924220003</v>
      </c>
      <c r="BO115" s="102">
        <f t="shared" si="926"/>
        <v>16038.893924220003</v>
      </c>
      <c r="BP115" s="102">
        <f t="shared" si="926"/>
        <v>16038.893924220003</v>
      </c>
      <c r="BQ115" s="102">
        <f t="shared" si="926"/>
        <v>16038.893924220003</v>
      </c>
      <c r="BR115" s="102">
        <f t="shared" si="926"/>
        <v>16038.893924220003</v>
      </c>
      <c r="BS115" s="102">
        <f t="shared" si="926"/>
        <v>16038.893924220003</v>
      </c>
      <c r="BT115" s="102">
        <f t="shared" si="926"/>
        <v>16038.893924220003</v>
      </c>
      <c r="BU115" s="102">
        <f t="shared" si="926"/>
        <v>16038.893924220003</v>
      </c>
      <c r="BV115" s="102">
        <f t="shared" si="926"/>
        <v>16038.893924220003</v>
      </c>
      <c r="BW115" s="102">
        <f t="shared" si="926"/>
        <v>16038.893924220003</v>
      </c>
      <c r="BX115" s="102">
        <f t="shared" si="926"/>
        <v>32077.787848440006</v>
      </c>
      <c r="BY115" s="8"/>
      <c r="BZ115" s="72">
        <f t="shared" si="879"/>
        <v>15152.36</v>
      </c>
      <c r="CA115" s="72">
        <f t="shared" si="880"/>
        <v>146964.5</v>
      </c>
      <c r="CB115" s="97"/>
      <c r="CC115" s="72">
        <f t="shared" si="895"/>
        <v>0</v>
      </c>
      <c r="CD115" s="72">
        <f t="shared" si="918"/>
        <v>0</v>
      </c>
      <c r="CE115" s="72">
        <f t="shared" si="918"/>
        <v>145304.35999999999</v>
      </c>
      <c r="CF115" s="72">
        <f t="shared" si="918"/>
        <v>176320.22</v>
      </c>
      <c r="CG115" s="72">
        <f t="shared" si="918"/>
        <v>176134.31999999998</v>
      </c>
      <c r="CH115" s="72">
        <f t="shared" si="918"/>
        <v>181418.34959999999</v>
      </c>
      <c r="CI115" s="72">
        <f t="shared" si="918"/>
        <v>186860.90008800002</v>
      </c>
      <c r="CJ115" s="72">
        <f t="shared" si="918"/>
        <v>192466.72709064002</v>
      </c>
      <c r="CL115" s="13"/>
      <c r="CM115" s="13"/>
    </row>
    <row r="116" spans="1:91" x14ac:dyDescent="0.3">
      <c r="A116" s="97" t="str">
        <f>'DCS Detail'!A116</f>
        <v xml:space="preserve">         214.1 Medical Ins. - Admin Licensed</v>
      </c>
      <c r="B116" s="106" t="str">
        <f>IF('DCS Detail'!$B116="","",'DCS Detail'!$B116)</f>
        <v>Benefits</v>
      </c>
      <c r="C116" s="106"/>
      <c r="D116" s="106"/>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46">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18">
        <v>0</v>
      </c>
      <c r="AS116" s="18">
        <v>0</v>
      </c>
      <c r="AT116" s="18">
        <v>0</v>
      </c>
      <c r="AU116" s="18">
        <v>0</v>
      </c>
      <c r="AV116" s="18">
        <v>0</v>
      </c>
      <c r="AW116" s="18">
        <v>0</v>
      </c>
      <c r="AX116" s="18">
        <v>0</v>
      </c>
      <c r="AY116" s="18">
        <v>0</v>
      </c>
      <c r="AZ116" s="18">
        <v>0</v>
      </c>
      <c r="BA116" s="18">
        <v>0</v>
      </c>
      <c r="BB116" s="18">
        <v>0</v>
      </c>
      <c r="BC116" s="18">
        <v>0</v>
      </c>
      <c r="BD116" s="18">
        <v>0</v>
      </c>
      <c r="BE116" s="18">
        <v>0</v>
      </c>
      <c r="BF116" s="18">
        <v>0</v>
      </c>
      <c r="BG116" s="18">
        <v>0</v>
      </c>
      <c r="BH116" s="18">
        <v>0</v>
      </c>
      <c r="BI116" s="18">
        <v>0</v>
      </c>
      <c r="BJ116" s="18">
        <v>0</v>
      </c>
      <c r="BK116" s="18">
        <v>0</v>
      </c>
      <c r="BL116" s="18">
        <v>0</v>
      </c>
      <c r="BM116" s="18">
        <v>0</v>
      </c>
      <c r="BN116" s="18">
        <v>0</v>
      </c>
      <c r="BO116" s="18">
        <v>0</v>
      </c>
      <c r="BP116" s="18">
        <v>0</v>
      </c>
      <c r="BQ116" s="18">
        <v>0</v>
      </c>
      <c r="BR116" s="18">
        <v>0</v>
      </c>
      <c r="BS116" s="18">
        <v>0</v>
      </c>
      <c r="BT116" s="18">
        <v>0</v>
      </c>
      <c r="BU116" s="18">
        <v>0</v>
      </c>
      <c r="BV116" s="18">
        <v>0</v>
      </c>
      <c r="BW116" s="18">
        <v>0</v>
      </c>
      <c r="BX116" s="18">
        <v>0</v>
      </c>
      <c r="BY116" s="8"/>
      <c r="BZ116" s="72">
        <f t="shared" si="879"/>
        <v>0</v>
      </c>
      <c r="CA116" s="72">
        <f t="shared" si="880"/>
        <v>0</v>
      </c>
      <c r="CB116" s="97"/>
      <c r="CC116" s="72">
        <f t="shared" si="895"/>
        <v>0</v>
      </c>
      <c r="CD116" s="72">
        <f t="shared" si="918"/>
        <v>0</v>
      </c>
      <c r="CE116" s="72">
        <f t="shared" si="918"/>
        <v>0</v>
      </c>
      <c r="CF116" s="72">
        <f t="shared" si="918"/>
        <v>0</v>
      </c>
      <c r="CG116" s="72">
        <f t="shared" si="918"/>
        <v>0</v>
      </c>
      <c r="CH116" s="72">
        <f t="shared" si="918"/>
        <v>0</v>
      </c>
      <c r="CI116" s="72">
        <f t="shared" si="918"/>
        <v>0</v>
      </c>
      <c r="CJ116" s="72">
        <f t="shared" si="918"/>
        <v>0</v>
      </c>
      <c r="CL116" s="13"/>
      <c r="CM116" s="13"/>
    </row>
    <row r="117" spans="1:91" x14ac:dyDescent="0.3">
      <c r="A117" s="97" t="str">
        <f>'DCS Detail'!A117</f>
        <v xml:space="preserve">         224.1 Payroll Tax - Admin Licensed</v>
      </c>
      <c r="B117" s="106" t="str">
        <f>IF('DCS Detail'!$B117="","",'DCS Detail'!$B117)</f>
        <v>Benefits</v>
      </c>
      <c r="C117" s="106"/>
      <c r="D117" s="106"/>
      <c r="E117" s="18">
        <v>-375.48</v>
      </c>
      <c r="F117" s="18">
        <v>249.85</v>
      </c>
      <c r="G117" s="18">
        <v>210.19</v>
      </c>
      <c r="H117" s="18">
        <v>273.58999999999997</v>
      </c>
      <c r="I117" s="18">
        <v>273.58999999999997</v>
      </c>
      <c r="J117" s="18">
        <v>273.58999999999997</v>
      </c>
      <c r="K117" s="18">
        <v>338.04</v>
      </c>
      <c r="L117" s="18">
        <v>294.56000000000017</v>
      </c>
      <c r="M117" s="18">
        <v>283.55</v>
      </c>
      <c r="N117" s="18">
        <v>276.52</v>
      </c>
      <c r="O117" s="18">
        <v>273.58999999999997</v>
      </c>
      <c r="P117" s="18">
        <v>641.42999999999995</v>
      </c>
      <c r="Q117" s="18">
        <v>0</v>
      </c>
      <c r="R117" s="18">
        <v>420.74</v>
      </c>
      <c r="S117" s="18">
        <v>420.58</v>
      </c>
      <c r="T117" s="18">
        <v>420.23</v>
      </c>
      <c r="U117" s="18">
        <v>411.64</v>
      </c>
      <c r="V117" s="18">
        <v>412.15</v>
      </c>
      <c r="W117" s="18">
        <v>484.86</v>
      </c>
      <c r="X117" s="18">
        <v>441.8</v>
      </c>
      <c r="Y117" s="18">
        <v>430.56</v>
      </c>
      <c r="Z117" s="18">
        <v>413.38</v>
      </c>
      <c r="AA117" s="146">
        <v>417.45</v>
      </c>
      <c r="AB117" s="102">
        <f t="shared" ref="AB117:AK120" si="927">SUM(U117:AA117)/SUM(U$115:AA$115)*AB$115</f>
        <v>857.86640825774248</v>
      </c>
      <c r="AC117" s="102">
        <f t="shared" si="927"/>
        <v>0</v>
      </c>
      <c r="AD117" s="102">
        <f t="shared" si="927"/>
        <v>434.00519293482887</v>
      </c>
      <c r="AE117" s="102">
        <f t="shared" si="927"/>
        <v>426.54369726242993</v>
      </c>
      <c r="AF117" s="102">
        <f t="shared" si="927"/>
        <v>424.15695520888346</v>
      </c>
      <c r="AG117" s="102">
        <f t="shared" si="927"/>
        <v>423.03219078022795</v>
      </c>
      <c r="AH117" s="102">
        <f t="shared" si="927"/>
        <v>424.19162100277606</v>
      </c>
      <c r="AI117" s="102">
        <f t="shared" si="927"/>
        <v>427.11372363526982</v>
      </c>
      <c r="AJ117" s="102">
        <f t="shared" si="927"/>
        <v>426.50723013740259</v>
      </c>
      <c r="AK117" s="102">
        <f t="shared" si="927"/>
        <v>426.50723013740259</v>
      </c>
      <c r="AL117" s="102">
        <f t="shared" ref="AL117:AU120" si="928">SUM(AE117:AK117)/SUM(AE$115:AK$115)*AL$115</f>
        <v>425.43609259491313</v>
      </c>
      <c r="AM117" s="102">
        <f t="shared" si="928"/>
        <v>425.27786335669651</v>
      </c>
      <c r="AN117" s="102">
        <f t="shared" si="928"/>
        <v>850.87598618419679</v>
      </c>
      <c r="AO117" s="102">
        <f t="shared" si="928"/>
        <v>0</v>
      </c>
      <c r="AP117" s="102">
        <f t="shared" si="928"/>
        <v>438.73852426103684</v>
      </c>
      <c r="AQ117" s="102">
        <f t="shared" si="928"/>
        <v>438.56944729328558</v>
      </c>
      <c r="AR117" s="102">
        <f t="shared" si="928"/>
        <v>438.46562296633954</v>
      </c>
      <c r="AS117" s="102">
        <f t="shared" si="928"/>
        <v>438.34759418281561</v>
      </c>
      <c r="AT117" s="102">
        <f t="shared" si="928"/>
        <v>438.36843952130647</v>
      </c>
      <c r="AU117" s="102">
        <f t="shared" si="928"/>
        <v>438.4149066910839</v>
      </c>
      <c r="AV117" s="102">
        <f t="shared" ref="AV117:BE120" si="929">SUM(AO117:AU117)/SUM(AO$115:AU$115)*AV$115</f>
        <v>438.48408915264463</v>
      </c>
      <c r="AW117" s="102">
        <f t="shared" si="929"/>
        <v>438.48408915264463</v>
      </c>
      <c r="AX117" s="102">
        <f t="shared" si="929"/>
        <v>438.44774128001723</v>
      </c>
      <c r="AY117" s="102">
        <f t="shared" si="929"/>
        <v>438.43035470669321</v>
      </c>
      <c r="AZ117" s="102">
        <f t="shared" si="929"/>
        <v>876.85063276777305</v>
      </c>
      <c r="BA117" s="102">
        <f t="shared" ref="BA117:BA120" si="930">SUM(AT117:AZ117)/SUM(AT$115:AZ$115)*BA$115</f>
        <v>0</v>
      </c>
      <c r="BB117" s="102">
        <f t="shared" ref="BB117:BB120" si="931">SUM(AU117:BA117)/SUM(AU$115:BA$115)*BB$115</f>
        <v>451.59788116619745</v>
      </c>
      <c r="BC117" s="102">
        <f t="shared" ref="BC117:BC120" si="932">SUM(AV117:BB117)/SUM(AV$115:BB$115)*BC$115</f>
        <v>451.60222359498567</v>
      </c>
      <c r="BD117" s="102">
        <f t="shared" ref="BD117:BD120" si="933">SUM(AW117:BC117)/SUM(AW$115:BC$115)*BD$115</f>
        <v>451.59706945444202</v>
      </c>
      <c r="BE117" s="102">
        <f t="shared" ref="BE117:BE120" si="934">SUM(AX117:BD117)/SUM(AX$115:BD$115)*BE$115</f>
        <v>451.59121016349957</v>
      </c>
      <c r="BF117" s="102">
        <f t="shared" ref="BF117:BF120" si="935">SUM(AY117:BE117)/SUM(AY$115:BE$115)*BF$115</f>
        <v>451.58981081589872</v>
      </c>
      <c r="BG117" s="102">
        <f t="shared" ref="BG117:BG120" si="936">SUM(AZ117:BF117)/SUM(AZ$115:BF$115)*BG$115</f>
        <v>451.59072626596918</v>
      </c>
      <c r="BH117" s="102">
        <f t="shared" ref="BH117:BH120" si="937">SUM(BA117:BG117)/SUM(BA$115:BG$115)*BH$115</f>
        <v>451.59482024349876</v>
      </c>
      <c r="BI117" s="102">
        <f t="shared" ref="BI117:BI120" si="938">SUM(BB117:BH117)/SUM(BB$115:BH$115)*BI$115</f>
        <v>451.59482024349876</v>
      </c>
      <c r="BJ117" s="102">
        <f t="shared" ref="BJ117:BJ120" si="939">SUM(BC117:BI117)/SUM(BC$115:BI$115)*BJ$115</f>
        <v>451.59438296882757</v>
      </c>
      <c r="BK117" s="102">
        <f t="shared" ref="BK117:BK120" si="940">SUM(BD117:BJ117)/SUM(BD$115:BJ$115)*BK$115</f>
        <v>451.59326287937637</v>
      </c>
      <c r="BL117" s="102">
        <f t="shared" ref="BL117:BL120" si="941">SUM(BE117:BK117)/SUM(BE$115:BK$115)*BL$115</f>
        <v>903.18543816587692</v>
      </c>
      <c r="BM117" s="102">
        <f t="shared" ref="BM117:BM120" si="942">SUM(BF117:BL117)/SUM(BF$115:BL$115)*BM$115</f>
        <v>0</v>
      </c>
      <c r="BN117" s="102">
        <f t="shared" ref="BN117:BN120" si="943">SUM(BG117:BM117)/SUM(BG$115:BM$115)*BN$115</f>
        <v>465.1411506128656</v>
      </c>
      <c r="BO117" s="102">
        <f t="shared" ref="BO117:BO120" si="944">SUM(BH117:BN117)/SUM(BH$115:BN$115)*BO$115</f>
        <v>465.14153504514405</v>
      </c>
      <c r="BP117" s="102">
        <f t="shared" ref="BP117:BP120" si="945">SUM(BI117:BO117)/SUM(BI$115:BO$115)*BP$115</f>
        <v>465.14137501601374</v>
      </c>
      <c r="BQ117" s="102">
        <f t="shared" ref="BQ117:BQ120" si="946">SUM(BJ117:BP117)/SUM(BJ$115:BP$115)*BQ$115</f>
        <v>465.14119309291215</v>
      </c>
      <c r="BR117" s="102">
        <f t="shared" ref="BR117:BR120" si="947">SUM(BK117:BQ117)/SUM(BK$115:BQ$115)*BR$115</f>
        <v>465.14104964277453</v>
      </c>
      <c r="BS117" s="102">
        <f t="shared" ref="BS117:BS120" si="948">SUM(BL117:BR117)/SUM(BL$115:BR$115)*BS$115</f>
        <v>465.14104808711255</v>
      </c>
      <c r="BT117" s="102">
        <f t="shared" ref="BT117:BT120" si="949">SUM(BM117:BS117)/SUM(BM$115:BS$115)*BT$115</f>
        <v>465.14122524947049</v>
      </c>
      <c r="BU117" s="102">
        <f t="shared" ref="BU117:BU120" si="950">SUM(BN117:BT117)/SUM(BN$115:BT$115)*BU$115</f>
        <v>465.14122524947055</v>
      </c>
      <c r="BV117" s="102">
        <f t="shared" ref="BV117:BV120" si="951">SUM(BO117:BU117)/SUM(BO$115:BU$115)*BV$115</f>
        <v>465.14123591184267</v>
      </c>
      <c r="BW117" s="102">
        <f t="shared" ref="BW117:BW120" si="952">SUM(BP117:BV117)/SUM(BP$115:BV$115)*BW$115</f>
        <v>465.14119317851384</v>
      </c>
      <c r="BX117" s="102">
        <f t="shared" ref="BX117:BX120" si="953">SUM(BQ117:BW117)/SUM(BQ$115:BW$115)*BX$115</f>
        <v>930.28233440345628</v>
      </c>
      <c r="BY117" s="8"/>
      <c r="BZ117" s="72">
        <f t="shared" si="879"/>
        <v>417.45</v>
      </c>
      <c r="CA117" s="72">
        <f t="shared" si="880"/>
        <v>4273.3900000000003</v>
      </c>
      <c r="CB117" s="97"/>
      <c r="CC117" s="72">
        <f t="shared" si="895"/>
        <v>0</v>
      </c>
      <c r="CD117" s="72">
        <f t="shared" si="918"/>
        <v>0</v>
      </c>
      <c r="CE117" s="72">
        <f t="shared" si="918"/>
        <v>3013.02</v>
      </c>
      <c r="CF117" s="72">
        <f t="shared" si="918"/>
        <v>5131.2564082577428</v>
      </c>
      <c r="CG117" s="72">
        <f t="shared" si="918"/>
        <v>5113.6477832350265</v>
      </c>
      <c r="CH117" s="72">
        <f t="shared" si="918"/>
        <v>5261.6014419756402</v>
      </c>
      <c r="CI117" s="72">
        <f t="shared" si="918"/>
        <v>5419.1316459620712</v>
      </c>
      <c r="CJ117" s="72">
        <f t="shared" si="918"/>
        <v>5581.6945654895771</v>
      </c>
      <c r="CL117" s="13"/>
      <c r="CM117" s="13"/>
    </row>
    <row r="118" spans="1:91" x14ac:dyDescent="0.3">
      <c r="A118" s="97" t="str">
        <f>'DCS Detail'!A118</f>
        <v xml:space="preserve">         234.1 PERS - Admin Licensed</v>
      </c>
      <c r="B118" s="106" t="str">
        <f>IF('DCS Detail'!$B118="","",'DCS Detail'!$B118)</f>
        <v>Benefits</v>
      </c>
      <c r="C118" s="106"/>
      <c r="D118" s="106"/>
      <c r="E118" s="18">
        <v>-1937.38</v>
      </c>
      <c r="F118" s="18">
        <v>1937.38</v>
      </c>
      <c r="G118" s="18">
        <v>2614.9499999999998</v>
      </c>
      <c r="H118" s="18">
        <v>2614.9499999999998</v>
      </c>
      <c r="I118" s="18">
        <v>2614.9499999999998</v>
      </c>
      <c r="J118" s="18">
        <v>2614.9499999999998</v>
      </c>
      <c r="K118" s="18">
        <v>2614.9499999999998</v>
      </c>
      <c r="L118" s="18">
        <v>2614.9500000000007</v>
      </c>
      <c r="M118" s="18">
        <v>2614.9499999999998</v>
      </c>
      <c r="N118" s="18">
        <v>2614.9499999999998</v>
      </c>
      <c r="O118" s="18">
        <v>2614.9499999999998</v>
      </c>
      <c r="P118" s="18">
        <v>7131.15</v>
      </c>
      <c r="Q118" s="18">
        <v>0</v>
      </c>
      <c r="R118" s="18">
        <v>2614.9499999999998</v>
      </c>
      <c r="S118" s="18">
        <v>2614.9499999999998</v>
      </c>
      <c r="T118" s="18">
        <v>1910.2</v>
      </c>
      <c r="U118" s="18">
        <v>2614.9499999999998</v>
      </c>
      <c r="V118" s="18">
        <v>2614.9499999999998</v>
      </c>
      <c r="W118" s="18">
        <v>2614.9499999999998</v>
      </c>
      <c r="X118" s="18">
        <v>2614.9499999999998</v>
      </c>
      <c r="Y118" s="18">
        <v>2614.9499999999998</v>
      </c>
      <c r="Z118" s="18">
        <v>2614.9499999999998</v>
      </c>
      <c r="AA118" s="146">
        <v>2637.05</v>
      </c>
      <c r="AB118" s="102">
        <f t="shared" si="927"/>
        <v>5220.0326702406437</v>
      </c>
      <c r="AC118" s="102">
        <f t="shared" si="927"/>
        <v>0</v>
      </c>
      <c r="AD118" s="102">
        <f t="shared" si="927"/>
        <v>2609.9278941832754</v>
      </c>
      <c r="AE118" s="102">
        <f t="shared" si="927"/>
        <v>2607.8958462134347</v>
      </c>
      <c r="AF118" s="102">
        <f t="shared" si="927"/>
        <v>2605.5765981923728</v>
      </c>
      <c r="AG118" s="102">
        <f t="shared" si="927"/>
        <v>2602.9297238412005</v>
      </c>
      <c r="AH118" s="102">
        <f t="shared" si="927"/>
        <v>2599.9091297107493</v>
      </c>
      <c r="AI118" s="102">
        <f t="shared" si="927"/>
        <v>2606.6102660545253</v>
      </c>
      <c r="AJ118" s="102">
        <f t="shared" si="927"/>
        <v>2605.4749096992596</v>
      </c>
      <c r="AK118" s="102">
        <f t="shared" si="927"/>
        <v>2605.4749096992596</v>
      </c>
      <c r="AL118" s="102">
        <f t="shared" si="928"/>
        <v>2604.838769058686</v>
      </c>
      <c r="AM118" s="102">
        <f t="shared" si="928"/>
        <v>2604.4020437508652</v>
      </c>
      <c r="AN118" s="102">
        <f t="shared" si="928"/>
        <v>5208.4685005184419</v>
      </c>
      <c r="AO118" s="102">
        <f t="shared" si="928"/>
        <v>0</v>
      </c>
      <c r="AP118" s="102">
        <f t="shared" si="928"/>
        <v>2683.1896401063523</v>
      </c>
      <c r="AQ118" s="102">
        <f t="shared" si="928"/>
        <v>2682.9593507849008</v>
      </c>
      <c r="AR118" s="102">
        <f t="shared" si="928"/>
        <v>2682.8630609541169</v>
      </c>
      <c r="AS118" s="102">
        <f t="shared" si="928"/>
        <v>2682.7535974793459</v>
      </c>
      <c r="AT118" s="102">
        <f t="shared" si="928"/>
        <v>2682.7212471070002</v>
      </c>
      <c r="AU118" s="102">
        <f t="shared" si="928"/>
        <v>2682.7474208193939</v>
      </c>
      <c r="AV118" s="102">
        <f t="shared" si="929"/>
        <v>2682.8723862085185</v>
      </c>
      <c r="AW118" s="102">
        <f t="shared" si="929"/>
        <v>2682.8723862085185</v>
      </c>
      <c r="AX118" s="102">
        <f t="shared" si="929"/>
        <v>2682.8270642231137</v>
      </c>
      <c r="AY118" s="102">
        <f t="shared" si="929"/>
        <v>2682.8081661428582</v>
      </c>
      <c r="AZ118" s="102">
        <f t="shared" si="929"/>
        <v>5365.600648053929</v>
      </c>
      <c r="BA118" s="102">
        <f t="shared" si="930"/>
        <v>0</v>
      </c>
      <c r="BB118" s="102">
        <f t="shared" si="931"/>
        <v>2763.3028448294322</v>
      </c>
      <c r="BC118" s="102">
        <f t="shared" si="932"/>
        <v>2763.3132290947883</v>
      </c>
      <c r="BD118" s="102">
        <f t="shared" si="933"/>
        <v>2763.3068085990394</v>
      </c>
      <c r="BE118" s="102">
        <f t="shared" si="934"/>
        <v>2763.299509699782</v>
      </c>
      <c r="BF118" s="102">
        <f t="shared" si="935"/>
        <v>2763.2977728388237</v>
      </c>
      <c r="BG118" s="102">
        <f t="shared" si="936"/>
        <v>2763.2985227285685</v>
      </c>
      <c r="BH118" s="102">
        <f t="shared" si="937"/>
        <v>2763.3031146317389</v>
      </c>
      <c r="BI118" s="102">
        <f t="shared" si="938"/>
        <v>2763.3031146317394</v>
      </c>
      <c r="BJ118" s="102">
        <f t="shared" si="939"/>
        <v>2763.3031531749257</v>
      </c>
      <c r="BK118" s="102">
        <f t="shared" si="940"/>
        <v>2763.3017137578026</v>
      </c>
      <c r="BL118" s="102">
        <f t="shared" si="941"/>
        <v>5526.6019718466796</v>
      </c>
      <c r="BM118" s="102">
        <f t="shared" si="942"/>
        <v>0</v>
      </c>
      <c r="BN118" s="102">
        <f t="shared" si="943"/>
        <v>2846.2007054992287</v>
      </c>
      <c r="BO118" s="102">
        <f t="shared" si="944"/>
        <v>2846.2011645445773</v>
      </c>
      <c r="BP118" s="102">
        <f t="shared" si="945"/>
        <v>2846.2010167363464</v>
      </c>
      <c r="BQ118" s="102">
        <f t="shared" si="946"/>
        <v>2846.2008487061139</v>
      </c>
      <c r="BR118" s="102">
        <f t="shared" si="947"/>
        <v>2846.2006522083529</v>
      </c>
      <c r="BS118" s="102">
        <f t="shared" si="948"/>
        <v>2846.2006364094464</v>
      </c>
      <c r="BT118" s="102">
        <f t="shared" si="949"/>
        <v>2846.2008373506774</v>
      </c>
      <c r="BU118" s="102">
        <f t="shared" si="950"/>
        <v>2846.2008373506774</v>
      </c>
      <c r="BV118" s="102">
        <f t="shared" si="951"/>
        <v>2846.2008561865987</v>
      </c>
      <c r="BW118" s="102">
        <f t="shared" si="952"/>
        <v>2846.2008121354593</v>
      </c>
      <c r="BX118" s="102">
        <f t="shared" si="953"/>
        <v>5692.4015658135222</v>
      </c>
      <c r="BY118" s="8"/>
      <c r="BZ118" s="72">
        <f t="shared" si="879"/>
        <v>2637.05</v>
      </c>
      <c r="CA118" s="72">
        <f t="shared" si="880"/>
        <v>25466.850000000002</v>
      </c>
      <c r="CB118" s="97"/>
      <c r="CC118" s="72">
        <f t="shared" si="895"/>
        <v>0</v>
      </c>
      <c r="CD118" s="72">
        <f t="shared" ref="CD118:CJ127" si="954">SUMIF($C$3:$BY$3,CD$3,$C118:$BY118)</f>
        <v>0</v>
      </c>
      <c r="CE118" s="72">
        <f t="shared" si="954"/>
        <v>30665.700000000004</v>
      </c>
      <c r="CF118" s="72">
        <f t="shared" si="954"/>
        <v>30686.882670240644</v>
      </c>
      <c r="CG118" s="72">
        <f t="shared" si="954"/>
        <v>31261.508590922072</v>
      </c>
      <c r="CH118" s="72">
        <f t="shared" si="954"/>
        <v>32194.214968088047</v>
      </c>
      <c r="CI118" s="72">
        <f t="shared" si="954"/>
        <v>33159.631755833325</v>
      </c>
      <c r="CJ118" s="72">
        <f t="shared" si="954"/>
        <v>34154.409932940995</v>
      </c>
      <c r="CL118" s="13"/>
      <c r="CM118" s="13"/>
    </row>
    <row r="119" spans="1:91" x14ac:dyDescent="0.3">
      <c r="A119" s="97" t="str">
        <f>'DCS Detail'!A119</f>
        <v xml:space="preserve">         264.1 SUI - Admin Licensed</v>
      </c>
      <c r="B119" s="106" t="str">
        <f>IF('DCS Detail'!$B119="","",'DCS Detail'!$B119)</f>
        <v>Benefits</v>
      </c>
      <c r="C119" s="106"/>
      <c r="D119" s="106"/>
      <c r="E119" s="18">
        <v>-59.67</v>
      </c>
      <c r="F119" s="18">
        <v>29.84</v>
      </c>
      <c r="G119" s="18">
        <v>14.92</v>
      </c>
      <c r="H119" s="18">
        <v>29.84</v>
      </c>
      <c r="I119" s="18">
        <v>29.84</v>
      </c>
      <c r="J119" s="18">
        <v>29.84</v>
      </c>
      <c r="K119" s="18">
        <v>231.08</v>
      </c>
      <c r="L119" s="18">
        <v>231.07999999999998</v>
      </c>
      <c r="M119" s="18">
        <v>192.57</v>
      </c>
      <c r="N119" s="18">
        <v>192.57</v>
      </c>
      <c r="O119" s="18">
        <v>95.85</v>
      </c>
      <c r="P119" s="18">
        <v>89.51</v>
      </c>
      <c r="Q119" s="18">
        <v>0</v>
      </c>
      <c r="R119" s="18">
        <v>51.69</v>
      </c>
      <c r="S119" s="18">
        <v>51.68</v>
      </c>
      <c r="T119" s="18">
        <v>51.69</v>
      </c>
      <c r="U119" s="18">
        <v>51.68</v>
      </c>
      <c r="V119" s="18">
        <v>51.68</v>
      </c>
      <c r="W119" s="18">
        <v>219.38</v>
      </c>
      <c r="X119" s="18">
        <v>219.38</v>
      </c>
      <c r="Y119" s="18">
        <v>219.38</v>
      </c>
      <c r="Z119" s="18">
        <v>219.38</v>
      </c>
      <c r="AA119" s="146">
        <v>168.02</v>
      </c>
      <c r="AB119" s="102">
        <f t="shared" si="927"/>
        <v>327.24272087737739</v>
      </c>
      <c r="AC119" s="102">
        <f t="shared" si="927"/>
        <v>0</v>
      </c>
      <c r="AD119" s="102">
        <f t="shared" si="927"/>
        <v>195.60445848636368</v>
      </c>
      <c r="AE119" s="102">
        <f t="shared" si="927"/>
        <v>192.11975796766771</v>
      </c>
      <c r="AF119" s="102">
        <f t="shared" si="927"/>
        <v>188.14254635557472</v>
      </c>
      <c r="AG119" s="102">
        <f t="shared" si="927"/>
        <v>183.60349778912808</v>
      </c>
      <c r="AH119" s="102">
        <f t="shared" si="927"/>
        <v>178.42356794033688</v>
      </c>
      <c r="AI119" s="102">
        <f t="shared" si="927"/>
        <v>180.73379277377839</v>
      </c>
      <c r="AJ119" s="102">
        <f t="shared" si="927"/>
        <v>186.4379368854749</v>
      </c>
      <c r="AK119" s="102">
        <f t="shared" si="927"/>
        <v>186.43793688547493</v>
      </c>
      <c r="AL119" s="102">
        <f t="shared" si="928"/>
        <v>185.12843379963368</v>
      </c>
      <c r="AM119" s="102">
        <f t="shared" si="928"/>
        <v>184.12967320420026</v>
      </c>
      <c r="AN119" s="102">
        <f t="shared" si="928"/>
        <v>367.11281122229354</v>
      </c>
      <c r="AO119" s="102">
        <f t="shared" si="928"/>
        <v>0</v>
      </c>
      <c r="AP119" s="102">
        <f t="shared" si="928"/>
        <v>189.81142890199735</v>
      </c>
      <c r="AQ119" s="102">
        <f t="shared" si="928"/>
        <v>190.33143208051874</v>
      </c>
      <c r="AR119" s="102">
        <f t="shared" si="928"/>
        <v>190.09068945849037</v>
      </c>
      <c r="AS119" s="102">
        <f t="shared" si="928"/>
        <v>189.81701025770775</v>
      </c>
      <c r="AT119" s="102">
        <f t="shared" si="928"/>
        <v>189.69548265153995</v>
      </c>
      <c r="AU119" s="102">
        <f t="shared" si="928"/>
        <v>189.70134548387753</v>
      </c>
      <c r="AV119" s="102">
        <f t="shared" si="929"/>
        <v>189.90789813902197</v>
      </c>
      <c r="AW119" s="102">
        <f t="shared" si="929"/>
        <v>189.90789813902194</v>
      </c>
      <c r="AX119" s="102">
        <f t="shared" si="929"/>
        <v>189.92167945859691</v>
      </c>
      <c r="AY119" s="102">
        <f t="shared" si="929"/>
        <v>189.86314336975093</v>
      </c>
      <c r="AZ119" s="102">
        <f t="shared" si="929"/>
        <v>379.66127357129056</v>
      </c>
      <c r="BA119" s="102">
        <f t="shared" si="930"/>
        <v>0</v>
      </c>
      <c r="BB119" s="102">
        <f t="shared" si="931"/>
        <v>195.54744790091527</v>
      </c>
      <c r="BC119" s="102">
        <f t="shared" si="932"/>
        <v>195.56950509188559</v>
      </c>
      <c r="BD119" s="102">
        <f t="shared" si="933"/>
        <v>195.56445835090724</v>
      </c>
      <c r="BE119" s="102">
        <f t="shared" si="934"/>
        <v>195.55872115312368</v>
      </c>
      <c r="BF119" s="102">
        <f t="shared" si="935"/>
        <v>195.55020869677102</v>
      </c>
      <c r="BG119" s="102">
        <f t="shared" si="936"/>
        <v>195.54897387522243</v>
      </c>
      <c r="BH119" s="102">
        <f t="shared" si="937"/>
        <v>195.5565525114709</v>
      </c>
      <c r="BI119" s="102">
        <f t="shared" si="938"/>
        <v>195.5565525114709</v>
      </c>
      <c r="BJ119" s="102">
        <f t="shared" si="939"/>
        <v>195.55785317012169</v>
      </c>
      <c r="BK119" s="102">
        <f t="shared" si="940"/>
        <v>195.55618860986971</v>
      </c>
      <c r="BL119" s="102">
        <f t="shared" si="941"/>
        <v>391.1100144365858</v>
      </c>
      <c r="BM119" s="102">
        <f t="shared" si="942"/>
        <v>0</v>
      </c>
      <c r="BN119" s="102">
        <f t="shared" si="943"/>
        <v>201.42181702402624</v>
      </c>
      <c r="BO119" s="102">
        <f t="shared" si="944"/>
        <v>201.42272370006427</v>
      </c>
      <c r="BP119" s="102">
        <f t="shared" si="945"/>
        <v>201.42264928267747</v>
      </c>
      <c r="BQ119" s="102">
        <f t="shared" si="946"/>
        <v>201.42256468406848</v>
      </c>
      <c r="BR119" s="102">
        <f t="shared" si="947"/>
        <v>201.42228040300714</v>
      </c>
      <c r="BS119" s="102">
        <f t="shared" si="948"/>
        <v>201.42219734494299</v>
      </c>
      <c r="BT119" s="102">
        <f t="shared" si="949"/>
        <v>201.4223720731311</v>
      </c>
      <c r="BU119" s="102">
        <f t="shared" si="950"/>
        <v>201.4223720731311</v>
      </c>
      <c r="BV119" s="102">
        <f t="shared" si="951"/>
        <v>201.42245136586038</v>
      </c>
      <c r="BW119" s="102">
        <f t="shared" si="952"/>
        <v>201.42241246097407</v>
      </c>
      <c r="BX119" s="102">
        <f t="shared" si="953"/>
        <v>402.84475725860437</v>
      </c>
      <c r="BY119" s="8"/>
      <c r="BZ119" s="72">
        <f t="shared" si="879"/>
        <v>168.02</v>
      </c>
      <c r="CA119" s="72">
        <f t="shared" si="880"/>
        <v>1303.96</v>
      </c>
      <c r="CB119" s="97"/>
      <c r="CC119" s="72">
        <f t="shared" si="895"/>
        <v>0</v>
      </c>
      <c r="CD119" s="72">
        <f t="shared" si="954"/>
        <v>0</v>
      </c>
      <c r="CE119" s="72">
        <f t="shared" si="954"/>
        <v>1107.27</v>
      </c>
      <c r="CF119" s="72">
        <f t="shared" si="954"/>
        <v>1631.2027208773775</v>
      </c>
      <c r="CG119" s="72">
        <f t="shared" si="954"/>
        <v>2227.8744133099271</v>
      </c>
      <c r="CH119" s="72">
        <f t="shared" si="954"/>
        <v>2278.709281511814</v>
      </c>
      <c r="CI119" s="72">
        <f t="shared" si="954"/>
        <v>2346.6764763083443</v>
      </c>
      <c r="CJ119" s="72">
        <f t="shared" si="954"/>
        <v>2417.0685976704876</v>
      </c>
      <c r="CL119" s="13"/>
      <c r="CM119" s="13"/>
    </row>
    <row r="120" spans="1:91" x14ac:dyDescent="0.3">
      <c r="A120" s="97" t="str">
        <f>'DCS Detail'!A120</f>
        <v xml:space="preserve">         274.1 WC - Admin Licensed</v>
      </c>
      <c r="B120" s="106" t="str">
        <f>IF('DCS Detail'!$B120="","",'DCS Detail'!$B120)</f>
        <v>Benefits</v>
      </c>
      <c r="C120" s="106"/>
      <c r="D120" s="106"/>
      <c r="E120" s="18">
        <v>71.67</v>
      </c>
      <c r="F120" s="18">
        <v>71.67</v>
      </c>
      <c r="G120" s="18">
        <v>71.67</v>
      </c>
      <c r="H120" s="18">
        <v>71.67</v>
      </c>
      <c r="I120" s="18">
        <v>71.67</v>
      </c>
      <c r="J120" s="18">
        <v>71.67</v>
      </c>
      <c r="K120" s="18">
        <v>71.67</v>
      </c>
      <c r="L120" s="18">
        <v>71.669999999999959</v>
      </c>
      <c r="M120" s="18">
        <v>71.67</v>
      </c>
      <c r="N120" s="18">
        <v>71.67</v>
      </c>
      <c r="O120" s="18">
        <v>71.67</v>
      </c>
      <c r="P120" s="18">
        <v>143.33000000000001</v>
      </c>
      <c r="Q120" s="18">
        <v>71.67</v>
      </c>
      <c r="R120" s="18">
        <v>71.67</v>
      </c>
      <c r="S120" s="18">
        <v>71.67</v>
      </c>
      <c r="T120" s="18">
        <v>125.07</v>
      </c>
      <c r="U120" s="18">
        <v>71.67</v>
      </c>
      <c r="V120" s="18">
        <v>71.67</v>
      </c>
      <c r="W120" s="18">
        <v>71.67</v>
      </c>
      <c r="X120" s="18">
        <v>71.67</v>
      </c>
      <c r="Y120" s="18">
        <v>71.67</v>
      </c>
      <c r="Z120" s="18">
        <v>71.67</v>
      </c>
      <c r="AA120" s="146">
        <v>71.67</v>
      </c>
      <c r="AB120" s="102">
        <f t="shared" si="927"/>
        <v>142.89703249801676</v>
      </c>
      <c r="AC120" s="102">
        <f t="shared" si="927"/>
        <v>0</v>
      </c>
      <c r="AD120" s="102">
        <f t="shared" si="927"/>
        <v>71.421465952753053</v>
      </c>
      <c r="AE120" s="102">
        <f t="shared" si="927"/>
        <v>71.350035594268633</v>
      </c>
      <c r="AF120" s="102">
        <f t="shared" si="927"/>
        <v>71.268509606684887</v>
      </c>
      <c r="AG120" s="102">
        <f t="shared" si="927"/>
        <v>71.17546692926112</v>
      </c>
      <c r="AH120" s="102">
        <f t="shared" si="927"/>
        <v>71.069287289421709</v>
      </c>
      <c r="AI120" s="102">
        <f t="shared" si="927"/>
        <v>71.311685410058018</v>
      </c>
      <c r="AJ120" s="102">
        <f t="shared" si="927"/>
        <v>71.266075130407913</v>
      </c>
      <c r="AK120" s="102">
        <f t="shared" si="927"/>
        <v>71.266075130407913</v>
      </c>
      <c r="AL120" s="102">
        <f t="shared" si="928"/>
        <v>71.243876441501456</v>
      </c>
      <c r="AM120" s="102">
        <f t="shared" si="928"/>
        <v>71.228710848248994</v>
      </c>
      <c r="AN120" s="102">
        <f t="shared" si="928"/>
        <v>142.44605062265919</v>
      </c>
      <c r="AO120" s="102">
        <f t="shared" si="928"/>
        <v>0</v>
      </c>
      <c r="AP120" s="102">
        <f t="shared" si="928"/>
        <v>73.389335398683144</v>
      </c>
      <c r="AQ120" s="102">
        <f t="shared" si="928"/>
        <v>73.380558645670817</v>
      </c>
      <c r="AR120" s="102">
        <f t="shared" si="928"/>
        <v>73.37723021243437</v>
      </c>
      <c r="AS120" s="102">
        <f t="shared" si="928"/>
        <v>73.373446408219166</v>
      </c>
      <c r="AT120" s="102">
        <f t="shared" si="928"/>
        <v>73.372358441010277</v>
      </c>
      <c r="AU120" s="102">
        <f t="shared" si="928"/>
        <v>73.373307569305922</v>
      </c>
      <c r="AV120" s="102">
        <f t="shared" si="929"/>
        <v>73.377706112553966</v>
      </c>
      <c r="AW120" s="102">
        <f t="shared" si="929"/>
        <v>73.377706112553966</v>
      </c>
      <c r="AX120" s="102">
        <f t="shared" si="929"/>
        <v>73.376044785964069</v>
      </c>
      <c r="AY120" s="102">
        <f t="shared" si="929"/>
        <v>73.375399948863091</v>
      </c>
      <c r="AZ120" s="102">
        <f t="shared" si="929"/>
        <v>146.75027696527729</v>
      </c>
      <c r="BA120" s="102">
        <f t="shared" si="930"/>
        <v>0</v>
      </c>
      <c r="BB120" s="102">
        <f t="shared" si="931"/>
        <v>75.577050677050551</v>
      </c>
      <c r="BC120" s="102">
        <f t="shared" si="932"/>
        <v>75.577412537742646</v>
      </c>
      <c r="BD120" s="102">
        <f t="shared" si="933"/>
        <v>75.577182402021961</v>
      </c>
      <c r="BE120" s="102">
        <f t="shared" si="934"/>
        <v>75.576920780878297</v>
      </c>
      <c r="BF120" s="102">
        <f t="shared" si="935"/>
        <v>75.576863849886081</v>
      </c>
      <c r="BG120" s="102">
        <f t="shared" si="936"/>
        <v>75.576892088005934</v>
      </c>
      <c r="BH120" s="102">
        <f t="shared" si="937"/>
        <v>75.577053722597583</v>
      </c>
      <c r="BI120" s="102">
        <f t="shared" si="938"/>
        <v>75.577053722597569</v>
      </c>
      <c r="BJ120" s="102">
        <f t="shared" si="939"/>
        <v>75.577054157675732</v>
      </c>
      <c r="BK120" s="102">
        <f t="shared" si="940"/>
        <v>75.577002960523316</v>
      </c>
      <c r="BL120" s="102">
        <f t="shared" si="941"/>
        <v>151.15395465204699</v>
      </c>
      <c r="BM120" s="102">
        <f t="shared" si="942"/>
        <v>0</v>
      </c>
      <c r="BN120" s="102">
        <f t="shared" si="943"/>
        <v>77.844311663221504</v>
      </c>
      <c r="BO120" s="102">
        <f t="shared" si="944"/>
        <v>77.844327710529541</v>
      </c>
      <c r="BP120" s="102">
        <f t="shared" si="945"/>
        <v>77.844322381387045</v>
      </c>
      <c r="BQ120" s="102">
        <f t="shared" si="946"/>
        <v>77.84431632315173</v>
      </c>
      <c r="BR120" s="102">
        <f t="shared" si="947"/>
        <v>77.844309376627251</v>
      </c>
      <c r="BS120" s="102">
        <f t="shared" si="948"/>
        <v>77.84430886296127</v>
      </c>
      <c r="BT120" s="102">
        <f t="shared" si="949"/>
        <v>77.844316052979735</v>
      </c>
      <c r="BU120" s="102">
        <f t="shared" si="950"/>
        <v>77.844316052979721</v>
      </c>
      <c r="BV120" s="102">
        <f t="shared" si="951"/>
        <v>77.844316680088056</v>
      </c>
      <c r="BW120" s="102">
        <f t="shared" si="952"/>
        <v>77.844315104310681</v>
      </c>
      <c r="BX120" s="102">
        <f t="shared" si="953"/>
        <v>155.6886281294567</v>
      </c>
      <c r="BY120" s="8"/>
      <c r="BZ120" s="72">
        <f t="shared" si="879"/>
        <v>71.67</v>
      </c>
      <c r="CA120" s="72">
        <f t="shared" si="880"/>
        <v>841.76999999999987</v>
      </c>
      <c r="CB120" s="97"/>
      <c r="CC120" s="72">
        <f t="shared" si="895"/>
        <v>0</v>
      </c>
      <c r="CD120" s="72">
        <f t="shared" si="954"/>
        <v>0</v>
      </c>
      <c r="CE120" s="72">
        <f t="shared" si="954"/>
        <v>931.69999999999993</v>
      </c>
      <c r="CF120" s="72">
        <f t="shared" si="954"/>
        <v>984.66703249801662</v>
      </c>
      <c r="CG120" s="72">
        <f t="shared" si="954"/>
        <v>855.04723895567292</v>
      </c>
      <c r="CH120" s="72">
        <f t="shared" si="954"/>
        <v>880.52337060053605</v>
      </c>
      <c r="CI120" s="72">
        <f t="shared" si="954"/>
        <v>906.92444155102669</v>
      </c>
      <c r="CJ120" s="72">
        <f t="shared" si="954"/>
        <v>934.13178833769314</v>
      </c>
      <c r="CL120" s="13"/>
      <c r="CM120" s="13"/>
    </row>
    <row r="121" spans="1:91" x14ac:dyDescent="0.3">
      <c r="A121" s="97" t="str">
        <f>'DCS Detail'!A121</f>
        <v xml:space="preserve">         310.1 Official/Administrative Service</v>
      </c>
      <c r="B121" s="106" t="str">
        <f>IF('DCS Detail'!$B121="","",'DCS Detail'!$B121)</f>
        <v>Prof. Serv.</v>
      </c>
      <c r="C121" s="106"/>
      <c r="D121" s="106"/>
      <c r="E121" s="18">
        <v>2040.85</v>
      </c>
      <c r="F121" s="18">
        <v>184.08</v>
      </c>
      <c r="G121" s="18">
        <v>0</v>
      </c>
      <c r="H121" s="18">
        <v>0</v>
      </c>
      <c r="I121" s="18">
        <v>0</v>
      </c>
      <c r="J121" s="18">
        <v>0</v>
      </c>
      <c r="K121" s="18">
        <v>0</v>
      </c>
      <c r="L121" s="18">
        <v>138.05999999999995</v>
      </c>
      <c r="M121" s="18">
        <v>0</v>
      </c>
      <c r="N121" s="18">
        <v>0</v>
      </c>
      <c r="O121" s="18">
        <v>0</v>
      </c>
      <c r="P121" s="18">
        <v>177</v>
      </c>
      <c r="Q121" s="18">
        <v>236</v>
      </c>
      <c r="R121" s="18">
        <v>0</v>
      </c>
      <c r="S121" s="18">
        <v>0</v>
      </c>
      <c r="T121" s="18">
        <v>0</v>
      </c>
      <c r="U121" s="18">
        <v>177</v>
      </c>
      <c r="V121" s="18">
        <v>0</v>
      </c>
      <c r="W121" s="18">
        <v>0</v>
      </c>
      <c r="X121" s="18">
        <v>0</v>
      </c>
      <c r="Y121" s="18">
        <v>2000</v>
      </c>
      <c r="Z121" s="18">
        <v>0</v>
      </c>
      <c r="AA121" s="146">
        <v>0</v>
      </c>
      <c r="AB121" s="120">
        <f t="shared" ref="AB121:AI122" si="955">P121*(1+AB$263)</f>
        <v>182.31</v>
      </c>
      <c r="AC121" s="120">
        <f t="shared" si="955"/>
        <v>243.08</v>
      </c>
      <c r="AD121" s="120">
        <f t="shared" si="955"/>
        <v>0</v>
      </c>
      <c r="AE121" s="120">
        <f t="shared" si="955"/>
        <v>0</v>
      </c>
      <c r="AF121" s="120">
        <f t="shared" si="955"/>
        <v>0</v>
      </c>
      <c r="AG121" s="120">
        <f t="shared" si="955"/>
        <v>182.31</v>
      </c>
      <c r="AH121" s="120">
        <f t="shared" si="955"/>
        <v>0</v>
      </c>
      <c r="AI121" s="120">
        <f t="shared" si="955"/>
        <v>0</v>
      </c>
      <c r="AJ121" s="120">
        <f t="shared" ref="AJ121:AS122" si="956">X121*(1+AJ$263)</f>
        <v>0</v>
      </c>
      <c r="AK121" s="120">
        <f t="shared" si="956"/>
        <v>2060</v>
      </c>
      <c r="AL121" s="120">
        <f t="shared" si="956"/>
        <v>0</v>
      </c>
      <c r="AM121" s="120">
        <f t="shared" si="956"/>
        <v>0</v>
      </c>
      <c r="AN121" s="120">
        <f t="shared" si="956"/>
        <v>187.77930000000001</v>
      </c>
      <c r="AO121" s="120">
        <f t="shared" si="956"/>
        <v>250.37240000000003</v>
      </c>
      <c r="AP121" s="120">
        <f t="shared" si="956"/>
        <v>0</v>
      </c>
      <c r="AQ121" s="120">
        <f t="shared" si="956"/>
        <v>0</v>
      </c>
      <c r="AR121" s="120">
        <f t="shared" si="956"/>
        <v>0</v>
      </c>
      <c r="AS121" s="120">
        <f t="shared" si="956"/>
        <v>187.77930000000001</v>
      </c>
      <c r="AT121" s="120">
        <f t="shared" ref="AT121:BC122" si="957">AH121*(1+AT$263)</f>
        <v>0</v>
      </c>
      <c r="AU121" s="120">
        <f t="shared" si="957"/>
        <v>0</v>
      </c>
      <c r="AV121" s="120">
        <f t="shared" si="957"/>
        <v>0</v>
      </c>
      <c r="AW121" s="120">
        <f t="shared" si="957"/>
        <v>2121.8000000000002</v>
      </c>
      <c r="AX121" s="120">
        <f t="shared" si="957"/>
        <v>0</v>
      </c>
      <c r="AY121" s="120">
        <f t="shared" si="957"/>
        <v>0</v>
      </c>
      <c r="AZ121" s="120">
        <f t="shared" si="957"/>
        <v>193.41267900000003</v>
      </c>
      <c r="BA121" s="120">
        <f t="shared" si="957"/>
        <v>257.88357200000002</v>
      </c>
      <c r="BB121" s="120">
        <f t="shared" si="957"/>
        <v>0</v>
      </c>
      <c r="BC121" s="120">
        <f t="shared" si="957"/>
        <v>0</v>
      </c>
      <c r="BD121" s="120">
        <f t="shared" ref="BD121:BM122" si="958">AR121*(1+BD$263)</f>
        <v>0</v>
      </c>
      <c r="BE121" s="120">
        <f t="shared" si="958"/>
        <v>193.41267900000003</v>
      </c>
      <c r="BF121" s="120">
        <f t="shared" si="958"/>
        <v>0</v>
      </c>
      <c r="BG121" s="120">
        <f t="shared" si="958"/>
        <v>0</v>
      </c>
      <c r="BH121" s="120">
        <f t="shared" si="958"/>
        <v>0</v>
      </c>
      <c r="BI121" s="120">
        <f t="shared" si="958"/>
        <v>2185.4540000000002</v>
      </c>
      <c r="BJ121" s="120">
        <f t="shared" si="958"/>
        <v>0</v>
      </c>
      <c r="BK121" s="120">
        <f t="shared" si="958"/>
        <v>0</v>
      </c>
      <c r="BL121" s="120">
        <f t="shared" si="958"/>
        <v>199.21505937000003</v>
      </c>
      <c r="BM121" s="120">
        <f t="shared" si="958"/>
        <v>265.62007916000005</v>
      </c>
      <c r="BN121" s="120">
        <f t="shared" ref="BN121:BW122" si="959">BB121*(1+BN$263)</f>
        <v>0</v>
      </c>
      <c r="BO121" s="120">
        <f t="shared" si="959"/>
        <v>0</v>
      </c>
      <c r="BP121" s="120">
        <f t="shared" si="959"/>
        <v>0</v>
      </c>
      <c r="BQ121" s="120">
        <f t="shared" si="959"/>
        <v>199.21505937000003</v>
      </c>
      <c r="BR121" s="120">
        <f t="shared" si="959"/>
        <v>0</v>
      </c>
      <c r="BS121" s="120">
        <f t="shared" si="959"/>
        <v>0</v>
      </c>
      <c r="BT121" s="120">
        <f t="shared" si="959"/>
        <v>0</v>
      </c>
      <c r="BU121" s="120">
        <f t="shared" si="959"/>
        <v>2251.0176200000001</v>
      </c>
      <c r="BV121" s="120">
        <f t="shared" si="959"/>
        <v>0</v>
      </c>
      <c r="BW121" s="120">
        <f t="shared" si="959"/>
        <v>0</v>
      </c>
      <c r="BX121" s="120">
        <f t="shared" ref="BX121:BX122" si="960">BL121*(1+BX$263)</f>
        <v>205.19151115110003</v>
      </c>
      <c r="BY121" s="8"/>
      <c r="BZ121" s="72">
        <f t="shared" si="879"/>
        <v>0</v>
      </c>
      <c r="CA121" s="72">
        <f t="shared" si="880"/>
        <v>2413</v>
      </c>
      <c r="CB121" s="97"/>
      <c r="CC121" s="72">
        <f t="shared" si="895"/>
        <v>0</v>
      </c>
      <c r="CD121" s="72">
        <f t="shared" si="954"/>
        <v>0</v>
      </c>
      <c r="CE121" s="72">
        <f t="shared" si="954"/>
        <v>2539.9899999999998</v>
      </c>
      <c r="CF121" s="72">
        <f t="shared" si="954"/>
        <v>2595.31</v>
      </c>
      <c r="CG121" s="72">
        <f t="shared" si="954"/>
        <v>2673.1693</v>
      </c>
      <c r="CH121" s="72">
        <f t="shared" si="954"/>
        <v>2753.3643790000001</v>
      </c>
      <c r="CI121" s="72">
        <f t="shared" si="954"/>
        <v>2835.9653103700002</v>
      </c>
      <c r="CJ121" s="72">
        <f t="shared" si="954"/>
        <v>2921.0442696811006</v>
      </c>
      <c r="CL121" s="13"/>
      <c r="CM121" s="13"/>
    </row>
    <row r="122" spans="1:91" x14ac:dyDescent="0.3">
      <c r="A122" s="97" t="str">
        <f>'DCS Detail'!A122</f>
        <v xml:space="preserve">         334.1 Prof. Development</v>
      </c>
      <c r="B122" s="106" t="str">
        <f>IF('DCS Detail'!$B122="","",'DCS Detail'!$B122)</f>
        <v>Benefits</v>
      </c>
      <c r="C122" s="139"/>
      <c r="D122" s="139"/>
      <c r="E122" s="121">
        <v>0</v>
      </c>
      <c r="F122" s="121">
        <v>123.51</v>
      </c>
      <c r="G122" s="121">
        <v>522.44000000000005</v>
      </c>
      <c r="H122" s="121">
        <v>3750</v>
      </c>
      <c r="I122" s="121">
        <v>0</v>
      </c>
      <c r="J122" s="121">
        <v>0</v>
      </c>
      <c r="K122" s="121">
        <v>0</v>
      </c>
      <c r="L122" s="121">
        <v>3900.0000000000009</v>
      </c>
      <c r="M122" s="121">
        <v>0</v>
      </c>
      <c r="N122" s="121">
        <v>0</v>
      </c>
      <c r="O122" s="121">
        <v>151.12</v>
      </c>
      <c r="P122" s="121">
        <v>434.89</v>
      </c>
      <c r="Q122" s="121">
        <v>323.57</v>
      </c>
      <c r="R122" s="121">
        <v>1999.22</v>
      </c>
      <c r="S122" s="121">
        <v>468</v>
      </c>
      <c r="T122" s="121">
        <v>0</v>
      </c>
      <c r="U122" s="121">
        <v>970.66</v>
      </c>
      <c r="V122" s="121">
        <v>312.88</v>
      </c>
      <c r="W122" s="121">
        <v>0</v>
      </c>
      <c r="X122" s="121">
        <v>122.78</v>
      </c>
      <c r="Y122" s="121">
        <v>0</v>
      </c>
      <c r="Z122" s="121">
        <v>0</v>
      </c>
      <c r="AA122" s="121">
        <v>379.94</v>
      </c>
      <c r="AB122" s="144">
        <f t="shared" si="955"/>
        <v>447.93669999999997</v>
      </c>
      <c r="AC122" s="144">
        <f t="shared" si="955"/>
        <v>333.27710000000002</v>
      </c>
      <c r="AD122" s="144">
        <f t="shared" si="955"/>
        <v>2059.1966000000002</v>
      </c>
      <c r="AE122" s="144">
        <f t="shared" si="955"/>
        <v>482.04</v>
      </c>
      <c r="AF122" s="144">
        <f t="shared" si="955"/>
        <v>0</v>
      </c>
      <c r="AG122" s="144">
        <f t="shared" si="955"/>
        <v>999.77980000000002</v>
      </c>
      <c r="AH122" s="144">
        <f t="shared" si="955"/>
        <v>322.26639999999998</v>
      </c>
      <c r="AI122" s="144">
        <f t="shared" si="955"/>
        <v>0</v>
      </c>
      <c r="AJ122" s="144">
        <f t="shared" si="956"/>
        <v>126.46340000000001</v>
      </c>
      <c r="AK122" s="144">
        <f t="shared" si="956"/>
        <v>0</v>
      </c>
      <c r="AL122" s="144">
        <f t="shared" si="956"/>
        <v>0</v>
      </c>
      <c r="AM122" s="144">
        <f t="shared" si="956"/>
        <v>391.33820000000003</v>
      </c>
      <c r="AN122" s="144">
        <f t="shared" si="956"/>
        <v>461.37480099999999</v>
      </c>
      <c r="AO122" s="144">
        <f t="shared" si="956"/>
        <v>343.27541300000001</v>
      </c>
      <c r="AP122" s="144">
        <f t="shared" si="956"/>
        <v>2120.9724980000001</v>
      </c>
      <c r="AQ122" s="144">
        <f t="shared" si="956"/>
        <v>496.50120000000004</v>
      </c>
      <c r="AR122" s="144">
        <f t="shared" si="956"/>
        <v>0</v>
      </c>
      <c r="AS122" s="144">
        <f t="shared" si="956"/>
        <v>1029.7731940000001</v>
      </c>
      <c r="AT122" s="144">
        <f t="shared" si="957"/>
        <v>331.934392</v>
      </c>
      <c r="AU122" s="144">
        <f t="shared" si="957"/>
        <v>0</v>
      </c>
      <c r="AV122" s="144">
        <f t="shared" si="957"/>
        <v>130.25730200000001</v>
      </c>
      <c r="AW122" s="144">
        <f t="shared" si="957"/>
        <v>0</v>
      </c>
      <c r="AX122" s="144">
        <f t="shared" si="957"/>
        <v>0</v>
      </c>
      <c r="AY122" s="144">
        <f t="shared" si="957"/>
        <v>403.07834600000007</v>
      </c>
      <c r="AZ122" s="144">
        <f t="shared" si="957"/>
        <v>475.21604502999998</v>
      </c>
      <c r="BA122" s="144">
        <f t="shared" si="957"/>
        <v>353.57367539000001</v>
      </c>
      <c r="BB122" s="144">
        <f t="shared" si="957"/>
        <v>2184.6016729400003</v>
      </c>
      <c r="BC122" s="144">
        <f t="shared" si="957"/>
        <v>511.39623600000004</v>
      </c>
      <c r="BD122" s="144">
        <f t="shared" si="958"/>
        <v>0</v>
      </c>
      <c r="BE122" s="144">
        <f t="shared" si="958"/>
        <v>1060.6663898200002</v>
      </c>
      <c r="BF122" s="144">
        <f t="shared" si="958"/>
        <v>341.89242375999999</v>
      </c>
      <c r="BG122" s="144">
        <f t="shared" si="958"/>
        <v>0</v>
      </c>
      <c r="BH122" s="144">
        <f t="shared" si="958"/>
        <v>134.16502106000002</v>
      </c>
      <c r="BI122" s="144">
        <f t="shared" si="958"/>
        <v>0</v>
      </c>
      <c r="BJ122" s="144">
        <f t="shared" si="958"/>
        <v>0</v>
      </c>
      <c r="BK122" s="144">
        <f t="shared" si="958"/>
        <v>415.17069638000009</v>
      </c>
      <c r="BL122" s="144">
        <f t="shared" si="958"/>
        <v>489.47252638089998</v>
      </c>
      <c r="BM122" s="144">
        <f t="shared" si="958"/>
        <v>364.18088565170001</v>
      </c>
      <c r="BN122" s="144">
        <f t="shared" si="959"/>
        <v>2250.1397231282003</v>
      </c>
      <c r="BO122" s="144">
        <f t="shared" si="959"/>
        <v>526.73812308000004</v>
      </c>
      <c r="BP122" s="144">
        <f t="shared" si="959"/>
        <v>0</v>
      </c>
      <c r="BQ122" s="144">
        <f t="shared" si="959"/>
        <v>1092.4863815146002</v>
      </c>
      <c r="BR122" s="144">
        <f t="shared" si="959"/>
        <v>352.14919647279999</v>
      </c>
      <c r="BS122" s="144">
        <f t="shared" si="959"/>
        <v>0</v>
      </c>
      <c r="BT122" s="144">
        <f t="shared" si="959"/>
        <v>138.18997169180003</v>
      </c>
      <c r="BU122" s="144">
        <f t="shared" si="959"/>
        <v>0</v>
      </c>
      <c r="BV122" s="144">
        <f t="shared" si="959"/>
        <v>0</v>
      </c>
      <c r="BW122" s="144">
        <f t="shared" si="959"/>
        <v>427.62581727140008</v>
      </c>
      <c r="BX122" s="144">
        <f t="shared" si="960"/>
        <v>504.15670217232702</v>
      </c>
      <c r="BY122" s="8"/>
      <c r="BZ122" s="73">
        <f t="shared" ref="BZ122:BZ153" si="961">SUMIF($B$252:$BY$252,1,$B122:$BY122)</f>
        <v>379.94</v>
      </c>
      <c r="CA122" s="73">
        <f t="shared" ref="CA122:CA153" si="962">SUMIF($B$253:$BY$253,1,$B122:$BY122)</f>
        <v>4577.0499999999993</v>
      </c>
      <c r="CB122" s="97"/>
      <c r="CC122" s="73">
        <f t="shared" si="895"/>
        <v>0</v>
      </c>
      <c r="CD122" s="73">
        <f t="shared" si="954"/>
        <v>0</v>
      </c>
      <c r="CE122" s="73">
        <f t="shared" si="954"/>
        <v>8881.9600000000009</v>
      </c>
      <c r="CF122" s="73">
        <f t="shared" si="954"/>
        <v>5024.9866999999995</v>
      </c>
      <c r="CG122" s="73">
        <f t="shared" si="954"/>
        <v>5175.7363009999999</v>
      </c>
      <c r="CH122" s="73">
        <f t="shared" si="954"/>
        <v>5331.0083900300006</v>
      </c>
      <c r="CI122" s="73">
        <f t="shared" si="954"/>
        <v>5490.9386417309006</v>
      </c>
      <c r="CJ122" s="73">
        <f t="shared" si="954"/>
        <v>5655.6668009828272</v>
      </c>
      <c r="CL122" s="13"/>
      <c r="CM122" s="13"/>
    </row>
    <row r="123" spans="1:91" x14ac:dyDescent="0.3">
      <c r="A123" s="97" t="str">
        <f>'DCS Detail'!A123</f>
        <v xml:space="preserve">      Total 2400 School Administration</v>
      </c>
      <c r="B123" s="106" t="str">
        <f>IF('DCS Detail'!$B123="","",'DCS Detail'!$B123)</f>
        <v/>
      </c>
      <c r="C123" s="36">
        <f>SUM(C114:C122)</f>
        <v>0</v>
      </c>
      <c r="D123" s="36">
        <f t="shared" ref="D123:AZ123" si="963">SUM(D114:D122)</f>
        <v>0</v>
      </c>
      <c r="E123" s="36">
        <f t="shared" si="963"/>
        <v>-12992.85</v>
      </c>
      <c r="F123" s="36">
        <f t="shared" si="963"/>
        <v>13749.67</v>
      </c>
      <c r="G123" s="36">
        <f t="shared" si="963"/>
        <v>15442.930000000002</v>
      </c>
      <c r="H123" s="36">
        <f t="shared" si="963"/>
        <v>19577.559999999998</v>
      </c>
      <c r="I123" s="36">
        <f t="shared" si="963"/>
        <v>15827.56</v>
      </c>
      <c r="J123" s="36">
        <f t="shared" si="963"/>
        <v>15827.56</v>
      </c>
      <c r="K123" s="36">
        <f t="shared" si="963"/>
        <v>16093.25</v>
      </c>
      <c r="L123" s="36">
        <f t="shared" si="963"/>
        <v>20087.829999999994</v>
      </c>
      <c r="M123" s="36">
        <f t="shared" si="963"/>
        <v>16000.249999999998</v>
      </c>
      <c r="N123" s="36">
        <f t="shared" si="963"/>
        <v>15993.22</v>
      </c>
      <c r="O123" s="36">
        <f t="shared" si="963"/>
        <v>16044.69</v>
      </c>
      <c r="P123" s="36">
        <f t="shared" si="963"/>
        <v>40792.33</v>
      </c>
      <c r="Q123" s="36">
        <f t="shared" ref="Q123:R123" si="964">SUM(Q114:Q122)</f>
        <v>631.24</v>
      </c>
      <c r="R123" s="36">
        <f t="shared" si="964"/>
        <v>19784.129999999997</v>
      </c>
      <c r="S123" s="36">
        <f t="shared" ref="S123:T123" si="965">SUM(S114:S122)</f>
        <v>18276.14</v>
      </c>
      <c r="T123" s="36">
        <f t="shared" si="965"/>
        <v>17133.05</v>
      </c>
      <c r="U123" s="36">
        <f t="shared" ref="U123:V123" si="966">SUM(U114:U122)</f>
        <v>18923.46</v>
      </c>
      <c r="V123" s="36">
        <f t="shared" si="966"/>
        <v>18245.189999999999</v>
      </c>
      <c r="W123" s="36">
        <f t="shared" ref="W123" si="967">SUM(W114:W122)</f>
        <v>18016.72</v>
      </c>
      <c r="X123" s="36">
        <f t="shared" si="963"/>
        <v>18096.439999999999</v>
      </c>
      <c r="Y123" s="36">
        <f t="shared" si="963"/>
        <v>19962.419999999998</v>
      </c>
      <c r="Z123" s="36">
        <f t="shared" si="963"/>
        <v>17945.239999999998</v>
      </c>
      <c r="AA123" s="36">
        <f t="shared" si="963"/>
        <v>18826.489999999998</v>
      </c>
      <c r="AB123" s="36">
        <f t="shared" si="963"/>
        <v>36534.00553187378</v>
      </c>
      <c r="AC123" s="36">
        <f t="shared" si="963"/>
        <v>576.35710000000006</v>
      </c>
      <c r="AD123" s="36">
        <f t="shared" si="963"/>
        <v>20048.015611557221</v>
      </c>
      <c r="AE123" s="36">
        <f t="shared" si="963"/>
        <v>18457.809337037801</v>
      </c>
      <c r="AF123" s="36">
        <f t="shared" si="963"/>
        <v>17967.004609363517</v>
      </c>
      <c r="AG123" s="36">
        <f t="shared" si="963"/>
        <v>19140.690679339819</v>
      </c>
      <c r="AH123" s="36">
        <f t="shared" si="963"/>
        <v>18273.720005943283</v>
      </c>
      <c r="AI123" s="36">
        <f t="shared" si="963"/>
        <v>17963.629467873634</v>
      </c>
      <c r="AJ123" s="36">
        <f t="shared" si="963"/>
        <v>18094.009551852545</v>
      </c>
      <c r="AK123" s="36">
        <f t="shared" si="963"/>
        <v>20027.546151852544</v>
      </c>
      <c r="AL123" s="36">
        <f t="shared" si="963"/>
        <v>17964.507171894733</v>
      </c>
      <c r="AM123" s="36">
        <f t="shared" si="963"/>
        <v>18354.236491160009</v>
      </c>
      <c r="AN123" s="36">
        <f t="shared" si="963"/>
        <v>36573.777449547597</v>
      </c>
      <c r="AO123" s="36">
        <f t="shared" si="963"/>
        <v>593.64781300000004</v>
      </c>
      <c r="AP123" s="36">
        <f t="shared" si="963"/>
        <v>20624.29722666807</v>
      </c>
      <c r="AQ123" s="36">
        <f t="shared" si="963"/>
        <v>18999.937788804375</v>
      </c>
      <c r="AR123" s="36">
        <f t="shared" si="963"/>
        <v>18502.992403591383</v>
      </c>
      <c r="AS123" s="36">
        <f t="shared" si="963"/>
        <v>19720.039942328087</v>
      </c>
      <c r="AT123" s="36">
        <f t="shared" si="963"/>
        <v>18834.287719720858</v>
      </c>
      <c r="AU123" s="36">
        <f t="shared" si="963"/>
        <v>18502.43278056366</v>
      </c>
      <c r="AV123" s="36">
        <f t="shared" si="963"/>
        <v>18633.095181612742</v>
      </c>
      <c r="AW123" s="36">
        <f t="shared" si="963"/>
        <v>20624.637879612739</v>
      </c>
      <c r="AX123" s="36">
        <f t="shared" si="963"/>
        <v>18502.768329747691</v>
      </c>
      <c r="AY123" s="36">
        <f t="shared" si="963"/>
        <v>18905.751210168164</v>
      </c>
      <c r="AZ123" s="36">
        <f t="shared" si="963"/>
        <v>37673.88315538827</v>
      </c>
      <c r="BA123" s="36">
        <f t="shared" ref="BA123:BX123" si="968">SUM(BA114:BA122)</f>
        <v>611.45724739000002</v>
      </c>
      <c r="BB123" s="36">
        <f t="shared" si="968"/>
        <v>21242.368571513594</v>
      </c>
      <c r="BC123" s="36">
        <f t="shared" si="968"/>
        <v>19569.200280319405</v>
      </c>
      <c r="BD123" s="36">
        <f t="shared" si="968"/>
        <v>19057.787192806412</v>
      </c>
      <c r="BE123" s="36">
        <f t="shared" si="968"/>
        <v>20311.847104617285</v>
      </c>
      <c r="BF123" s="36">
        <f t="shared" si="968"/>
        <v>19399.648753961381</v>
      </c>
      <c r="BG123" s="36">
        <f t="shared" si="968"/>
        <v>19057.756788957769</v>
      </c>
      <c r="BH123" s="36">
        <f t="shared" si="968"/>
        <v>19191.93823616931</v>
      </c>
      <c r="BI123" s="36">
        <f t="shared" si="968"/>
        <v>21243.227215109313</v>
      </c>
      <c r="BJ123" s="36">
        <f t="shared" si="968"/>
        <v>19057.774117471552</v>
      </c>
      <c r="BK123" s="36">
        <f t="shared" si="968"/>
        <v>19472.940538587573</v>
      </c>
      <c r="BL123" s="36">
        <f t="shared" si="968"/>
        <v>38804.222312852093</v>
      </c>
      <c r="BM123" s="36">
        <f t="shared" si="968"/>
        <v>629.80096481170006</v>
      </c>
      <c r="BN123" s="36">
        <f t="shared" si="968"/>
        <v>21879.641632147544</v>
      </c>
      <c r="BO123" s="36">
        <f t="shared" si="968"/>
        <v>20156.241798300314</v>
      </c>
      <c r="BP123" s="36">
        <f t="shared" si="968"/>
        <v>19629.503287636431</v>
      </c>
      <c r="BQ123" s="36">
        <f t="shared" si="968"/>
        <v>20921.204287910852</v>
      </c>
      <c r="BR123" s="36">
        <f t="shared" si="968"/>
        <v>19981.651412323565</v>
      </c>
      <c r="BS123" s="36">
        <f t="shared" si="968"/>
        <v>19629.502114924464</v>
      </c>
      <c r="BT123" s="36">
        <f t="shared" si="968"/>
        <v>19767.692646638061</v>
      </c>
      <c r="BU123" s="36">
        <f t="shared" si="968"/>
        <v>21880.520294946258</v>
      </c>
      <c r="BV123" s="36">
        <f t="shared" si="968"/>
        <v>19629.502784364395</v>
      </c>
      <c r="BW123" s="36">
        <f t="shared" si="968"/>
        <v>20057.128474370664</v>
      </c>
      <c r="BX123" s="36">
        <f t="shared" si="968"/>
        <v>39968.353347368466</v>
      </c>
      <c r="BY123" s="8"/>
      <c r="BZ123" s="72">
        <f t="shared" si="961"/>
        <v>18826.489999999998</v>
      </c>
      <c r="CA123" s="72">
        <f t="shared" si="962"/>
        <v>185840.51999999996</v>
      </c>
      <c r="CB123" s="97"/>
      <c r="CC123" s="72">
        <f t="shared" si="895"/>
        <v>0</v>
      </c>
      <c r="CD123" s="72">
        <f t="shared" si="954"/>
        <v>0</v>
      </c>
      <c r="CE123" s="72">
        <f t="shared" si="954"/>
        <v>192444</v>
      </c>
      <c r="CF123" s="72">
        <f t="shared" si="954"/>
        <v>222374.52553187375</v>
      </c>
      <c r="CG123" s="72">
        <f t="shared" si="954"/>
        <v>223441.30362742272</v>
      </c>
      <c r="CH123" s="72">
        <f t="shared" si="954"/>
        <v>230117.77143120606</v>
      </c>
      <c r="CI123" s="72">
        <f t="shared" si="954"/>
        <v>237020.16835975571</v>
      </c>
      <c r="CJ123" s="72">
        <f t="shared" si="954"/>
        <v>244130.74304574274</v>
      </c>
      <c r="CL123" s="13"/>
      <c r="CM123" s="13"/>
    </row>
    <row r="124" spans="1:91" x14ac:dyDescent="0.3">
      <c r="A124" s="97" t="str">
        <f>'DCS Detail'!A124</f>
        <v xml:space="preserve">      2600 Operation and Maintenance</v>
      </c>
      <c r="B124" s="106" t="str">
        <f>IF('DCS Detail'!$B124="","",'DCS Detail'!$B124)</f>
        <v>Utilities</v>
      </c>
      <c r="C124" s="106"/>
      <c r="D124" s="106"/>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46">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8"/>
      <c r="BZ124" s="72">
        <f t="shared" si="961"/>
        <v>0</v>
      </c>
      <c r="CA124" s="72">
        <f t="shared" si="962"/>
        <v>0</v>
      </c>
      <c r="CB124" s="97"/>
      <c r="CC124" s="72">
        <f t="shared" si="895"/>
        <v>0</v>
      </c>
      <c r="CD124" s="72">
        <f t="shared" si="954"/>
        <v>0</v>
      </c>
      <c r="CE124" s="72">
        <f t="shared" si="954"/>
        <v>0</v>
      </c>
      <c r="CF124" s="72">
        <f t="shared" si="954"/>
        <v>0</v>
      </c>
      <c r="CG124" s="72">
        <f t="shared" si="954"/>
        <v>0</v>
      </c>
      <c r="CH124" s="72">
        <f t="shared" si="954"/>
        <v>0</v>
      </c>
      <c r="CI124" s="72">
        <f t="shared" si="954"/>
        <v>0</v>
      </c>
      <c r="CJ124" s="72">
        <f t="shared" si="954"/>
        <v>0</v>
      </c>
      <c r="CL124" s="13"/>
      <c r="CM124" s="13"/>
    </row>
    <row r="125" spans="1:91" x14ac:dyDescent="0.3">
      <c r="A125" s="97" t="str">
        <f>'DCS Detail'!A125</f>
        <v xml:space="preserve">         1940 Garden Expense</v>
      </c>
      <c r="B125" s="106" t="str">
        <f>IF('DCS Detail'!$B125="","",'DCS Detail'!$B125)</f>
        <v>Curriculum</v>
      </c>
      <c r="C125" s="106"/>
      <c r="D125" s="106"/>
      <c r="E125" s="18">
        <v>835</v>
      </c>
      <c r="F125" s="18">
        <v>650</v>
      </c>
      <c r="G125" s="18">
        <v>1485</v>
      </c>
      <c r="H125" s="18">
        <v>2990</v>
      </c>
      <c r="I125" s="18">
        <v>1485</v>
      </c>
      <c r="J125" s="18">
        <v>1300</v>
      </c>
      <c r="K125" s="18">
        <v>370</v>
      </c>
      <c r="L125" s="18">
        <v>185</v>
      </c>
      <c r="M125" s="18">
        <v>185</v>
      </c>
      <c r="N125" s="18">
        <v>2135</v>
      </c>
      <c r="O125" s="18">
        <v>0</v>
      </c>
      <c r="P125" s="18">
        <v>1020</v>
      </c>
      <c r="Q125" s="18">
        <v>650</v>
      </c>
      <c r="R125" s="18">
        <v>1020</v>
      </c>
      <c r="S125" s="18">
        <v>835</v>
      </c>
      <c r="T125" s="18">
        <v>1095.1300000000001</v>
      </c>
      <c r="U125" s="18">
        <v>1300</v>
      </c>
      <c r="V125" s="18">
        <v>185</v>
      </c>
      <c r="W125" s="18">
        <v>1020</v>
      </c>
      <c r="X125" s="18">
        <v>5074.68</v>
      </c>
      <c r="Y125" s="18">
        <v>370</v>
      </c>
      <c r="Z125" s="18">
        <v>835</v>
      </c>
      <c r="AA125" s="146">
        <v>2852.5</v>
      </c>
      <c r="AB125" s="120">
        <f t="shared" ref="AB125:BE125" si="969">P125*(1+AB$263)</f>
        <v>1050.6000000000001</v>
      </c>
      <c r="AC125" s="120">
        <f t="shared" si="969"/>
        <v>669.5</v>
      </c>
      <c r="AD125" s="120">
        <f t="shared" si="969"/>
        <v>1050.6000000000001</v>
      </c>
      <c r="AE125" s="120">
        <f t="shared" si="969"/>
        <v>860.05000000000007</v>
      </c>
      <c r="AF125" s="120">
        <f t="shared" si="969"/>
        <v>1127.9839000000002</v>
      </c>
      <c r="AG125" s="120">
        <f t="shared" si="969"/>
        <v>1339</v>
      </c>
      <c r="AH125" s="120">
        <f t="shared" si="969"/>
        <v>190.55</v>
      </c>
      <c r="AI125" s="120">
        <f t="shared" si="969"/>
        <v>1050.6000000000001</v>
      </c>
      <c r="AJ125" s="120">
        <f t="shared" si="969"/>
        <v>5226.9204000000009</v>
      </c>
      <c r="AK125" s="120">
        <f t="shared" si="969"/>
        <v>381.1</v>
      </c>
      <c r="AL125" s="120">
        <f t="shared" si="969"/>
        <v>860.05000000000007</v>
      </c>
      <c r="AM125" s="120">
        <f t="shared" si="969"/>
        <v>2938.0750000000003</v>
      </c>
      <c r="AN125" s="120">
        <f t="shared" si="969"/>
        <v>1082.1180000000002</v>
      </c>
      <c r="AO125" s="120">
        <f t="shared" si="969"/>
        <v>689.58500000000004</v>
      </c>
      <c r="AP125" s="120">
        <f t="shared" si="969"/>
        <v>1082.1180000000002</v>
      </c>
      <c r="AQ125" s="120">
        <f t="shared" si="969"/>
        <v>885.8515000000001</v>
      </c>
      <c r="AR125" s="120">
        <f t="shared" si="969"/>
        <v>1161.8234170000003</v>
      </c>
      <c r="AS125" s="120">
        <f t="shared" si="969"/>
        <v>1379.17</v>
      </c>
      <c r="AT125" s="120">
        <f t="shared" si="969"/>
        <v>196.26650000000001</v>
      </c>
      <c r="AU125" s="120">
        <f t="shared" si="969"/>
        <v>1082.1180000000002</v>
      </c>
      <c r="AV125" s="120">
        <f t="shared" si="969"/>
        <v>5383.7280120000014</v>
      </c>
      <c r="AW125" s="120">
        <f t="shared" si="969"/>
        <v>392.53300000000002</v>
      </c>
      <c r="AX125" s="120">
        <f t="shared" si="969"/>
        <v>885.8515000000001</v>
      </c>
      <c r="AY125" s="120">
        <f t="shared" si="969"/>
        <v>3026.2172500000001</v>
      </c>
      <c r="AZ125" s="120">
        <f t="shared" si="969"/>
        <v>1114.5815400000001</v>
      </c>
      <c r="BA125" s="120">
        <f t="shared" si="969"/>
        <v>710.27255000000002</v>
      </c>
      <c r="BB125" s="120">
        <f t="shared" si="969"/>
        <v>1114.5815400000001</v>
      </c>
      <c r="BC125" s="120">
        <f t="shared" si="969"/>
        <v>912.42704500000013</v>
      </c>
      <c r="BD125" s="120">
        <f t="shared" si="969"/>
        <v>1196.6781195100004</v>
      </c>
      <c r="BE125" s="120">
        <f t="shared" si="969"/>
        <v>1420.5451</v>
      </c>
      <c r="BF125" s="120">
        <f t="shared" ref="BF125:BX125" si="970">AT125*(1+BF$263)</f>
        <v>202.15449500000003</v>
      </c>
      <c r="BG125" s="120">
        <f t="shared" si="970"/>
        <v>1114.5815400000001</v>
      </c>
      <c r="BH125" s="120">
        <f t="shared" si="970"/>
        <v>5545.2398523600014</v>
      </c>
      <c r="BI125" s="120">
        <f t="shared" si="970"/>
        <v>404.30899000000005</v>
      </c>
      <c r="BJ125" s="120">
        <f t="shared" si="970"/>
        <v>912.42704500000013</v>
      </c>
      <c r="BK125" s="120">
        <f t="shared" si="970"/>
        <v>3117.0037675000003</v>
      </c>
      <c r="BL125" s="120">
        <f t="shared" si="970"/>
        <v>1148.0189862000002</v>
      </c>
      <c r="BM125" s="120">
        <f t="shared" si="970"/>
        <v>731.58072650000008</v>
      </c>
      <c r="BN125" s="120">
        <f t="shared" si="970"/>
        <v>1148.0189862000002</v>
      </c>
      <c r="BO125" s="120">
        <f t="shared" si="970"/>
        <v>939.79985635000014</v>
      </c>
      <c r="BP125" s="120">
        <f t="shared" si="970"/>
        <v>1232.5784630953005</v>
      </c>
      <c r="BQ125" s="120">
        <f t="shared" si="970"/>
        <v>1463.1614530000002</v>
      </c>
      <c r="BR125" s="120">
        <f t="shared" si="970"/>
        <v>208.21912985000003</v>
      </c>
      <c r="BS125" s="120">
        <f t="shared" si="970"/>
        <v>1148.0189862000002</v>
      </c>
      <c r="BT125" s="120">
        <f t="shared" si="970"/>
        <v>5711.5970479308016</v>
      </c>
      <c r="BU125" s="120">
        <f t="shared" si="970"/>
        <v>416.43825970000006</v>
      </c>
      <c r="BV125" s="120">
        <f t="shared" si="970"/>
        <v>939.79985635000014</v>
      </c>
      <c r="BW125" s="120">
        <f t="shared" si="970"/>
        <v>3210.5138805250003</v>
      </c>
      <c r="BX125" s="120">
        <f t="shared" si="970"/>
        <v>1182.4595557860002</v>
      </c>
      <c r="BY125" s="8"/>
      <c r="BZ125" s="72">
        <f t="shared" si="961"/>
        <v>2852.5</v>
      </c>
      <c r="CA125" s="72">
        <f t="shared" si="962"/>
        <v>15237.310000000001</v>
      </c>
      <c r="CB125" s="97"/>
      <c r="CC125" s="72">
        <f t="shared" si="895"/>
        <v>0</v>
      </c>
      <c r="CD125" s="72">
        <f t="shared" si="954"/>
        <v>0</v>
      </c>
      <c r="CE125" s="72">
        <f t="shared" si="954"/>
        <v>12640</v>
      </c>
      <c r="CF125" s="72">
        <f t="shared" si="954"/>
        <v>16287.910000000002</v>
      </c>
      <c r="CG125" s="72">
        <f t="shared" si="954"/>
        <v>16776.547300000002</v>
      </c>
      <c r="CH125" s="72">
        <f t="shared" si="954"/>
        <v>17279.843719000004</v>
      </c>
      <c r="CI125" s="72">
        <f t="shared" si="954"/>
        <v>17798.239030570003</v>
      </c>
      <c r="CJ125" s="72">
        <f t="shared" si="954"/>
        <v>18332.186201487104</v>
      </c>
      <c r="CL125" s="13"/>
      <c r="CM125" s="13"/>
    </row>
    <row r="126" spans="1:91" x14ac:dyDescent="0.3">
      <c r="A126" s="97" t="str">
        <f>'DCS Detail'!A126</f>
        <v xml:space="preserve">         411.1 Water</v>
      </c>
      <c r="B126" s="106" t="str">
        <f>IF('DCS Detail'!$B126="","",'DCS Detail'!$B126)</f>
        <v>Utilities</v>
      </c>
      <c r="C126" s="106"/>
      <c r="D126" s="106"/>
      <c r="E126" s="18">
        <v>-1366.46</v>
      </c>
      <c r="F126" s="18">
        <v>1366.46</v>
      </c>
      <c r="G126" s="18">
        <v>2746.75</v>
      </c>
      <c r="H126" s="18">
        <v>1024.94</v>
      </c>
      <c r="I126" s="18">
        <v>817.27</v>
      </c>
      <c r="J126" s="18">
        <v>819.81</v>
      </c>
      <c r="K126" s="18">
        <v>0</v>
      </c>
      <c r="L126" s="18">
        <v>0</v>
      </c>
      <c r="M126" s="18">
        <v>2159.7599999999993</v>
      </c>
      <c r="N126" s="18">
        <v>2262.5700000000002</v>
      </c>
      <c r="O126" s="18">
        <v>0</v>
      </c>
      <c r="P126" s="18">
        <v>2926.96</v>
      </c>
      <c r="Q126" s="18">
        <v>0</v>
      </c>
      <c r="R126" s="18">
        <v>1555.91</v>
      </c>
      <c r="S126" s="18">
        <v>973.32</v>
      </c>
      <c r="T126" s="18">
        <v>854.01</v>
      </c>
      <c r="U126" s="18">
        <v>740.04</v>
      </c>
      <c r="V126" s="18">
        <v>0</v>
      </c>
      <c r="W126" s="18">
        <v>1367.76</v>
      </c>
      <c r="X126" s="18">
        <v>720.09</v>
      </c>
      <c r="Y126" s="18">
        <v>894.35</v>
      </c>
      <c r="Z126" s="18">
        <v>827.05</v>
      </c>
      <c r="AA126" s="146">
        <v>978.8</v>
      </c>
      <c r="AB126" s="120">
        <f t="shared" ref="AB126:AN126" si="971">P126*(1+AB$263)</f>
        <v>3014.7688000000003</v>
      </c>
      <c r="AC126" s="120">
        <f t="shared" si="971"/>
        <v>0</v>
      </c>
      <c r="AD126" s="120">
        <f t="shared" si="971"/>
        <v>1602.5873000000001</v>
      </c>
      <c r="AE126" s="120">
        <f t="shared" si="971"/>
        <v>1002.5196000000001</v>
      </c>
      <c r="AF126" s="120">
        <f t="shared" si="971"/>
        <v>879.63030000000003</v>
      </c>
      <c r="AG126" s="120">
        <f t="shared" si="971"/>
        <v>762.24119999999994</v>
      </c>
      <c r="AH126" s="120">
        <f t="shared" si="971"/>
        <v>0</v>
      </c>
      <c r="AI126" s="120">
        <f t="shared" si="971"/>
        <v>1408.7927999999999</v>
      </c>
      <c r="AJ126" s="120">
        <f t="shared" si="971"/>
        <v>741.69270000000006</v>
      </c>
      <c r="AK126" s="120">
        <f t="shared" si="971"/>
        <v>921.18050000000005</v>
      </c>
      <c r="AL126" s="120">
        <f t="shared" si="971"/>
        <v>851.86149999999998</v>
      </c>
      <c r="AM126" s="120">
        <f t="shared" si="971"/>
        <v>1008.164</v>
      </c>
      <c r="AN126" s="120">
        <f t="shared" si="971"/>
        <v>3105.2118640000003</v>
      </c>
      <c r="AO126" s="397">
        <f t="shared" ref="AO126:AZ126" si="972">AC126*(1+($AP$19/$AO$19-1))</f>
        <v>0</v>
      </c>
      <c r="AP126" s="397">
        <f t="shared" si="972"/>
        <v>1950.9758434782611</v>
      </c>
      <c r="AQ126" s="397">
        <f t="shared" si="972"/>
        <v>1220.4586434782611</v>
      </c>
      <c r="AR126" s="397">
        <f t="shared" si="972"/>
        <v>1070.8542782608697</v>
      </c>
      <c r="AS126" s="397">
        <f t="shared" si="972"/>
        <v>927.9458086956522</v>
      </c>
      <c r="AT126" s="397">
        <f t="shared" si="972"/>
        <v>0</v>
      </c>
      <c r="AU126" s="397">
        <f t="shared" si="972"/>
        <v>1715.0521043478261</v>
      </c>
      <c r="AV126" s="397">
        <f t="shared" si="972"/>
        <v>902.93024347826099</v>
      </c>
      <c r="AW126" s="397">
        <f t="shared" si="972"/>
        <v>1121.4371304347828</v>
      </c>
      <c r="AX126" s="397">
        <f t="shared" si="972"/>
        <v>1037.0487826086958</v>
      </c>
      <c r="AY126" s="397">
        <f t="shared" si="972"/>
        <v>1227.3300869565219</v>
      </c>
      <c r="AZ126" s="397">
        <f t="shared" si="972"/>
        <v>3780.257921391305</v>
      </c>
      <c r="BA126" s="120">
        <f t="shared" ref="BA126:BJ128" si="973">AO126*(1+BA$263)</f>
        <v>0</v>
      </c>
      <c r="BB126" s="120">
        <f t="shared" si="973"/>
        <v>2009.5051187826091</v>
      </c>
      <c r="BC126" s="120">
        <f t="shared" si="973"/>
        <v>1257.0724027826091</v>
      </c>
      <c r="BD126" s="120">
        <f t="shared" si="973"/>
        <v>1102.9799066086957</v>
      </c>
      <c r="BE126" s="120">
        <f t="shared" si="973"/>
        <v>955.78418295652182</v>
      </c>
      <c r="BF126" s="120">
        <f t="shared" si="973"/>
        <v>0</v>
      </c>
      <c r="BG126" s="120">
        <f t="shared" si="973"/>
        <v>1766.5036674782609</v>
      </c>
      <c r="BH126" s="120">
        <f t="shared" si="973"/>
        <v>930.01815078260881</v>
      </c>
      <c r="BI126" s="120">
        <f t="shared" si="973"/>
        <v>1155.0802443478262</v>
      </c>
      <c r="BJ126" s="120">
        <f t="shared" si="973"/>
        <v>1068.1602460869567</v>
      </c>
      <c r="BK126" s="120">
        <f t="shared" ref="BK126:BT128" si="974">AY126*(1+BK$263)</f>
        <v>1264.1499895652175</v>
      </c>
      <c r="BL126" s="120">
        <f t="shared" si="974"/>
        <v>3893.6656590330444</v>
      </c>
      <c r="BM126" s="120">
        <f t="shared" si="974"/>
        <v>0</v>
      </c>
      <c r="BN126" s="120">
        <f t="shared" si="974"/>
        <v>2069.7902723460875</v>
      </c>
      <c r="BO126" s="120">
        <f t="shared" si="974"/>
        <v>1294.7845748660873</v>
      </c>
      <c r="BP126" s="120">
        <f t="shared" si="974"/>
        <v>1136.0693038069567</v>
      </c>
      <c r="BQ126" s="120">
        <f t="shared" si="974"/>
        <v>984.45770844521746</v>
      </c>
      <c r="BR126" s="120">
        <f t="shared" si="974"/>
        <v>0</v>
      </c>
      <c r="BS126" s="120">
        <f t="shared" si="974"/>
        <v>1819.4987775026088</v>
      </c>
      <c r="BT126" s="120">
        <f t="shared" si="974"/>
        <v>957.9186953060871</v>
      </c>
      <c r="BU126" s="120">
        <f t="shared" ref="BU126:BX128" si="975">BI126*(1+BU$263)</f>
        <v>1189.7326516782612</v>
      </c>
      <c r="BV126" s="120">
        <f t="shared" si="975"/>
        <v>1100.2050534695654</v>
      </c>
      <c r="BW126" s="120">
        <f t="shared" si="975"/>
        <v>1302.0744892521741</v>
      </c>
      <c r="BX126" s="120">
        <f t="shared" si="975"/>
        <v>4010.4756288040358</v>
      </c>
      <c r="BY126" s="8"/>
      <c r="BZ126" s="72">
        <f t="shared" si="961"/>
        <v>978.8</v>
      </c>
      <c r="CA126" s="72">
        <f t="shared" si="962"/>
        <v>8911.33</v>
      </c>
      <c r="CB126" s="97"/>
      <c r="CC126" s="72">
        <f t="shared" si="895"/>
        <v>0</v>
      </c>
      <c r="CD126" s="72">
        <f t="shared" si="954"/>
        <v>0</v>
      </c>
      <c r="CE126" s="72">
        <f t="shared" si="954"/>
        <v>12758.060000000001</v>
      </c>
      <c r="CF126" s="72">
        <f t="shared" si="954"/>
        <v>11926.0988</v>
      </c>
      <c r="CG126" s="72">
        <f t="shared" si="954"/>
        <v>12283.881764000002</v>
      </c>
      <c r="CH126" s="72">
        <f t="shared" si="954"/>
        <v>14954.290843130439</v>
      </c>
      <c r="CI126" s="72">
        <f t="shared" si="954"/>
        <v>15402.91956842435</v>
      </c>
      <c r="CJ126" s="72">
        <f t="shared" si="954"/>
        <v>15865.00715547708</v>
      </c>
      <c r="CL126" s="13"/>
      <c r="CM126" s="13"/>
    </row>
    <row r="127" spans="1:91" x14ac:dyDescent="0.3">
      <c r="A127" s="97" t="str">
        <f>'DCS Detail'!A127</f>
        <v xml:space="preserve">         411.2 Sewer</v>
      </c>
      <c r="B127" s="106" t="str">
        <f>IF('DCS Detail'!$B127="","",'DCS Detail'!$B127)</f>
        <v>Utilities</v>
      </c>
      <c r="C127" s="106"/>
      <c r="D127" s="106"/>
      <c r="E127" s="18">
        <v>2175.16</v>
      </c>
      <c r="F127" s="18">
        <v>0</v>
      </c>
      <c r="G127" s="18">
        <v>0</v>
      </c>
      <c r="H127" s="18">
        <v>0</v>
      </c>
      <c r="I127" s="18">
        <v>0</v>
      </c>
      <c r="J127" s="18">
        <v>2210</v>
      </c>
      <c r="K127" s="18">
        <v>0</v>
      </c>
      <c r="L127" s="18">
        <v>0</v>
      </c>
      <c r="M127" s="18">
        <v>0</v>
      </c>
      <c r="N127" s="18">
        <v>0</v>
      </c>
      <c r="O127" s="18">
        <v>0</v>
      </c>
      <c r="P127" s="18">
        <v>0</v>
      </c>
      <c r="Q127" s="18">
        <v>0</v>
      </c>
      <c r="R127" s="18">
        <v>0</v>
      </c>
      <c r="S127" s="18">
        <v>0</v>
      </c>
      <c r="T127" s="18">
        <v>0</v>
      </c>
      <c r="U127" s="18">
        <v>0</v>
      </c>
      <c r="V127" s="18">
        <v>0</v>
      </c>
      <c r="W127" s="18">
        <v>0</v>
      </c>
      <c r="X127" s="18">
        <v>0</v>
      </c>
      <c r="Y127" s="18">
        <v>6682.93</v>
      </c>
      <c r="Z127" s="18">
        <v>0</v>
      </c>
      <c r="AA127" s="146">
        <v>0</v>
      </c>
      <c r="AB127" s="18">
        <f t="shared" ref="AB127:AK127" si="976">2210/3</f>
        <v>736.66666666666663</v>
      </c>
      <c r="AC127" s="18">
        <f t="shared" si="976"/>
        <v>736.66666666666663</v>
      </c>
      <c r="AD127" s="18">
        <f t="shared" si="976"/>
        <v>736.66666666666663</v>
      </c>
      <c r="AE127" s="18">
        <f t="shared" si="976"/>
        <v>736.66666666666663</v>
      </c>
      <c r="AF127" s="18">
        <f t="shared" si="976"/>
        <v>736.66666666666663</v>
      </c>
      <c r="AG127" s="18">
        <f t="shared" si="976"/>
        <v>736.66666666666663</v>
      </c>
      <c r="AH127" s="18">
        <f t="shared" si="976"/>
        <v>736.66666666666663</v>
      </c>
      <c r="AI127" s="18">
        <f t="shared" si="976"/>
        <v>736.66666666666663</v>
      </c>
      <c r="AJ127" s="18">
        <f t="shared" si="976"/>
        <v>736.66666666666663</v>
      </c>
      <c r="AK127" s="18">
        <f t="shared" si="976"/>
        <v>736.66666666666663</v>
      </c>
      <c r="AL127" s="120">
        <f t="shared" ref="AL127:AZ127" si="977">Z127*(1+AL$263)</f>
        <v>0</v>
      </c>
      <c r="AM127" s="120">
        <f t="shared" si="977"/>
        <v>0</v>
      </c>
      <c r="AN127" s="120">
        <f t="shared" si="977"/>
        <v>758.76666666666665</v>
      </c>
      <c r="AO127" s="120">
        <f t="shared" si="977"/>
        <v>758.76666666666665</v>
      </c>
      <c r="AP127" s="120">
        <f t="shared" si="977"/>
        <v>758.76666666666665</v>
      </c>
      <c r="AQ127" s="120">
        <f t="shared" si="977"/>
        <v>758.76666666666665</v>
      </c>
      <c r="AR127" s="120">
        <f t="shared" si="977"/>
        <v>758.76666666666665</v>
      </c>
      <c r="AS127" s="120">
        <f t="shared" si="977"/>
        <v>758.76666666666665</v>
      </c>
      <c r="AT127" s="120">
        <f t="shared" si="977"/>
        <v>758.76666666666665</v>
      </c>
      <c r="AU127" s="120">
        <f t="shared" si="977"/>
        <v>758.76666666666665</v>
      </c>
      <c r="AV127" s="120">
        <f t="shared" si="977"/>
        <v>758.76666666666665</v>
      </c>
      <c r="AW127" s="120">
        <f t="shared" si="977"/>
        <v>758.76666666666665</v>
      </c>
      <c r="AX127" s="120">
        <f t="shared" si="977"/>
        <v>0</v>
      </c>
      <c r="AY127" s="120">
        <f t="shared" si="977"/>
        <v>0</v>
      </c>
      <c r="AZ127" s="120">
        <f t="shared" si="977"/>
        <v>781.52966666666669</v>
      </c>
      <c r="BA127" s="120">
        <f t="shared" si="973"/>
        <v>781.52966666666669</v>
      </c>
      <c r="BB127" s="120">
        <f t="shared" si="973"/>
        <v>781.52966666666669</v>
      </c>
      <c r="BC127" s="120">
        <f t="shared" si="973"/>
        <v>781.52966666666669</v>
      </c>
      <c r="BD127" s="120">
        <f t="shared" si="973"/>
        <v>781.52966666666669</v>
      </c>
      <c r="BE127" s="120">
        <f t="shared" si="973"/>
        <v>781.52966666666669</v>
      </c>
      <c r="BF127" s="120">
        <f t="shared" si="973"/>
        <v>781.52966666666669</v>
      </c>
      <c r="BG127" s="120">
        <f t="shared" si="973"/>
        <v>781.52966666666669</v>
      </c>
      <c r="BH127" s="120">
        <f t="shared" si="973"/>
        <v>781.52966666666669</v>
      </c>
      <c r="BI127" s="120">
        <f t="shared" si="973"/>
        <v>781.52966666666669</v>
      </c>
      <c r="BJ127" s="120">
        <f t="shared" si="973"/>
        <v>0</v>
      </c>
      <c r="BK127" s="120">
        <f t="shared" si="974"/>
        <v>0</v>
      </c>
      <c r="BL127" s="120">
        <f t="shared" si="974"/>
        <v>804.97555666666676</v>
      </c>
      <c r="BM127" s="120">
        <f t="shared" si="974"/>
        <v>804.97555666666676</v>
      </c>
      <c r="BN127" s="120">
        <f t="shared" si="974"/>
        <v>804.97555666666676</v>
      </c>
      <c r="BO127" s="120">
        <f t="shared" si="974"/>
        <v>804.97555666666676</v>
      </c>
      <c r="BP127" s="120">
        <f t="shared" si="974"/>
        <v>804.97555666666676</v>
      </c>
      <c r="BQ127" s="120">
        <f t="shared" si="974"/>
        <v>804.97555666666676</v>
      </c>
      <c r="BR127" s="120">
        <f t="shared" si="974"/>
        <v>804.97555666666676</v>
      </c>
      <c r="BS127" s="120">
        <f t="shared" si="974"/>
        <v>804.97555666666676</v>
      </c>
      <c r="BT127" s="120">
        <f t="shared" si="974"/>
        <v>804.97555666666676</v>
      </c>
      <c r="BU127" s="120">
        <f t="shared" si="975"/>
        <v>804.97555666666676</v>
      </c>
      <c r="BV127" s="120">
        <f t="shared" si="975"/>
        <v>0</v>
      </c>
      <c r="BW127" s="120">
        <f t="shared" si="975"/>
        <v>0</v>
      </c>
      <c r="BX127" s="120">
        <f t="shared" si="975"/>
        <v>829.12482336666676</v>
      </c>
      <c r="BY127" s="8"/>
      <c r="BZ127" s="72">
        <f t="shared" si="961"/>
        <v>0</v>
      </c>
      <c r="CA127" s="72">
        <f t="shared" si="962"/>
        <v>6682.93</v>
      </c>
      <c r="CB127" s="97"/>
      <c r="CC127" s="72">
        <f t="shared" si="895"/>
        <v>0</v>
      </c>
      <c r="CD127" s="72">
        <f t="shared" si="954"/>
        <v>0</v>
      </c>
      <c r="CE127" s="72">
        <f t="shared" si="954"/>
        <v>4385.16</v>
      </c>
      <c r="CF127" s="72">
        <f t="shared" si="954"/>
        <v>7419.5966666666673</v>
      </c>
      <c r="CG127" s="72">
        <f t="shared" si="954"/>
        <v>7388.7666666666673</v>
      </c>
      <c r="CH127" s="72">
        <f t="shared" si="954"/>
        <v>7610.4296666666651</v>
      </c>
      <c r="CI127" s="72">
        <f t="shared" si="954"/>
        <v>7838.7425566666661</v>
      </c>
      <c r="CJ127" s="72">
        <f t="shared" si="954"/>
        <v>8073.9048333666669</v>
      </c>
      <c r="CL127" s="13"/>
      <c r="CM127" s="13"/>
    </row>
    <row r="128" spans="1:91" x14ac:dyDescent="0.3">
      <c r="A128" s="97" t="str">
        <f>'DCS Detail'!A128</f>
        <v xml:space="preserve">         421.1 Trash</v>
      </c>
      <c r="B128" s="106" t="str">
        <f>IF('DCS Detail'!$B128="","",'DCS Detail'!$B128)</f>
        <v>Utilities</v>
      </c>
      <c r="C128" s="106"/>
      <c r="D128" s="106"/>
      <c r="E128" s="18">
        <v>1650.22</v>
      </c>
      <c r="F128" s="18">
        <v>0</v>
      </c>
      <c r="G128" s="18">
        <v>0</v>
      </c>
      <c r="H128" s="18">
        <v>825.11</v>
      </c>
      <c r="I128" s="18">
        <v>0</v>
      </c>
      <c r="J128" s="18">
        <v>135.33000000000001</v>
      </c>
      <c r="K128" s="18">
        <v>13.78</v>
      </c>
      <c r="L128" s="18">
        <v>0</v>
      </c>
      <c r="M128" s="18">
        <v>866.48</v>
      </c>
      <c r="N128" s="18">
        <v>41.37</v>
      </c>
      <c r="O128" s="18">
        <v>41.37</v>
      </c>
      <c r="P128" s="18">
        <v>124.11</v>
      </c>
      <c r="Q128" s="18">
        <v>1005.77</v>
      </c>
      <c r="R128" s="18">
        <v>444.24</v>
      </c>
      <c r="S128" s="18">
        <v>94.08</v>
      </c>
      <c r="T128" s="18">
        <v>1345.73</v>
      </c>
      <c r="U128" s="18">
        <v>294.83999999999997</v>
      </c>
      <c r="V128" s="18">
        <v>0</v>
      </c>
      <c r="W128" s="18">
        <v>944.22</v>
      </c>
      <c r="X128" s="18">
        <v>392.94</v>
      </c>
      <c r="Y128" s="18">
        <v>350.82</v>
      </c>
      <c r="Z128" s="18">
        <v>446.79</v>
      </c>
      <c r="AA128" s="146">
        <v>488.91</v>
      </c>
      <c r="AB128" s="120">
        <f t="shared" ref="AB128:AN128" si="978">P128*(1+AB$263)</f>
        <v>127.83330000000001</v>
      </c>
      <c r="AC128" s="120">
        <f t="shared" si="978"/>
        <v>1035.9431</v>
      </c>
      <c r="AD128" s="120">
        <f t="shared" si="978"/>
        <v>457.56720000000001</v>
      </c>
      <c r="AE128" s="120">
        <f t="shared" si="978"/>
        <v>96.9024</v>
      </c>
      <c r="AF128" s="120">
        <f t="shared" si="978"/>
        <v>1386.1019000000001</v>
      </c>
      <c r="AG128" s="120">
        <f t="shared" si="978"/>
        <v>303.68520000000001</v>
      </c>
      <c r="AH128" s="120">
        <f t="shared" si="978"/>
        <v>0</v>
      </c>
      <c r="AI128" s="120">
        <f t="shared" si="978"/>
        <v>972.54660000000001</v>
      </c>
      <c r="AJ128" s="120">
        <f t="shared" si="978"/>
        <v>404.72820000000002</v>
      </c>
      <c r="AK128" s="120">
        <f t="shared" si="978"/>
        <v>361.34460000000001</v>
      </c>
      <c r="AL128" s="120">
        <f t="shared" si="978"/>
        <v>460.19370000000004</v>
      </c>
      <c r="AM128" s="120">
        <f t="shared" si="978"/>
        <v>503.57730000000004</v>
      </c>
      <c r="AN128" s="120">
        <f t="shared" si="978"/>
        <v>131.66829900000002</v>
      </c>
      <c r="AO128" s="397">
        <f t="shared" ref="AO128:AZ128" si="979">AC128*(1+($AP$19/$AO$19-1))</f>
        <v>1261.1481217391304</v>
      </c>
      <c r="AP128" s="397">
        <f t="shared" si="979"/>
        <v>557.03833043478267</v>
      </c>
      <c r="AQ128" s="397">
        <f t="shared" si="979"/>
        <v>117.96813913043479</v>
      </c>
      <c r="AR128" s="397">
        <f t="shared" si="979"/>
        <v>1687.4284000000002</v>
      </c>
      <c r="AS128" s="397">
        <f t="shared" si="979"/>
        <v>369.70372173913046</v>
      </c>
      <c r="AT128" s="397">
        <f t="shared" si="979"/>
        <v>0</v>
      </c>
      <c r="AU128" s="397">
        <f t="shared" si="979"/>
        <v>1183.9697739130436</v>
      </c>
      <c r="AV128" s="397">
        <f t="shared" si="979"/>
        <v>492.71259130434788</v>
      </c>
      <c r="AW128" s="397">
        <f t="shared" si="979"/>
        <v>439.89777391304352</v>
      </c>
      <c r="AX128" s="397">
        <f t="shared" si="979"/>
        <v>560.23580869565228</v>
      </c>
      <c r="AY128" s="397">
        <f t="shared" si="979"/>
        <v>613.05062608695664</v>
      </c>
      <c r="AZ128" s="397">
        <f t="shared" si="979"/>
        <v>160.2918422608696</v>
      </c>
      <c r="BA128" s="120">
        <f t="shared" si="973"/>
        <v>1298.9825653913042</v>
      </c>
      <c r="BB128" s="120">
        <f t="shared" si="973"/>
        <v>573.74948034782619</v>
      </c>
      <c r="BC128" s="120">
        <f t="shared" si="973"/>
        <v>121.50718330434783</v>
      </c>
      <c r="BD128" s="120">
        <f t="shared" si="973"/>
        <v>1738.0512520000002</v>
      </c>
      <c r="BE128" s="120">
        <f t="shared" si="973"/>
        <v>380.79483339130439</v>
      </c>
      <c r="BF128" s="120">
        <f t="shared" si="973"/>
        <v>0</v>
      </c>
      <c r="BG128" s="120">
        <f t="shared" si="973"/>
        <v>1219.488867130435</v>
      </c>
      <c r="BH128" s="120">
        <f t="shared" si="973"/>
        <v>507.49396904347833</v>
      </c>
      <c r="BI128" s="120">
        <f t="shared" si="973"/>
        <v>453.09470713043481</v>
      </c>
      <c r="BJ128" s="120">
        <f t="shared" si="973"/>
        <v>577.04288295652191</v>
      </c>
      <c r="BK128" s="120">
        <f t="shared" si="974"/>
        <v>631.44214486956537</v>
      </c>
      <c r="BL128" s="120">
        <f t="shared" si="974"/>
        <v>165.10059752869569</v>
      </c>
      <c r="BM128" s="120">
        <f t="shared" si="974"/>
        <v>1337.9520423530435</v>
      </c>
      <c r="BN128" s="120">
        <f t="shared" si="974"/>
        <v>590.96196475826105</v>
      </c>
      <c r="BO128" s="120">
        <f t="shared" si="974"/>
        <v>125.15239880347828</v>
      </c>
      <c r="BP128" s="120">
        <f t="shared" si="974"/>
        <v>1790.1927895600002</v>
      </c>
      <c r="BQ128" s="120">
        <f t="shared" si="974"/>
        <v>392.21867839304355</v>
      </c>
      <c r="BR128" s="120">
        <f t="shared" si="974"/>
        <v>0</v>
      </c>
      <c r="BS128" s="120">
        <f t="shared" si="974"/>
        <v>1256.0735331443482</v>
      </c>
      <c r="BT128" s="120">
        <f t="shared" si="974"/>
        <v>522.71878811478268</v>
      </c>
      <c r="BU128" s="120">
        <f t="shared" si="975"/>
        <v>466.68754834434787</v>
      </c>
      <c r="BV128" s="120">
        <f t="shared" si="975"/>
        <v>594.35416944521762</v>
      </c>
      <c r="BW128" s="120">
        <f t="shared" si="975"/>
        <v>650.38540921565232</v>
      </c>
      <c r="BX128" s="120">
        <f t="shared" si="975"/>
        <v>170.05361545455656</v>
      </c>
      <c r="BY128" s="8"/>
      <c r="BZ128" s="72">
        <f t="shared" si="961"/>
        <v>488.91</v>
      </c>
      <c r="CA128" s="72">
        <f t="shared" si="962"/>
        <v>5808.3399999999992</v>
      </c>
      <c r="CB128" s="97"/>
      <c r="CC128" s="72">
        <f t="shared" si="895"/>
        <v>0</v>
      </c>
      <c r="CD128" s="72">
        <f t="shared" ref="CD128:CJ138" si="980">SUMIF($C$3:$BY$3,CD$3,$C128:$BY128)</f>
        <v>0</v>
      </c>
      <c r="CE128" s="72">
        <f t="shared" si="980"/>
        <v>3697.77</v>
      </c>
      <c r="CF128" s="72">
        <f t="shared" si="980"/>
        <v>5936.1732999999995</v>
      </c>
      <c r="CG128" s="72">
        <f t="shared" si="980"/>
        <v>6114.2584989999996</v>
      </c>
      <c r="CH128" s="72">
        <f t="shared" si="980"/>
        <v>7443.4451292173926</v>
      </c>
      <c r="CI128" s="72">
        <f t="shared" si="980"/>
        <v>7666.7484830939138</v>
      </c>
      <c r="CJ128" s="72">
        <f t="shared" si="980"/>
        <v>7896.750937586733</v>
      </c>
      <c r="CL128" s="13"/>
      <c r="CM128" s="13"/>
    </row>
    <row r="129" spans="1:91" x14ac:dyDescent="0.3">
      <c r="A129" s="97" t="str">
        <f>'DCS Detail'!A129</f>
        <v xml:space="preserve">         441.1 Lease</v>
      </c>
      <c r="B129" s="106" t="str">
        <f>IF('DCS Detail'!$B129="","",'DCS Detail'!$B129)</f>
        <v>Lease</v>
      </c>
      <c r="C129" s="106"/>
      <c r="D129" s="106"/>
      <c r="E129" s="18">
        <v>33548</v>
      </c>
      <c r="F129" s="18">
        <v>25450</v>
      </c>
      <c r="G129" s="18">
        <v>76918</v>
      </c>
      <c r="H129" s="18">
        <v>25704.5</v>
      </c>
      <c r="I129" s="18">
        <v>25704.5</v>
      </c>
      <c r="J129" s="18">
        <v>0</v>
      </c>
      <c r="K129" s="18">
        <v>52137.22</v>
      </c>
      <c r="L129" s="18">
        <v>52937.22</v>
      </c>
      <c r="M129" s="18">
        <v>44039.219999999943</v>
      </c>
      <c r="N129" s="18">
        <v>70119.66</v>
      </c>
      <c r="O129" s="18">
        <v>48747.32</v>
      </c>
      <c r="P129" s="18">
        <v>-301069.68</v>
      </c>
      <c r="Q129" s="18">
        <v>36879.32</v>
      </c>
      <c r="R129" s="18">
        <v>15022.32</v>
      </c>
      <c r="S129" s="18">
        <v>12812.32</v>
      </c>
      <c r="T129" s="18">
        <v>12812.32</v>
      </c>
      <c r="U129" s="18">
        <v>22178.46</v>
      </c>
      <c r="V129" s="18">
        <v>12812.32</v>
      </c>
      <c r="W129" s="18">
        <v>9060.74</v>
      </c>
      <c r="X129" s="18">
        <v>11323.67</v>
      </c>
      <c r="Y129" s="18">
        <v>-108834.47</v>
      </c>
      <c r="Z129" s="18">
        <v>0</v>
      </c>
      <c r="AA129" s="146">
        <v>0</v>
      </c>
      <c r="AB129" s="18">
        <v>0</v>
      </c>
      <c r="AC129" s="18">
        <v>0</v>
      </c>
      <c r="AD129" s="18">
        <v>0</v>
      </c>
      <c r="AE129" s="18">
        <v>0</v>
      </c>
      <c r="AF129" s="18">
        <v>0</v>
      </c>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v>0</v>
      </c>
      <c r="AV129" s="18">
        <v>0</v>
      </c>
      <c r="AW129" s="18">
        <v>0</v>
      </c>
      <c r="AX129" s="18">
        <v>0</v>
      </c>
      <c r="AY129" s="18">
        <v>0</v>
      </c>
      <c r="AZ129" s="18">
        <v>0</v>
      </c>
      <c r="BA129" s="18">
        <v>0</v>
      </c>
      <c r="BB129" s="18">
        <v>0</v>
      </c>
      <c r="BC129" s="18">
        <v>0</v>
      </c>
      <c r="BD129" s="18">
        <v>0</v>
      </c>
      <c r="BE129" s="18">
        <v>0</v>
      </c>
      <c r="BF129" s="18">
        <v>0</v>
      </c>
      <c r="BG129" s="18">
        <v>0</v>
      </c>
      <c r="BH129" s="18">
        <v>0</v>
      </c>
      <c r="BI129" s="18">
        <v>0</v>
      </c>
      <c r="BJ129" s="18">
        <v>0</v>
      </c>
      <c r="BK129" s="18">
        <v>0</v>
      </c>
      <c r="BL129" s="18">
        <v>0</v>
      </c>
      <c r="BM129" s="18">
        <v>0</v>
      </c>
      <c r="BN129" s="18">
        <v>0</v>
      </c>
      <c r="BO129" s="18">
        <v>0</v>
      </c>
      <c r="BP129" s="18">
        <v>0</v>
      </c>
      <c r="BQ129" s="18">
        <v>0</v>
      </c>
      <c r="BR129" s="18">
        <v>0</v>
      </c>
      <c r="BS129" s="18">
        <v>0</v>
      </c>
      <c r="BT129" s="18">
        <v>0</v>
      </c>
      <c r="BU129" s="18">
        <v>0</v>
      </c>
      <c r="BV129" s="18">
        <v>0</v>
      </c>
      <c r="BW129" s="18">
        <v>0</v>
      </c>
      <c r="BX129" s="18">
        <v>0</v>
      </c>
      <c r="BY129" s="8"/>
      <c r="BZ129" s="72">
        <f t="shared" si="961"/>
        <v>0</v>
      </c>
      <c r="CA129" s="72">
        <f t="shared" si="962"/>
        <v>24067</v>
      </c>
      <c r="CB129" s="97"/>
      <c r="CC129" s="72">
        <f t="shared" si="895"/>
        <v>0</v>
      </c>
      <c r="CD129" s="72">
        <f t="shared" si="980"/>
        <v>0</v>
      </c>
      <c r="CE129" s="72">
        <f t="shared" si="980"/>
        <v>154235.95999999996</v>
      </c>
      <c r="CF129" s="72">
        <f t="shared" si="980"/>
        <v>24067</v>
      </c>
      <c r="CG129" s="72">
        <f t="shared" si="980"/>
        <v>0</v>
      </c>
      <c r="CH129" s="72">
        <f t="shared" si="980"/>
        <v>0</v>
      </c>
      <c r="CI129" s="72">
        <f t="shared" si="980"/>
        <v>0</v>
      </c>
      <c r="CJ129" s="72">
        <f t="shared" si="980"/>
        <v>0</v>
      </c>
      <c r="CL129" s="13"/>
      <c r="CM129" s="13"/>
    </row>
    <row r="130" spans="1:91" x14ac:dyDescent="0.3">
      <c r="A130" s="97" t="str">
        <f>'DCS Detail'!A130</f>
        <v xml:space="preserve">            441.2 HOA Expense</v>
      </c>
      <c r="B130" s="106" t="str">
        <f>IF('DCS Detail'!$B130="","",'DCS Detail'!$B130)</f>
        <v>Utilities</v>
      </c>
      <c r="C130" s="106"/>
      <c r="D130" s="106"/>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7200</v>
      </c>
      <c r="Z130" s="18">
        <v>800</v>
      </c>
      <c r="AA130" s="146">
        <v>800</v>
      </c>
      <c r="AB130" s="18">
        <f>800</f>
        <v>800</v>
      </c>
      <c r="AC130" s="18">
        <f>800</f>
        <v>800</v>
      </c>
      <c r="AD130" s="18">
        <f>800</f>
        <v>800</v>
      </c>
      <c r="AE130" s="18">
        <f>800</f>
        <v>800</v>
      </c>
      <c r="AF130" s="18">
        <f>800</f>
        <v>800</v>
      </c>
      <c r="AG130" s="18">
        <f>800</f>
        <v>800</v>
      </c>
      <c r="AH130" s="18">
        <f>800</f>
        <v>800</v>
      </c>
      <c r="AI130" s="18">
        <f>800</f>
        <v>800</v>
      </c>
      <c r="AJ130" s="18">
        <f>800</f>
        <v>800</v>
      </c>
      <c r="AK130" s="18">
        <f>800</f>
        <v>800</v>
      </c>
      <c r="AL130" s="120">
        <f t="shared" ref="AL130:AU131" si="981">Z130*(1+AL$263)</f>
        <v>824</v>
      </c>
      <c r="AM130" s="120">
        <f t="shared" si="981"/>
        <v>824</v>
      </c>
      <c r="AN130" s="120">
        <f t="shared" si="981"/>
        <v>824</v>
      </c>
      <c r="AO130" s="120">
        <f t="shared" si="981"/>
        <v>824</v>
      </c>
      <c r="AP130" s="120">
        <f t="shared" si="981"/>
        <v>824</v>
      </c>
      <c r="AQ130" s="120">
        <f t="shared" si="981"/>
        <v>824</v>
      </c>
      <c r="AR130" s="120">
        <f t="shared" si="981"/>
        <v>824</v>
      </c>
      <c r="AS130" s="120">
        <f t="shared" si="981"/>
        <v>824</v>
      </c>
      <c r="AT130" s="120">
        <f t="shared" si="981"/>
        <v>824</v>
      </c>
      <c r="AU130" s="120">
        <f t="shared" si="981"/>
        <v>824</v>
      </c>
      <c r="AV130" s="120">
        <f t="shared" ref="AV130:BE131" si="982">AJ130*(1+AV$263)</f>
        <v>824</v>
      </c>
      <c r="AW130" s="120">
        <f t="shared" si="982"/>
        <v>824</v>
      </c>
      <c r="AX130" s="120">
        <f t="shared" si="982"/>
        <v>848.72</v>
      </c>
      <c r="AY130" s="120">
        <f t="shared" si="982"/>
        <v>848.72</v>
      </c>
      <c r="AZ130" s="120">
        <f t="shared" si="982"/>
        <v>848.72</v>
      </c>
      <c r="BA130" s="120">
        <f t="shared" si="982"/>
        <v>848.72</v>
      </c>
      <c r="BB130" s="120">
        <f t="shared" si="982"/>
        <v>848.72</v>
      </c>
      <c r="BC130" s="120">
        <f t="shared" si="982"/>
        <v>848.72</v>
      </c>
      <c r="BD130" s="120">
        <f t="shared" si="982"/>
        <v>848.72</v>
      </c>
      <c r="BE130" s="120">
        <f t="shared" si="982"/>
        <v>848.72</v>
      </c>
      <c r="BF130" s="120">
        <f t="shared" ref="BF130:BO131" si="983">AT130*(1+BF$263)</f>
        <v>848.72</v>
      </c>
      <c r="BG130" s="120">
        <f t="shared" si="983"/>
        <v>848.72</v>
      </c>
      <c r="BH130" s="120">
        <f t="shared" si="983"/>
        <v>848.72</v>
      </c>
      <c r="BI130" s="120">
        <f t="shared" si="983"/>
        <v>848.72</v>
      </c>
      <c r="BJ130" s="120">
        <f t="shared" si="983"/>
        <v>874.1816</v>
      </c>
      <c r="BK130" s="120">
        <f t="shared" si="983"/>
        <v>874.1816</v>
      </c>
      <c r="BL130" s="120">
        <f t="shared" si="983"/>
        <v>874.1816</v>
      </c>
      <c r="BM130" s="120">
        <f t="shared" si="983"/>
        <v>874.1816</v>
      </c>
      <c r="BN130" s="120">
        <f t="shared" si="983"/>
        <v>874.1816</v>
      </c>
      <c r="BO130" s="120">
        <f t="shared" si="983"/>
        <v>874.1816</v>
      </c>
      <c r="BP130" s="120">
        <f t="shared" ref="BP130:BX131" si="984">BD130*(1+BP$263)</f>
        <v>874.1816</v>
      </c>
      <c r="BQ130" s="120">
        <f t="shared" si="984"/>
        <v>874.1816</v>
      </c>
      <c r="BR130" s="120">
        <f t="shared" si="984"/>
        <v>874.1816</v>
      </c>
      <c r="BS130" s="120">
        <f t="shared" si="984"/>
        <v>874.1816</v>
      </c>
      <c r="BT130" s="120">
        <f t="shared" si="984"/>
        <v>874.1816</v>
      </c>
      <c r="BU130" s="120">
        <f t="shared" si="984"/>
        <v>874.1816</v>
      </c>
      <c r="BV130" s="120">
        <f t="shared" si="984"/>
        <v>900.40704800000003</v>
      </c>
      <c r="BW130" s="120">
        <f t="shared" si="984"/>
        <v>900.40704800000003</v>
      </c>
      <c r="BX130" s="120">
        <f t="shared" si="984"/>
        <v>900.40704800000003</v>
      </c>
      <c r="BY130" s="8"/>
      <c r="BZ130" s="72">
        <f t="shared" si="961"/>
        <v>800</v>
      </c>
      <c r="CA130" s="72">
        <f t="shared" si="962"/>
        <v>8800</v>
      </c>
      <c r="CB130" s="97"/>
      <c r="CC130" s="72">
        <f t="shared" si="895"/>
        <v>0</v>
      </c>
      <c r="CD130" s="72">
        <f t="shared" si="980"/>
        <v>0</v>
      </c>
      <c r="CE130" s="72">
        <f t="shared" si="980"/>
        <v>0</v>
      </c>
      <c r="CF130" s="72">
        <f t="shared" si="980"/>
        <v>9600</v>
      </c>
      <c r="CG130" s="72">
        <f t="shared" si="980"/>
        <v>9672</v>
      </c>
      <c r="CH130" s="72">
        <f t="shared" si="980"/>
        <v>9962.159999999998</v>
      </c>
      <c r="CI130" s="72">
        <f t="shared" si="980"/>
        <v>10261.024800000001</v>
      </c>
      <c r="CJ130" s="72">
        <f t="shared" si="980"/>
        <v>10568.855544000002</v>
      </c>
      <c r="CL130" s="13"/>
      <c r="CM130" s="13"/>
    </row>
    <row r="131" spans="1:91" x14ac:dyDescent="0.3">
      <c r="A131" s="97" t="str">
        <f>'DCS Detail'!A131</f>
        <v xml:space="preserve">         522.1 Liability Insurance</v>
      </c>
      <c r="B131" s="106" t="str">
        <f>IF('DCS Detail'!$B131="","",'DCS Detail'!$B131)</f>
        <v>Insurance</v>
      </c>
      <c r="C131" s="106"/>
      <c r="D131" s="106"/>
      <c r="E131" s="18">
        <v>0</v>
      </c>
      <c r="F131" s="18">
        <v>4101.05</v>
      </c>
      <c r="G131" s="18">
        <f>4688.9*0.78</f>
        <v>3657.3419999999996</v>
      </c>
      <c r="H131" s="18">
        <v>1988.03</v>
      </c>
      <c r="I131" s="18">
        <f>17557.49*0.78</f>
        <v>13694.842200000001</v>
      </c>
      <c r="J131" s="18">
        <v>0</v>
      </c>
      <c r="K131" s="18">
        <v>1362.64</v>
      </c>
      <c r="L131" s="18">
        <v>-466.44420000000173</v>
      </c>
      <c r="M131" s="18">
        <v>0</v>
      </c>
      <c r="N131" s="18">
        <v>0</v>
      </c>
      <c r="O131" s="18">
        <v>0</v>
      </c>
      <c r="P131" s="18">
        <v>0</v>
      </c>
      <c r="Q131" s="18">
        <v>0</v>
      </c>
      <c r="R131" s="18">
        <v>-1950</v>
      </c>
      <c r="S131" s="18">
        <v>0</v>
      </c>
      <c r="T131" s="18">
        <v>0</v>
      </c>
      <c r="U131" s="18">
        <v>4722.63</v>
      </c>
      <c r="V131" s="18">
        <v>4722.63</v>
      </c>
      <c r="W131" s="18">
        <v>4722.63</v>
      </c>
      <c r="X131" s="18">
        <v>0</v>
      </c>
      <c r="Y131" s="18">
        <v>0</v>
      </c>
      <c r="Z131" s="18">
        <v>0</v>
      </c>
      <c r="AA131" s="146">
        <v>0</v>
      </c>
      <c r="AB131" s="120">
        <f t="shared" ref="AB131:AK138" si="985">P131*(1+AB$263)</f>
        <v>0</v>
      </c>
      <c r="AC131" s="120">
        <f t="shared" si="985"/>
        <v>0</v>
      </c>
      <c r="AD131" s="120">
        <f t="shared" si="985"/>
        <v>-2008.5</v>
      </c>
      <c r="AE131" s="120">
        <f t="shared" si="985"/>
        <v>0</v>
      </c>
      <c r="AF131" s="120">
        <f t="shared" si="985"/>
        <v>0</v>
      </c>
      <c r="AG131" s="120">
        <f t="shared" si="985"/>
        <v>4864.3089</v>
      </c>
      <c r="AH131" s="120">
        <f t="shared" si="985"/>
        <v>4864.3089</v>
      </c>
      <c r="AI131" s="120">
        <f t="shared" si="985"/>
        <v>4864.3089</v>
      </c>
      <c r="AJ131" s="120">
        <f t="shared" si="985"/>
        <v>0</v>
      </c>
      <c r="AK131" s="120">
        <f t="shared" si="985"/>
        <v>0</v>
      </c>
      <c r="AL131" s="120">
        <f t="shared" si="981"/>
        <v>0</v>
      </c>
      <c r="AM131" s="120">
        <f t="shared" si="981"/>
        <v>0</v>
      </c>
      <c r="AN131" s="120">
        <f t="shared" si="981"/>
        <v>0</v>
      </c>
      <c r="AO131" s="120">
        <f t="shared" si="981"/>
        <v>0</v>
      </c>
      <c r="AP131" s="120">
        <f t="shared" si="981"/>
        <v>-2068.7550000000001</v>
      </c>
      <c r="AQ131" s="120">
        <f t="shared" si="981"/>
        <v>0</v>
      </c>
      <c r="AR131" s="120">
        <f t="shared" si="981"/>
        <v>0</v>
      </c>
      <c r="AS131" s="120">
        <f t="shared" si="981"/>
        <v>5010.2381670000004</v>
      </c>
      <c r="AT131" s="120">
        <f t="shared" si="981"/>
        <v>5010.2381670000004</v>
      </c>
      <c r="AU131" s="120">
        <f t="shared" si="981"/>
        <v>5010.2381670000004</v>
      </c>
      <c r="AV131" s="120">
        <f t="shared" si="982"/>
        <v>0</v>
      </c>
      <c r="AW131" s="120">
        <f t="shared" si="982"/>
        <v>0</v>
      </c>
      <c r="AX131" s="120">
        <f t="shared" si="982"/>
        <v>0</v>
      </c>
      <c r="AY131" s="120">
        <f t="shared" si="982"/>
        <v>0</v>
      </c>
      <c r="AZ131" s="120">
        <f t="shared" si="982"/>
        <v>0</v>
      </c>
      <c r="BA131" s="120">
        <f t="shared" si="982"/>
        <v>0</v>
      </c>
      <c r="BB131" s="120">
        <f t="shared" si="982"/>
        <v>-2130.81765</v>
      </c>
      <c r="BC131" s="120">
        <f t="shared" si="982"/>
        <v>0</v>
      </c>
      <c r="BD131" s="120">
        <f t="shared" si="982"/>
        <v>0</v>
      </c>
      <c r="BE131" s="120">
        <f t="shared" si="982"/>
        <v>5160.545312010001</v>
      </c>
      <c r="BF131" s="120">
        <f t="shared" si="983"/>
        <v>5160.545312010001</v>
      </c>
      <c r="BG131" s="120">
        <f t="shared" si="983"/>
        <v>5160.545312010001</v>
      </c>
      <c r="BH131" s="120">
        <f t="shared" si="983"/>
        <v>0</v>
      </c>
      <c r="BI131" s="120">
        <f t="shared" si="983"/>
        <v>0</v>
      </c>
      <c r="BJ131" s="120">
        <f t="shared" si="983"/>
        <v>0</v>
      </c>
      <c r="BK131" s="120">
        <f t="shared" si="983"/>
        <v>0</v>
      </c>
      <c r="BL131" s="120">
        <f t="shared" si="983"/>
        <v>0</v>
      </c>
      <c r="BM131" s="120">
        <f t="shared" si="983"/>
        <v>0</v>
      </c>
      <c r="BN131" s="120">
        <f t="shared" si="983"/>
        <v>-2194.7421795</v>
      </c>
      <c r="BO131" s="120">
        <f t="shared" si="983"/>
        <v>0</v>
      </c>
      <c r="BP131" s="120">
        <f t="shared" si="984"/>
        <v>0</v>
      </c>
      <c r="BQ131" s="120">
        <f t="shared" si="984"/>
        <v>5315.3616713703013</v>
      </c>
      <c r="BR131" s="120">
        <f t="shared" si="984"/>
        <v>5315.3616713703013</v>
      </c>
      <c r="BS131" s="120">
        <f t="shared" si="984"/>
        <v>5315.3616713703013</v>
      </c>
      <c r="BT131" s="120">
        <f t="shared" si="984"/>
        <v>0</v>
      </c>
      <c r="BU131" s="120">
        <f t="shared" si="984"/>
        <v>0</v>
      </c>
      <c r="BV131" s="120">
        <f t="shared" si="984"/>
        <v>0</v>
      </c>
      <c r="BW131" s="120">
        <f t="shared" si="984"/>
        <v>0</v>
      </c>
      <c r="BX131" s="120">
        <f t="shared" si="984"/>
        <v>0</v>
      </c>
      <c r="BY131" s="8"/>
      <c r="BZ131" s="72">
        <f t="shared" si="961"/>
        <v>0</v>
      </c>
      <c r="CA131" s="72">
        <f t="shared" si="962"/>
        <v>12217.89</v>
      </c>
      <c r="CB131" s="97"/>
      <c r="CC131" s="72">
        <f t="shared" si="895"/>
        <v>0</v>
      </c>
      <c r="CD131" s="72">
        <f t="shared" si="980"/>
        <v>0</v>
      </c>
      <c r="CE131" s="72">
        <f t="shared" si="980"/>
        <v>24337.46</v>
      </c>
      <c r="CF131" s="72">
        <f t="shared" si="980"/>
        <v>12217.89</v>
      </c>
      <c r="CG131" s="72">
        <f t="shared" si="980"/>
        <v>12584.4267</v>
      </c>
      <c r="CH131" s="72">
        <f t="shared" si="980"/>
        <v>12961.959501000001</v>
      </c>
      <c r="CI131" s="72">
        <f t="shared" si="980"/>
        <v>13350.818286030004</v>
      </c>
      <c r="CJ131" s="72">
        <f t="shared" si="980"/>
        <v>13751.342834610903</v>
      </c>
      <c r="CL131" s="13"/>
      <c r="CM131" s="13"/>
    </row>
    <row r="132" spans="1:91" x14ac:dyDescent="0.3">
      <c r="A132" s="97" t="str">
        <f>'DCS Detail'!A132</f>
        <v xml:space="preserve">         523.1 Other Insurance</v>
      </c>
      <c r="B132" s="106" t="str">
        <f>IF('DCS Detail'!$B132="","",'DCS Detail'!$B132)</f>
        <v>Insurance</v>
      </c>
      <c r="C132" s="106"/>
      <c r="D132" s="106"/>
      <c r="E132" s="18">
        <v>13674.65</v>
      </c>
      <c r="F132" s="18">
        <v>12683.64</v>
      </c>
      <c r="G132" s="18">
        <f>17387.76-G131</f>
        <v>13730.417999999998</v>
      </c>
      <c r="H132" s="18">
        <v>23666.58</v>
      </c>
      <c r="I132" s="18">
        <f>17154.4*0.78</f>
        <v>13380.432000000001</v>
      </c>
      <c r="J132" s="18">
        <f>18668.83*0.78</f>
        <v>14561.687400000003</v>
      </c>
      <c r="K132" s="18">
        <v>14710.81</v>
      </c>
      <c r="L132" s="18">
        <v>15009.1826</v>
      </c>
      <c r="M132" s="18">
        <v>13923.570000000012</v>
      </c>
      <c r="N132" s="18">
        <v>14525.73</v>
      </c>
      <c r="O132" s="18">
        <v>13917.21</v>
      </c>
      <c r="P132" s="18">
        <v>15039.35</v>
      </c>
      <c r="Q132" s="18">
        <v>15495.14</v>
      </c>
      <c r="R132" s="18">
        <v>15795.44</v>
      </c>
      <c r="S132" s="18">
        <v>14369.27</v>
      </c>
      <c r="T132" s="18">
        <v>17146.89</v>
      </c>
      <c r="U132" s="18">
        <v>23460.36</v>
      </c>
      <c r="V132" s="18">
        <v>17657.3</v>
      </c>
      <c r="W132" s="18">
        <v>18607.98</v>
      </c>
      <c r="X132" s="18">
        <v>17700.810000000001</v>
      </c>
      <c r="Y132" s="18">
        <v>19881.84</v>
      </c>
      <c r="Z132" s="18">
        <v>17979.009999999998</v>
      </c>
      <c r="AA132" s="146">
        <v>17040.79</v>
      </c>
      <c r="AB132" s="120">
        <f t="shared" si="985"/>
        <v>15490.530500000001</v>
      </c>
      <c r="AC132" s="120">
        <f t="shared" si="985"/>
        <v>15959.994199999999</v>
      </c>
      <c r="AD132" s="120">
        <f t="shared" si="985"/>
        <v>16269.3032</v>
      </c>
      <c r="AE132" s="120">
        <f t="shared" si="985"/>
        <v>14800.348100000001</v>
      </c>
      <c r="AF132" s="120">
        <f t="shared" si="985"/>
        <v>17661.296699999999</v>
      </c>
      <c r="AG132" s="120">
        <f t="shared" si="985"/>
        <v>24164.1708</v>
      </c>
      <c r="AH132" s="120">
        <f t="shared" si="985"/>
        <v>18187.019</v>
      </c>
      <c r="AI132" s="120">
        <f t="shared" si="985"/>
        <v>19166.219400000002</v>
      </c>
      <c r="AJ132" s="120">
        <f t="shared" si="985"/>
        <v>18231.834300000002</v>
      </c>
      <c r="AK132" s="120">
        <f t="shared" si="985"/>
        <v>20478.2952</v>
      </c>
      <c r="AL132" s="120">
        <f t="shared" ref="AL132:AN138" si="986">Z132*(1+AL$263)</f>
        <v>18518.380299999997</v>
      </c>
      <c r="AM132" s="120">
        <f t="shared" si="986"/>
        <v>17552.013700000003</v>
      </c>
      <c r="AN132" s="120">
        <f t="shared" si="986"/>
        <v>15955.246415000001</v>
      </c>
      <c r="AO132" s="397">
        <f t="shared" ref="AO132:AZ132" si="987">AC132*(1+($AP$19/$AO$19-1))</f>
        <v>19429.55815652174</v>
      </c>
      <c r="AP132" s="397">
        <f t="shared" si="987"/>
        <v>19806.108243478262</v>
      </c>
      <c r="AQ132" s="397">
        <f t="shared" si="987"/>
        <v>18017.815078260872</v>
      </c>
      <c r="AR132" s="397">
        <f t="shared" si="987"/>
        <v>21500.709026086955</v>
      </c>
      <c r="AS132" s="397">
        <f t="shared" si="987"/>
        <v>29417.251408695654</v>
      </c>
      <c r="AT132" s="397">
        <f t="shared" si="987"/>
        <v>22140.718782608696</v>
      </c>
      <c r="AU132" s="397">
        <f t="shared" si="987"/>
        <v>23332.788834782612</v>
      </c>
      <c r="AV132" s="397">
        <f t="shared" si="987"/>
        <v>22195.276539130438</v>
      </c>
      <c r="AW132" s="397">
        <f t="shared" si="987"/>
        <v>24930.098504347829</v>
      </c>
      <c r="AX132" s="397">
        <f t="shared" si="987"/>
        <v>22544.115147826084</v>
      </c>
      <c r="AY132" s="397">
        <f t="shared" si="987"/>
        <v>21367.66885217392</v>
      </c>
      <c r="AZ132" s="397">
        <f t="shared" si="987"/>
        <v>19423.778244347828</v>
      </c>
      <c r="BA132" s="120">
        <f t="shared" ref="BA132:BJ138" si="988">AO132*(1+BA$263)</f>
        <v>20012.444901217394</v>
      </c>
      <c r="BB132" s="120">
        <f t="shared" si="988"/>
        <v>20400.291490782609</v>
      </c>
      <c r="BC132" s="120">
        <f t="shared" si="988"/>
        <v>18558.349530608699</v>
      </c>
      <c r="BD132" s="120">
        <f t="shared" si="988"/>
        <v>22145.730296869566</v>
      </c>
      <c r="BE132" s="120">
        <f t="shared" si="988"/>
        <v>30299.768950956524</v>
      </c>
      <c r="BF132" s="120">
        <f t="shared" si="988"/>
        <v>22804.940346086958</v>
      </c>
      <c r="BG132" s="120">
        <f t="shared" si="988"/>
        <v>24032.772499826089</v>
      </c>
      <c r="BH132" s="120">
        <f t="shared" si="988"/>
        <v>22861.13483530435</v>
      </c>
      <c r="BI132" s="120">
        <f t="shared" si="988"/>
        <v>25678.001459478262</v>
      </c>
      <c r="BJ132" s="120">
        <f t="shared" si="988"/>
        <v>23220.438602260867</v>
      </c>
      <c r="BK132" s="120">
        <f t="shared" ref="BK132:BT138" si="989">AY132*(1+BK$263)</f>
        <v>22008.698917739137</v>
      </c>
      <c r="BL132" s="120">
        <f t="shared" si="989"/>
        <v>20006.491591678263</v>
      </c>
      <c r="BM132" s="120">
        <f t="shared" si="989"/>
        <v>20612.818248253916</v>
      </c>
      <c r="BN132" s="120">
        <f t="shared" si="989"/>
        <v>21012.300235506089</v>
      </c>
      <c r="BO132" s="120">
        <f t="shared" si="989"/>
        <v>19115.100016526962</v>
      </c>
      <c r="BP132" s="120">
        <f t="shared" si="989"/>
        <v>22810.102205775653</v>
      </c>
      <c r="BQ132" s="120">
        <f t="shared" si="989"/>
        <v>31208.762019485221</v>
      </c>
      <c r="BR132" s="120">
        <f t="shared" si="989"/>
        <v>23489.088556469567</v>
      </c>
      <c r="BS132" s="120">
        <f t="shared" si="989"/>
        <v>24753.755674820874</v>
      </c>
      <c r="BT132" s="120">
        <f t="shared" si="989"/>
        <v>23546.968880363482</v>
      </c>
      <c r="BU132" s="120">
        <f t="shared" ref="BU132:BX138" si="990">BI132*(1+BU$263)</f>
        <v>26448.341503262611</v>
      </c>
      <c r="BV132" s="120">
        <f t="shared" si="990"/>
        <v>23917.051760328693</v>
      </c>
      <c r="BW132" s="120">
        <f t="shared" si="990"/>
        <v>22668.959885271313</v>
      </c>
      <c r="BX132" s="120">
        <f t="shared" si="990"/>
        <v>20606.686339428612</v>
      </c>
      <c r="BY132" s="8"/>
      <c r="BZ132" s="72">
        <f t="shared" si="961"/>
        <v>17040.79</v>
      </c>
      <c r="CA132" s="72">
        <f t="shared" si="962"/>
        <v>195134.83000000002</v>
      </c>
      <c r="CB132" s="97"/>
      <c r="CC132" s="72">
        <f t="shared" si="895"/>
        <v>0</v>
      </c>
      <c r="CD132" s="72">
        <f t="shared" si="980"/>
        <v>0</v>
      </c>
      <c r="CE132" s="72">
        <f t="shared" si="980"/>
        <v>178823.26</v>
      </c>
      <c r="CF132" s="72">
        <f t="shared" si="980"/>
        <v>210625.36050000001</v>
      </c>
      <c r="CG132" s="72">
        <f t="shared" si="980"/>
        <v>216944.121315</v>
      </c>
      <c r="CH132" s="72">
        <f t="shared" si="980"/>
        <v>264105.88681826089</v>
      </c>
      <c r="CI132" s="72">
        <f t="shared" si="980"/>
        <v>272029.06342280866</v>
      </c>
      <c r="CJ132" s="72">
        <f t="shared" si="980"/>
        <v>280189.93532549299</v>
      </c>
      <c r="CL132" s="13"/>
      <c r="CM132" s="13"/>
    </row>
    <row r="133" spans="1:91" x14ac:dyDescent="0.3">
      <c r="A133" s="97" t="str">
        <f>'DCS Detail'!A133</f>
        <v xml:space="preserve">         533.1 Telephone - Landline</v>
      </c>
      <c r="B133" s="106" t="str">
        <f>IF('DCS Detail'!$B133="","",'DCS Detail'!$B133)</f>
        <v>Utilities</v>
      </c>
      <c r="C133" s="106"/>
      <c r="D133" s="106"/>
      <c r="E133" s="18">
        <v>0</v>
      </c>
      <c r="F133" s="18">
        <v>1744.96</v>
      </c>
      <c r="G133" s="18">
        <v>735.73</v>
      </c>
      <c r="H133" s="18">
        <v>3042.08</v>
      </c>
      <c r="I133" s="18">
        <v>181.89</v>
      </c>
      <c r="J133" s="18">
        <v>1379.81</v>
      </c>
      <c r="K133" s="18">
        <v>1679.33</v>
      </c>
      <c r="L133" s="18">
        <v>12.679999999998472</v>
      </c>
      <c r="M133" s="18">
        <v>2137.5099999999998</v>
      </c>
      <c r="N133" s="18">
        <v>3387.24</v>
      </c>
      <c r="O133" s="18">
        <v>264.72000000000003</v>
      </c>
      <c r="P133" s="18">
        <v>101.4</v>
      </c>
      <c r="Q133" s="18">
        <v>163.18</v>
      </c>
      <c r="R133" s="18">
        <v>0</v>
      </c>
      <c r="S133" s="18">
        <v>134.02000000000001</v>
      </c>
      <c r="T133" s="18">
        <v>0</v>
      </c>
      <c r="U133" s="18">
        <v>1680.5</v>
      </c>
      <c r="V133" s="18">
        <v>1680.5</v>
      </c>
      <c r="W133" s="18">
        <v>1316.68</v>
      </c>
      <c r="X133" s="18">
        <v>877.77</v>
      </c>
      <c r="Y133" s="18">
        <v>3671.28</v>
      </c>
      <c r="Z133" s="18">
        <v>1577.18</v>
      </c>
      <c r="AA133" s="146">
        <v>2980.49</v>
      </c>
      <c r="AB133" s="120">
        <f t="shared" si="985"/>
        <v>104.44200000000001</v>
      </c>
      <c r="AC133" s="120">
        <f t="shared" si="985"/>
        <v>168.0754</v>
      </c>
      <c r="AD133" s="120">
        <f t="shared" si="985"/>
        <v>0</v>
      </c>
      <c r="AE133" s="120">
        <f t="shared" si="985"/>
        <v>138.04060000000001</v>
      </c>
      <c r="AF133" s="120">
        <f t="shared" si="985"/>
        <v>0</v>
      </c>
      <c r="AG133" s="120">
        <f t="shared" si="985"/>
        <v>1730.915</v>
      </c>
      <c r="AH133" s="120">
        <f t="shared" si="985"/>
        <v>1730.915</v>
      </c>
      <c r="AI133" s="120">
        <f t="shared" si="985"/>
        <v>1356.1804000000002</v>
      </c>
      <c r="AJ133" s="120">
        <f t="shared" si="985"/>
        <v>904.10310000000004</v>
      </c>
      <c r="AK133" s="120">
        <f t="shared" si="985"/>
        <v>3781.4184000000005</v>
      </c>
      <c r="AL133" s="120">
        <f t="shared" si="986"/>
        <v>1624.4954</v>
      </c>
      <c r="AM133" s="120">
        <f t="shared" si="986"/>
        <v>3069.9047</v>
      </c>
      <c r="AN133" s="120">
        <f t="shared" si="986"/>
        <v>107.57526000000001</v>
      </c>
      <c r="AO133" s="120">
        <f t="shared" ref="AO133:AZ133" si="991">AC133*(1+AO$263)</f>
        <v>173.117662</v>
      </c>
      <c r="AP133" s="120">
        <f t="shared" si="991"/>
        <v>0</v>
      </c>
      <c r="AQ133" s="120">
        <f t="shared" si="991"/>
        <v>142.18181800000002</v>
      </c>
      <c r="AR133" s="120">
        <f t="shared" si="991"/>
        <v>0</v>
      </c>
      <c r="AS133" s="120">
        <f t="shared" si="991"/>
        <v>1782.8424500000001</v>
      </c>
      <c r="AT133" s="120">
        <f t="shared" si="991"/>
        <v>1782.8424500000001</v>
      </c>
      <c r="AU133" s="120">
        <f t="shared" si="991"/>
        <v>1396.8658120000002</v>
      </c>
      <c r="AV133" s="120">
        <f t="shared" si="991"/>
        <v>931.22619300000008</v>
      </c>
      <c r="AW133" s="120">
        <f t="shared" si="991"/>
        <v>3894.8609520000005</v>
      </c>
      <c r="AX133" s="120">
        <f t="shared" si="991"/>
        <v>1673.230262</v>
      </c>
      <c r="AY133" s="120">
        <f t="shared" si="991"/>
        <v>3162.0018410000002</v>
      </c>
      <c r="AZ133" s="120">
        <f t="shared" si="991"/>
        <v>110.80251780000002</v>
      </c>
      <c r="BA133" s="120">
        <f t="shared" si="988"/>
        <v>178.31119186000001</v>
      </c>
      <c r="BB133" s="120">
        <f t="shared" si="988"/>
        <v>0</v>
      </c>
      <c r="BC133" s="120">
        <f t="shared" si="988"/>
        <v>146.44727254000003</v>
      </c>
      <c r="BD133" s="120">
        <f t="shared" si="988"/>
        <v>0</v>
      </c>
      <c r="BE133" s="120">
        <f t="shared" si="988"/>
        <v>1836.3277235</v>
      </c>
      <c r="BF133" s="120">
        <f t="shared" si="988"/>
        <v>1836.3277235</v>
      </c>
      <c r="BG133" s="120">
        <f t="shared" si="988"/>
        <v>1438.7717863600003</v>
      </c>
      <c r="BH133" s="120">
        <f t="shared" si="988"/>
        <v>959.16297879000012</v>
      </c>
      <c r="BI133" s="120">
        <f t="shared" si="988"/>
        <v>4011.7067805600004</v>
      </c>
      <c r="BJ133" s="120">
        <f t="shared" si="988"/>
        <v>1723.42716986</v>
      </c>
      <c r="BK133" s="120">
        <f t="shared" si="989"/>
        <v>3256.8618962300002</v>
      </c>
      <c r="BL133" s="120">
        <f t="shared" si="989"/>
        <v>114.12659333400002</v>
      </c>
      <c r="BM133" s="120">
        <f t="shared" si="989"/>
        <v>183.66052761580002</v>
      </c>
      <c r="BN133" s="120">
        <f t="shared" si="989"/>
        <v>0</v>
      </c>
      <c r="BO133" s="120">
        <f t="shared" si="989"/>
        <v>150.84069071620004</v>
      </c>
      <c r="BP133" s="120">
        <f t="shared" si="989"/>
        <v>0</v>
      </c>
      <c r="BQ133" s="120">
        <f t="shared" si="989"/>
        <v>1891.4175552050001</v>
      </c>
      <c r="BR133" s="120">
        <f t="shared" si="989"/>
        <v>1891.4175552050001</v>
      </c>
      <c r="BS133" s="120">
        <f t="shared" si="989"/>
        <v>1481.9349399508003</v>
      </c>
      <c r="BT133" s="120">
        <f t="shared" si="989"/>
        <v>987.93786815370015</v>
      </c>
      <c r="BU133" s="120">
        <f t="shared" si="990"/>
        <v>4132.0579839768006</v>
      </c>
      <c r="BV133" s="120">
        <f t="shared" si="990"/>
        <v>1775.1299849558002</v>
      </c>
      <c r="BW133" s="120">
        <f t="shared" si="990"/>
        <v>3354.5677531169003</v>
      </c>
      <c r="BX133" s="120">
        <f t="shared" si="990"/>
        <v>117.55039113402002</v>
      </c>
      <c r="BY133" s="8"/>
      <c r="BZ133" s="72">
        <f t="shared" si="961"/>
        <v>2980.49</v>
      </c>
      <c r="CA133" s="72">
        <f t="shared" si="962"/>
        <v>14081.6</v>
      </c>
      <c r="CB133" s="97"/>
      <c r="CC133" s="72">
        <f t="shared" si="895"/>
        <v>0</v>
      </c>
      <c r="CD133" s="72">
        <f t="shared" si="980"/>
        <v>0</v>
      </c>
      <c r="CE133" s="72">
        <f t="shared" si="980"/>
        <v>14667.349999999999</v>
      </c>
      <c r="CF133" s="72">
        <f t="shared" si="980"/>
        <v>14186.042000000001</v>
      </c>
      <c r="CG133" s="72">
        <f t="shared" si="980"/>
        <v>14611.623259999998</v>
      </c>
      <c r="CH133" s="72">
        <f t="shared" si="980"/>
        <v>15049.971957800002</v>
      </c>
      <c r="CI133" s="72">
        <f t="shared" si="980"/>
        <v>15501.471116534001</v>
      </c>
      <c r="CJ133" s="72">
        <f t="shared" si="980"/>
        <v>15966.515250030021</v>
      </c>
      <c r="CL133" s="13"/>
      <c r="CM133" s="13"/>
    </row>
    <row r="134" spans="1:91" x14ac:dyDescent="0.3">
      <c r="A134" s="97" t="str">
        <f>'DCS Detail'!A134</f>
        <v xml:space="preserve">         610.4 Gen Maint &amp; Janitorial Supplies</v>
      </c>
      <c r="B134" s="106" t="str">
        <f>IF('DCS Detail'!$B134="","",'DCS Detail'!$B134)</f>
        <v>Cleaning Serv.</v>
      </c>
      <c r="C134" s="106"/>
      <c r="D134" s="106"/>
      <c r="E134" s="18">
        <v>0</v>
      </c>
      <c r="F134" s="18">
        <v>0</v>
      </c>
      <c r="G134" s="18">
        <v>0</v>
      </c>
      <c r="H134" s="18">
        <v>0</v>
      </c>
      <c r="I134" s="18">
        <v>244.97</v>
      </c>
      <c r="J134" s="18">
        <v>0</v>
      </c>
      <c r="K134" s="18">
        <v>0</v>
      </c>
      <c r="L134" s="18">
        <v>111.35</v>
      </c>
      <c r="M134" s="18">
        <v>0</v>
      </c>
      <c r="N134" s="18">
        <v>0</v>
      </c>
      <c r="O134" s="18">
        <v>0</v>
      </c>
      <c r="P134" s="18">
        <v>0</v>
      </c>
      <c r="Q134" s="18">
        <v>0</v>
      </c>
      <c r="R134" s="18">
        <v>0</v>
      </c>
      <c r="S134" s="18">
        <v>0</v>
      </c>
      <c r="T134" s="18">
        <v>0</v>
      </c>
      <c r="U134" s="18">
        <v>0</v>
      </c>
      <c r="V134" s="18">
        <v>56.89</v>
      </c>
      <c r="W134" s="18">
        <v>3052.04</v>
      </c>
      <c r="X134" s="18">
        <v>1758.41</v>
      </c>
      <c r="Y134" s="18">
        <v>65.8</v>
      </c>
      <c r="Z134" s="18">
        <v>451.14</v>
      </c>
      <c r="AA134" s="146">
        <v>21.58</v>
      </c>
      <c r="AB134" s="120">
        <f t="shared" si="985"/>
        <v>0</v>
      </c>
      <c r="AC134" s="120">
        <f t="shared" si="985"/>
        <v>0</v>
      </c>
      <c r="AD134" s="120">
        <f t="shared" si="985"/>
        <v>0</v>
      </c>
      <c r="AE134" s="120">
        <f t="shared" si="985"/>
        <v>0</v>
      </c>
      <c r="AF134" s="120">
        <f t="shared" si="985"/>
        <v>0</v>
      </c>
      <c r="AG134" s="120">
        <f t="shared" si="985"/>
        <v>0</v>
      </c>
      <c r="AH134" s="120">
        <f t="shared" si="985"/>
        <v>58.596700000000006</v>
      </c>
      <c r="AI134" s="120">
        <f t="shared" si="985"/>
        <v>3143.6012000000001</v>
      </c>
      <c r="AJ134" s="120">
        <f t="shared" si="985"/>
        <v>1811.1623000000002</v>
      </c>
      <c r="AK134" s="120">
        <f t="shared" si="985"/>
        <v>67.774000000000001</v>
      </c>
      <c r="AL134" s="120">
        <f t="shared" si="986"/>
        <v>464.67419999999998</v>
      </c>
      <c r="AM134" s="120">
        <f t="shared" si="986"/>
        <v>22.227399999999999</v>
      </c>
      <c r="AN134" s="120">
        <f t="shared" si="986"/>
        <v>0</v>
      </c>
      <c r="AO134" s="397">
        <f t="shared" ref="AO134:AZ138" si="992">AC134*(1+($AP$19/$AO$19-1))</f>
        <v>0</v>
      </c>
      <c r="AP134" s="397">
        <f t="shared" si="992"/>
        <v>0</v>
      </c>
      <c r="AQ134" s="397">
        <f t="shared" si="992"/>
        <v>0</v>
      </c>
      <c r="AR134" s="397">
        <f t="shared" si="992"/>
        <v>0</v>
      </c>
      <c r="AS134" s="397">
        <f t="shared" si="992"/>
        <v>0</v>
      </c>
      <c r="AT134" s="397">
        <f t="shared" si="992"/>
        <v>71.335113043478273</v>
      </c>
      <c r="AU134" s="397">
        <f t="shared" si="992"/>
        <v>3826.9927652173915</v>
      </c>
      <c r="AV134" s="397">
        <f t="shared" si="992"/>
        <v>2204.8932347826089</v>
      </c>
      <c r="AW134" s="397">
        <f t="shared" si="992"/>
        <v>82.507478260869576</v>
      </c>
      <c r="AX134" s="397">
        <f t="shared" si="992"/>
        <v>565.6903304347826</v>
      </c>
      <c r="AY134" s="397">
        <f t="shared" si="992"/>
        <v>27.059443478260871</v>
      </c>
      <c r="AZ134" s="397">
        <f t="shared" si="992"/>
        <v>0</v>
      </c>
      <c r="BA134" s="120">
        <f t="shared" si="988"/>
        <v>0</v>
      </c>
      <c r="BB134" s="120">
        <f t="shared" si="988"/>
        <v>0</v>
      </c>
      <c r="BC134" s="120">
        <f t="shared" si="988"/>
        <v>0</v>
      </c>
      <c r="BD134" s="120">
        <f t="shared" si="988"/>
        <v>0</v>
      </c>
      <c r="BE134" s="120">
        <f t="shared" si="988"/>
        <v>0</v>
      </c>
      <c r="BF134" s="120">
        <f t="shared" si="988"/>
        <v>73.475166434782622</v>
      </c>
      <c r="BG134" s="120">
        <f t="shared" si="988"/>
        <v>3941.8025481739132</v>
      </c>
      <c r="BH134" s="120">
        <f t="shared" si="988"/>
        <v>2271.0400318260872</v>
      </c>
      <c r="BI134" s="120">
        <f t="shared" si="988"/>
        <v>84.982702608695661</v>
      </c>
      <c r="BJ134" s="120">
        <f t="shared" si="988"/>
        <v>582.66104034782609</v>
      </c>
      <c r="BK134" s="120">
        <f t="shared" si="989"/>
        <v>27.871226782608698</v>
      </c>
      <c r="BL134" s="120">
        <f t="shared" si="989"/>
        <v>0</v>
      </c>
      <c r="BM134" s="120">
        <f t="shared" si="989"/>
        <v>0</v>
      </c>
      <c r="BN134" s="120">
        <f t="shared" si="989"/>
        <v>0</v>
      </c>
      <c r="BO134" s="120">
        <f t="shared" si="989"/>
        <v>0</v>
      </c>
      <c r="BP134" s="120">
        <f t="shared" si="989"/>
        <v>0</v>
      </c>
      <c r="BQ134" s="120">
        <f t="shared" si="989"/>
        <v>0</v>
      </c>
      <c r="BR134" s="120">
        <f t="shared" si="989"/>
        <v>75.679421427826099</v>
      </c>
      <c r="BS134" s="120">
        <f t="shared" si="989"/>
        <v>4060.0566246191306</v>
      </c>
      <c r="BT134" s="120">
        <f t="shared" si="989"/>
        <v>2339.17123278087</v>
      </c>
      <c r="BU134" s="120">
        <f t="shared" si="990"/>
        <v>87.532183686956529</v>
      </c>
      <c r="BV134" s="120">
        <f t="shared" si="990"/>
        <v>600.14087155826087</v>
      </c>
      <c r="BW134" s="120">
        <f t="shared" si="990"/>
        <v>28.707363586086959</v>
      </c>
      <c r="BX134" s="120">
        <f t="shared" si="990"/>
        <v>0</v>
      </c>
      <c r="BY134" s="8"/>
      <c r="BZ134" s="72">
        <f t="shared" si="961"/>
        <v>21.58</v>
      </c>
      <c r="CA134" s="72">
        <f t="shared" si="962"/>
        <v>5405.8600000000006</v>
      </c>
      <c r="CB134" s="97"/>
      <c r="CC134" s="72">
        <f t="shared" si="895"/>
        <v>0</v>
      </c>
      <c r="CD134" s="72">
        <f t="shared" si="980"/>
        <v>0</v>
      </c>
      <c r="CE134" s="72">
        <f t="shared" si="980"/>
        <v>356.32</v>
      </c>
      <c r="CF134" s="72">
        <f t="shared" si="980"/>
        <v>5405.8600000000006</v>
      </c>
      <c r="CG134" s="72">
        <f t="shared" si="980"/>
        <v>5568.0358000000006</v>
      </c>
      <c r="CH134" s="72">
        <f t="shared" si="980"/>
        <v>6778.4783652173919</v>
      </c>
      <c r="CI134" s="72">
        <f t="shared" si="980"/>
        <v>6981.8327161739135</v>
      </c>
      <c r="CJ134" s="72">
        <f t="shared" si="980"/>
        <v>7191.2876976591306</v>
      </c>
      <c r="CL134" s="13"/>
      <c r="CM134" s="13"/>
    </row>
    <row r="135" spans="1:91" x14ac:dyDescent="0.3">
      <c r="A135" s="97" t="str">
        <f>'DCS Detail'!A135</f>
        <v xml:space="preserve">         610.5 Maint &amp; Misc Facility Costs</v>
      </c>
      <c r="B135" s="106" t="str">
        <f>IF('DCS Detail'!$B135="","",'DCS Detail'!$B135)</f>
        <v>Repairs/Maint</v>
      </c>
      <c r="C135" s="106"/>
      <c r="D135" s="106"/>
      <c r="E135" s="18">
        <v>3295</v>
      </c>
      <c r="F135" s="18">
        <v>7390.96</v>
      </c>
      <c r="G135" s="18">
        <v>4878</v>
      </c>
      <c r="H135" s="18">
        <v>2156.5</v>
      </c>
      <c r="I135" s="18">
        <f>28326.27-23700</f>
        <v>4626.2700000000004</v>
      </c>
      <c r="J135" s="18">
        <f>6654.5-5000</f>
        <v>1654.5</v>
      </c>
      <c r="K135" s="18">
        <v>609</v>
      </c>
      <c r="L135" s="18">
        <v>1165</v>
      </c>
      <c r="M135" s="18">
        <v>2248.73</v>
      </c>
      <c r="N135" s="18">
        <v>2931.54</v>
      </c>
      <c r="O135" s="18">
        <v>1599.74</v>
      </c>
      <c r="P135" s="18">
        <v>2020.18</v>
      </c>
      <c r="Q135" s="18">
        <v>1.1200000000000001</v>
      </c>
      <c r="R135" s="18">
        <v>4156.6499999999996</v>
      </c>
      <c r="S135" s="18">
        <v>1760.18</v>
      </c>
      <c r="T135" s="18">
        <v>5777.12</v>
      </c>
      <c r="U135" s="18">
        <v>2755.84</v>
      </c>
      <c r="V135" s="18">
        <v>989.68</v>
      </c>
      <c r="W135" s="18">
        <v>4005.5</v>
      </c>
      <c r="X135" s="18">
        <v>749.5</v>
      </c>
      <c r="Y135" s="18">
        <v>8060.14</v>
      </c>
      <c r="Z135" s="18">
        <v>1038</v>
      </c>
      <c r="AA135" s="146">
        <v>2021.78</v>
      </c>
      <c r="AB135" s="120">
        <f t="shared" si="985"/>
        <v>2080.7854000000002</v>
      </c>
      <c r="AC135" s="120">
        <f t="shared" si="985"/>
        <v>1.1536000000000002</v>
      </c>
      <c r="AD135" s="120">
        <f t="shared" si="985"/>
        <v>4281.3494999999994</v>
      </c>
      <c r="AE135" s="120">
        <f t="shared" si="985"/>
        <v>1812.9854</v>
      </c>
      <c r="AF135" s="120">
        <f t="shared" si="985"/>
        <v>5950.4336000000003</v>
      </c>
      <c r="AG135" s="120">
        <f t="shared" si="985"/>
        <v>2838.5152000000003</v>
      </c>
      <c r="AH135" s="120">
        <f t="shared" si="985"/>
        <v>1019.3704</v>
      </c>
      <c r="AI135" s="120">
        <f t="shared" si="985"/>
        <v>4125.665</v>
      </c>
      <c r="AJ135" s="120">
        <f t="shared" si="985"/>
        <v>771.98500000000001</v>
      </c>
      <c r="AK135" s="120">
        <f t="shared" si="985"/>
        <v>8301.9441999999999</v>
      </c>
      <c r="AL135" s="120">
        <f t="shared" si="986"/>
        <v>1069.1400000000001</v>
      </c>
      <c r="AM135" s="120">
        <f t="shared" si="986"/>
        <v>2082.4333999999999</v>
      </c>
      <c r="AN135" s="120">
        <f t="shared" si="986"/>
        <v>2143.2089620000002</v>
      </c>
      <c r="AO135" s="397">
        <f t="shared" si="992"/>
        <v>1.4043826086956526</v>
      </c>
      <c r="AP135" s="397">
        <f t="shared" si="992"/>
        <v>5212.0776521739126</v>
      </c>
      <c r="AQ135" s="397">
        <f t="shared" si="992"/>
        <v>2207.1126608695654</v>
      </c>
      <c r="AR135" s="397">
        <f t="shared" si="992"/>
        <v>7244.0061217391312</v>
      </c>
      <c r="AS135" s="397">
        <f t="shared" si="992"/>
        <v>3455.5837217391309</v>
      </c>
      <c r="AT135" s="397">
        <f t="shared" si="992"/>
        <v>1240.9726608695653</v>
      </c>
      <c r="AU135" s="397">
        <f t="shared" si="992"/>
        <v>5022.5486956521745</v>
      </c>
      <c r="AV135" s="397">
        <f t="shared" si="992"/>
        <v>939.80782608695665</v>
      </c>
      <c r="AW135" s="397">
        <f t="shared" si="992"/>
        <v>10106.714678260871</v>
      </c>
      <c r="AX135" s="397">
        <f t="shared" si="992"/>
        <v>1301.5617391304349</v>
      </c>
      <c r="AY135" s="397">
        <f t="shared" si="992"/>
        <v>2535.1363130434784</v>
      </c>
      <c r="AZ135" s="397">
        <f t="shared" si="992"/>
        <v>2609.1239537391307</v>
      </c>
      <c r="BA135" s="120">
        <f t="shared" si="988"/>
        <v>1.4465140869565223</v>
      </c>
      <c r="BB135" s="120">
        <f t="shared" si="988"/>
        <v>5368.4399817391304</v>
      </c>
      <c r="BC135" s="120">
        <f t="shared" si="988"/>
        <v>2273.3260406956524</v>
      </c>
      <c r="BD135" s="120">
        <f t="shared" si="988"/>
        <v>7461.3263053913051</v>
      </c>
      <c r="BE135" s="120">
        <f t="shared" si="988"/>
        <v>3559.251233391305</v>
      </c>
      <c r="BF135" s="120">
        <f t="shared" si="988"/>
        <v>1278.2018406956522</v>
      </c>
      <c r="BG135" s="120">
        <f t="shared" si="988"/>
        <v>5173.2251565217402</v>
      </c>
      <c r="BH135" s="120">
        <f t="shared" si="988"/>
        <v>968.00206086956541</v>
      </c>
      <c r="BI135" s="120">
        <f t="shared" si="988"/>
        <v>10409.916118608697</v>
      </c>
      <c r="BJ135" s="120">
        <f t="shared" si="988"/>
        <v>1340.608591304348</v>
      </c>
      <c r="BK135" s="120">
        <f t="shared" si="989"/>
        <v>2611.1904024347828</v>
      </c>
      <c r="BL135" s="120">
        <f t="shared" si="989"/>
        <v>2687.3976723513047</v>
      </c>
      <c r="BM135" s="120">
        <f t="shared" si="989"/>
        <v>1.4899095095652179</v>
      </c>
      <c r="BN135" s="120">
        <f t="shared" si="989"/>
        <v>5529.4931811913048</v>
      </c>
      <c r="BO135" s="120">
        <f t="shared" si="989"/>
        <v>2341.5258219165221</v>
      </c>
      <c r="BP135" s="120">
        <f t="shared" si="989"/>
        <v>7685.1660945530448</v>
      </c>
      <c r="BQ135" s="120">
        <f t="shared" si="989"/>
        <v>3666.0287703930444</v>
      </c>
      <c r="BR135" s="120">
        <f t="shared" si="989"/>
        <v>1316.5478959165218</v>
      </c>
      <c r="BS135" s="120">
        <f t="shared" si="989"/>
        <v>5328.4219112173923</v>
      </c>
      <c r="BT135" s="120">
        <f t="shared" si="989"/>
        <v>997.04212269565244</v>
      </c>
      <c r="BU135" s="120">
        <f t="shared" si="990"/>
        <v>10722.213602166958</v>
      </c>
      <c r="BV135" s="120">
        <f t="shared" si="990"/>
        <v>1380.8268490434784</v>
      </c>
      <c r="BW135" s="120">
        <f t="shared" si="990"/>
        <v>2689.5261145078262</v>
      </c>
      <c r="BX135" s="120">
        <f t="shared" si="990"/>
        <v>2768.0196025218438</v>
      </c>
      <c r="BY135" s="8"/>
      <c r="BZ135" s="72">
        <f t="shared" si="961"/>
        <v>2021.78</v>
      </c>
      <c r="CA135" s="72">
        <f t="shared" si="962"/>
        <v>31315.51</v>
      </c>
      <c r="CB135" s="97"/>
      <c r="CC135" s="72">
        <f t="shared" si="895"/>
        <v>0</v>
      </c>
      <c r="CD135" s="72">
        <f t="shared" si="980"/>
        <v>0</v>
      </c>
      <c r="CE135" s="72">
        <f t="shared" si="980"/>
        <v>34575.42</v>
      </c>
      <c r="CF135" s="72">
        <f t="shared" si="980"/>
        <v>33396.295399999995</v>
      </c>
      <c r="CG135" s="72">
        <f t="shared" si="980"/>
        <v>34398.184261999995</v>
      </c>
      <c r="CH135" s="72">
        <f t="shared" si="980"/>
        <v>41876.05040591304</v>
      </c>
      <c r="CI135" s="72">
        <f t="shared" si="980"/>
        <v>43132.331918090444</v>
      </c>
      <c r="CJ135" s="72">
        <f t="shared" si="980"/>
        <v>44426.301875633158</v>
      </c>
      <c r="CL135" s="13"/>
      <c r="CM135" s="13"/>
    </row>
    <row r="136" spans="1:91" x14ac:dyDescent="0.3">
      <c r="A136" s="97" t="str">
        <f>'DCS Detail'!A136</f>
        <v xml:space="preserve">         610.6 Security &amp; Fire System</v>
      </c>
      <c r="B136" s="106" t="str">
        <f>IF('DCS Detail'!$B136="","",'DCS Detail'!$B136)</f>
        <v>Utilities</v>
      </c>
      <c r="C136" s="106"/>
      <c r="D136" s="106"/>
      <c r="E136" s="18">
        <v>1163.3800000000001</v>
      </c>
      <c r="F136" s="18">
        <v>105</v>
      </c>
      <c r="G136" s="18">
        <v>1191.33</v>
      </c>
      <c r="H136" s="18">
        <v>2855</v>
      </c>
      <c r="I136" s="18">
        <v>105</v>
      </c>
      <c r="J136" s="18">
        <v>776.83</v>
      </c>
      <c r="K136" s="18">
        <v>0</v>
      </c>
      <c r="L136" s="18">
        <v>1844.0299999999997</v>
      </c>
      <c r="M136" s="18">
        <v>330</v>
      </c>
      <c r="N136" s="18">
        <v>485</v>
      </c>
      <c r="O136" s="18">
        <v>671.83</v>
      </c>
      <c r="P136" s="18">
        <v>4562.78</v>
      </c>
      <c r="Q136" s="18">
        <v>2033.08</v>
      </c>
      <c r="R136" s="18">
        <v>2963.91</v>
      </c>
      <c r="S136" s="18">
        <v>1232.42</v>
      </c>
      <c r="T136" s="18">
        <v>1606.46</v>
      </c>
      <c r="U136" s="18">
        <v>60</v>
      </c>
      <c r="V136" s="18">
        <v>460</v>
      </c>
      <c r="W136" s="18">
        <v>796</v>
      </c>
      <c r="X136" s="18">
        <v>3111.28</v>
      </c>
      <c r="Y136" s="18">
        <v>1280</v>
      </c>
      <c r="Z136" s="18">
        <v>45</v>
      </c>
      <c r="AA136" s="146">
        <v>490</v>
      </c>
      <c r="AB136" s="120">
        <f t="shared" si="985"/>
        <v>4699.6633999999995</v>
      </c>
      <c r="AC136" s="120">
        <f t="shared" si="985"/>
        <v>2094.0724</v>
      </c>
      <c r="AD136" s="120">
        <f t="shared" si="985"/>
        <v>3052.8272999999999</v>
      </c>
      <c r="AE136" s="120">
        <f t="shared" si="985"/>
        <v>1269.3926000000001</v>
      </c>
      <c r="AF136" s="120">
        <f t="shared" si="985"/>
        <v>1654.6538</v>
      </c>
      <c r="AG136" s="120">
        <f t="shared" si="985"/>
        <v>61.800000000000004</v>
      </c>
      <c r="AH136" s="120">
        <f t="shared" si="985"/>
        <v>473.8</v>
      </c>
      <c r="AI136" s="120">
        <f t="shared" si="985"/>
        <v>819.88</v>
      </c>
      <c r="AJ136" s="120">
        <f t="shared" si="985"/>
        <v>3204.6184000000003</v>
      </c>
      <c r="AK136" s="120">
        <f t="shared" si="985"/>
        <v>1318.4</v>
      </c>
      <c r="AL136" s="120">
        <f t="shared" si="986"/>
        <v>46.35</v>
      </c>
      <c r="AM136" s="120">
        <f t="shared" si="986"/>
        <v>504.7</v>
      </c>
      <c r="AN136" s="120">
        <f t="shared" si="986"/>
        <v>4840.6533019999997</v>
      </c>
      <c r="AO136" s="397">
        <f t="shared" si="992"/>
        <v>2549.3055304347827</v>
      </c>
      <c r="AP136" s="397">
        <f t="shared" si="992"/>
        <v>3716.4854086956525</v>
      </c>
      <c r="AQ136" s="397">
        <f t="shared" si="992"/>
        <v>1545.3475130434786</v>
      </c>
      <c r="AR136" s="397">
        <f t="shared" si="992"/>
        <v>2014.3611478260871</v>
      </c>
      <c r="AS136" s="397">
        <f t="shared" si="992"/>
        <v>75.234782608695667</v>
      </c>
      <c r="AT136" s="397">
        <f t="shared" si="992"/>
        <v>576.80000000000007</v>
      </c>
      <c r="AU136" s="397">
        <f t="shared" si="992"/>
        <v>998.11478260869569</v>
      </c>
      <c r="AV136" s="397">
        <f t="shared" si="992"/>
        <v>3901.2745739130442</v>
      </c>
      <c r="AW136" s="397">
        <f t="shared" si="992"/>
        <v>1605.0086956521741</v>
      </c>
      <c r="AX136" s="397">
        <f t="shared" si="992"/>
        <v>56.426086956521743</v>
      </c>
      <c r="AY136" s="397">
        <f t="shared" si="992"/>
        <v>614.4173913043478</v>
      </c>
      <c r="AZ136" s="397">
        <f t="shared" si="992"/>
        <v>5892.9692372173913</v>
      </c>
      <c r="BA136" s="120">
        <f t="shared" si="988"/>
        <v>2625.7846963478264</v>
      </c>
      <c r="BB136" s="120">
        <f t="shared" si="988"/>
        <v>3827.9799709565223</v>
      </c>
      <c r="BC136" s="120">
        <f t="shared" si="988"/>
        <v>1591.707938434783</v>
      </c>
      <c r="BD136" s="120">
        <f t="shared" si="988"/>
        <v>2074.7919822608696</v>
      </c>
      <c r="BE136" s="120">
        <f t="shared" si="988"/>
        <v>77.491826086956536</v>
      </c>
      <c r="BF136" s="120">
        <f t="shared" si="988"/>
        <v>594.10400000000004</v>
      </c>
      <c r="BG136" s="120">
        <f t="shared" si="988"/>
        <v>1028.0582260869567</v>
      </c>
      <c r="BH136" s="120">
        <f t="shared" si="988"/>
        <v>4018.3128111304354</v>
      </c>
      <c r="BI136" s="120">
        <f t="shared" si="988"/>
        <v>1653.1589565217394</v>
      </c>
      <c r="BJ136" s="120">
        <f t="shared" si="988"/>
        <v>58.118869565217395</v>
      </c>
      <c r="BK136" s="120">
        <f t="shared" si="989"/>
        <v>632.8499130434783</v>
      </c>
      <c r="BL136" s="120">
        <f t="shared" si="989"/>
        <v>6069.7583143339134</v>
      </c>
      <c r="BM136" s="120">
        <f t="shared" si="989"/>
        <v>2704.5582372382614</v>
      </c>
      <c r="BN136" s="120">
        <f t="shared" si="989"/>
        <v>3942.819370085218</v>
      </c>
      <c r="BO136" s="120">
        <f t="shared" si="989"/>
        <v>1639.4591765878265</v>
      </c>
      <c r="BP136" s="120">
        <f t="shared" si="989"/>
        <v>2137.0357417286959</v>
      </c>
      <c r="BQ136" s="120">
        <f t="shared" si="989"/>
        <v>79.816580869565229</v>
      </c>
      <c r="BR136" s="120">
        <f t="shared" si="989"/>
        <v>611.92712000000006</v>
      </c>
      <c r="BS136" s="120">
        <f t="shared" si="989"/>
        <v>1058.8999728695653</v>
      </c>
      <c r="BT136" s="120">
        <f t="shared" si="989"/>
        <v>4138.8621954643486</v>
      </c>
      <c r="BU136" s="120">
        <f t="shared" si="990"/>
        <v>1702.7537252173915</v>
      </c>
      <c r="BV136" s="120">
        <f t="shared" si="990"/>
        <v>59.862435652173922</v>
      </c>
      <c r="BW136" s="120">
        <f t="shared" si="990"/>
        <v>651.83541043478272</v>
      </c>
      <c r="BX136" s="120">
        <f t="shared" si="990"/>
        <v>6251.8510637639311</v>
      </c>
      <c r="BY136" s="8"/>
      <c r="BZ136" s="72">
        <f t="shared" si="961"/>
        <v>490</v>
      </c>
      <c r="CA136" s="72">
        <f t="shared" si="962"/>
        <v>14078.15</v>
      </c>
      <c r="CB136" s="97"/>
      <c r="CC136" s="72">
        <f t="shared" si="895"/>
        <v>0</v>
      </c>
      <c r="CD136" s="72">
        <f t="shared" si="980"/>
        <v>0</v>
      </c>
      <c r="CE136" s="72">
        <f t="shared" si="980"/>
        <v>14090.18</v>
      </c>
      <c r="CF136" s="72">
        <f t="shared" si="980"/>
        <v>18777.813399999999</v>
      </c>
      <c r="CG136" s="72">
        <f t="shared" si="980"/>
        <v>19341.147802</v>
      </c>
      <c r="CH136" s="72">
        <f t="shared" si="980"/>
        <v>23545.745150260871</v>
      </c>
      <c r="CI136" s="72">
        <f t="shared" si="980"/>
        <v>24252.117504768699</v>
      </c>
      <c r="CJ136" s="72">
        <f t="shared" si="980"/>
        <v>24979.681029911757</v>
      </c>
      <c r="CL136" s="13"/>
      <c r="CM136" s="13"/>
    </row>
    <row r="137" spans="1:91" x14ac:dyDescent="0.3">
      <c r="A137" s="97" t="str">
        <f>'DCS Detail'!A137</f>
        <v xml:space="preserve">         621.1 Natural Gas</v>
      </c>
      <c r="B137" s="106" t="str">
        <f>IF('DCS Detail'!$B137="","",'DCS Detail'!$B137)</f>
        <v>Utilities</v>
      </c>
      <c r="C137" s="106"/>
      <c r="D137" s="106"/>
      <c r="E137" s="18">
        <v>-115.53</v>
      </c>
      <c r="F137" s="18">
        <v>115.53</v>
      </c>
      <c r="G137" s="18">
        <v>228.9</v>
      </c>
      <c r="H137" s="18">
        <v>116.32</v>
      </c>
      <c r="I137" s="18">
        <v>114.42</v>
      </c>
      <c r="J137" s="18">
        <v>261.01</v>
      </c>
      <c r="K137" s="18">
        <v>0</v>
      </c>
      <c r="L137" s="18">
        <v>243.84999999999991</v>
      </c>
      <c r="M137" s="18">
        <v>7792.73</v>
      </c>
      <c r="N137" s="18">
        <v>1470.08</v>
      </c>
      <c r="O137" s="18">
        <v>140.88</v>
      </c>
      <c r="P137" s="18">
        <v>121.33</v>
      </c>
      <c r="Q137" s="18">
        <v>115.16</v>
      </c>
      <c r="R137" s="18">
        <v>117.89</v>
      </c>
      <c r="S137" s="18">
        <v>117.48</v>
      </c>
      <c r="T137" s="18">
        <v>119.15</v>
      </c>
      <c r="U137" s="18">
        <v>185.54</v>
      </c>
      <c r="V137" s="18">
        <v>762.48</v>
      </c>
      <c r="W137" s="18">
        <v>824.41</v>
      </c>
      <c r="X137" s="18">
        <v>633.66</v>
      </c>
      <c r="Y137" s="18">
        <v>0</v>
      </c>
      <c r="Z137" s="18">
        <v>594.54999999999995</v>
      </c>
      <c r="AA137" s="146">
        <v>120.61</v>
      </c>
      <c r="AB137" s="120">
        <f t="shared" si="985"/>
        <v>124.9699</v>
      </c>
      <c r="AC137" s="120">
        <f t="shared" si="985"/>
        <v>118.6148</v>
      </c>
      <c r="AD137" s="120">
        <f t="shared" si="985"/>
        <v>121.4267</v>
      </c>
      <c r="AE137" s="120">
        <f t="shared" si="985"/>
        <v>121.0044</v>
      </c>
      <c r="AF137" s="120">
        <f t="shared" si="985"/>
        <v>122.72450000000001</v>
      </c>
      <c r="AG137" s="120">
        <f t="shared" si="985"/>
        <v>191.1062</v>
      </c>
      <c r="AH137" s="120">
        <f t="shared" si="985"/>
        <v>785.35440000000006</v>
      </c>
      <c r="AI137" s="120">
        <f t="shared" si="985"/>
        <v>849.14229999999998</v>
      </c>
      <c r="AJ137" s="120">
        <f t="shared" si="985"/>
        <v>652.66980000000001</v>
      </c>
      <c r="AK137" s="120">
        <f t="shared" si="985"/>
        <v>0</v>
      </c>
      <c r="AL137" s="120">
        <f t="shared" si="986"/>
        <v>612.38649999999996</v>
      </c>
      <c r="AM137" s="120">
        <f t="shared" si="986"/>
        <v>124.2283</v>
      </c>
      <c r="AN137" s="120">
        <f t="shared" si="986"/>
        <v>128.718997</v>
      </c>
      <c r="AO137" s="397">
        <f t="shared" si="992"/>
        <v>144.40062608695652</v>
      </c>
      <c r="AP137" s="397">
        <f t="shared" si="992"/>
        <v>147.82380869565219</v>
      </c>
      <c r="AQ137" s="397">
        <f t="shared" si="992"/>
        <v>147.30970434782611</v>
      </c>
      <c r="AR137" s="397">
        <f t="shared" si="992"/>
        <v>149.40373913043479</v>
      </c>
      <c r="AS137" s="397">
        <f t="shared" si="992"/>
        <v>232.65102608695653</v>
      </c>
      <c r="AT137" s="397">
        <f t="shared" si="992"/>
        <v>956.08361739130453</v>
      </c>
      <c r="AU137" s="397">
        <f t="shared" si="992"/>
        <v>1033.7384521739132</v>
      </c>
      <c r="AV137" s="397">
        <f t="shared" si="992"/>
        <v>794.55453913043482</v>
      </c>
      <c r="AW137" s="397">
        <f t="shared" si="992"/>
        <v>0</v>
      </c>
      <c r="AX137" s="397">
        <f t="shared" si="992"/>
        <v>745.51400000000001</v>
      </c>
      <c r="AY137" s="397">
        <f t="shared" si="992"/>
        <v>151.23445217391307</v>
      </c>
      <c r="AZ137" s="397">
        <f t="shared" si="992"/>
        <v>156.70138765217393</v>
      </c>
      <c r="BA137" s="120">
        <f t="shared" si="988"/>
        <v>148.73264486956523</v>
      </c>
      <c r="BB137" s="120">
        <f t="shared" si="988"/>
        <v>152.25852295652177</v>
      </c>
      <c r="BC137" s="120">
        <f t="shared" si="988"/>
        <v>151.72899547826091</v>
      </c>
      <c r="BD137" s="120">
        <f t="shared" si="988"/>
        <v>153.88585130434782</v>
      </c>
      <c r="BE137" s="120">
        <f t="shared" si="988"/>
        <v>239.63055686956523</v>
      </c>
      <c r="BF137" s="120">
        <f t="shared" si="988"/>
        <v>984.76612591304365</v>
      </c>
      <c r="BG137" s="120">
        <f t="shared" si="988"/>
        <v>1064.7506057391306</v>
      </c>
      <c r="BH137" s="120">
        <f t="shared" si="988"/>
        <v>818.39117530434794</v>
      </c>
      <c r="BI137" s="120">
        <f t="shared" si="988"/>
        <v>0</v>
      </c>
      <c r="BJ137" s="120">
        <f t="shared" si="988"/>
        <v>767.87941999999998</v>
      </c>
      <c r="BK137" s="120">
        <f t="shared" si="989"/>
        <v>155.77148573913047</v>
      </c>
      <c r="BL137" s="120">
        <f t="shared" si="989"/>
        <v>161.40242928173916</v>
      </c>
      <c r="BM137" s="120">
        <f t="shared" si="989"/>
        <v>153.1946242156522</v>
      </c>
      <c r="BN137" s="120">
        <f t="shared" si="989"/>
        <v>156.82627864521743</v>
      </c>
      <c r="BO137" s="120">
        <f t="shared" si="989"/>
        <v>156.28086534260873</v>
      </c>
      <c r="BP137" s="120">
        <f t="shared" si="989"/>
        <v>158.50242684347828</v>
      </c>
      <c r="BQ137" s="120">
        <f t="shared" si="989"/>
        <v>246.81947357565218</v>
      </c>
      <c r="BR137" s="120">
        <f t="shared" si="989"/>
        <v>1014.309109690435</v>
      </c>
      <c r="BS137" s="120">
        <f t="shared" si="989"/>
        <v>1096.6931239113046</v>
      </c>
      <c r="BT137" s="120">
        <f t="shared" si="989"/>
        <v>842.94291056347845</v>
      </c>
      <c r="BU137" s="120">
        <f t="shared" si="990"/>
        <v>0</v>
      </c>
      <c r="BV137" s="120">
        <f t="shared" si="990"/>
        <v>790.91580260000001</v>
      </c>
      <c r="BW137" s="120">
        <f t="shared" si="990"/>
        <v>160.44463031130439</v>
      </c>
      <c r="BX137" s="120">
        <f t="shared" si="990"/>
        <v>166.24450216019133</v>
      </c>
      <c r="BY137" s="8"/>
      <c r="BZ137" s="72">
        <f t="shared" si="961"/>
        <v>120.61</v>
      </c>
      <c r="CA137" s="72">
        <f t="shared" si="962"/>
        <v>3590.93</v>
      </c>
      <c r="CB137" s="97"/>
      <c r="CC137" s="72">
        <f t="shared" si="895"/>
        <v>0</v>
      </c>
      <c r="CD137" s="72">
        <f t="shared" si="980"/>
        <v>0</v>
      </c>
      <c r="CE137" s="72">
        <f t="shared" si="980"/>
        <v>10489.519999999999</v>
      </c>
      <c r="CF137" s="72">
        <f t="shared" si="980"/>
        <v>3715.8998999999999</v>
      </c>
      <c r="CG137" s="72">
        <f t="shared" si="980"/>
        <v>3827.3768970000006</v>
      </c>
      <c r="CH137" s="72">
        <f t="shared" si="980"/>
        <v>4659.415352869566</v>
      </c>
      <c r="CI137" s="72">
        <f t="shared" si="980"/>
        <v>4799.197813455653</v>
      </c>
      <c r="CJ137" s="72">
        <f t="shared" si="980"/>
        <v>4943.1737478593232</v>
      </c>
      <c r="CL137" s="13"/>
      <c r="CM137" s="13"/>
    </row>
    <row r="138" spans="1:91" x14ac:dyDescent="0.3">
      <c r="A138" s="97" t="str">
        <f>'DCS Detail'!A138</f>
        <v xml:space="preserve">         622.1 Electricity</v>
      </c>
      <c r="B138" s="106" t="str">
        <f>IF('DCS Detail'!$B138="","",'DCS Detail'!$B138)</f>
        <v>Utilities</v>
      </c>
      <c r="C138" s="106"/>
      <c r="D138" s="106"/>
      <c r="E138" s="18">
        <v>-861.12</v>
      </c>
      <c r="F138" s="18">
        <v>861.12</v>
      </c>
      <c r="G138" s="18">
        <v>1588.51</v>
      </c>
      <c r="H138" s="18">
        <v>1716.32</v>
      </c>
      <c r="I138" s="18">
        <v>539.75</v>
      </c>
      <c r="J138" s="18">
        <v>667.61</v>
      </c>
      <c r="K138" s="18">
        <v>0</v>
      </c>
      <c r="L138" s="18">
        <v>0</v>
      </c>
      <c r="M138" s="18">
        <v>1159.2700000000004</v>
      </c>
      <c r="N138" s="18">
        <v>522.89</v>
      </c>
      <c r="O138" s="18">
        <v>216.96</v>
      </c>
      <c r="P138" s="18">
        <v>1298.97</v>
      </c>
      <c r="Q138" s="18">
        <v>0</v>
      </c>
      <c r="R138" s="18">
        <v>1780.05</v>
      </c>
      <c r="S138" s="18">
        <v>2189.84</v>
      </c>
      <c r="T138" s="18">
        <v>2278.77</v>
      </c>
      <c r="U138" s="18">
        <v>0</v>
      </c>
      <c r="V138" s="18">
        <v>4224.8999999999996</v>
      </c>
      <c r="W138" s="18">
        <v>-1373.54</v>
      </c>
      <c r="X138" s="18">
        <v>0</v>
      </c>
      <c r="Y138" s="18">
        <v>1985.8</v>
      </c>
      <c r="Z138" s="18">
        <v>0</v>
      </c>
      <c r="AA138" s="146">
        <v>714.27</v>
      </c>
      <c r="AB138" s="120">
        <f t="shared" si="985"/>
        <v>1337.9391000000001</v>
      </c>
      <c r="AC138" s="120">
        <f t="shared" si="985"/>
        <v>0</v>
      </c>
      <c r="AD138" s="120">
        <f t="shared" si="985"/>
        <v>1833.4514999999999</v>
      </c>
      <c r="AE138" s="120">
        <f t="shared" si="985"/>
        <v>2255.5352000000003</v>
      </c>
      <c r="AF138" s="120">
        <f t="shared" si="985"/>
        <v>2347.1331</v>
      </c>
      <c r="AG138" s="120">
        <f t="shared" si="985"/>
        <v>0</v>
      </c>
      <c r="AH138" s="120">
        <f t="shared" si="985"/>
        <v>4351.6469999999999</v>
      </c>
      <c r="AI138" s="120">
        <f t="shared" si="985"/>
        <v>-1414.7462</v>
      </c>
      <c r="AJ138" s="120">
        <f t="shared" si="985"/>
        <v>0</v>
      </c>
      <c r="AK138" s="120">
        <f t="shared" si="985"/>
        <v>2045.374</v>
      </c>
      <c r="AL138" s="120">
        <f t="shared" si="986"/>
        <v>0</v>
      </c>
      <c r="AM138" s="120">
        <f t="shared" si="986"/>
        <v>735.69809999999995</v>
      </c>
      <c r="AN138" s="120">
        <f t="shared" si="986"/>
        <v>1378.0772730000001</v>
      </c>
      <c r="AO138" s="397">
        <f t="shared" si="992"/>
        <v>0</v>
      </c>
      <c r="AP138" s="397">
        <f t="shared" si="992"/>
        <v>2232.0279130434783</v>
      </c>
      <c r="AQ138" s="397">
        <f t="shared" si="992"/>
        <v>2745.8689391304351</v>
      </c>
      <c r="AR138" s="397">
        <f t="shared" si="992"/>
        <v>2857.3794260869568</v>
      </c>
      <c r="AS138" s="397">
        <f t="shared" si="992"/>
        <v>0</v>
      </c>
      <c r="AT138" s="397">
        <f t="shared" si="992"/>
        <v>5297.6572173913046</v>
      </c>
      <c r="AU138" s="397">
        <f t="shared" si="992"/>
        <v>-1722.2997217391305</v>
      </c>
      <c r="AV138" s="397">
        <f t="shared" si="992"/>
        <v>0</v>
      </c>
      <c r="AW138" s="397">
        <f t="shared" si="992"/>
        <v>2490.0205217391308</v>
      </c>
      <c r="AX138" s="397">
        <f t="shared" si="992"/>
        <v>0</v>
      </c>
      <c r="AY138" s="397">
        <f t="shared" si="992"/>
        <v>895.63246956521743</v>
      </c>
      <c r="AZ138" s="397">
        <f t="shared" si="992"/>
        <v>1677.6592888695654</v>
      </c>
      <c r="BA138" s="120">
        <f t="shared" si="988"/>
        <v>0</v>
      </c>
      <c r="BB138" s="120">
        <f t="shared" si="988"/>
        <v>2298.9887504347826</v>
      </c>
      <c r="BC138" s="120">
        <f t="shared" si="988"/>
        <v>2828.2450073043483</v>
      </c>
      <c r="BD138" s="120">
        <f t="shared" si="988"/>
        <v>2943.1008088695658</v>
      </c>
      <c r="BE138" s="120">
        <f t="shared" si="988"/>
        <v>0</v>
      </c>
      <c r="BF138" s="120">
        <f t="shared" si="988"/>
        <v>5456.586933913044</v>
      </c>
      <c r="BG138" s="120">
        <f t="shared" si="988"/>
        <v>-1773.9687133913044</v>
      </c>
      <c r="BH138" s="120">
        <f t="shared" si="988"/>
        <v>0</v>
      </c>
      <c r="BI138" s="120">
        <f t="shared" si="988"/>
        <v>2564.7211373913046</v>
      </c>
      <c r="BJ138" s="120">
        <f t="shared" si="988"/>
        <v>0</v>
      </c>
      <c r="BK138" s="120">
        <f t="shared" si="989"/>
        <v>922.50144365217398</v>
      </c>
      <c r="BL138" s="120">
        <f t="shared" si="989"/>
        <v>1727.9890675356523</v>
      </c>
      <c r="BM138" s="120">
        <f t="shared" si="989"/>
        <v>0</v>
      </c>
      <c r="BN138" s="120">
        <f t="shared" si="989"/>
        <v>2367.9584129478262</v>
      </c>
      <c r="BO138" s="120">
        <f t="shared" si="989"/>
        <v>2913.0923575234788</v>
      </c>
      <c r="BP138" s="120">
        <f t="shared" si="989"/>
        <v>3031.3938331356526</v>
      </c>
      <c r="BQ138" s="120">
        <f t="shared" si="989"/>
        <v>0</v>
      </c>
      <c r="BR138" s="120">
        <f t="shared" si="989"/>
        <v>5620.2845419304358</v>
      </c>
      <c r="BS138" s="120">
        <f t="shared" si="989"/>
        <v>-1827.1877747930437</v>
      </c>
      <c r="BT138" s="120">
        <f t="shared" si="989"/>
        <v>0</v>
      </c>
      <c r="BU138" s="120">
        <f t="shared" si="990"/>
        <v>2641.6627715130439</v>
      </c>
      <c r="BV138" s="120">
        <f t="shared" si="990"/>
        <v>0</v>
      </c>
      <c r="BW138" s="120">
        <f t="shared" si="990"/>
        <v>950.17648696173922</v>
      </c>
      <c r="BX138" s="120">
        <f t="shared" si="990"/>
        <v>1779.8287395617219</v>
      </c>
      <c r="BY138" s="8"/>
      <c r="BZ138" s="72">
        <f t="shared" si="961"/>
        <v>714.27</v>
      </c>
      <c r="CA138" s="72">
        <f t="shared" si="962"/>
        <v>11800.09</v>
      </c>
      <c r="CB138" s="97"/>
      <c r="CC138" s="72">
        <f t="shared" si="895"/>
        <v>0</v>
      </c>
      <c r="CD138" s="72">
        <f t="shared" si="980"/>
        <v>0</v>
      </c>
      <c r="CE138" s="72">
        <f t="shared" si="980"/>
        <v>7710.2800000000007</v>
      </c>
      <c r="CF138" s="72">
        <f t="shared" si="980"/>
        <v>13138.0291</v>
      </c>
      <c r="CG138" s="72">
        <f t="shared" si="980"/>
        <v>13532.169973000002</v>
      </c>
      <c r="CH138" s="72">
        <f t="shared" si="980"/>
        <v>16473.946054086959</v>
      </c>
      <c r="CI138" s="72">
        <f t="shared" si="980"/>
        <v>16968.164435709568</v>
      </c>
      <c r="CJ138" s="72">
        <f t="shared" si="980"/>
        <v>17477.209368780856</v>
      </c>
      <c r="CL138" s="13"/>
      <c r="CM138" s="13"/>
    </row>
    <row r="139" spans="1:91" x14ac:dyDescent="0.3">
      <c r="A139" s="97" t="str">
        <f>'DCS Detail'!A139</f>
        <v xml:space="preserve">         733.1 Depreciation</v>
      </c>
      <c r="B139" s="106" t="str">
        <f>IF('DCS Detail'!$B139="","",'DCS Detail'!$B139)</f>
        <v>Depreciation</v>
      </c>
      <c r="C139" s="139"/>
      <c r="D139" s="139"/>
      <c r="E139" s="121">
        <v>221.01</v>
      </c>
      <c r="F139" s="121">
        <v>221.01</v>
      </c>
      <c r="G139" s="121">
        <v>221.01</v>
      </c>
      <c r="H139" s="121">
        <v>221.01</v>
      </c>
      <c r="I139" s="121">
        <v>221.01</v>
      </c>
      <c r="J139" s="121">
        <v>221.01</v>
      </c>
      <c r="K139" s="121">
        <v>221.01</v>
      </c>
      <c r="L139" s="121">
        <v>221.01</v>
      </c>
      <c r="M139" s="121">
        <v>7986.5400000000009</v>
      </c>
      <c r="N139" s="121">
        <v>2340.56</v>
      </c>
      <c r="O139" s="121">
        <v>2425.54</v>
      </c>
      <c r="P139" s="121">
        <v>129152.02</v>
      </c>
      <c r="Q139" s="121">
        <v>23489.360000000001</v>
      </c>
      <c r="R139" s="121">
        <v>23544.79</v>
      </c>
      <c r="S139" s="121">
        <v>23544.79</v>
      </c>
      <c r="T139" s="121">
        <v>23544.79</v>
      </c>
      <c r="U139" s="121">
        <v>23544.79</v>
      </c>
      <c r="V139" s="121">
        <v>23544.79</v>
      </c>
      <c r="W139" s="121">
        <v>23544.79</v>
      </c>
      <c r="X139" s="121">
        <v>23544.79</v>
      </c>
      <c r="Y139" s="121">
        <v>23544.79</v>
      </c>
      <c r="Z139" s="121">
        <v>23655.41</v>
      </c>
      <c r="AA139" s="121">
        <v>21528.799999999999</v>
      </c>
      <c r="AB139" s="121">
        <v>23544.79</v>
      </c>
      <c r="AC139" s="110">
        <f>SUM('Financial Position Detail'!AD28:AD35)/'Financial Position Detail'!AD85/12</f>
        <v>25149.767142857148</v>
      </c>
      <c r="AD139" s="110">
        <f>SUM('Financial Position Detail'!AE28:AE35)/'Financial Position Detail'!AE85/12</f>
        <v>25149.767142857148</v>
      </c>
      <c r="AE139" s="110">
        <f>SUM('Financial Position Detail'!AF28:AF35)/'Financial Position Detail'!AF85/12</f>
        <v>25159.290952380961</v>
      </c>
      <c r="AF139" s="110">
        <f>SUM('Financial Position Detail'!AG28:AG35)/'Financial Position Detail'!AG85/12</f>
        <v>25168.814761904767</v>
      </c>
      <c r="AG139" s="110">
        <f>SUM('Financial Position Detail'!AH28:AH35)/'Financial Position Detail'!AH85/12</f>
        <v>25206.910000000007</v>
      </c>
      <c r="AH139" s="110">
        <f>SUM('Financial Position Detail'!AI28:AI35)/'Financial Position Detail'!AI85/12</f>
        <v>27131.985926424648</v>
      </c>
      <c r="AI139" s="110">
        <f>SUM('Financial Position Detail'!AJ28:AJ35)/'Financial Position Detail'!AJ85/12</f>
        <v>29057.061852849292</v>
      </c>
      <c r="AJ139" s="110">
        <f>SUM('Financial Position Detail'!AK28:AK35)/'Financial Position Detail'!AK85/12</f>
        <v>30982.137779273937</v>
      </c>
      <c r="AK139" s="110">
        <f>SUM('Financial Position Detail'!AL28:AL35)/'Financial Position Detail'!AL85/12</f>
        <v>32907.213705698574</v>
      </c>
      <c r="AL139" s="110">
        <f>SUM('Financial Position Detail'!AM28:AM35)/'Financial Position Detail'!AM85/12</f>
        <v>34832.289632123218</v>
      </c>
      <c r="AM139" s="110">
        <f>SUM('Financial Position Detail'!AN28:AN35)/'Financial Position Detail'!AN85/12</f>
        <v>36757.365558547863</v>
      </c>
      <c r="AN139" s="110">
        <f>SUM('Financial Position Detail'!AO28:AO35)/'Financial Position Detail'!AO85/12</f>
        <v>38682.441484972507</v>
      </c>
      <c r="AO139" s="110">
        <f>SUM('Financial Position Detail'!AP28:AP35)/'Financial Position Detail'!AP85/12</f>
        <v>40605.749365713498</v>
      </c>
      <c r="AP139" s="110">
        <f>SUM('Financial Position Detail'!AQ28:AQ35)/'Financial Position Detail'!AQ85/12</f>
        <v>42529.057246454504</v>
      </c>
      <c r="AQ139" s="110">
        <f>SUM('Financial Position Detail'!AR28:AR35)/'Financial Position Detail'!AR85/12</f>
        <v>44452.36512719551</v>
      </c>
      <c r="AR139" s="110">
        <f>SUM('Financial Position Detail'!AS28:AS35)/'Financial Position Detail'!AS85/12</f>
        <v>46375.673007936508</v>
      </c>
      <c r="AS139" s="110">
        <f>SUM('Financial Position Detail'!AT28:AT35)/'Financial Position Detail'!AT85/12</f>
        <v>46395.51427777778</v>
      </c>
      <c r="AT139" s="110">
        <f>SUM('Financial Position Detail'!AU28:AU35)/'Financial Position Detail'!AU85/12</f>
        <v>46415.355547619045</v>
      </c>
      <c r="AU139" s="110">
        <f>SUM('Financial Position Detail'!AV28:AV35)/'Financial Position Detail'!AV85/12</f>
        <v>46435.196817460317</v>
      </c>
      <c r="AV139" s="110">
        <f>SUM('Financial Position Detail'!AW28:AW35)/'Financial Position Detail'!AW85/12</f>
        <v>46455.038087301575</v>
      </c>
      <c r="AW139" s="110">
        <f>SUM('Financial Position Detail'!AX28:AX35)/'Financial Position Detail'!AX85/12</f>
        <v>46474.87935714284</v>
      </c>
      <c r="AX139" s="110">
        <f>SUM('Financial Position Detail'!AY28:AY35)/'Financial Position Detail'!AY85/12</f>
        <v>46494.720626984112</v>
      </c>
      <c r="AY139" s="110">
        <f>SUM('Financial Position Detail'!AZ28:AZ35)/'Financial Position Detail'!AZ85/12</f>
        <v>46514.561896825377</v>
      </c>
      <c r="AZ139" s="110">
        <f>SUM('Financial Position Detail'!BA28:BA35)/'Financial Position Detail'!BA85/12</f>
        <v>46534.403166666649</v>
      </c>
      <c r="BA139" s="110">
        <f>SUM('Financial Position Detail'!BB28:BB35)/'Financial Position Detail'!BB85/12</f>
        <v>46554.244436507906</v>
      </c>
      <c r="BB139" s="110">
        <f>SUM('Financial Position Detail'!BC28:BC35)/'Financial Position Detail'!BC85/12</f>
        <v>46574.085706349179</v>
      </c>
      <c r="BC139" s="110">
        <f>SUM('Financial Position Detail'!BD28:BD35)/'Financial Position Detail'!BD85/12</f>
        <v>46593.926976190443</v>
      </c>
      <c r="BD139" s="110">
        <f>SUM('Financial Position Detail'!BE28:BE35)/'Financial Position Detail'!BE85/12</f>
        <v>46613.768246031716</v>
      </c>
      <c r="BE139" s="110">
        <f>SUM('Financial Position Detail'!BF28:BF35)/'Financial Position Detail'!BF85/12</f>
        <v>46633.60951587298</v>
      </c>
      <c r="BF139" s="110">
        <f>SUM('Financial Position Detail'!BG28:BG35)/'Financial Position Detail'!BG85/12</f>
        <v>46653.450785714253</v>
      </c>
      <c r="BG139" s="110">
        <f>SUM('Financial Position Detail'!BH28:BH35)/'Financial Position Detail'!BH85/12</f>
        <v>46673.29205555551</v>
      </c>
      <c r="BH139" s="110">
        <f>SUM('Financial Position Detail'!BI28:BI35)/'Financial Position Detail'!BI85/12</f>
        <v>46693.133325396775</v>
      </c>
      <c r="BI139" s="110">
        <f>SUM('Financial Position Detail'!BJ28:BJ35)/'Financial Position Detail'!BJ85/12</f>
        <v>46712.974595238047</v>
      </c>
      <c r="BJ139" s="110">
        <f>SUM('Financial Position Detail'!BK28:BK35)/'Financial Position Detail'!BK85/12</f>
        <v>46732.815865079312</v>
      </c>
      <c r="BK139" s="110">
        <f>SUM('Financial Position Detail'!BL28:BL35)/'Financial Position Detail'!BL85/12</f>
        <v>46752.657134920584</v>
      </c>
      <c r="BL139" s="110">
        <f>SUM('Financial Position Detail'!BM28:BM35)/'Financial Position Detail'!BM85/12</f>
        <v>46772.498404761842</v>
      </c>
      <c r="BM139" s="110">
        <f>SUM('Financial Position Detail'!BN28:BN35)/'Financial Position Detail'!BN85/12</f>
        <v>46792.339674603114</v>
      </c>
      <c r="BN139" s="110">
        <f>SUM('Financial Position Detail'!BO28:BO35)/'Financial Position Detail'!BO85/12</f>
        <v>46812.180944444379</v>
      </c>
      <c r="BO139" s="110">
        <f>SUM('Financial Position Detail'!BP28:BP35)/'Financial Position Detail'!BP85/12</f>
        <v>46832.022214285651</v>
      </c>
      <c r="BP139" s="110">
        <f>SUM('Financial Position Detail'!BQ28:BQ35)/'Financial Position Detail'!BQ85/12</f>
        <v>46851.863484126916</v>
      </c>
      <c r="BQ139" s="110">
        <f>SUM('Financial Position Detail'!BR28:BR35)/'Financial Position Detail'!BR85/12</f>
        <v>46871.704753968188</v>
      </c>
      <c r="BR139" s="110">
        <f>SUM('Financial Position Detail'!BS28:BS35)/'Financial Position Detail'!BS85/12</f>
        <v>46891.546023809446</v>
      </c>
      <c r="BS139" s="110">
        <f>SUM('Financial Position Detail'!BT28:BT35)/'Financial Position Detail'!BT85/12</f>
        <v>46911.387293650718</v>
      </c>
      <c r="BT139" s="110">
        <f>SUM('Financial Position Detail'!BU28:BU35)/'Financial Position Detail'!BU85/12</f>
        <v>46931.228563491983</v>
      </c>
      <c r="BU139" s="110">
        <f>SUM('Financial Position Detail'!BV28:BV35)/'Financial Position Detail'!BV85/12</f>
        <v>46951.069833333248</v>
      </c>
      <c r="BV139" s="110">
        <f>SUM('Financial Position Detail'!BW28:BW35)/'Financial Position Detail'!BW85/12</f>
        <v>46970.91110317452</v>
      </c>
      <c r="BW139" s="110">
        <f>SUM('Financial Position Detail'!BX28:BX35)/'Financial Position Detail'!BX85/12</f>
        <v>46990.752373015777</v>
      </c>
      <c r="BX139" s="110">
        <f>SUM('Financial Position Detail'!BY28:BY35)/'Financial Position Detail'!BY85/12</f>
        <v>47010.593642857049</v>
      </c>
      <c r="BY139" s="8"/>
      <c r="BZ139" s="73">
        <f t="shared" si="961"/>
        <v>21528.799999999999</v>
      </c>
      <c r="CA139" s="73">
        <f t="shared" si="962"/>
        <v>257031.89000000004</v>
      </c>
      <c r="CB139" s="97"/>
      <c r="CC139" s="73">
        <f t="shared" si="895"/>
        <v>0</v>
      </c>
      <c r="CD139" s="73">
        <f t="shared" ref="CD139:CJ148" si="993">SUMIF($C$3:$BY$3,CD$3,$C139:$BY139)</f>
        <v>0</v>
      </c>
      <c r="CE139" s="73">
        <f t="shared" si="993"/>
        <v>143672.74</v>
      </c>
      <c r="CF139" s="73">
        <f t="shared" si="993"/>
        <v>280576.68000000005</v>
      </c>
      <c r="CG139" s="73">
        <f t="shared" si="993"/>
        <v>356185.04593989003</v>
      </c>
      <c r="CH139" s="73">
        <f t="shared" si="993"/>
        <v>545682.51452507777</v>
      </c>
      <c r="CI139" s="73">
        <f t="shared" si="993"/>
        <v>559960.45704761846</v>
      </c>
      <c r="CJ139" s="73">
        <f t="shared" si="993"/>
        <v>562817.59990476095</v>
      </c>
      <c r="CL139" s="13"/>
      <c r="CM139" s="13"/>
    </row>
    <row r="140" spans="1:91" x14ac:dyDescent="0.3">
      <c r="A140" s="97" t="str">
        <f>'DCS Detail'!A140</f>
        <v xml:space="preserve">      Total 2600 Operation and Maintenance</v>
      </c>
      <c r="B140" s="106" t="str">
        <f>IF('DCS Detail'!$B140="","",'DCS Detail'!$B140)</f>
        <v/>
      </c>
      <c r="C140" s="36">
        <f>SUM(C124:C139)</f>
        <v>0</v>
      </c>
      <c r="D140" s="36">
        <f t="shared" ref="D140:X140" si="994">SUM(D124:D139)</f>
        <v>0</v>
      </c>
      <c r="E140" s="36">
        <f t="shared" si="994"/>
        <v>54219.31</v>
      </c>
      <c r="F140" s="36">
        <f t="shared" si="994"/>
        <v>54689.729999999996</v>
      </c>
      <c r="G140" s="36">
        <f t="shared" si="994"/>
        <v>107380.98999999999</v>
      </c>
      <c r="H140" s="36">
        <f t="shared" si="994"/>
        <v>66306.39</v>
      </c>
      <c r="I140" s="36">
        <f t="shared" si="994"/>
        <v>61115.354200000009</v>
      </c>
      <c r="J140" s="36">
        <f t="shared" si="994"/>
        <v>23987.597400000002</v>
      </c>
      <c r="K140" s="36">
        <f t="shared" si="994"/>
        <v>71103.789999999994</v>
      </c>
      <c r="L140" s="36">
        <f t="shared" si="994"/>
        <v>71262.878400000001</v>
      </c>
      <c r="M140" s="36">
        <f t="shared" ref="M140" si="995">SUM(M124:M139)</f>
        <v>82828.809999999969</v>
      </c>
      <c r="N140" s="36">
        <f t="shared" si="994"/>
        <v>100221.64</v>
      </c>
      <c r="O140" s="36">
        <f t="shared" si="994"/>
        <v>68025.569999999992</v>
      </c>
      <c r="P140" s="36">
        <f t="shared" si="994"/>
        <v>-144702.57999999996</v>
      </c>
      <c r="Q140" s="36">
        <f t="shared" ref="Q140:R140" si="996">SUM(Q124:Q139)</f>
        <v>79832.13</v>
      </c>
      <c r="R140" s="36">
        <f t="shared" si="996"/>
        <v>64451.200000000004</v>
      </c>
      <c r="S140" s="36">
        <f t="shared" ref="S140:T140" si="997">SUM(S124:S139)</f>
        <v>58062.720000000001</v>
      </c>
      <c r="T140" s="36">
        <f t="shared" si="997"/>
        <v>66580.37</v>
      </c>
      <c r="U140" s="36">
        <f t="shared" ref="U140:V140" si="998">SUM(U124:U139)</f>
        <v>80923</v>
      </c>
      <c r="V140" s="36">
        <f t="shared" si="998"/>
        <v>67096.490000000005</v>
      </c>
      <c r="W140" s="36">
        <f t="shared" ref="W140" si="999">SUM(W124:W139)</f>
        <v>67889.210000000006</v>
      </c>
      <c r="X140" s="36">
        <f t="shared" si="994"/>
        <v>65887.600000000006</v>
      </c>
      <c r="Y140" s="36">
        <f t="shared" ref="Y140:AZ140" si="1000">SUM(Y124:Y139)</f>
        <v>-34846.719999999994</v>
      </c>
      <c r="Z140" s="36">
        <f t="shared" si="1000"/>
        <v>48249.13</v>
      </c>
      <c r="AA140" s="36">
        <f t="shared" si="1000"/>
        <v>50038.53</v>
      </c>
      <c r="AB140" s="36">
        <f t="shared" si="1000"/>
        <v>53112.989066666669</v>
      </c>
      <c r="AC140" s="36">
        <f t="shared" si="1000"/>
        <v>46733.787309523817</v>
      </c>
      <c r="AD140" s="36">
        <f t="shared" si="1000"/>
        <v>53347.046509523818</v>
      </c>
      <c r="AE140" s="36">
        <f t="shared" si="1000"/>
        <v>49052.735919047627</v>
      </c>
      <c r="AF140" s="36">
        <f t="shared" si="1000"/>
        <v>57835.439228571435</v>
      </c>
      <c r="AG140" s="36">
        <f t="shared" si="1000"/>
        <v>62999.319166666683</v>
      </c>
      <c r="AH140" s="36">
        <f t="shared" si="1000"/>
        <v>60330.213993091311</v>
      </c>
      <c r="AI140" s="36">
        <f t="shared" si="1000"/>
        <v>66935.918919515956</v>
      </c>
      <c r="AJ140" s="36">
        <f t="shared" si="1000"/>
        <v>64468.51864594061</v>
      </c>
      <c r="AK140" s="36">
        <f t="shared" si="1000"/>
        <v>72100.711272365239</v>
      </c>
      <c r="AL140" s="36">
        <f t="shared" si="1000"/>
        <v>60163.821232123213</v>
      </c>
      <c r="AM140" s="36">
        <f t="shared" si="1000"/>
        <v>66122.387458547862</v>
      </c>
      <c r="AN140" s="36">
        <f t="shared" si="1000"/>
        <v>69137.686523639175</v>
      </c>
      <c r="AO140" s="36">
        <f t="shared" si="1000"/>
        <v>66437.035511771479</v>
      </c>
      <c r="AP140" s="36">
        <f t="shared" si="1000"/>
        <v>76747.724113121163</v>
      </c>
      <c r="AQ140" s="36">
        <f t="shared" si="1000"/>
        <v>73065.045790123055</v>
      </c>
      <c r="AR140" s="36">
        <f t="shared" si="1000"/>
        <v>85644.40523073361</v>
      </c>
      <c r="AS140" s="36">
        <f t="shared" si="1000"/>
        <v>90628.902031009668</v>
      </c>
      <c r="AT140" s="36">
        <f t="shared" si="1000"/>
        <v>85271.03672259007</v>
      </c>
      <c r="AU140" s="36">
        <f t="shared" si="1000"/>
        <v>90898.091150083521</v>
      </c>
      <c r="AV140" s="36">
        <f t="shared" si="1000"/>
        <v>85784.208506794326</v>
      </c>
      <c r="AW140" s="36">
        <f t="shared" si="1000"/>
        <v>93120.724758418219</v>
      </c>
      <c r="AX140" s="36">
        <f t="shared" si="1000"/>
        <v>76713.114284636278</v>
      </c>
      <c r="AY140" s="36">
        <f t="shared" si="1000"/>
        <v>80983.030622607999</v>
      </c>
      <c r="AZ140" s="36">
        <f t="shared" si="1000"/>
        <v>83090.81876661157</v>
      </c>
      <c r="BA140" s="36">
        <f t="shared" ref="BA140:BX140" si="1001">SUM(BA124:BA139)</f>
        <v>73160.469166947616</v>
      </c>
      <c r="BB140" s="36">
        <f t="shared" si="1001"/>
        <v>81819.312579015852</v>
      </c>
      <c r="BC140" s="36">
        <f t="shared" si="1001"/>
        <v>76064.988059005816</v>
      </c>
      <c r="BD140" s="36">
        <f t="shared" si="1001"/>
        <v>87060.562435512722</v>
      </c>
      <c r="BE140" s="36">
        <f t="shared" si="1001"/>
        <v>92193.998901701823</v>
      </c>
      <c r="BF140" s="36">
        <f t="shared" si="1001"/>
        <v>86674.802395934414</v>
      </c>
      <c r="BG140" s="36">
        <f t="shared" si="1001"/>
        <v>92470.073218157399</v>
      </c>
      <c r="BH140" s="36">
        <f t="shared" si="1001"/>
        <v>87202.178857474311</v>
      </c>
      <c r="BI140" s="36">
        <f t="shared" si="1001"/>
        <v>94758.19535855166</v>
      </c>
      <c r="BJ140" s="36">
        <f t="shared" si="1001"/>
        <v>77857.761332461043</v>
      </c>
      <c r="BK140" s="36">
        <f t="shared" si="1001"/>
        <v>82255.179922476673</v>
      </c>
      <c r="BL140" s="36">
        <f t="shared" si="1001"/>
        <v>84425.606472705113</v>
      </c>
      <c r="BM140" s="36">
        <f t="shared" si="1001"/>
        <v>74196.751146956012</v>
      </c>
      <c r="BN140" s="36">
        <f t="shared" si="1001"/>
        <v>83114.764623291048</v>
      </c>
      <c r="BO140" s="36">
        <f t="shared" si="1001"/>
        <v>77187.215129585471</v>
      </c>
      <c r="BP140" s="36">
        <f t="shared" si="1001"/>
        <v>88512.061499292366</v>
      </c>
      <c r="BQ140" s="36">
        <f t="shared" si="1001"/>
        <v>93798.905821371896</v>
      </c>
      <c r="BR140" s="36">
        <f t="shared" si="1001"/>
        <v>88113.538182336197</v>
      </c>
      <c r="BS140" s="36">
        <f t="shared" si="1001"/>
        <v>94082.071891130676</v>
      </c>
      <c r="BT140" s="36">
        <f t="shared" si="1001"/>
        <v>88655.545461531845</v>
      </c>
      <c r="BU140" s="36">
        <f t="shared" si="1001"/>
        <v>96437.647219546285</v>
      </c>
      <c r="BV140" s="36">
        <f t="shared" si="1001"/>
        <v>79029.604934577714</v>
      </c>
      <c r="BW140" s="36">
        <f t="shared" si="1001"/>
        <v>83558.350844198561</v>
      </c>
      <c r="BX140" s="36">
        <f t="shared" si="1001"/>
        <v>85793.294952838623</v>
      </c>
      <c r="BY140" s="8"/>
      <c r="BZ140" s="72">
        <f t="shared" si="961"/>
        <v>50038.53</v>
      </c>
      <c r="CA140" s="72">
        <f t="shared" si="962"/>
        <v>614163.66000000015</v>
      </c>
      <c r="CB140" s="97"/>
      <c r="CC140" s="72">
        <f t="shared" si="895"/>
        <v>0</v>
      </c>
      <c r="CD140" s="72">
        <f t="shared" si="993"/>
        <v>0</v>
      </c>
      <c r="CE140" s="72">
        <f t="shared" si="993"/>
        <v>616439.48</v>
      </c>
      <c r="CF140" s="72">
        <f t="shared" si="993"/>
        <v>667276.64906666684</v>
      </c>
      <c r="CG140" s="72">
        <f t="shared" si="993"/>
        <v>729227.58617855655</v>
      </c>
      <c r="CH140" s="72">
        <f t="shared" si="993"/>
        <v>988384.13748850091</v>
      </c>
      <c r="CI140" s="72">
        <f t="shared" si="993"/>
        <v>1015943.1286999445</v>
      </c>
      <c r="CJ140" s="72">
        <f t="shared" si="993"/>
        <v>1032479.7517066568</v>
      </c>
      <c r="CL140" s="13"/>
      <c r="CM140" s="13"/>
    </row>
    <row r="141" spans="1:91" x14ac:dyDescent="0.3">
      <c r="A141" s="97" t="str">
        <f>'DCS Detail'!A141</f>
        <v xml:space="preserve">   Total 100 General Fund</v>
      </c>
      <c r="B141" s="106" t="str">
        <f>IF('DCS Detail'!$B141="","",'DCS Detail'!$B141)</f>
        <v/>
      </c>
      <c r="C141" s="112">
        <f>C140+C123+C113+C99+C96+C85+C74</f>
        <v>0</v>
      </c>
      <c r="D141" s="112">
        <f t="shared" ref="D141:X141" si="1002">D140+D123+D113+D99+D96+D85+D74</f>
        <v>0</v>
      </c>
      <c r="E141" s="112">
        <f t="shared" si="1002"/>
        <v>-51983.010000000009</v>
      </c>
      <c r="F141" s="112">
        <f t="shared" si="1002"/>
        <v>171287.51</v>
      </c>
      <c r="G141" s="112">
        <f t="shared" si="1002"/>
        <v>266865.21999999997</v>
      </c>
      <c r="H141" s="112">
        <f t="shared" si="1002"/>
        <v>229197.95699999999</v>
      </c>
      <c r="I141" s="112">
        <f t="shared" si="1002"/>
        <v>207987.7942</v>
      </c>
      <c r="J141" s="112">
        <f t="shared" si="1002"/>
        <v>168416.28240000003</v>
      </c>
      <c r="K141" s="112">
        <f t="shared" si="1002"/>
        <v>211995.764</v>
      </c>
      <c r="L141" s="112">
        <f t="shared" si="1002"/>
        <v>224633.5024</v>
      </c>
      <c r="M141" s="112">
        <f t="shared" ref="M141" si="1003">M140+M123+M113+M99+M96+M85+M74</f>
        <v>221771.02999999997</v>
      </c>
      <c r="N141" s="112">
        <f t="shared" si="1002"/>
        <v>241797.79</v>
      </c>
      <c r="O141" s="112">
        <f t="shared" si="1002"/>
        <v>221587.94</v>
      </c>
      <c r="P141" s="112">
        <f t="shared" si="1002"/>
        <v>208811.90000000002</v>
      </c>
      <c r="Q141" s="112">
        <f t="shared" ref="Q141:R141" si="1004">Q140+Q123+Q113+Q99+Q96+Q85+Q74</f>
        <v>97480.580000000016</v>
      </c>
      <c r="R141" s="112">
        <f t="shared" si="1004"/>
        <v>235216.28000000003</v>
      </c>
      <c r="S141" s="112">
        <f t="shared" ref="S141:T141" si="1005">S140+S123+S113+S99+S96+S85+S74</f>
        <v>316048.92</v>
      </c>
      <c r="T141" s="112">
        <f t="shared" si="1005"/>
        <v>230777.66000000003</v>
      </c>
      <c r="U141" s="112">
        <f t="shared" ref="U141:V141" si="1006">U140+U123+U113+U99+U96+U85+U74</f>
        <v>320674.6399999999</v>
      </c>
      <c r="V141" s="112">
        <f t="shared" si="1006"/>
        <v>226900.57</v>
      </c>
      <c r="W141" s="112">
        <f t="shared" ref="W141" si="1007">W140+W123+W113+W99+W96+W85+W74</f>
        <v>229083.74</v>
      </c>
      <c r="X141" s="112">
        <f t="shared" si="1002"/>
        <v>257459.28000000003</v>
      </c>
      <c r="Y141" s="112">
        <f t="shared" ref="Y141:AZ141" si="1008">Y140+Y123+Y113+Y99+Y96+Y85+Y74</f>
        <v>96253.500000000029</v>
      </c>
      <c r="Z141" s="112">
        <f t="shared" si="1008"/>
        <v>259078.15000000002</v>
      </c>
      <c r="AA141" s="112">
        <f t="shared" si="1008"/>
        <v>250126.30999999997</v>
      </c>
      <c r="AB141" s="112">
        <f t="shared" si="1008"/>
        <v>350841.28309792344</v>
      </c>
      <c r="AC141" s="112">
        <f t="shared" si="1008"/>
        <v>58098.827909523818</v>
      </c>
      <c r="AD141" s="112">
        <f t="shared" si="1008"/>
        <v>225343.70135466091</v>
      </c>
      <c r="AE141" s="112">
        <f t="shared" si="1008"/>
        <v>315899.15515221312</v>
      </c>
      <c r="AF141" s="112">
        <f t="shared" si="1008"/>
        <v>230835.16614338732</v>
      </c>
      <c r="AG141" s="112">
        <f t="shared" si="1008"/>
        <v>249114.81423448853</v>
      </c>
      <c r="AH141" s="112">
        <f t="shared" si="1008"/>
        <v>210373.69681578959</v>
      </c>
      <c r="AI141" s="112">
        <f t="shared" si="1008"/>
        <v>234309.92876683472</v>
      </c>
      <c r="AJ141" s="112">
        <f t="shared" si="1008"/>
        <v>220922.01560110017</v>
      </c>
      <c r="AK141" s="112">
        <f t="shared" si="1008"/>
        <v>237161.3002275248</v>
      </c>
      <c r="AL141" s="112">
        <f t="shared" si="1008"/>
        <v>217346.11167442886</v>
      </c>
      <c r="AM141" s="112">
        <f t="shared" si="1008"/>
        <v>232463.11174501636</v>
      </c>
      <c r="AN141" s="112">
        <f t="shared" si="1008"/>
        <v>362418.56269261974</v>
      </c>
      <c r="AO141" s="112">
        <f t="shared" si="1008"/>
        <v>78938.588492380193</v>
      </c>
      <c r="AP141" s="112">
        <f t="shared" si="1008"/>
        <v>270263.92028617603</v>
      </c>
      <c r="AQ141" s="112">
        <f t="shared" si="1008"/>
        <v>346197.17926718789</v>
      </c>
      <c r="AR141" s="112">
        <f t="shared" si="1008"/>
        <v>280151.2832468251</v>
      </c>
      <c r="AS141" s="112">
        <f t="shared" si="1008"/>
        <v>297504.78999202</v>
      </c>
      <c r="AT141" s="112">
        <f t="shared" si="1008"/>
        <v>253971.42221878143</v>
      </c>
      <c r="AU141" s="112">
        <f t="shared" si="1008"/>
        <v>279135.63227835629</v>
      </c>
      <c r="AV141" s="112">
        <f t="shared" si="1008"/>
        <v>261438.89905772018</v>
      </c>
      <c r="AW141" s="112">
        <f t="shared" si="1008"/>
        <v>278076.48754773539</v>
      </c>
      <c r="AX141" s="112">
        <f t="shared" si="1008"/>
        <v>252765.45695943193</v>
      </c>
      <c r="AY141" s="112">
        <f t="shared" si="1008"/>
        <v>267498.69497640867</v>
      </c>
      <c r="AZ141" s="112">
        <f t="shared" si="1008"/>
        <v>412698.93637818762</v>
      </c>
      <c r="BA141" s="112">
        <f t="shared" ref="BA141:BX141" si="1009">BA140+BA123+BA113+BA99+BA96+BA85+BA74</f>
        <v>86037.068736974572</v>
      </c>
      <c r="BB141" s="112">
        <f t="shared" si="1009"/>
        <v>281137.47527464258</v>
      </c>
      <c r="BC141" s="112">
        <f t="shared" si="1009"/>
        <v>356804.50294254371</v>
      </c>
      <c r="BD141" s="112">
        <f t="shared" si="1009"/>
        <v>287402.66512522788</v>
      </c>
      <c r="BE141" s="112">
        <f t="shared" si="1009"/>
        <v>305278.00403776701</v>
      </c>
      <c r="BF141" s="112">
        <f t="shared" si="1009"/>
        <v>260437.20864153738</v>
      </c>
      <c r="BG141" s="112">
        <f t="shared" si="1009"/>
        <v>286354.10320909717</v>
      </c>
      <c r="BH141" s="112">
        <f t="shared" si="1009"/>
        <v>268126.03157863655</v>
      </c>
      <c r="BI141" s="112">
        <f t="shared" si="1009"/>
        <v>285262.15248525696</v>
      </c>
      <c r="BJ141" s="112">
        <f t="shared" si="1009"/>
        <v>259191.63014354178</v>
      </c>
      <c r="BK141" s="112">
        <f t="shared" si="1009"/>
        <v>274366.48984205828</v>
      </c>
      <c r="BL141" s="112">
        <f t="shared" si="1009"/>
        <v>423922.36382639827</v>
      </c>
      <c r="BM141" s="112">
        <f t="shared" si="1009"/>
        <v>87459.648704083782</v>
      </c>
      <c r="BN141" s="112">
        <f t="shared" si="1009"/>
        <v>288412.31523385085</v>
      </c>
      <c r="BO141" s="112">
        <f t="shared" si="1009"/>
        <v>365763.82955007808</v>
      </c>
      <c r="BP141" s="112">
        <f t="shared" si="1009"/>
        <v>294864.39900789945</v>
      </c>
      <c r="BQ141" s="112">
        <f t="shared" si="1009"/>
        <v>313275.46838439943</v>
      </c>
      <c r="BR141" s="112">
        <f t="shared" si="1009"/>
        <v>267088.86550913681</v>
      </c>
      <c r="BS141" s="112">
        <f t="shared" si="1009"/>
        <v>293782.65321263624</v>
      </c>
      <c r="BT141" s="112">
        <f t="shared" si="1009"/>
        <v>275007.08800770575</v>
      </c>
      <c r="BU141" s="112">
        <f t="shared" si="1009"/>
        <v>292656.69730342948</v>
      </c>
      <c r="BV141" s="112">
        <f t="shared" si="1009"/>
        <v>265803.48279755516</v>
      </c>
      <c r="BW141" s="112">
        <f t="shared" si="1009"/>
        <v>281433.00431994849</v>
      </c>
      <c r="BX141" s="112">
        <f t="shared" si="1009"/>
        <v>435474.97283584153</v>
      </c>
      <c r="BY141" s="8"/>
      <c r="BZ141" s="385">
        <f t="shared" si="961"/>
        <v>250126.30999999997</v>
      </c>
      <c r="CA141" s="385">
        <f t="shared" si="962"/>
        <v>2519099.6300000004</v>
      </c>
      <c r="CB141" s="97"/>
      <c r="CC141" s="385">
        <f t="shared" si="895"/>
        <v>0</v>
      </c>
      <c r="CD141" s="385">
        <f t="shared" si="993"/>
        <v>0</v>
      </c>
      <c r="CE141" s="385">
        <f t="shared" si="993"/>
        <v>2322369.6800000002</v>
      </c>
      <c r="CF141" s="385">
        <f t="shared" si="993"/>
        <v>2869940.9130979236</v>
      </c>
      <c r="CG141" s="385">
        <f t="shared" si="993"/>
        <v>2794286.392317588</v>
      </c>
      <c r="CH141" s="385">
        <f t="shared" si="993"/>
        <v>3278641.2907012105</v>
      </c>
      <c r="CI141" s="385">
        <f t="shared" si="993"/>
        <v>3374319.6958436822</v>
      </c>
      <c r="CJ141" s="385">
        <f t="shared" si="993"/>
        <v>3461022.4248665646</v>
      </c>
      <c r="CL141" s="13"/>
      <c r="CM141" s="13"/>
    </row>
    <row r="142" spans="1:91" x14ac:dyDescent="0.3">
      <c r="A142" s="97" t="str">
        <f>'DCS Detail'!A142</f>
        <v xml:space="preserve">   200 Special Education Fund</v>
      </c>
      <c r="B142" s="106" t="str">
        <f>IF('DCS Detail'!$B142="","",'DCS Detail'!$B142)</f>
        <v/>
      </c>
      <c r="C142" s="106"/>
      <c r="D142" s="106"/>
      <c r="E142" s="18">
        <v>0</v>
      </c>
      <c r="F142" s="18">
        <v>0</v>
      </c>
      <c r="G142" s="18">
        <v>0</v>
      </c>
      <c r="H142" s="18">
        <v>0</v>
      </c>
      <c r="I142" s="18">
        <v>0</v>
      </c>
      <c r="J142" s="18">
        <v>0</v>
      </c>
      <c r="K142" s="18">
        <v>0</v>
      </c>
      <c r="L142" s="18">
        <v>0</v>
      </c>
      <c r="M142" s="18">
        <v>0</v>
      </c>
      <c r="N142" s="18">
        <v>0</v>
      </c>
      <c r="O142" s="18">
        <v>0</v>
      </c>
      <c r="P142" s="18">
        <v>0</v>
      </c>
      <c r="Q142" s="18">
        <v>0</v>
      </c>
      <c r="R142" s="18">
        <v>0</v>
      </c>
      <c r="S142" s="18">
        <v>0</v>
      </c>
      <c r="T142" s="18">
        <v>0</v>
      </c>
      <c r="U142" s="18">
        <v>0</v>
      </c>
      <c r="V142" s="18">
        <v>0</v>
      </c>
      <c r="W142" s="18">
        <v>0</v>
      </c>
      <c r="X142" s="18">
        <v>0</v>
      </c>
      <c r="Y142" s="18">
        <v>0</v>
      </c>
      <c r="Z142" s="18">
        <v>0</v>
      </c>
      <c r="AA142" s="146">
        <v>0</v>
      </c>
      <c r="AB142" s="18">
        <v>0</v>
      </c>
      <c r="AC142" s="18">
        <v>0</v>
      </c>
      <c r="AD142" s="18">
        <v>0</v>
      </c>
      <c r="AE142" s="18">
        <v>0</v>
      </c>
      <c r="AF142" s="18">
        <v>0</v>
      </c>
      <c r="AG142" s="18">
        <v>0</v>
      </c>
      <c r="AH142" s="18">
        <v>0</v>
      </c>
      <c r="AI142" s="18">
        <v>0</v>
      </c>
      <c r="AJ142" s="18">
        <v>0</v>
      </c>
      <c r="AK142" s="18">
        <v>0</v>
      </c>
      <c r="AL142" s="18">
        <v>0</v>
      </c>
      <c r="AM142" s="18">
        <v>0</v>
      </c>
      <c r="AN142" s="18">
        <v>0</v>
      </c>
      <c r="AO142" s="18">
        <v>0</v>
      </c>
      <c r="AP142" s="18">
        <v>0</v>
      </c>
      <c r="AQ142" s="18">
        <v>0</v>
      </c>
      <c r="AR142" s="18">
        <v>0</v>
      </c>
      <c r="AS142" s="18">
        <v>0</v>
      </c>
      <c r="AT142" s="18">
        <v>0</v>
      </c>
      <c r="AU142" s="18">
        <v>0</v>
      </c>
      <c r="AV142" s="18">
        <v>0</v>
      </c>
      <c r="AW142" s="18">
        <v>0</v>
      </c>
      <c r="AX142" s="18">
        <v>0</v>
      </c>
      <c r="AY142" s="18">
        <v>0</v>
      </c>
      <c r="AZ142" s="18">
        <v>0</v>
      </c>
      <c r="BA142" s="18">
        <v>0</v>
      </c>
      <c r="BB142" s="18">
        <v>0</v>
      </c>
      <c r="BC142" s="18">
        <v>0</v>
      </c>
      <c r="BD142" s="18">
        <v>0</v>
      </c>
      <c r="BE142" s="18">
        <v>0</v>
      </c>
      <c r="BF142" s="18">
        <v>0</v>
      </c>
      <c r="BG142" s="18">
        <v>0</v>
      </c>
      <c r="BH142" s="18">
        <v>0</v>
      </c>
      <c r="BI142" s="18">
        <v>0</v>
      </c>
      <c r="BJ142" s="18">
        <v>0</v>
      </c>
      <c r="BK142" s="18">
        <v>0</v>
      </c>
      <c r="BL142" s="18">
        <v>0</v>
      </c>
      <c r="BM142" s="18">
        <v>0</v>
      </c>
      <c r="BN142" s="18">
        <v>0</v>
      </c>
      <c r="BO142" s="18">
        <v>0</v>
      </c>
      <c r="BP142" s="18">
        <v>0</v>
      </c>
      <c r="BQ142" s="18">
        <v>0</v>
      </c>
      <c r="BR142" s="18">
        <v>0</v>
      </c>
      <c r="BS142" s="18">
        <v>0</v>
      </c>
      <c r="BT142" s="18">
        <v>0</v>
      </c>
      <c r="BU142" s="18">
        <v>0</v>
      </c>
      <c r="BV142" s="18">
        <v>0</v>
      </c>
      <c r="BW142" s="18">
        <v>0</v>
      </c>
      <c r="BX142" s="18">
        <v>0</v>
      </c>
      <c r="BY142" s="8"/>
      <c r="BZ142" s="72">
        <f t="shared" si="961"/>
        <v>0</v>
      </c>
      <c r="CA142" s="72">
        <f t="shared" si="962"/>
        <v>0</v>
      </c>
      <c r="CB142" s="97"/>
      <c r="CC142" s="72">
        <f t="shared" si="895"/>
        <v>0</v>
      </c>
      <c r="CD142" s="72">
        <f t="shared" si="993"/>
        <v>0</v>
      </c>
      <c r="CE142" s="72">
        <f t="shared" si="993"/>
        <v>0</v>
      </c>
      <c r="CF142" s="72">
        <f t="shared" si="993"/>
        <v>0</v>
      </c>
      <c r="CG142" s="72">
        <f t="shared" si="993"/>
        <v>0</v>
      </c>
      <c r="CH142" s="72">
        <f t="shared" si="993"/>
        <v>0</v>
      </c>
      <c r="CI142" s="72">
        <f t="shared" si="993"/>
        <v>0</v>
      </c>
      <c r="CJ142" s="72">
        <f t="shared" si="993"/>
        <v>0</v>
      </c>
      <c r="CL142" s="13"/>
      <c r="CM142" s="13"/>
    </row>
    <row r="143" spans="1:91" x14ac:dyDescent="0.3">
      <c r="A143" s="97" t="str">
        <f>'DCS Detail'!A143</f>
        <v xml:space="preserve">      SP1000 SPED - Instruction</v>
      </c>
      <c r="B143" s="106" t="str">
        <f>IF('DCS Detail'!$B143="","",'DCS Detail'!$B143)</f>
        <v/>
      </c>
      <c r="C143" s="106"/>
      <c r="D143" s="106"/>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v>0</v>
      </c>
      <c r="V143" s="18">
        <v>0</v>
      </c>
      <c r="W143" s="18">
        <v>0</v>
      </c>
      <c r="X143" s="18">
        <v>0</v>
      </c>
      <c r="Y143" s="18">
        <v>0</v>
      </c>
      <c r="Z143" s="18">
        <v>0</v>
      </c>
      <c r="AA143" s="146">
        <v>0</v>
      </c>
      <c r="AB143" s="18">
        <v>0</v>
      </c>
      <c r="AC143" s="18">
        <v>0</v>
      </c>
      <c r="AD143" s="18">
        <v>0</v>
      </c>
      <c r="AE143" s="18">
        <v>0</v>
      </c>
      <c r="AF143" s="18">
        <v>0</v>
      </c>
      <c r="AG143" s="18">
        <v>0</v>
      </c>
      <c r="AH143" s="18">
        <v>0</v>
      </c>
      <c r="AI143" s="18">
        <v>0</v>
      </c>
      <c r="AJ143" s="18">
        <v>0</v>
      </c>
      <c r="AK143" s="18">
        <v>0</v>
      </c>
      <c r="AL143" s="18">
        <v>0</v>
      </c>
      <c r="AM143" s="18">
        <v>0</v>
      </c>
      <c r="AN143" s="18">
        <v>0</v>
      </c>
      <c r="AO143" s="18">
        <v>0</v>
      </c>
      <c r="AP143" s="18">
        <v>0</v>
      </c>
      <c r="AQ143" s="18">
        <v>0</v>
      </c>
      <c r="AR143" s="18">
        <v>0</v>
      </c>
      <c r="AS143" s="18">
        <v>0</v>
      </c>
      <c r="AT143" s="18">
        <v>0</v>
      </c>
      <c r="AU143" s="18">
        <v>0</v>
      </c>
      <c r="AV143" s="18">
        <v>0</v>
      </c>
      <c r="AW143" s="18">
        <v>0</v>
      </c>
      <c r="AX143" s="18">
        <v>0</v>
      </c>
      <c r="AY143" s="18">
        <v>0</v>
      </c>
      <c r="AZ143" s="18">
        <v>0</v>
      </c>
      <c r="BA143" s="18">
        <v>0</v>
      </c>
      <c r="BB143" s="18">
        <v>0</v>
      </c>
      <c r="BC143" s="18">
        <v>0</v>
      </c>
      <c r="BD143" s="18">
        <v>0</v>
      </c>
      <c r="BE143" s="18">
        <v>0</v>
      </c>
      <c r="BF143" s="18">
        <v>0</v>
      </c>
      <c r="BG143" s="18">
        <v>0</v>
      </c>
      <c r="BH143" s="18">
        <v>0</v>
      </c>
      <c r="BI143" s="18">
        <v>0</v>
      </c>
      <c r="BJ143" s="18">
        <v>0</v>
      </c>
      <c r="BK143" s="18">
        <v>0</v>
      </c>
      <c r="BL143" s="18">
        <v>0</v>
      </c>
      <c r="BM143" s="18">
        <v>0</v>
      </c>
      <c r="BN143" s="18">
        <v>0</v>
      </c>
      <c r="BO143" s="18">
        <v>0</v>
      </c>
      <c r="BP143" s="18">
        <v>0</v>
      </c>
      <c r="BQ143" s="18">
        <v>0</v>
      </c>
      <c r="BR143" s="18">
        <v>0</v>
      </c>
      <c r="BS143" s="18">
        <v>0</v>
      </c>
      <c r="BT143" s="18">
        <v>0</v>
      </c>
      <c r="BU143" s="18">
        <v>0</v>
      </c>
      <c r="BV143" s="18">
        <v>0</v>
      </c>
      <c r="BW143" s="18">
        <v>0</v>
      </c>
      <c r="BX143" s="18">
        <v>0</v>
      </c>
      <c r="BY143" s="8"/>
      <c r="BZ143" s="72">
        <f t="shared" si="961"/>
        <v>0</v>
      </c>
      <c r="CA143" s="72">
        <f t="shared" si="962"/>
        <v>0</v>
      </c>
      <c r="CB143" s="97"/>
      <c r="CC143" s="72">
        <f t="shared" si="895"/>
        <v>0</v>
      </c>
      <c r="CD143" s="72">
        <f t="shared" si="993"/>
        <v>0</v>
      </c>
      <c r="CE143" s="72">
        <f t="shared" si="993"/>
        <v>0</v>
      </c>
      <c r="CF143" s="72">
        <f t="shared" si="993"/>
        <v>0</v>
      </c>
      <c r="CG143" s="72">
        <f t="shared" si="993"/>
        <v>0</v>
      </c>
      <c r="CH143" s="72">
        <f t="shared" si="993"/>
        <v>0</v>
      </c>
      <c r="CI143" s="72">
        <f t="shared" si="993"/>
        <v>0</v>
      </c>
      <c r="CJ143" s="72">
        <f t="shared" si="993"/>
        <v>0</v>
      </c>
      <c r="CL143" s="13"/>
      <c r="CM143" s="13"/>
    </row>
    <row r="144" spans="1:91" x14ac:dyDescent="0.3">
      <c r="A144" s="97" t="str">
        <f>'DCS Detail'!A144</f>
        <v xml:space="preserve">         111.2 SPED - Wages SPED Teachers</v>
      </c>
      <c r="B144" s="106" t="str">
        <f>IF('DCS Detail'!$B144="","",'DCS Detail'!$B144)</f>
        <v>Salaries</v>
      </c>
      <c r="C144" s="106"/>
      <c r="D144" s="106"/>
      <c r="E144" s="18">
        <v>-4108.6499999999996</v>
      </c>
      <c r="F144" s="18">
        <v>3816.15</v>
      </c>
      <c r="G144" s="18">
        <v>3881.16</v>
      </c>
      <c r="H144" s="18">
        <v>3881.16</v>
      </c>
      <c r="I144" s="18">
        <v>3881.16</v>
      </c>
      <c r="J144" s="18">
        <v>3881.16</v>
      </c>
      <c r="K144" s="18">
        <v>3881.16</v>
      </c>
      <c r="L144" s="18">
        <v>3881.16</v>
      </c>
      <c r="M144" s="18">
        <v>3881.16</v>
      </c>
      <c r="N144" s="18">
        <v>3881.16</v>
      </c>
      <c r="O144" s="18">
        <v>3881.16</v>
      </c>
      <c r="P144" s="18">
        <v>11643.47</v>
      </c>
      <c r="Q144" s="18">
        <v>0</v>
      </c>
      <c r="R144" s="18">
        <v>3881.16</v>
      </c>
      <c r="S144" s="18">
        <v>3904.56</v>
      </c>
      <c r="T144" s="18">
        <v>3881.16</v>
      </c>
      <c r="U144" s="18">
        <v>3881.16</v>
      </c>
      <c r="V144" s="18">
        <v>3900.66</v>
      </c>
      <c r="W144" s="18">
        <v>3881.16</v>
      </c>
      <c r="X144" s="18">
        <v>3881.16</v>
      </c>
      <c r="Y144" s="18">
        <v>3881.16</v>
      </c>
      <c r="Z144" s="18">
        <v>3881.16</v>
      </c>
      <c r="AA144" s="146">
        <v>3881.16</v>
      </c>
      <c r="AB144" s="102">
        <f t="shared" ref="AB144:AZ144" si="1010">AB269*AB276</f>
        <v>7775.32</v>
      </c>
      <c r="AC144" s="102">
        <f t="shared" si="1010"/>
        <v>0</v>
      </c>
      <c r="AD144" s="102">
        <f t="shared" si="1010"/>
        <v>7775.32</v>
      </c>
      <c r="AE144" s="102">
        <f t="shared" si="1010"/>
        <v>7775.32</v>
      </c>
      <c r="AF144" s="102">
        <f t="shared" si="1010"/>
        <v>7775.32</v>
      </c>
      <c r="AG144" s="102">
        <f t="shared" si="1010"/>
        <v>7775.32</v>
      </c>
      <c r="AH144" s="102">
        <f t="shared" si="1010"/>
        <v>7775.32</v>
      </c>
      <c r="AI144" s="102">
        <f t="shared" si="1010"/>
        <v>7775.32</v>
      </c>
      <c r="AJ144" s="102">
        <f t="shared" si="1010"/>
        <v>7775.32</v>
      </c>
      <c r="AK144" s="102">
        <f t="shared" si="1010"/>
        <v>7775.32</v>
      </c>
      <c r="AL144" s="102">
        <f t="shared" si="1010"/>
        <v>7775.32</v>
      </c>
      <c r="AM144" s="102">
        <f t="shared" si="1010"/>
        <v>7775.32</v>
      </c>
      <c r="AN144" s="102">
        <f t="shared" si="1010"/>
        <v>15550.64</v>
      </c>
      <c r="AO144" s="102">
        <f t="shared" si="1010"/>
        <v>0</v>
      </c>
      <c r="AP144" s="102">
        <f t="shared" si="1010"/>
        <v>8008.5796</v>
      </c>
      <c r="AQ144" s="102">
        <f t="shared" si="1010"/>
        <v>8008.5796</v>
      </c>
      <c r="AR144" s="102">
        <f t="shared" si="1010"/>
        <v>8008.5796</v>
      </c>
      <c r="AS144" s="102">
        <f t="shared" si="1010"/>
        <v>8008.5796</v>
      </c>
      <c r="AT144" s="102">
        <f t="shared" si="1010"/>
        <v>8008.5796</v>
      </c>
      <c r="AU144" s="102">
        <f t="shared" si="1010"/>
        <v>8008.5796</v>
      </c>
      <c r="AV144" s="102">
        <f t="shared" si="1010"/>
        <v>8008.5796</v>
      </c>
      <c r="AW144" s="102">
        <f t="shared" si="1010"/>
        <v>8008.5796</v>
      </c>
      <c r="AX144" s="102">
        <f t="shared" si="1010"/>
        <v>8008.5796</v>
      </c>
      <c r="AY144" s="102">
        <f t="shared" si="1010"/>
        <v>8008.5796</v>
      </c>
      <c r="AZ144" s="102">
        <f t="shared" si="1010"/>
        <v>16017.1592</v>
      </c>
      <c r="BA144" s="102">
        <f t="shared" ref="BA144:BX144" si="1011">BA269*BA276</f>
        <v>0</v>
      </c>
      <c r="BB144" s="102">
        <f t="shared" si="1011"/>
        <v>8248.8369880000009</v>
      </c>
      <c r="BC144" s="102">
        <f t="shared" si="1011"/>
        <v>8248.8369880000009</v>
      </c>
      <c r="BD144" s="102">
        <f t="shared" si="1011"/>
        <v>8248.8369880000009</v>
      </c>
      <c r="BE144" s="102">
        <f t="shared" si="1011"/>
        <v>8248.8369880000009</v>
      </c>
      <c r="BF144" s="102">
        <f t="shared" si="1011"/>
        <v>8248.8369880000009</v>
      </c>
      <c r="BG144" s="102">
        <f t="shared" si="1011"/>
        <v>8248.8369880000009</v>
      </c>
      <c r="BH144" s="102">
        <f t="shared" si="1011"/>
        <v>8248.8369880000009</v>
      </c>
      <c r="BI144" s="102">
        <f t="shared" si="1011"/>
        <v>8248.8369880000009</v>
      </c>
      <c r="BJ144" s="102">
        <f t="shared" si="1011"/>
        <v>8248.8369880000009</v>
      </c>
      <c r="BK144" s="102">
        <f t="shared" si="1011"/>
        <v>8248.8369880000009</v>
      </c>
      <c r="BL144" s="102">
        <f t="shared" si="1011"/>
        <v>16497.673976000002</v>
      </c>
      <c r="BM144" s="102">
        <f t="shared" si="1011"/>
        <v>0</v>
      </c>
      <c r="BN144" s="102">
        <f t="shared" si="1011"/>
        <v>8496.3020976400003</v>
      </c>
      <c r="BO144" s="102">
        <f t="shared" si="1011"/>
        <v>8496.3020976400003</v>
      </c>
      <c r="BP144" s="102">
        <f t="shared" si="1011"/>
        <v>8496.3020976400003</v>
      </c>
      <c r="BQ144" s="102">
        <f t="shared" si="1011"/>
        <v>8496.3020976400003</v>
      </c>
      <c r="BR144" s="102">
        <f t="shared" si="1011"/>
        <v>8496.3020976400003</v>
      </c>
      <c r="BS144" s="102">
        <f t="shared" si="1011"/>
        <v>8496.3020976400003</v>
      </c>
      <c r="BT144" s="102">
        <f t="shared" si="1011"/>
        <v>8496.3020976400003</v>
      </c>
      <c r="BU144" s="102">
        <f t="shared" si="1011"/>
        <v>8496.3020976400003</v>
      </c>
      <c r="BV144" s="102">
        <f t="shared" si="1011"/>
        <v>8496.3020976400003</v>
      </c>
      <c r="BW144" s="102">
        <f t="shared" si="1011"/>
        <v>8496.3020976400003</v>
      </c>
      <c r="BX144" s="102">
        <f t="shared" si="1011"/>
        <v>16992.604195280001</v>
      </c>
      <c r="BY144" s="8"/>
      <c r="BZ144" s="72">
        <f t="shared" si="961"/>
        <v>3881.16</v>
      </c>
      <c r="CA144" s="72">
        <f t="shared" si="962"/>
        <v>38854.5</v>
      </c>
      <c r="CB144" s="97"/>
      <c r="CC144" s="72">
        <f t="shared" si="895"/>
        <v>0</v>
      </c>
      <c r="CD144" s="72">
        <f t="shared" si="993"/>
        <v>0</v>
      </c>
      <c r="CE144" s="72">
        <f t="shared" si="993"/>
        <v>46281.41</v>
      </c>
      <c r="CF144" s="72">
        <f t="shared" si="993"/>
        <v>46629.82</v>
      </c>
      <c r="CG144" s="72">
        <f t="shared" si="993"/>
        <v>93303.840000000011</v>
      </c>
      <c r="CH144" s="72">
        <f t="shared" si="993"/>
        <v>96102.955199999982</v>
      </c>
      <c r="CI144" s="72">
        <f t="shared" si="993"/>
        <v>98986.043856000004</v>
      </c>
      <c r="CJ144" s="72">
        <f t="shared" si="993"/>
        <v>101955.62517168</v>
      </c>
      <c r="CL144" s="13"/>
      <c r="CM144" s="13"/>
    </row>
    <row r="145" spans="1:91" x14ac:dyDescent="0.3">
      <c r="A145" s="97" t="str">
        <f>'DCS Detail'!A145</f>
        <v xml:space="preserve">         112.2 SPED - Wages SPED Support</v>
      </c>
      <c r="B145" s="106" t="str">
        <f>IF('DCS Detail'!$B145="","",'DCS Detail'!$B145)</f>
        <v>Salaries</v>
      </c>
      <c r="C145" s="106"/>
      <c r="D145" s="106"/>
      <c r="E145" s="18">
        <v>-1831.24</v>
      </c>
      <c r="F145" s="18">
        <v>1831.24</v>
      </c>
      <c r="G145" s="18">
        <v>1858.94</v>
      </c>
      <c r="H145" s="18">
        <v>1858.94</v>
      </c>
      <c r="I145" s="18">
        <v>1858.94</v>
      </c>
      <c r="J145" s="18">
        <v>1858.94</v>
      </c>
      <c r="K145" s="18">
        <v>1858.94</v>
      </c>
      <c r="L145" s="18">
        <v>1858.9399999999987</v>
      </c>
      <c r="M145" s="18">
        <v>1858.94</v>
      </c>
      <c r="N145" s="18">
        <v>1858.94</v>
      </c>
      <c r="O145" s="18">
        <v>1858.94</v>
      </c>
      <c r="P145" s="18">
        <v>5576.83</v>
      </c>
      <c r="Q145" s="18">
        <v>0</v>
      </c>
      <c r="R145" s="18">
        <v>1858.94</v>
      </c>
      <c r="S145" s="18">
        <v>1882.34</v>
      </c>
      <c r="T145" s="18">
        <v>1858.94</v>
      </c>
      <c r="U145" s="18">
        <v>1858.94</v>
      </c>
      <c r="V145" s="18">
        <v>2237.2399999999998</v>
      </c>
      <c r="W145" s="18">
        <v>2092.94</v>
      </c>
      <c r="X145" s="18">
        <v>2325.4499999999998</v>
      </c>
      <c r="Y145" s="18">
        <v>1858.94</v>
      </c>
      <c r="Z145" s="18">
        <v>1934.01</v>
      </c>
      <c r="AA145" s="146">
        <v>2014.94</v>
      </c>
      <c r="AB145" s="102">
        <f t="shared" ref="AB145:AZ145" si="1012">AB270*AB277</f>
        <v>4437.086666666667</v>
      </c>
      <c r="AC145" s="102">
        <f t="shared" si="1012"/>
        <v>0</v>
      </c>
      <c r="AD145" s="102">
        <f t="shared" si="1012"/>
        <v>2218.5433333333335</v>
      </c>
      <c r="AE145" s="102">
        <f t="shared" si="1012"/>
        <v>2218.5433333333335</v>
      </c>
      <c r="AF145" s="102">
        <f t="shared" si="1012"/>
        <v>2218.5433333333335</v>
      </c>
      <c r="AG145" s="102">
        <f t="shared" si="1012"/>
        <v>2218.5433333333335</v>
      </c>
      <c r="AH145" s="102">
        <f t="shared" si="1012"/>
        <v>2218.5433333333335</v>
      </c>
      <c r="AI145" s="102">
        <f t="shared" si="1012"/>
        <v>2218.5433333333335</v>
      </c>
      <c r="AJ145" s="102">
        <f t="shared" si="1012"/>
        <v>2218.5433333333335</v>
      </c>
      <c r="AK145" s="102">
        <f t="shared" si="1012"/>
        <v>2218.5433333333335</v>
      </c>
      <c r="AL145" s="102">
        <f t="shared" si="1012"/>
        <v>2218.5433333333335</v>
      </c>
      <c r="AM145" s="102">
        <f t="shared" si="1012"/>
        <v>2218.5433333333335</v>
      </c>
      <c r="AN145" s="102">
        <f t="shared" si="1012"/>
        <v>4437.086666666667</v>
      </c>
      <c r="AO145" s="102">
        <f t="shared" si="1012"/>
        <v>0</v>
      </c>
      <c r="AP145" s="102">
        <f t="shared" si="1012"/>
        <v>2285.0996333333337</v>
      </c>
      <c r="AQ145" s="102">
        <f t="shared" si="1012"/>
        <v>2285.0996333333337</v>
      </c>
      <c r="AR145" s="102">
        <f t="shared" si="1012"/>
        <v>2285.0996333333337</v>
      </c>
      <c r="AS145" s="102">
        <f t="shared" si="1012"/>
        <v>2285.0996333333337</v>
      </c>
      <c r="AT145" s="102">
        <f t="shared" si="1012"/>
        <v>2285.0996333333337</v>
      </c>
      <c r="AU145" s="102">
        <f t="shared" si="1012"/>
        <v>2285.0996333333337</v>
      </c>
      <c r="AV145" s="102">
        <f t="shared" si="1012"/>
        <v>2285.0996333333337</v>
      </c>
      <c r="AW145" s="102">
        <f t="shared" si="1012"/>
        <v>2285.0996333333337</v>
      </c>
      <c r="AX145" s="102">
        <f t="shared" si="1012"/>
        <v>2285.0996333333337</v>
      </c>
      <c r="AY145" s="102">
        <f t="shared" si="1012"/>
        <v>2285.0996333333337</v>
      </c>
      <c r="AZ145" s="102">
        <f t="shared" si="1012"/>
        <v>4570.1992666666674</v>
      </c>
      <c r="BA145" s="102">
        <f t="shared" ref="BA145:BX145" si="1013">BA270*BA277</f>
        <v>0</v>
      </c>
      <c r="BB145" s="102">
        <f t="shared" si="1013"/>
        <v>2353.652622333334</v>
      </c>
      <c r="BC145" s="102">
        <f t="shared" si="1013"/>
        <v>2353.652622333334</v>
      </c>
      <c r="BD145" s="102">
        <f t="shared" si="1013"/>
        <v>2353.652622333334</v>
      </c>
      <c r="BE145" s="102">
        <f t="shared" si="1013"/>
        <v>2353.652622333334</v>
      </c>
      <c r="BF145" s="102">
        <f t="shared" si="1013"/>
        <v>2353.652622333334</v>
      </c>
      <c r="BG145" s="102">
        <f t="shared" si="1013"/>
        <v>2353.652622333334</v>
      </c>
      <c r="BH145" s="102">
        <f t="shared" si="1013"/>
        <v>2353.652622333334</v>
      </c>
      <c r="BI145" s="102">
        <f t="shared" si="1013"/>
        <v>2353.652622333334</v>
      </c>
      <c r="BJ145" s="102">
        <f t="shared" si="1013"/>
        <v>2353.652622333334</v>
      </c>
      <c r="BK145" s="102">
        <f t="shared" si="1013"/>
        <v>2353.652622333334</v>
      </c>
      <c r="BL145" s="102">
        <f t="shared" si="1013"/>
        <v>4707.3052446666679</v>
      </c>
      <c r="BM145" s="102">
        <f t="shared" si="1013"/>
        <v>0</v>
      </c>
      <c r="BN145" s="102">
        <f t="shared" si="1013"/>
        <v>2424.2622010033342</v>
      </c>
      <c r="BO145" s="102">
        <f t="shared" si="1013"/>
        <v>2424.2622010033342</v>
      </c>
      <c r="BP145" s="102">
        <f t="shared" si="1013"/>
        <v>2424.2622010033342</v>
      </c>
      <c r="BQ145" s="102">
        <f t="shared" si="1013"/>
        <v>2424.2622010033342</v>
      </c>
      <c r="BR145" s="102">
        <f t="shared" si="1013"/>
        <v>2424.2622010033342</v>
      </c>
      <c r="BS145" s="102">
        <f t="shared" si="1013"/>
        <v>2424.2622010033342</v>
      </c>
      <c r="BT145" s="102">
        <f t="shared" si="1013"/>
        <v>2424.2622010033342</v>
      </c>
      <c r="BU145" s="102">
        <f t="shared" si="1013"/>
        <v>2424.2622010033342</v>
      </c>
      <c r="BV145" s="102">
        <f t="shared" si="1013"/>
        <v>2424.2622010033342</v>
      </c>
      <c r="BW145" s="102">
        <f t="shared" si="1013"/>
        <v>2424.2622010033342</v>
      </c>
      <c r="BX145" s="102">
        <f t="shared" si="1013"/>
        <v>4848.5244020066684</v>
      </c>
      <c r="BY145" s="8"/>
      <c r="BZ145" s="72">
        <f t="shared" si="961"/>
        <v>2014.94</v>
      </c>
      <c r="CA145" s="72">
        <f t="shared" si="962"/>
        <v>19922.68</v>
      </c>
      <c r="CB145" s="97"/>
      <c r="CC145" s="72">
        <f t="shared" si="895"/>
        <v>0</v>
      </c>
      <c r="CD145" s="72">
        <f t="shared" si="993"/>
        <v>0</v>
      </c>
      <c r="CE145" s="72">
        <f t="shared" si="993"/>
        <v>22307.29</v>
      </c>
      <c r="CF145" s="72">
        <f t="shared" si="993"/>
        <v>24359.766666666666</v>
      </c>
      <c r="CG145" s="72">
        <f t="shared" si="993"/>
        <v>26622.520000000004</v>
      </c>
      <c r="CH145" s="72">
        <f t="shared" si="993"/>
        <v>27421.195600000006</v>
      </c>
      <c r="CI145" s="72">
        <f t="shared" si="993"/>
        <v>28243.831468000011</v>
      </c>
      <c r="CJ145" s="72">
        <f t="shared" si="993"/>
        <v>29091.146412040009</v>
      </c>
      <c r="CL145" s="13"/>
      <c r="CM145" s="13"/>
    </row>
    <row r="146" spans="1:91" x14ac:dyDescent="0.3">
      <c r="A146" s="97" t="str">
        <f>'DCS Detail'!A146</f>
        <v xml:space="preserve">         211.2 SPED - Medical Ins. SPED Teachers</v>
      </c>
      <c r="B146" s="106" t="str">
        <f>IF('DCS Detail'!$B146="","",'DCS Detail'!$B146)</f>
        <v>Benefits</v>
      </c>
      <c r="C146" s="106"/>
      <c r="D146" s="106"/>
      <c r="E146" s="18">
        <v>0</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46">
        <v>0</v>
      </c>
      <c r="AB146" s="18">
        <v>0</v>
      </c>
      <c r="AC146" s="18">
        <v>0</v>
      </c>
      <c r="AD146" s="18">
        <v>0</v>
      </c>
      <c r="AE146" s="18">
        <v>0</v>
      </c>
      <c r="AF146" s="18">
        <v>0</v>
      </c>
      <c r="AG146" s="18">
        <v>0</v>
      </c>
      <c r="AH146" s="18">
        <v>0</v>
      </c>
      <c r="AI146" s="18">
        <v>0</v>
      </c>
      <c r="AJ146" s="18">
        <v>0</v>
      </c>
      <c r="AK146" s="18">
        <v>0</v>
      </c>
      <c r="AL146" s="18">
        <v>0</v>
      </c>
      <c r="AM146" s="18">
        <v>0</v>
      </c>
      <c r="AN146" s="18">
        <v>0</v>
      </c>
      <c r="AO146" s="18">
        <v>0</v>
      </c>
      <c r="AP146" s="18">
        <v>0</v>
      </c>
      <c r="AQ146" s="18">
        <v>0</v>
      </c>
      <c r="AR146" s="18">
        <v>0</v>
      </c>
      <c r="AS146" s="18">
        <v>0</v>
      </c>
      <c r="AT146" s="18">
        <v>0</v>
      </c>
      <c r="AU146" s="18">
        <v>0</v>
      </c>
      <c r="AV146" s="18">
        <v>0</v>
      </c>
      <c r="AW146" s="18">
        <v>0</v>
      </c>
      <c r="AX146" s="18">
        <v>0</v>
      </c>
      <c r="AY146" s="18">
        <v>0</v>
      </c>
      <c r="AZ146" s="18">
        <v>0</v>
      </c>
      <c r="BA146" s="18">
        <v>0</v>
      </c>
      <c r="BB146" s="18">
        <v>0</v>
      </c>
      <c r="BC146" s="18">
        <v>0</v>
      </c>
      <c r="BD146" s="18">
        <v>0</v>
      </c>
      <c r="BE146" s="18">
        <v>0</v>
      </c>
      <c r="BF146" s="18">
        <v>0</v>
      </c>
      <c r="BG146" s="18">
        <v>0</v>
      </c>
      <c r="BH146" s="18">
        <v>0</v>
      </c>
      <c r="BI146" s="18">
        <v>0</v>
      </c>
      <c r="BJ146" s="18">
        <v>0</v>
      </c>
      <c r="BK146" s="18">
        <v>0</v>
      </c>
      <c r="BL146" s="18">
        <v>0</v>
      </c>
      <c r="BM146" s="18">
        <v>0</v>
      </c>
      <c r="BN146" s="18">
        <v>0</v>
      </c>
      <c r="BO146" s="18">
        <v>0</v>
      </c>
      <c r="BP146" s="18">
        <v>0</v>
      </c>
      <c r="BQ146" s="18">
        <v>0</v>
      </c>
      <c r="BR146" s="18">
        <v>0</v>
      </c>
      <c r="BS146" s="18">
        <v>0</v>
      </c>
      <c r="BT146" s="18">
        <v>0</v>
      </c>
      <c r="BU146" s="18">
        <v>0</v>
      </c>
      <c r="BV146" s="18">
        <v>0</v>
      </c>
      <c r="BW146" s="18">
        <v>0</v>
      </c>
      <c r="BX146" s="18">
        <v>0</v>
      </c>
      <c r="BY146" s="8"/>
      <c r="BZ146" s="72">
        <f t="shared" si="961"/>
        <v>0</v>
      </c>
      <c r="CA146" s="72">
        <f t="shared" si="962"/>
        <v>0</v>
      </c>
      <c r="CB146" s="97"/>
      <c r="CC146" s="72">
        <f t="shared" si="895"/>
        <v>0</v>
      </c>
      <c r="CD146" s="72">
        <f t="shared" si="993"/>
        <v>0</v>
      </c>
      <c r="CE146" s="72">
        <f t="shared" si="993"/>
        <v>0</v>
      </c>
      <c r="CF146" s="72">
        <f t="shared" si="993"/>
        <v>0</v>
      </c>
      <c r="CG146" s="72">
        <f t="shared" si="993"/>
        <v>0</v>
      </c>
      <c r="CH146" s="72">
        <f t="shared" si="993"/>
        <v>0</v>
      </c>
      <c r="CI146" s="72">
        <f t="shared" si="993"/>
        <v>0</v>
      </c>
      <c r="CJ146" s="72">
        <f t="shared" si="993"/>
        <v>0</v>
      </c>
      <c r="CL146" s="13"/>
      <c r="CM146" s="13"/>
    </row>
    <row r="147" spans="1:91" x14ac:dyDescent="0.3">
      <c r="A147" s="97" t="str">
        <f>'DCS Detail'!A147</f>
        <v xml:space="preserve">         221.2 SPED - Payroll Tax SPED Teachers</v>
      </c>
      <c r="B147" s="106" t="str">
        <f>IF('DCS Detail'!$B147="","",'DCS Detail'!$B147)</f>
        <v>Benefits</v>
      </c>
      <c r="C147" s="106"/>
      <c r="D147" s="106"/>
      <c r="E147" s="18">
        <v>-59.2</v>
      </c>
      <c r="F147" s="18">
        <v>54.96</v>
      </c>
      <c r="G147" s="18">
        <v>55.89</v>
      </c>
      <c r="H147" s="18">
        <v>55.89</v>
      </c>
      <c r="I147" s="18">
        <v>55.89</v>
      </c>
      <c r="J147" s="18">
        <v>55.89</v>
      </c>
      <c r="K147" s="18">
        <v>79.03</v>
      </c>
      <c r="L147" s="18">
        <v>65.519999999999982</v>
      </c>
      <c r="M147" s="18">
        <v>55.89</v>
      </c>
      <c r="N147" s="18">
        <v>55.89</v>
      </c>
      <c r="O147" s="18">
        <v>55.89</v>
      </c>
      <c r="P147" s="18">
        <v>167.9</v>
      </c>
      <c r="Q147" s="18">
        <v>0</v>
      </c>
      <c r="R147" s="18">
        <v>55.89</v>
      </c>
      <c r="S147" s="18">
        <v>56.24</v>
      </c>
      <c r="T147" s="18">
        <v>55.9</v>
      </c>
      <c r="U147" s="18">
        <v>55.89</v>
      </c>
      <c r="V147" s="18">
        <v>56.18</v>
      </c>
      <c r="W147" s="18">
        <v>79.03</v>
      </c>
      <c r="X147" s="18">
        <v>65.52</v>
      </c>
      <c r="Y147" s="18">
        <v>55.9</v>
      </c>
      <c r="Z147" s="18">
        <v>55.89</v>
      </c>
      <c r="AA147" s="146">
        <v>55.9</v>
      </c>
      <c r="AB147" s="102">
        <f t="shared" ref="AB147:AZ147" si="1014">SUM(U147:AA147)/SUM(U$144:AA$144)*AB$144</f>
        <v>121.34736432243791</v>
      </c>
      <c r="AC147" s="102">
        <f t="shared" si="1014"/>
        <v>0</v>
      </c>
      <c r="AD147" s="102">
        <f t="shared" si="1014"/>
        <v>124.03022780384097</v>
      </c>
      <c r="AE147" s="102">
        <f t="shared" si="1014"/>
        <v>119.74700394690889</v>
      </c>
      <c r="AF147" s="102">
        <f t="shared" si="1014"/>
        <v>118.46926874264437</v>
      </c>
      <c r="AG147" s="102">
        <f t="shared" si="1014"/>
        <v>119.11660452916959</v>
      </c>
      <c r="AH147" s="102">
        <f t="shared" si="1014"/>
        <v>119.76556195898893</v>
      </c>
      <c r="AI147" s="102">
        <f t="shared" si="1014"/>
        <v>120.41267188399843</v>
      </c>
      <c r="AJ147" s="102">
        <f t="shared" si="1014"/>
        <v>120.2568898109252</v>
      </c>
      <c r="AK147" s="102">
        <f t="shared" si="1014"/>
        <v>120.2568898109252</v>
      </c>
      <c r="AL147" s="102">
        <f t="shared" si="1014"/>
        <v>119.71784152622295</v>
      </c>
      <c r="AM147" s="102">
        <f t="shared" si="1014"/>
        <v>119.71367546612495</v>
      </c>
      <c r="AN147" s="102">
        <f t="shared" si="1014"/>
        <v>239.78289571038721</v>
      </c>
      <c r="AO147" s="102">
        <f t="shared" si="1014"/>
        <v>0</v>
      </c>
      <c r="AP147" s="102">
        <f t="shared" si="1014"/>
        <v>123.6207271621202</v>
      </c>
      <c r="AQ147" s="102">
        <f t="shared" si="1014"/>
        <v>123.5632129546667</v>
      </c>
      <c r="AR147" s="102">
        <f t="shared" si="1014"/>
        <v>123.52052406648167</v>
      </c>
      <c r="AS147" s="102">
        <f t="shared" si="1014"/>
        <v>123.47199480854501</v>
      </c>
      <c r="AT147" s="102">
        <f t="shared" si="1014"/>
        <v>123.49483442041792</v>
      </c>
      <c r="AU147" s="102">
        <f t="shared" si="1014"/>
        <v>123.52137269878284</v>
      </c>
      <c r="AV147" s="102">
        <f t="shared" si="1014"/>
        <v>123.53211101850238</v>
      </c>
      <c r="AW147" s="102">
        <f t="shared" si="1014"/>
        <v>123.53211101850239</v>
      </c>
      <c r="AX147" s="102">
        <f t="shared" si="1014"/>
        <v>123.51945156941413</v>
      </c>
      <c r="AY147" s="102">
        <f t="shared" si="1014"/>
        <v>123.5131999429495</v>
      </c>
      <c r="AZ147" s="102">
        <f t="shared" si="1014"/>
        <v>247.02430727917553</v>
      </c>
      <c r="BA147" s="102">
        <f t="shared" ref="BA147" si="1015">SUM(AT147:AZ147)/SUM(AT$144:AZ$144)*BA$144</f>
        <v>0</v>
      </c>
      <c r="BB147" s="102">
        <f t="shared" ref="BB147" si="1016">SUM(AU147:BA147)/SUM(AU$144:BA$144)*BB$144</f>
        <v>127.22597573330667</v>
      </c>
      <c r="BC147" s="102">
        <f t="shared" ref="BC147" si="1017">SUM(AV147:BB147)/SUM(AV$144:BB$144)*BC$144</f>
        <v>127.2258280595599</v>
      </c>
      <c r="BD147" s="102">
        <f t="shared" ref="BD147" si="1018">SUM(AW147:BC147)/SUM(AW$144:BC$144)*BD$144</f>
        <v>127.22409345764807</v>
      </c>
      <c r="BE147" s="102">
        <f t="shared" ref="BE147" si="1019">SUM(AX147:BD147)/SUM(AX$144:BD$144)*BE$144</f>
        <v>127.22212154066509</v>
      </c>
      <c r="BF147" s="102">
        <f t="shared" ref="BF147" si="1020">SUM(AY147:BE147)/SUM(AY$144:BE$144)*BF$144</f>
        <v>127.22171233057638</v>
      </c>
      <c r="BG147" s="102">
        <f t="shared" ref="BG147" si="1021">SUM(AZ147:BF147)/SUM(AZ$144:BF$144)*BG$144</f>
        <v>127.22214818922509</v>
      </c>
      <c r="BH147" s="102">
        <f t="shared" ref="BH147" si="1022">SUM(BA147:BG147)/SUM(BA$144:BG$144)*BH$144</f>
        <v>127.2236465518302</v>
      </c>
      <c r="BI147" s="102">
        <f t="shared" ref="BI147" si="1023">SUM(BB147:BH147)/SUM(BB$144:BH$144)*BI$144</f>
        <v>127.2236465518302</v>
      </c>
      <c r="BJ147" s="102">
        <f t="shared" ref="BJ147" si="1024">SUM(BC147:BI147)/SUM(BC$144:BI$144)*BJ$144</f>
        <v>127.22331381161925</v>
      </c>
      <c r="BK147" s="102">
        <f t="shared" ref="BK147" si="1025">SUM(BD147:BJ147)/SUM(BD$144:BJ$144)*BK$144</f>
        <v>127.22295463334204</v>
      </c>
      <c r="BL147" s="102">
        <f t="shared" ref="BL147" si="1026">SUM(BE147:BK147)/SUM(BE$144:BK$144)*BL$144</f>
        <v>254.44558388831089</v>
      </c>
      <c r="BM147" s="102">
        <f t="shared" ref="BM147" si="1027">SUM(BF147:BL147)/SUM(BF$144:BL$144)*BM$144</f>
        <v>0</v>
      </c>
      <c r="BN147" s="102">
        <f t="shared" ref="BN147" si="1028">SUM(BG147:BM147)/SUM(BG$144:BM$144)*BN$144</f>
        <v>131.03973320499176</v>
      </c>
      <c r="BO147" s="102">
        <f t="shared" ref="BO147" si="1029">SUM(BH147:BN147)/SUM(BH$144:BN$144)*BO$144</f>
        <v>131.03986415379546</v>
      </c>
      <c r="BP147" s="102">
        <f t="shared" ref="BP147" si="1030">SUM(BI147:BO147)/SUM(BI$144:BO$144)*BP$144</f>
        <v>131.03979449450512</v>
      </c>
      <c r="BQ147" s="102">
        <f t="shared" ref="BQ147" si="1031">SUM(BJ147:BP147)/SUM(BJ$144:BP$144)*BQ$144</f>
        <v>131.03971530495932</v>
      </c>
      <c r="BR147" s="102">
        <f t="shared" ref="BR147" si="1032">SUM(BK147:BQ147)/SUM(BK$144:BQ$144)*BR$144</f>
        <v>131.03967346212099</v>
      </c>
      <c r="BS147" s="102">
        <f t="shared" ref="BS147" si="1033">SUM(BL147:BR147)/SUM(BL$144:BR$144)*BS$144</f>
        <v>131.03967768446768</v>
      </c>
      <c r="BT147" s="102">
        <f t="shared" ref="BT147" si="1034">SUM(BM147:BS147)/SUM(BM$144:BS$144)*BT$144</f>
        <v>131.03974305080669</v>
      </c>
      <c r="BU147" s="102">
        <f t="shared" ref="BU147" si="1035">SUM(BN147:BT147)/SUM(BN$144:BT$144)*BU$144</f>
        <v>131.03974305080669</v>
      </c>
      <c r="BV147" s="102">
        <f t="shared" ref="BV147" si="1036">SUM(BO147:BU147)/SUM(BO$144:BU$144)*BV$144</f>
        <v>131.03974445735173</v>
      </c>
      <c r="BW147" s="102">
        <f t="shared" ref="BW147" si="1037">SUM(BP147:BV147)/SUM(BP$144:BV$144)*BW$144</f>
        <v>131.03972735785973</v>
      </c>
      <c r="BX147" s="102">
        <f t="shared" ref="BX147" si="1038">SUM(BQ147:BW147)/SUM(BQ$144:BW$144)*BX$144</f>
        <v>262.0794355338208</v>
      </c>
      <c r="BY147" s="8"/>
      <c r="BZ147" s="72">
        <f t="shared" si="961"/>
        <v>55.9</v>
      </c>
      <c r="CA147" s="72">
        <f t="shared" si="962"/>
        <v>592.33999999999992</v>
      </c>
      <c r="CB147" s="97"/>
      <c r="CC147" s="72">
        <f t="shared" si="895"/>
        <v>0</v>
      </c>
      <c r="CD147" s="72">
        <f t="shared" si="993"/>
        <v>0</v>
      </c>
      <c r="CE147" s="72">
        <f t="shared" si="993"/>
        <v>699.43999999999994</v>
      </c>
      <c r="CF147" s="72">
        <f t="shared" si="993"/>
        <v>713.68736432243782</v>
      </c>
      <c r="CG147" s="72">
        <f t="shared" si="993"/>
        <v>1441.2695311901366</v>
      </c>
      <c r="CH147" s="72">
        <f t="shared" si="993"/>
        <v>1482.3138469395581</v>
      </c>
      <c r="CI147" s="72">
        <f t="shared" si="993"/>
        <v>1526.6810247479136</v>
      </c>
      <c r="CJ147" s="72">
        <f t="shared" si="993"/>
        <v>1572.4768517554858</v>
      </c>
      <c r="CL147" s="13"/>
      <c r="CM147" s="13"/>
    </row>
    <row r="148" spans="1:91" x14ac:dyDescent="0.3">
      <c r="A148" s="97" t="str">
        <f>'DCS Detail'!A148</f>
        <v xml:space="preserve">         222.2 SPED - Payroll Tax SPED Support</v>
      </c>
      <c r="B148" s="106" t="str">
        <f>IF('DCS Detail'!$B148="","",'DCS Detail'!$B148)</f>
        <v>Benefits</v>
      </c>
      <c r="C148" s="106"/>
      <c r="D148" s="106"/>
      <c r="E148" s="18">
        <v>-22.51</v>
      </c>
      <c r="F148" s="18">
        <v>22.51</v>
      </c>
      <c r="G148" s="18">
        <v>22.84</v>
      </c>
      <c r="H148" s="18">
        <v>22.84</v>
      </c>
      <c r="I148" s="18">
        <v>22.84</v>
      </c>
      <c r="J148" s="18">
        <v>22.84</v>
      </c>
      <c r="K148" s="18">
        <v>32.29</v>
      </c>
      <c r="L148" s="18">
        <v>32.289999999999992</v>
      </c>
      <c r="M148" s="18">
        <v>32.29</v>
      </c>
      <c r="N148" s="18">
        <v>37.200000000000003</v>
      </c>
      <c r="O148" s="18">
        <v>28.4</v>
      </c>
      <c r="P148" s="18">
        <v>68.52</v>
      </c>
      <c r="Q148" s="18">
        <v>0</v>
      </c>
      <c r="R148" s="18">
        <v>22.84</v>
      </c>
      <c r="S148" s="18">
        <v>23.18</v>
      </c>
      <c r="T148" s="18">
        <v>22.85</v>
      </c>
      <c r="U148" s="18">
        <v>22.85</v>
      </c>
      <c r="V148" s="18">
        <v>28.33</v>
      </c>
      <c r="W148" s="18">
        <v>37.090000000000003</v>
      </c>
      <c r="X148" s="18">
        <v>41.87</v>
      </c>
      <c r="Y148" s="18">
        <v>32.299999999999997</v>
      </c>
      <c r="Z148" s="18">
        <v>24.13</v>
      </c>
      <c r="AA148" s="146">
        <v>25.07</v>
      </c>
      <c r="AB148" s="102">
        <f t="shared" ref="AB148:AZ148" si="1039">SUM(U148:AA148)/SUM(U$145:AA$145)*AB$145</f>
        <v>65.565902933806996</v>
      </c>
      <c r="AC148" s="102">
        <f t="shared" si="1039"/>
        <v>0</v>
      </c>
      <c r="AD148" s="102">
        <f t="shared" si="1039"/>
        <v>34.197348502125109</v>
      </c>
      <c r="AE148" s="102">
        <f t="shared" si="1039"/>
        <v>33.472972588231471</v>
      </c>
      <c r="AF148" s="102">
        <f t="shared" si="1039"/>
        <v>32.447865631555054</v>
      </c>
      <c r="AG148" s="102">
        <f t="shared" si="1039"/>
        <v>31.693938917125557</v>
      </c>
      <c r="AH148" s="102">
        <f t="shared" si="1039"/>
        <v>32.200453524254307</v>
      </c>
      <c r="AI148" s="102">
        <f t="shared" si="1039"/>
        <v>32.796926013871214</v>
      </c>
      <c r="AJ148" s="102">
        <f t="shared" si="1039"/>
        <v>32.801584196193787</v>
      </c>
      <c r="AK148" s="102">
        <f t="shared" si="1039"/>
        <v>32.801584196193787</v>
      </c>
      <c r="AL148" s="102">
        <f t="shared" si="1039"/>
        <v>32.602189295346463</v>
      </c>
      <c r="AM148" s="102">
        <f t="shared" si="1039"/>
        <v>32.477791682077182</v>
      </c>
      <c r="AN148" s="102">
        <f t="shared" si="1039"/>
        <v>64.964133664303517</v>
      </c>
      <c r="AO148" s="102">
        <f t="shared" si="1039"/>
        <v>0</v>
      </c>
      <c r="AP148" s="102">
        <f t="shared" si="1039"/>
        <v>33.613933617060795</v>
      </c>
      <c r="AQ148" s="102">
        <f t="shared" si="1039"/>
        <v>33.59019248232017</v>
      </c>
      <c r="AR148" s="102">
        <f t="shared" si="1039"/>
        <v>33.562509870456239</v>
      </c>
      <c r="AS148" s="102">
        <f t="shared" si="1039"/>
        <v>33.531039933696945</v>
      </c>
      <c r="AT148" s="102">
        <f t="shared" si="1039"/>
        <v>33.524127708906228</v>
      </c>
      <c r="AU148" s="102">
        <f t="shared" si="1039"/>
        <v>33.534197957349129</v>
      </c>
      <c r="AV148" s="102">
        <f t="shared" si="1039"/>
        <v>33.559333594964926</v>
      </c>
      <c r="AW148" s="102">
        <f t="shared" si="1039"/>
        <v>33.559333594964926</v>
      </c>
      <c r="AX148" s="102">
        <f t="shared" si="1039"/>
        <v>33.551533591808372</v>
      </c>
      <c r="AY148" s="102">
        <f t="shared" si="1039"/>
        <v>33.546010893163832</v>
      </c>
      <c r="AZ148" s="102">
        <f t="shared" si="1039"/>
        <v>67.087307792815537</v>
      </c>
      <c r="BA148" s="102">
        <f t="shared" ref="BA148" si="1040">SUM(AT148:AZ148)/SUM(AT$145:AZ$145)*BA$145</f>
        <v>0</v>
      </c>
      <c r="BB148" s="102">
        <f t="shared" ref="BB148" si="1041">SUM(AU148:BA148)/SUM(AU$145:BA$145)*BB$145</f>
        <v>34.554692706831254</v>
      </c>
      <c r="BC148" s="102">
        <f t="shared" ref="BC148" si="1042">SUM(AV148:BB148)/SUM(AV$145:BB$145)*BC$145</f>
        <v>34.556750859144422</v>
      </c>
      <c r="BD148" s="102">
        <f t="shared" ref="BD148" si="1043">SUM(AW148:BC148)/SUM(AW$145:BC$145)*BD$145</f>
        <v>34.555424691485861</v>
      </c>
      <c r="BE148" s="102">
        <f t="shared" ref="BE148" si="1044">SUM(AX148:BD148)/SUM(AX$145:BD$145)*BE$145</f>
        <v>34.553917087631419</v>
      </c>
      <c r="BF148" s="102">
        <f t="shared" ref="BF148" si="1045">SUM(AY148:BE148)/SUM(AY$145:BE$145)*BF$145</f>
        <v>34.553332465169163</v>
      </c>
      <c r="BG148" s="102">
        <f t="shared" ref="BG148" si="1046">SUM(AZ148:BF148)/SUM(AZ$145:BF$145)*BG$145</f>
        <v>34.55346410785593</v>
      </c>
      <c r="BH148" s="102">
        <f t="shared" ref="BH148" si="1047">SUM(BA148:BG148)/SUM(BA$145:BG$145)*BH$145</f>
        <v>34.554596986352998</v>
      </c>
      <c r="BI148" s="102">
        <f t="shared" ref="BI148" si="1048">SUM(BB148:BH148)/SUM(BB$145:BH$145)*BI$145</f>
        <v>34.554596986352998</v>
      </c>
      <c r="BJ148" s="102">
        <f t="shared" ref="BJ148" si="1049">SUM(BC148:BI148)/SUM(BC$145:BI$145)*BJ$145</f>
        <v>34.554583311998968</v>
      </c>
      <c r="BK148" s="102">
        <f t="shared" ref="BK148" si="1050">SUM(BD148:BJ148)/SUM(BD$145:BJ$145)*BK$145</f>
        <v>34.554273662406757</v>
      </c>
      <c r="BL148" s="102">
        <f t="shared" ref="BL148" si="1051">SUM(BE148:BK148)/SUM(BE$145:BK$145)*BL$145</f>
        <v>69.108218459362348</v>
      </c>
      <c r="BM148" s="102">
        <f t="shared" ref="BM148" si="1052">SUM(BF148:BL148)/SUM(BF$145:BL$145)*BM$145</f>
        <v>0</v>
      </c>
      <c r="BN148" s="102">
        <f t="shared" ref="BN148" si="1053">SUM(BG148:BM148)/SUM(BG$145:BM$145)*BN$145</f>
        <v>35.590875074251414</v>
      </c>
      <c r="BO148" s="102">
        <f t="shared" ref="BO148" si="1054">SUM(BH148:BN148)/SUM(BH$145:BN$145)*BO$145</f>
        <v>35.5909898741319</v>
      </c>
      <c r="BP148" s="102">
        <f t="shared" ref="BP148" si="1055">SUM(BI148:BO148)/SUM(BI$145:BO$145)*BP$145</f>
        <v>35.590955168492854</v>
      </c>
      <c r="BQ148" s="102">
        <f t="shared" ref="BQ148" si="1056">SUM(BJ148:BP148)/SUM(BJ$145:BP$145)*BQ$145</f>
        <v>35.590915714691619</v>
      </c>
      <c r="BR148" s="102">
        <f t="shared" ref="BR148" si="1057">SUM(BK148:BQ148)/SUM(BK$145:BQ$145)*BR$145</f>
        <v>35.590872864036093</v>
      </c>
      <c r="BS148" s="102">
        <f t="shared" ref="BS148" si="1058">SUM(BL148:BR148)/SUM(BL$145:BR$145)*BS$145</f>
        <v>35.590868806939191</v>
      </c>
      <c r="BT148" s="102">
        <f t="shared" ref="BT148" si="1059">SUM(BM148:BS148)/SUM(BM$145:BS$145)*BT$145</f>
        <v>35.59091291709052</v>
      </c>
      <c r="BU148" s="102">
        <f t="shared" ref="BU148" si="1060">SUM(BN148:BT148)/SUM(BN$145:BT$145)*BU$145</f>
        <v>35.590912917090513</v>
      </c>
      <c r="BV148" s="102">
        <f t="shared" ref="BV148" si="1061">SUM(BO148:BU148)/SUM(BO$145:BU$145)*BV$145</f>
        <v>35.590918323210389</v>
      </c>
      <c r="BW148" s="102">
        <f t="shared" ref="BW148" si="1062">SUM(BP148:BV148)/SUM(BP$145:BV$145)*BW$145</f>
        <v>35.590908101650172</v>
      </c>
      <c r="BX148" s="102">
        <f t="shared" ref="BX148" si="1063">SUM(BQ148:BW148)/SUM(BQ$145:BW$145)*BX$145</f>
        <v>71.181802755630997</v>
      </c>
      <c r="BY148" s="8"/>
      <c r="BZ148" s="72">
        <f t="shared" si="961"/>
        <v>25.07</v>
      </c>
      <c r="CA148" s="72">
        <f t="shared" si="962"/>
        <v>280.51</v>
      </c>
      <c r="CB148" s="97"/>
      <c r="CC148" s="72">
        <f t="shared" si="895"/>
        <v>0</v>
      </c>
      <c r="CD148" s="72">
        <f t="shared" si="993"/>
        <v>0</v>
      </c>
      <c r="CE148" s="72">
        <f t="shared" si="993"/>
        <v>322.35000000000002</v>
      </c>
      <c r="CF148" s="72">
        <f t="shared" si="993"/>
        <v>346.07590293380701</v>
      </c>
      <c r="CG148" s="72">
        <f t="shared" si="993"/>
        <v>392.45678821127746</v>
      </c>
      <c r="CH148" s="72">
        <f t="shared" si="993"/>
        <v>402.65952103750715</v>
      </c>
      <c r="CI148" s="72">
        <f t="shared" si="993"/>
        <v>414.6538513245921</v>
      </c>
      <c r="CJ148" s="72">
        <f t="shared" si="993"/>
        <v>427.09093251721561</v>
      </c>
      <c r="CL148" s="13"/>
      <c r="CM148" s="13"/>
    </row>
    <row r="149" spans="1:91" x14ac:dyDescent="0.3">
      <c r="A149" s="97" t="str">
        <f>'DCS Detail'!A149</f>
        <v xml:space="preserve">         231.2 SPED - PERS SPED Teachers</v>
      </c>
      <c r="B149" s="106" t="str">
        <f>IF('DCS Detail'!$B149="","",'DCS Detail'!$B149)</f>
        <v>Benefits</v>
      </c>
      <c r="C149" s="106"/>
      <c r="D149" s="106"/>
      <c r="E149" s="18">
        <v>1116.23</v>
      </c>
      <c r="F149" s="18">
        <v>1116.23</v>
      </c>
      <c r="G149" s="18">
        <v>1135.24</v>
      </c>
      <c r="H149" s="18">
        <v>1135.24</v>
      </c>
      <c r="I149" s="18">
        <v>1135.24</v>
      </c>
      <c r="J149" s="18">
        <v>1135.24</v>
      </c>
      <c r="K149" s="18">
        <v>1135.24</v>
      </c>
      <c r="L149" s="18">
        <v>1135.2400000000007</v>
      </c>
      <c r="M149" s="18">
        <v>567.62</v>
      </c>
      <c r="N149" s="18">
        <v>0</v>
      </c>
      <c r="O149" s="18">
        <v>567.62</v>
      </c>
      <c r="P149" s="18">
        <v>3405.72</v>
      </c>
      <c r="Q149" s="18">
        <v>0</v>
      </c>
      <c r="R149" s="18">
        <v>1135.24</v>
      </c>
      <c r="S149" s="18">
        <v>1135.24</v>
      </c>
      <c r="T149" s="18">
        <v>1135.24</v>
      </c>
      <c r="U149" s="18">
        <v>1135.24</v>
      </c>
      <c r="V149" s="18">
        <v>1140.95</v>
      </c>
      <c r="W149" s="18">
        <v>1135.24</v>
      </c>
      <c r="X149" s="18">
        <v>1135.24</v>
      </c>
      <c r="Y149" s="18">
        <v>1135.24</v>
      </c>
      <c r="Z149" s="18">
        <v>1135.24</v>
      </c>
      <c r="AA149" s="146">
        <v>1144.95</v>
      </c>
      <c r="AB149" s="102">
        <f t="shared" ref="AB149" si="1064">SUM(U149:AA149)/SUM(U$144:AA$144)*AB$144</f>
        <v>2277.061227573432</v>
      </c>
      <c r="AC149" s="102">
        <f t="shared" ref="AC149" si="1065">SUM(V149:AB149)/SUM(V$144:AB$144)*AC$144</f>
        <v>0</v>
      </c>
      <c r="AD149" s="102">
        <f t="shared" ref="AD149" si="1066">SUM(W149:AC149)/SUM(W$144:AC$144)*AD$144</f>
        <v>2277.854975997172</v>
      </c>
      <c r="AE149" s="102">
        <f t="shared" ref="AE149" si="1067">SUM(X149:AD149)/SUM(X$144:AD$144)*AE$144</f>
        <v>2278.3011615775176</v>
      </c>
      <c r="AF149" s="102">
        <f t="shared" ref="AF149" si="1068">SUM(Y149:AE149)/SUM(Y$144:AE$144)*AF$144</f>
        <v>2278.7471812869603</v>
      </c>
      <c r="AG149" s="102">
        <f t="shared" ref="AG149" si="1069">SUM(Z149:AF149)/SUM(Z$144:AF$144)*AG$144</f>
        <v>2279.1930518013673</v>
      </c>
      <c r="AH149" s="102">
        <f t="shared" ref="AH149" si="1070">SUM(AA149:AG149)/SUM(AA$144:AG$144)*AH$144</f>
        <v>2279.6387867540261</v>
      </c>
      <c r="AI149" s="102">
        <f t="shared" ref="AI149" si="1071">SUM(AB149:AH149)/SUM(AB$144:AH$144)*AI$144</f>
        <v>2278.4660641650789</v>
      </c>
      <c r="AJ149" s="102">
        <f t="shared" ref="AJ149" si="1072">SUM(AC149:AI149)/SUM(AC$144:AI$144)*AJ$144</f>
        <v>2278.7002035970199</v>
      </c>
      <c r="AK149" s="102">
        <f t="shared" ref="AK149" si="1073">SUM(AD149:AJ149)/SUM(AD$144:AJ$144)*AK$144</f>
        <v>2278.7002035970199</v>
      </c>
      <c r="AL149" s="102">
        <f t="shared" ref="AL149" si="1074">SUM(AE149:AK149)/SUM(AE$144:AK$144)*AL$144</f>
        <v>2278.8209503969983</v>
      </c>
      <c r="AM149" s="102">
        <f t="shared" ref="AM149" si="1075">SUM(AF149:AL149)/SUM(AF$144:AL$144)*AM$144</f>
        <v>2278.8952059426388</v>
      </c>
      <c r="AN149" s="102">
        <f t="shared" ref="AN149" si="1076">SUM(AG149:AM149)/SUM(AG$144:AM$144)*AN$144</f>
        <v>4557.8327046440427</v>
      </c>
      <c r="AO149" s="102">
        <f t="shared" ref="AO149" si="1077">SUM(AH149:AN149)/SUM(AH$144:AN$144)*AO$144</f>
        <v>0</v>
      </c>
      <c r="AP149" s="102">
        <f t="shared" ref="AP149" si="1078">SUM(AI149:AO149)/SUM(AI$144:AO$144)*AP$144</f>
        <v>2347.1368274732977</v>
      </c>
      <c r="AQ149" s="102">
        <f t="shared" ref="AQ149" si="1079">SUM(AJ149:AP149)/SUM(AJ$144:AP$144)*AQ$144</f>
        <v>2347.1818888364933</v>
      </c>
      <c r="AR149" s="102">
        <f t="shared" ref="AR149" si="1080">SUM(AK149:AQ149)/SUM(AK$144:AQ$144)*AR$144</f>
        <v>2347.198982197905</v>
      </c>
      <c r="AS149" s="102">
        <f t="shared" ref="AS149" si="1081">SUM(AL149:AR149)/SUM(AL$144:AR$144)*AS$144</f>
        <v>2347.2184141433167</v>
      </c>
      <c r="AT149" s="102">
        <f t="shared" ref="AT149" si="1082">SUM(AM149:AS149)/SUM(AM$144:AS$144)*AT$144</f>
        <v>2347.223025833543</v>
      </c>
      <c r="AU149" s="102">
        <f t="shared" ref="AU149" si="1083">SUM(AN149:AT149)/SUM(AN$144:AT$144)*AU$144</f>
        <v>2347.2175662129312</v>
      </c>
      <c r="AV149" s="102">
        <f t="shared" ref="AV149" si="1084">SUM(AO149:AU149)/SUM(AO$144:AU$144)*AV$144</f>
        <v>2347.1961174495814</v>
      </c>
      <c r="AW149" s="102">
        <f t="shared" ref="AW149" si="1085">SUM(AP149:AV149)/SUM(AP$144:AV$144)*AW$144</f>
        <v>2347.1961174495814</v>
      </c>
      <c r="AX149" s="102">
        <f t="shared" ref="AX149" si="1086">SUM(AQ149:AW149)/SUM(AQ$144:AW$144)*AX$144</f>
        <v>2347.2045874461933</v>
      </c>
      <c r="AY149" s="102">
        <f t="shared" ref="AY149" si="1087">SUM(AR149:AX149)/SUM(AR$144:AX$144)*AY$144</f>
        <v>2347.2078301047222</v>
      </c>
      <c r="AZ149" s="102">
        <f t="shared" ref="AZ149" si="1088">SUM(AS149:AY149)/SUM(AS$144:AY$144)*AZ$144</f>
        <v>4694.4181881828199</v>
      </c>
      <c r="BA149" s="102">
        <f t="shared" ref="BA149" si="1089">SUM(AT149:AZ149)/SUM(AT$144:AZ$144)*BA$144</f>
        <v>0</v>
      </c>
      <c r="BB149" s="102">
        <f t="shared" ref="BB149" si="1090">SUM(AU149:BA149)/SUM(AU$144:BA$144)*BB$144</f>
        <v>2417.6219455787436</v>
      </c>
      <c r="BC149" s="102">
        <f t="shared" ref="BC149" si="1091">SUM(AV149:BB149)/SUM(AV$144:BB$144)*BC$144</f>
        <v>2417.6202176099564</v>
      </c>
      <c r="BD149" s="102">
        <f t="shared" ref="BD149" si="1092">SUM(AW149:BC149)/SUM(AW$144:BC$144)*BD$144</f>
        <v>2417.6213814395437</v>
      </c>
      <c r="BE149" s="102">
        <f t="shared" ref="BE149" si="1093">SUM(AX149:BD149)/SUM(AX$144:BD$144)*BE$144</f>
        <v>2417.6227044954639</v>
      </c>
      <c r="BF149" s="102">
        <f t="shared" ref="BF149" si="1094">SUM(AY149:BE149)/SUM(AY$144:BE$144)*BF$144</f>
        <v>2417.6229825047171</v>
      </c>
      <c r="BG149" s="102">
        <f t="shared" ref="BG149" si="1095">SUM(AZ149:BF149)/SUM(AZ$144:BF$144)*BG$144</f>
        <v>2417.6228311056752</v>
      </c>
      <c r="BH149" s="102">
        <f t="shared" ref="BH149" si="1096">SUM(BA149:BG149)/SUM(BA$144:BG$144)*BH$144</f>
        <v>2417.6220104556833</v>
      </c>
      <c r="BI149" s="102">
        <f t="shared" ref="BI149" si="1097">SUM(BB149:BH149)/SUM(BB$144:BH$144)*BI$144</f>
        <v>2417.6220104556828</v>
      </c>
      <c r="BJ149" s="102">
        <f t="shared" ref="BJ149" si="1098">SUM(BC149:BI149)/SUM(BC$144:BI$144)*BJ$144</f>
        <v>2417.6220197238172</v>
      </c>
      <c r="BK149" s="102">
        <f t="shared" ref="BK149" si="1099">SUM(BD149:BJ149)/SUM(BD$144:BJ$144)*BK$144</f>
        <v>2417.6222771686544</v>
      </c>
      <c r="BL149" s="102">
        <f t="shared" ref="BL149" si="1100">SUM(BE149:BK149)/SUM(BE$144:BK$144)*BL$144</f>
        <v>4835.2448102599119</v>
      </c>
      <c r="BM149" s="102">
        <f t="shared" ref="BM149" si="1101">SUM(BF149:BL149)/SUM(BF$144:BL$144)*BM$144</f>
        <v>0</v>
      </c>
      <c r="BN149" s="102">
        <f t="shared" ref="BN149" si="1102">SUM(BG149:BM149)/SUM(BG$144:BM$144)*BN$144</f>
        <v>2490.1509482777865</v>
      </c>
      <c r="BO149" s="102">
        <f t="shared" ref="BO149" si="1103">SUM(BH149:BN149)/SUM(BH$144:BN$144)*BO$144</f>
        <v>2490.1508675151895</v>
      </c>
      <c r="BP149" s="102">
        <f t="shared" ref="BP149" si="1104">SUM(BI149:BO149)/SUM(BI$144:BO$144)*BP$144</f>
        <v>2490.1508953828716</v>
      </c>
      <c r="BQ149" s="102">
        <f t="shared" ref="BQ149" si="1105">SUM(BJ149:BP149)/SUM(BJ$144:BP$144)*BQ$144</f>
        <v>2490.1509270631977</v>
      </c>
      <c r="BR149" s="102">
        <f t="shared" ref="BR149" si="1106">SUM(BK149:BQ149)/SUM(BK$144:BQ$144)*BR$144</f>
        <v>2490.1509617187698</v>
      </c>
      <c r="BS149" s="102">
        <f t="shared" ref="BS149" si="1107">SUM(BL149:BR149)/SUM(BL$144:BR$144)*BS$144</f>
        <v>2490.1509639894066</v>
      </c>
      <c r="BT149" s="102">
        <f t="shared" ref="BT149" si="1108">SUM(BM149:BS149)/SUM(BM$144:BS$144)*BT$144</f>
        <v>2490.1509273245365</v>
      </c>
      <c r="BU149" s="102">
        <f t="shared" ref="BU149" si="1109">SUM(BN149:BT149)/SUM(BN$144:BT$144)*BU$144</f>
        <v>2490.1509273245365</v>
      </c>
      <c r="BV149" s="102">
        <f t="shared" ref="BV149" si="1110">SUM(BO149:BU149)/SUM(BO$144:BU$144)*BV$144</f>
        <v>2490.1509243312153</v>
      </c>
      <c r="BW149" s="102">
        <f t="shared" ref="BW149" si="1111">SUM(BP149:BV149)/SUM(BP$144:BV$144)*BW$144</f>
        <v>2490.1509324477902</v>
      </c>
      <c r="BX149" s="102">
        <f t="shared" ref="BX149" si="1112">SUM(BQ149:BW149)/SUM(BQ$144:BW$144)*BX$144</f>
        <v>4980.3018754855575</v>
      </c>
      <c r="BY149" s="8"/>
      <c r="BZ149" s="72">
        <f t="shared" si="961"/>
        <v>1144.95</v>
      </c>
      <c r="CA149" s="72">
        <f t="shared" si="962"/>
        <v>11367.82</v>
      </c>
      <c r="CB149" s="97"/>
      <c r="CC149" s="72">
        <f t="shared" si="895"/>
        <v>0</v>
      </c>
      <c r="CD149" s="72">
        <f t="shared" ref="CD149:CJ159" si="1113">SUMIF($C$3:$BY$3,CD$3,$C149:$BY149)</f>
        <v>0</v>
      </c>
      <c r="CE149" s="72">
        <f t="shared" si="1113"/>
        <v>13584.86</v>
      </c>
      <c r="CF149" s="72">
        <f t="shared" si="1113"/>
        <v>13644.881227573431</v>
      </c>
      <c r="CG149" s="72">
        <f t="shared" si="1113"/>
        <v>27345.150489759839</v>
      </c>
      <c r="CH149" s="72">
        <f t="shared" si="1113"/>
        <v>28166.399545330383</v>
      </c>
      <c r="CI149" s="72">
        <f t="shared" si="1113"/>
        <v>29011.465190797848</v>
      </c>
      <c r="CJ149" s="72">
        <f t="shared" si="1113"/>
        <v>29881.811150860856</v>
      </c>
      <c r="CL149" s="13"/>
      <c r="CM149" s="13"/>
    </row>
    <row r="150" spans="1:91" x14ac:dyDescent="0.3">
      <c r="A150" s="97" t="str">
        <f>'DCS Detail'!A150</f>
        <v xml:space="preserve">         232.2 SPED - PERS SPED Support</v>
      </c>
      <c r="B150" s="106" t="str">
        <f>IF('DCS Detail'!$B150="","",'DCS Detail'!$B150)</f>
        <v>Benefits</v>
      </c>
      <c r="C150" s="106"/>
      <c r="D150" s="106"/>
      <c r="E150" s="18">
        <v>-279.27</v>
      </c>
      <c r="F150" s="18">
        <v>279.27</v>
      </c>
      <c r="G150" s="18">
        <v>283.48</v>
      </c>
      <c r="H150" s="18">
        <v>283.48</v>
      </c>
      <c r="I150" s="18">
        <v>283.48</v>
      </c>
      <c r="J150" s="18">
        <v>283.48</v>
      </c>
      <c r="K150" s="18">
        <v>283.48</v>
      </c>
      <c r="L150" s="18">
        <v>283.48</v>
      </c>
      <c r="M150" s="18">
        <v>851.1</v>
      </c>
      <c r="N150" s="18">
        <v>1418.73</v>
      </c>
      <c r="O150" s="18">
        <v>851.1</v>
      </c>
      <c r="P150" s="18">
        <v>850.45</v>
      </c>
      <c r="Q150" s="18">
        <v>0</v>
      </c>
      <c r="R150" s="18">
        <v>283.48</v>
      </c>
      <c r="S150" s="18">
        <v>283.48</v>
      </c>
      <c r="T150" s="18">
        <v>283.48</v>
      </c>
      <c r="U150" s="18">
        <v>283.48</v>
      </c>
      <c r="V150" s="18">
        <v>283.48</v>
      </c>
      <c r="W150" s="18">
        <v>283.48</v>
      </c>
      <c r="X150" s="18">
        <v>283.48</v>
      </c>
      <c r="Y150" s="18">
        <v>283.48</v>
      </c>
      <c r="Z150" s="18">
        <v>283.48</v>
      </c>
      <c r="AA150" s="146">
        <v>285.81</v>
      </c>
      <c r="AB150" s="102">
        <f t="shared" ref="AB150" si="1114">SUM(U150:AA150)/SUM(U$145:AA$145)*AB$145</f>
        <v>615.47497495541973</v>
      </c>
      <c r="AC150" s="102">
        <f t="shared" ref="AC150" si="1115">SUM(V150:AB150)/SUM(V$145:AB$145)*AC$145</f>
        <v>0</v>
      </c>
      <c r="AD150" s="102">
        <f t="shared" ref="AD150" si="1116">SUM(W150:AC150)/SUM(W$145:AC$145)*AD$145</f>
        <v>307.92317561138844</v>
      </c>
      <c r="AE150" s="102">
        <f t="shared" ref="AE150" si="1117">SUM(X150:AD150)/SUM(X$145:AD$145)*AE$145</f>
        <v>308.97477467682489</v>
      </c>
      <c r="AF150" s="102">
        <f t="shared" ref="AF150" si="1118">SUM(Y150:AE150)/SUM(Y$145:AE$145)*AF$145</f>
        <v>315.07696369514105</v>
      </c>
      <c r="AG150" s="102">
        <f t="shared" ref="AG150" si="1119">SUM(Z150:AF150)/SUM(Z$145:AF$145)*AG$145</f>
        <v>312.20470929678839</v>
      </c>
      <c r="AH150" s="102">
        <f t="shared" ref="AH150" si="1120">SUM(AA150:AG150)/SUM(AA$145:AG$145)*AH$145</f>
        <v>310.56662325417818</v>
      </c>
      <c r="AI150" s="102">
        <f t="shared" ref="AI150" si="1121">SUM(AB150:AH150)/SUM(AB$145:AH$145)*AI$145</f>
        <v>310.03160306996301</v>
      </c>
      <c r="AJ150" s="102">
        <f t="shared" ref="AJ150" si="1122">SUM(AC150:AI150)/SUM(AC$145:AI$145)*AJ$145</f>
        <v>310.79630826738071</v>
      </c>
      <c r="AK150" s="102">
        <f t="shared" ref="AK150" si="1123">SUM(AD150:AJ150)/SUM(AD$145:AJ$145)*AK$145</f>
        <v>310.79630826738071</v>
      </c>
      <c r="AL150" s="102">
        <f t="shared" ref="AL150" si="1124">SUM(AE150:AK150)/SUM(AE$145:AK$145)*AL$145</f>
        <v>311.20675578966529</v>
      </c>
      <c r="AM150" s="102">
        <f t="shared" ref="AM150" si="1125">SUM(AF150:AL150)/SUM(AF$145:AL$145)*AM$145</f>
        <v>311.52561023435675</v>
      </c>
      <c r="AN150" s="102">
        <f t="shared" ref="AN150" si="1126">SUM(AG150:AM150)/SUM(AG$145:AM$145)*AN$145</f>
        <v>622.0365480513467</v>
      </c>
      <c r="AO150" s="102">
        <f t="shared" ref="AO150" si="1127">SUM(AH150:AN150)/SUM(AH$145:AN$145)*AO$145</f>
        <v>0</v>
      </c>
      <c r="AP150" s="102">
        <f t="shared" ref="AP150" si="1128">SUM(AI150:AO150)/SUM(AI$145:AO$145)*AP$145</f>
        <v>320.24070395578519</v>
      </c>
      <c r="AQ150" s="102">
        <f t="shared" ref="AQ150" si="1129">SUM(AJ150:AP150)/SUM(AJ$145:AP$145)*AQ$145</f>
        <v>320.36988642999899</v>
      </c>
      <c r="AR150" s="102">
        <f t="shared" ref="AR150" si="1130">SUM(AK150:AQ150)/SUM(AK$145:AQ$145)*AR$145</f>
        <v>320.4052531317833</v>
      </c>
      <c r="AS150" s="102">
        <f t="shared" ref="AS150" si="1131">SUM(AL150:AR150)/SUM(AL$145:AR$145)*AS$145</f>
        <v>320.44545843733778</v>
      </c>
      <c r="AT150" s="102">
        <f t="shared" ref="AT150" si="1132">SUM(AM150:AS150)/SUM(AM$145:AS$145)*AT$145</f>
        <v>320.43176461345894</v>
      </c>
      <c r="AU150" s="102">
        <f t="shared" ref="AU150" si="1133">SUM(AN150:AT150)/SUM(AN$145:AT$145)*AU$145</f>
        <v>320.37028014801433</v>
      </c>
      <c r="AV150" s="102">
        <f t="shared" ref="AV150" si="1134">SUM(AO150:AU150)/SUM(AO$145:AU$145)*AV$145</f>
        <v>320.37722445272982</v>
      </c>
      <c r="AW150" s="102">
        <f t="shared" ref="AW150" si="1135">SUM(AP150:AV150)/SUM(AP$145:AV$145)*AW$145</f>
        <v>320.37722445272982</v>
      </c>
      <c r="AX150" s="102">
        <f t="shared" ref="AX150" si="1136">SUM(AQ150:AW150)/SUM(AQ$145:AW$145)*AX$145</f>
        <v>320.39672738086477</v>
      </c>
      <c r="AY150" s="102">
        <f t="shared" ref="AY150" si="1137">SUM(AR150:AX150)/SUM(AR$145:AX$145)*AY$145</f>
        <v>320.40056180241703</v>
      </c>
      <c r="AZ150" s="102">
        <f t="shared" ref="AZ150" si="1138">SUM(AS150:AY150)/SUM(AS$145:AY$145)*AZ$145</f>
        <v>640.79978322501518</v>
      </c>
      <c r="BA150" s="102">
        <f t="shared" ref="BA150" si="1139">SUM(AT150:AZ150)/SUM(AT$145:AZ$145)*BA$145</f>
        <v>0</v>
      </c>
      <c r="BB150" s="102">
        <f t="shared" ref="BB150" si="1140">SUM(AU150:BA150)/SUM(AU$145:BA$145)*BB$145</f>
        <v>330.00049364366066</v>
      </c>
      <c r="BC150" s="102">
        <f t="shared" ref="BC150" si="1141">SUM(AV150:BB150)/SUM(AV$145:BB$145)*BC$145</f>
        <v>330.00321129532568</v>
      </c>
      <c r="BD150" s="102">
        <f t="shared" ref="BD150" si="1142">SUM(AW150:BC150)/SUM(AW$145:BC$145)*BD$145</f>
        <v>330.00528921444953</v>
      </c>
      <c r="BE150" s="102">
        <f t="shared" ref="BE150" si="1143">SUM(AX150:BD150)/SUM(AX$145:BD$145)*BE$145</f>
        <v>330.00765141870028</v>
      </c>
      <c r="BF150" s="102">
        <f t="shared" ref="BF150" si="1144">SUM(AY150:BE150)/SUM(AY$145:BE$145)*BF$145</f>
        <v>330.00751408954415</v>
      </c>
      <c r="BG150" s="102">
        <f t="shared" ref="BG150" si="1145">SUM(AZ150:BF150)/SUM(AZ$145:BF$145)*BG$145</f>
        <v>330.00680575850294</v>
      </c>
      <c r="BH150" s="102">
        <f t="shared" ref="BH150" si="1146">SUM(BA150:BG150)/SUM(BA$145:BG$145)*BH$145</f>
        <v>330.00516090336379</v>
      </c>
      <c r="BI150" s="102">
        <f t="shared" ref="BI150" si="1147">SUM(BB150:BH150)/SUM(BB$145:BH$145)*BI$145</f>
        <v>330.00516090336379</v>
      </c>
      <c r="BJ150" s="102">
        <f t="shared" ref="BJ150" si="1148">SUM(BC150:BI150)/SUM(BC$145:BI$145)*BJ$145</f>
        <v>330.00582765474996</v>
      </c>
      <c r="BK150" s="102">
        <f t="shared" ref="BK150" si="1149">SUM(BD150:BJ150)/SUM(BD$145:BJ$145)*BK$145</f>
        <v>330.00620142038196</v>
      </c>
      <c r="BL150" s="102">
        <f t="shared" ref="BL150" si="1150">SUM(BE150:BK150)/SUM(BE$145:BK$145)*BL$145</f>
        <v>660.01266347103035</v>
      </c>
      <c r="BM150" s="102">
        <f t="shared" ref="BM150" si="1151">SUM(BF150:BL150)/SUM(BF$145:BL$145)*BM$145</f>
        <v>0</v>
      </c>
      <c r="BN150" s="102">
        <f t="shared" ref="BN150" si="1152">SUM(BG150:BM150)/SUM(BG$145:BM$145)*BN$145</f>
        <v>339.90615353067642</v>
      </c>
      <c r="BO150" s="102">
        <f t="shared" ref="BO150" si="1153">SUM(BH150:BN150)/SUM(BH$145:BN$145)*BO$145</f>
        <v>339.90603170982547</v>
      </c>
      <c r="BP150" s="102">
        <f t="shared" ref="BP150" si="1154">SUM(BI150:BO150)/SUM(BI$145:BO$145)*BP$145</f>
        <v>339.90613312333272</v>
      </c>
      <c r="BQ150" s="102">
        <f t="shared" ref="BQ150" si="1155">SUM(BJ150:BP150)/SUM(BJ$145:BP$145)*BQ$145</f>
        <v>339.90624841146649</v>
      </c>
      <c r="BR150" s="102">
        <f t="shared" ref="BR150" si="1156">SUM(BK150:BQ150)/SUM(BK$145:BQ$145)*BR$145</f>
        <v>339.90628295178578</v>
      </c>
      <c r="BS150" s="102">
        <f t="shared" ref="BS150" si="1157">SUM(BL150:BR150)/SUM(BL$145:BR$145)*BS$145</f>
        <v>339.90626833483367</v>
      </c>
      <c r="BT150" s="102">
        <f t="shared" ref="BT150" si="1158">SUM(BM150:BS150)/SUM(BM$145:BS$145)*BT$145</f>
        <v>339.90618634365347</v>
      </c>
      <c r="BU150" s="102">
        <f t="shared" ref="BU150" si="1159">SUM(BN150:BT150)/SUM(BN$145:BT$145)*BU$145</f>
        <v>339.90618634365342</v>
      </c>
      <c r="BV150" s="102">
        <f t="shared" ref="BV150" si="1160">SUM(BO150:BU150)/SUM(BO$145:BU$145)*BV$145</f>
        <v>339.90619103122157</v>
      </c>
      <c r="BW150" s="102">
        <f t="shared" ref="BW150" si="1161">SUM(BP150:BV150)/SUM(BP$145:BV$145)*BW$145</f>
        <v>339.90621379142095</v>
      </c>
      <c r="BX150" s="102">
        <f t="shared" ref="BX150" si="1162">SUM(BQ150:BW150)/SUM(BQ$145:BW$145)*BX$145</f>
        <v>679.81245063086715</v>
      </c>
      <c r="BY150" s="8"/>
      <c r="BZ150" s="72">
        <f t="shared" si="961"/>
        <v>285.81</v>
      </c>
      <c r="CA150" s="72">
        <f t="shared" si="962"/>
        <v>2837.13</v>
      </c>
      <c r="CB150" s="97"/>
      <c r="CC150" s="72">
        <f t="shared" si="895"/>
        <v>0</v>
      </c>
      <c r="CD150" s="72">
        <f t="shared" si="1113"/>
        <v>0</v>
      </c>
      <c r="CE150" s="72">
        <f t="shared" si="1113"/>
        <v>5672.26</v>
      </c>
      <c r="CF150" s="72">
        <f t="shared" si="1113"/>
        <v>3452.6049749554199</v>
      </c>
      <c r="CG150" s="72">
        <f t="shared" si="1113"/>
        <v>3731.1393802144148</v>
      </c>
      <c r="CH150" s="72">
        <f t="shared" si="1113"/>
        <v>3844.6148680301358</v>
      </c>
      <c r="CI150" s="72">
        <f t="shared" si="1113"/>
        <v>3960.0659797730736</v>
      </c>
      <c r="CJ150" s="72">
        <f t="shared" si="1113"/>
        <v>4078.8743462027373</v>
      </c>
      <c r="CL150" s="13"/>
      <c r="CM150" s="13"/>
    </row>
    <row r="151" spans="1:91" x14ac:dyDescent="0.3">
      <c r="A151" s="97" t="str">
        <f>'DCS Detail'!A151</f>
        <v xml:space="preserve">         261.2 SPED - SUI SPED Teachers</v>
      </c>
      <c r="B151" s="106" t="str">
        <f>IF('DCS Detail'!$B151="","",'DCS Detail'!$B151)</f>
        <v>Benefits</v>
      </c>
      <c r="C151" s="106"/>
      <c r="D151" s="106"/>
      <c r="E151" s="18">
        <v>-19.62</v>
      </c>
      <c r="F151" s="18">
        <v>0</v>
      </c>
      <c r="G151" s="18">
        <v>0</v>
      </c>
      <c r="H151" s="18">
        <v>0</v>
      </c>
      <c r="I151" s="18">
        <v>0</v>
      </c>
      <c r="J151" s="18">
        <v>0</v>
      </c>
      <c r="K151" s="18">
        <v>69.86</v>
      </c>
      <c r="L151" s="18">
        <v>69.86</v>
      </c>
      <c r="M151" s="18">
        <v>58.22</v>
      </c>
      <c r="N151" s="18">
        <v>58.22</v>
      </c>
      <c r="O151" s="18">
        <v>58.22</v>
      </c>
      <c r="P151" s="18">
        <v>99.69</v>
      </c>
      <c r="Q151" s="18">
        <v>0</v>
      </c>
      <c r="R151" s="18">
        <v>0</v>
      </c>
      <c r="S151" s="18">
        <v>0</v>
      </c>
      <c r="T151" s="18">
        <v>0</v>
      </c>
      <c r="U151" s="18">
        <v>0</v>
      </c>
      <c r="V151" s="18">
        <v>0</v>
      </c>
      <c r="W151" s="18">
        <v>58.22</v>
      </c>
      <c r="X151" s="18">
        <v>58.22</v>
      </c>
      <c r="Y151" s="18">
        <v>58.22</v>
      </c>
      <c r="Z151" s="18">
        <v>58.22</v>
      </c>
      <c r="AA151" s="146">
        <v>58.22</v>
      </c>
      <c r="AB151" s="102">
        <f t="shared" ref="AB151" si="1163">SUM(U151:AA151)/SUM(U$144:AA$144)*AB$144</f>
        <v>83.250966873893347</v>
      </c>
      <c r="AC151" s="102">
        <f t="shared" ref="AC151" si="1164">SUM(V151:AB151)/SUM(V$144:AB$144)*AC$144</f>
        <v>0</v>
      </c>
      <c r="AD151" s="102">
        <f t="shared" ref="AD151" si="1165">SUM(W151:AC151)/SUM(W$144:AC$144)*AD$144</f>
        <v>107.0853062623586</v>
      </c>
      <c r="AE151" s="102">
        <f t="shared" ref="AE151" si="1166">SUM(X151:AD151)/SUM(X$144:AD$144)*AE$144</f>
        <v>105.89259220968442</v>
      </c>
      <c r="AF151" s="102">
        <f t="shared" ref="AF151" si="1167">SUM(Y151:AE151)/SUM(Y$144:AE$144)*AF$144</f>
        <v>104.70032155223434</v>
      </c>
      <c r="AG151" s="102">
        <f t="shared" ref="AG151" si="1168">SUM(Z151:AF151)/SUM(Z$144:AF$144)*AG$144</f>
        <v>103.50844971317852</v>
      </c>
      <c r="AH151" s="102">
        <f t="shared" ref="AH151" si="1169">SUM(AA151:AG151)/SUM(AA$144:AG$144)*AH$144</f>
        <v>102.31694024890351</v>
      </c>
      <c r="AI151" s="102">
        <f t="shared" ref="AI151" si="1170">SUM(AB151:AH151)/SUM(AB$144:AH$144)*AI$144</f>
        <v>101.12576281004213</v>
      </c>
      <c r="AJ151" s="102">
        <f t="shared" ref="AJ151" si="1171">SUM(AC151:AI151)/SUM(AC$144:AI$144)*AJ$144</f>
        <v>104.10489546606692</v>
      </c>
      <c r="AK151" s="102">
        <f t="shared" ref="AK151" si="1172">SUM(AD151:AJ151)/SUM(AD$144:AJ$144)*AK$144</f>
        <v>104.10489546606694</v>
      </c>
      <c r="AL151" s="102">
        <f t="shared" ref="AL151" si="1173">SUM(AE151:AK151)/SUM(AE$144:AK$144)*AL$144</f>
        <v>103.67912249516812</v>
      </c>
      <c r="AM151" s="102">
        <f t="shared" ref="AM151" si="1174">SUM(AF151:AL151)/SUM(AF$144:AL$144)*AM$144</f>
        <v>103.36291253595151</v>
      </c>
      <c r="AN151" s="102">
        <f t="shared" ref="AN151" si="1175">SUM(AG151:AM151)/SUM(AG$144:AM$144)*AN$144</f>
        <v>206.34370821010791</v>
      </c>
      <c r="AO151" s="102">
        <f t="shared" ref="AO151" si="1176">SUM(AH151:AN151)/SUM(AH$144:AN$144)*AO$144</f>
        <v>0</v>
      </c>
      <c r="AP151" s="102">
        <f t="shared" ref="AP151" si="1177">SUM(AI151:AO151)/SUM(AI$144:AO$144)*AP$144</f>
        <v>106.34327655612938</v>
      </c>
      <c r="AQ151" s="102">
        <f t="shared" ref="AQ151" si="1178">SUM(AJ151:AP151)/SUM(AJ$144:AP$144)*AQ$144</f>
        <v>106.65390825766367</v>
      </c>
      <c r="AR151" s="102">
        <f t="shared" ref="AR151" si="1179">SUM(AK151:AQ151)/SUM(AK$144:AQ$144)*AR$144</f>
        <v>106.57258615109353</v>
      </c>
      <c r="AS151" s="102">
        <f t="shared" ref="AS151" si="1180">SUM(AL151:AR151)/SUM(AL$144:AR$144)*AS$144</f>
        <v>106.48013817098698</v>
      </c>
      <c r="AT151" s="102">
        <f t="shared" ref="AT151" si="1181">SUM(AM151:AS151)/SUM(AM$144:AS$144)*AT$144</f>
        <v>106.43668901381896</v>
      </c>
      <c r="AU151" s="102">
        <f t="shared" ref="AU151" si="1182">SUM(AN151:AT151)/SUM(AN$144:AT$144)*AU$144</f>
        <v>106.43289727980343</v>
      </c>
      <c r="AV151" s="102">
        <f t="shared" ref="AV151" si="1183">SUM(AO151:AU151)/SUM(AO$144:AU$144)*AV$144</f>
        <v>106.48658257158267</v>
      </c>
      <c r="AW151" s="102">
        <f t="shared" ref="AW151" si="1184">SUM(AP151:AV151)/SUM(AP$144:AV$144)*AW$144</f>
        <v>106.48658257158267</v>
      </c>
      <c r="AX151" s="102">
        <f t="shared" ref="AX151" si="1185">SUM(AQ151:AW151)/SUM(AQ$144:AW$144)*AX$144</f>
        <v>106.50705485950456</v>
      </c>
      <c r="AY151" s="102">
        <f t="shared" ref="AY151" si="1186">SUM(AR151:AX151)/SUM(AR$144:AX$144)*AY$144</f>
        <v>106.4860758026247</v>
      </c>
      <c r="AZ151" s="102">
        <f t="shared" ref="AZ151" si="1187">SUM(AS151:AY151)/SUM(AS$144:AY$144)*AZ$144</f>
        <v>212.94743436282974</v>
      </c>
      <c r="BA151" s="102">
        <f t="shared" ref="BA151" si="1188">SUM(AT151:AZ151)/SUM(AT$144:AZ$144)*BA$144</f>
        <v>0</v>
      </c>
      <c r="BB151" s="102">
        <f t="shared" ref="BB151" si="1189">SUM(AU151:BA151)/SUM(AU$144:BA$144)*BB$144</f>
        <v>109.67243232448079</v>
      </c>
      <c r="BC151" s="102">
        <f t="shared" ref="BC151" si="1190">SUM(AV151:BB151)/SUM(AV$144:BB$144)*BC$144</f>
        <v>109.67905367957091</v>
      </c>
      <c r="BD151" s="102">
        <f t="shared" ref="BD151" si="1191">SUM(AW151:BC151)/SUM(AW$144:BC$144)*BD$144</f>
        <v>109.67875249413757</v>
      </c>
      <c r="BE151" s="102">
        <f t="shared" ref="BE151" si="1192">SUM(AX151:BD151)/SUM(AX$144:BD$144)*BE$144</f>
        <v>109.67841010279871</v>
      </c>
      <c r="BF151" s="102">
        <f t="shared" ref="BF151" si="1193">SUM(AY151:BE151)/SUM(AY$144:BE$144)*BF$144</f>
        <v>109.6750594844713</v>
      </c>
      <c r="BG151" s="102">
        <f t="shared" ref="BG151" si="1194">SUM(AZ151:BF151)/SUM(AZ$144:BF$144)*BG$144</f>
        <v>109.6742764645787</v>
      </c>
      <c r="BH151" s="102">
        <f t="shared" ref="BH151" si="1195">SUM(BA151:BG151)/SUM(BA$144:BG$144)*BH$144</f>
        <v>109.67633075833966</v>
      </c>
      <c r="BI151" s="102">
        <f t="shared" ref="BI151" si="1196">SUM(BB151:BH151)/SUM(BB$144:BH$144)*BI$144</f>
        <v>109.67633075833966</v>
      </c>
      <c r="BJ151" s="102">
        <f t="shared" ref="BJ151" si="1197">SUM(BC151:BI151)/SUM(BC$144:BI$144)*BJ$144</f>
        <v>109.67688767746235</v>
      </c>
      <c r="BK151" s="102">
        <f t="shared" ref="BK151" si="1198">SUM(BD151:BJ151)/SUM(BD$144:BJ$144)*BK$144</f>
        <v>109.67657824858969</v>
      </c>
      <c r="BL151" s="102">
        <f t="shared" ref="BL151" si="1199">SUM(BE151:BK151)/SUM(BE$144:BK$144)*BL$144</f>
        <v>219.35253528416567</v>
      </c>
      <c r="BM151" s="102">
        <f t="shared" ref="BM151" si="1200">SUM(BF151:BL151)/SUM(BF$144:BL$144)*BM$144</f>
        <v>0</v>
      </c>
      <c r="BN151" s="102">
        <f t="shared" ref="BN151" si="1201">SUM(BG151:BM151)/SUM(BG$144:BM$144)*BN$144</f>
        <v>112.96641819531712</v>
      </c>
      <c r="BO151" s="102">
        <f t="shared" ref="BO151" si="1202">SUM(BH151:BN151)/SUM(BH$144:BN$144)*BO$144</f>
        <v>112.96669037693893</v>
      </c>
      <c r="BP151" s="102">
        <f t="shared" ref="BP151" si="1203">SUM(BI151:BO151)/SUM(BI$144:BO$144)*BP$144</f>
        <v>112.96670024887221</v>
      </c>
      <c r="BQ151" s="102">
        <f t="shared" ref="BQ151" si="1204">SUM(BJ151:BP151)/SUM(BJ$144:BP$144)*BQ$144</f>
        <v>112.96671147140852</v>
      </c>
      <c r="BR151" s="102">
        <f t="shared" ref="BR151" si="1205">SUM(BK151:BQ151)/SUM(BK$144:BQ$144)*BR$144</f>
        <v>112.96664365731053</v>
      </c>
      <c r="BS151" s="102">
        <f t="shared" ref="BS151" si="1206">SUM(BL151:BR151)/SUM(BL$144:BR$144)*BS$144</f>
        <v>112.96661121832634</v>
      </c>
      <c r="BT151" s="102">
        <f t="shared" ref="BT151" si="1207">SUM(BM151:BS151)/SUM(BM$144:BS$144)*BT$144</f>
        <v>112.9666291946956</v>
      </c>
      <c r="BU151" s="102">
        <f t="shared" ref="BU151" si="1208">SUM(BN151:BT151)/SUM(BN$144:BT$144)*BU$144</f>
        <v>112.9666291946956</v>
      </c>
      <c r="BV151" s="102">
        <f t="shared" ref="BV151" si="1209">SUM(BO151:BU151)/SUM(BO$144:BU$144)*BV$144</f>
        <v>112.96665933746394</v>
      </c>
      <c r="BW151" s="102">
        <f t="shared" ref="BW151" si="1210">SUM(BP151:BV151)/SUM(BP$144:BV$144)*BW$144</f>
        <v>112.96665490325324</v>
      </c>
      <c r="BX151" s="102">
        <f t="shared" ref="BX151" si="1211">SUM(BQ151:BW151)/SUM(BQ$144:BW$144)*BX$144</f>
        <v>225.93329685061539</v>
      </c>
      <c r="BY151" s="8"/>
      <c r="BZ151" s="72">
        <f t="shared" si="961"/>
        <v>58.22</v>
      </c>
      <c r="CA151" s="72">
        <f t="shared" si="962"/>
        <v>291.10000000000002</v>
      </c>
      <c r="CB151" s="97"/>
      <c r="CC151" s="72">
        <f t="shared" si="895"/>
        <v>0</v>
      </c>
      <c r="CD151" s="72">
        <f t="shared" si="1113"/>
        <v>0</v>
      </c>
      <c r="CE151" s="72">
        <f t="shared" si="1113"/>
        <v>394.45</v>
      </c>
      <c r="CF151" s="72">
        <f t="shared" si="1113"/>
        <v>374.35096687389336</v>
      </c>
      <c r="CG151" s="72">
        <f t="shared" si="1113"/>
        <v>1246.224906969763</v>
      </c>
      <c r="CH151" s="72">
        <f t="shared" si="1113"/>
        <v>1277.8332255976202</v>
      </c>
      <c r="CI151" s="72">
        <f t="shared" si="1113"/>
        <v>1316.1166472769351</v>
      </c>
      <c r="CJ151" s="72">
        <f t="shared" si="1113"/>
        <v>1355.5996446488973</v>
      </c>
      <c r="CL151" s="13"/>
      <c r="CM151" s="13"/>
    </row>
    <row r="152" spans="1:91" x14ac:dyDescent="0.3">
      <c r="A152" s="97" t="str">
        <f>'DCS Detail'!A152</f>
        <v xml:space="preserve">         262.2 SPED - SUI SPED Support</v>
      </c>
      <c r="B152" s="106" t="str">
        <f>IF('DCS Detail'!$B152="","",'DCS Detail'!$B152)</f>
        <v>Benefits</v>
      </c>
      <c r="C152" s="106"/>
      <c r="D152" s="106"/>
      <c r="E152" s="18">
        <v>-32.96</v>
      </c>
      <c r="F152" s="18">
        <v>32.96</v>
      </c>
      <c r="G152" s="18">
        <v>33.46</v>
      </c>
      <c r="H152" s="18">
        <v>33.46</v>
      </c>
      <c r="I152" s="18">
        <v>33.46</v>
      </c>
      <c r="J152" s="18">
        <v>33.46</v>
      </c>
      <c r="K152" s="18">
        <v>33.46</v>
      </c>
      <c r="L152" s="18">
        <v>33.45999999999998</v>
      </c>
      <c r="M152" s="18">
        <v>27.88</v>
      </c>
      <c r="N152" s="18">
        <v>27.88</v>
      </c>
      <c r="O152" s="18">
        <v>27.88</v>
      </c>
      <c r="P152" s="18">
        <v>83.64</v>
      </c>
      <c r="Q152" s="18">
        <v>0</v>
      </c>
      <c r="R152" s="18">
        <v>27.88</v>
      </c>
      <c r="S152" s="18">
        <v>28.23</v>
      </c>
      <c r="T152" s="18">
        <v>27.88</v>
      </c>
      <c r="U152" s="18">
        <v>27.88</v>
      </c>
      <c r="V152" s="18">
        <v>33.56</v>
      </c>
      <c r="W152" s="18">
        <v>31.4</v>
      </c>
      <c r="X152" s="18">
        <v>34.880000000000003</v>
      </c>
      <c r="Y152" s="18">
        <v>27.89</v>
      </c>
      <c r="Z152" s="18">
        <v>29.01</v>
      </c>
      <c r="AA152" s="146">
        <v>30.22</v>
      </c>
      <c r="AB152" s="102">
        <f t="shared" ref="AB152" si="1212">SUM(U152:AA152)/SUM(U$145:AA$145)*AB$145</f>
        <v>66.557260377523605</v>
      </c>
      <c r="AC152" s="102">
        <f t="shared" ref="AC152" si="1213">SUM(V152:AB152)/SUM(V$145:AB$145)*AC$145</f>
        <v>0</v>
      </c>
      <c r="AD152" s="102">
        <f t="shared" ref="AD152" si="1214">SUM(W152:AC152)/SUM(W$145:AC$145)*AD$145</f>
        <v>33.279172834034412</v>
      </c>
      <c r="AE152" s="102">
        <f t="shared" ref="AE152" si="1215">SUM(X152:AD152)/SUM(X$145:AD$145)*AE$145</f>
        <v>33.27843250692559</v>
      </c>
      <c r="AF152" s="102">
        <f t="shared" ref="AF152" si="1216">SUM(Y152:AE152)/SUM(Y$145:AE$145)*AF$145</f>
        <v>33.278741687349381</v>
      </c>
      <c r="AG152" s="102">
        <f t="shared" ref="AG152" si="1217">SUM(Z152:AF152)/SUM(Z$145:AF$145)*AG$145</f>
        <v>33.277944601850074</v>
      </c>
      <c r="AH152" s="102">
        <f t="shared" ref="AH152" si="1218">SUM(AA152:AG152)/SUM(AA$145:AG$145)*AH$145</f>
        <v>33.2779403959428</v>
      </c>
      <c r="AI152" s="102">
        <f t="shared" ref="AI152" si="1219">SUM(AB152:AH152)/SUM(AB$145:AH$145)*AI$145</f>
        <v>33.278498914803698</v>
      </c>
      <c r="AJ152" s="102">
        <f t="shared" ref="AJ152" si="1220">SUM(AC152:AI152)/SUM(AC$145:AI$145)*AJ$145</f>
        <v>33.278455156817664</v>
      </c>
      <c r="AK152" s="102">
        <f t="shared" ref="AK152" si="1221">SUM(AD152:AJ152)/SUM(AD$145:AJ$145)*AK$145</f>
        <v>33.278455156817664</v>
      </c>
      <c r="AL152" s="102">
        <f t="shared" ref="AL152" si="1222">SUM(AE152:AK152)/SUM(AE$145:AK$145)*AL$145</f>
        <v>33.278352631500987</v>
      </c>
      <c r="AM152" s="102">
        <f t="shared" ref="AM152" si="1223">SUM(AF152:AL152)/SUM(AF$145:AL$145)*AM$145</f>
        <v>33.278341220726041</v>
      </c>
      <c r="AN152" s="102">
        <f t="shared" ref="AN152" si="1224">SUM(AG152:AM152)/SUM(AG$145:AM$145)*AN$145</f>
        <v>66.55656802241684</v>
      </c>
      <c r="AO152" s="102">
        <f t="shared" ref="AO152" si="1225">SUM(AH152:AN152)/SUM(AH$145:AN$145)*AO$145</f>
        <v>0</v>
      </c>
      <c r="AP152" s="102">
        <f t="shared" ref="AP152" si="1226">SUM(AI152:AO152)/SUM(AI$145:AO$145)*AP$145</f>
        <v>34.276733033739347</v>
      </c>
      <c r="AQ152" s="102">
        <f t="shared" ref="AQ152" si="1227">SUM(AJ152:AP152)/SUM(AJ$145:AP$145)*AQ$145</f>
        <v>34.276715843339844</v>
      </c>
      <c r="AR152" s="102">
        <f t="shared" ref="AR152" si="1228">SUM(AK152:AQ152)/SUM(AK$145:AQ$145)*AR$145</f>
        <v>34.276702675042067</v>
      </c>
      <c r="AS152" s="102">
        <f t="shared" ref="AS152" si="1229">SUM(AL152:AR152)/SUM(AL$145:AR$145)*AS$145</f>
        <v>34.276687705157698</v>
      </c>
      <c r="AT152" s="102">
        <f t="shared" ref="AT152" si="1230">SUM(AM152:AS152)/SUM(AM$145:AS$145)*AT$145</f>
        <v>34.276685527448663</v>
      </c>
      <c r="AU152" s="102">
        <f t="shared" ref="AU152" si="1231">SUM(AN152:AT152)/SUM(AN$145:AT$145)*AU$145</f>
        <v>34.27668469809214</v>
      </c>
      <c r="AV152" s="102">
        <f t="shared" ref="AV152" si="1232">SUM(AO152:AU152)/SUM(AO$145:AU$145)*AV$145</f>
        <v>34.276701580469961</v>
      </c>
      <c r="AW152" s="102">
        <f t="shared" ref="AW152" si="1233">SUM(AP152:AV152)/SUM(AP$145:AV$145)*AW$145</f>
        <v>34.276701580469961</v>
      </c>
      <c r="AX152" s="102">
        <f t="shared" ref="AX152" si="1234">SUM(AQ152:AW152)/SUM(AQ$145:AW$145)*AX$145</f>
        <v>34.276697087145763</v>
      </c>
      <c r="AY152" s="102">
        <f t="shared" ref="AY152" si="1235">SUM(AR152:AX152)/SUM(AR$145:AX$145)*AY$145</f>
        <v>34.276694407689469</v>
      </c>
      <c r="AZ152" s="102">
        <f t="shared" ref="AZ152" si="1236">SUM(AS152:AY152)/SUM(AS$145:AY$145)*AZ$145</f>
        <v>68.553386453278193</v>
      </c>
      <c r="BA152" s="102">
        <f t="shared" ref="BA152" si="1237">SUM(AT152:AZ152)/SUM(AT$145:AZ$145)*BA$145</f>
        <v>0</v>
      </c>
      <c r="BB152" s="102">
        <f t="shared" ref="BB152" si="1238">SUM(AU152:BA152)/SUM(AU$145:BA$145)*BB$145</f>
        <v>35.304995968765695</v>
      </c>
      <c r="BC152" s="102">
        <f t="shared" ref="BC152" si="1239">SUM(AV152:BB152)/SUM(AV$145:BB$145)*BC$145</f>
        <v>35.304997495043189</v>
      </c>
      <c r="BD152" s="102">
        <f t="shared" ref="BD152" si="1240">SUM(AW152:BC152)/SUM(AW$145:BC$145)*BD$145</f>
        <v>35.304996768011904</v>
      </c>
      <c r="BE152" s="102">
        <f t="shared" ref="BE152" si="1241">SUM(AX152:BD152)/SUM(AX$145:BD$145)*BE$145</f>
        <v>35.304995941513717</v>
      </c>
      <c r="BF152" s="102">
        <f t="shared" ref="BF152" si="1242">SUM(AY152:BE152)/SUM(AY$145:BE$145)*BF$145</f>
        <v>35.304995652434151</v>
      </c>
      <c r="BG152" s="102">
        <f t="shared" ref="BG152" si="1243">SUM(AZ152:BF152)/SUM(AZ$145:BF$145)*BG$145</f>
        <v>35.304995710128416</v>
      </c>
      <c r="BH152" s="102">
        <f t="shared" ref="BH152" si="1244">SUM(BA152:BG152)/SUM(BA$145:BG$145)*BH$145</f>
        <v>35.304996255982836</v>
      </c>
      <c r="BI152" s="102">
        <f t="shared" ref="BI152" si="1245">SUM(BB152:BH152)/SUM(BB$145:BH$145)*BI$145</f>
        <v>35.304996255982836</v>
      </c>
      <c r="BJ152" s="102">
        <f t="shared" ref="BJ152" si="1246">SUM(BC152:BI152)/SUM(BC$145:BI$145)*BJ$145</f>
        <v>35.304996297013858</v>
      </c>
      <c r="BK152" s="102">
        <f t="shared" ref="BK152" si="1247">SUM(BD152:BJ152)/SUM(BD$145:BJ$145)*BK$145</f>
        <v>35.304996125866815</v>
      </c>
      <c r="BL152" s="102">
        <f t="shared" ref="BL152" si="1248">SUM(BE152:BK152)/SUM(BE$145:BK$145)*BL$145</f>
        <v>70.609992068263594</v>
      </c>
      <c r="BM152" s="102">
        <f t="shared" ref="BM152" si="1249">SUM(BF152:BL152)/SUM(BF$145:BL$145)*BM$145</f>
        <v>0</v>
      </c>
      <c r="BN152" s="102">
        <f t="shared" ref="BN152" si="1250">SUM(BG152:BM152)/SUM(BG$145:BM$145)*BN$145</f>
        <v>36.364145984947925</v>
      </c>
      <c r="BO152" s="102">
        <f t="shared" ref="BO152" si="1251">SUM(BH152:BN152)/SUM(BH$145:BN$145)*BO$145</f>
        <v>36.364146042347024</v>
      </c>
      <c r="BP152" s="102">
        <f t="shared" ref="BP152" si="1252">SUM(BI152:BO152)/SUM(BI$145:BO$145)*BP$145</f>
        <v>36.364146027996412</v>
      </c>
      <c r="BQ152" s="102">
        <f t="shared" ref="BQ152" si="1253">SUM(BJ152:BP152)/SUM(BJ$145:BP$145)*BQ$145</f>
        <v>36.364146011682472</v>
      </c>
      <c r="BR152" s="102">
        <f t="shared" ref="BR152" si="1254">SUM(BK152:BQ152)/SUM(BK$145:BQ$145)*BR$145</f>
        <v>36.3641459872103</v>
      </c>
      <c r="BS152" s="102">
        <f t="shared" ref="BS152" si="1255">SUM(BL152:BR152)/SUM(BL$145:BR$145)*BS$145</f>
        <v>36.364145984072891</v>
      </c>
      <c r="BT152" s="102">
        <f t="shared" ref="BT152" si="1256">SUM(BM152:BS152)/SUM(BM$145:BS$145)*BT$145</f>
        <v>36.364146006376174</v>
      </c>
      <c r="BU152" s="102">
        <f t="shared" ref="BU152" si="1257">SUM(BN152:BT152)/SUM(BN$145:BT$145)*BU$145</f>
        <v>36.364146006376174</v>
      </c>
      <c r="BV152" s="102">
        <f t="shared" ref="BV152" si="1258">SUM(BO152:BU152)/SUM(BO$145:BU$145)*BV$145</f>
        <v>36.364146009437349</v>
      </c>
      <c r="BW152" s="102">
        <f t="shared" ref="BW152" si="1259">SUM(BP152:BV152)/SUM(BP$145:BV$145)*BW$145</f>
        <v>36.364146004735964</v>
      </c>
      <c r="BX152" s="102">
        <f t="shared" ref="BX152" si="1260">SUM(BQ152:BW152)/SUM(BQ$145:BW$145)*BX$145</f>
        <v>72.728292002826095</v>
      </c>
      <c r="BY152" s="8"/>
      <c r="BZ152" s="72">
        <f t="shared" si="961"/>
        <v>30.22</v>
      </c>
      <c r="CA152" s="72">
        <f t="shared" si="962"/>
        <v>298.83000000000004</v>
      </c>
      <c r="CB152" s="97"/>
      <c r="CC152" s="72">
        <f t="shared" si="895"/>
        <v>0</v>
      </c>
      <c r="CD152" s="72">
        <f t="shared" si="1113"/>
        <v>0</v>
      </c>
      <c r="CE152" s="72">
        <f t="shared" si="1113"/>
        <v>368.03999999999996</v>
      </c>
      <c r="CF152" s="72">
        <f t="shared" si="1113"/>
        <v>365.38726037752366</v>
      </c>
      <c r="CG152" s="72">
        <f t="shared" si="1113"/>
        <v>399.34090312918516</v>
      </c>
      <c r="CH152" s="72">
        <f t="shared" si="1113"/>
        <v>411.32039059187309</v>
      </c>
      <c r="CI152" s="72">
        <f t="shared" si="1113"/>
        <v>423.659954539007</v>
      </c>
      <c r="CJ152" s="72">
        <f t="shared" si="1113"/>
        <v>436.36975206800884</v>
      </c>
      <c r="CL152" s="13"/>
      <c r="CM152" s="13"/>
    </row>
    <row r="153" spans="1:91" x14ac:dyDescent="0.3">
      <c r="A153" s="97" t="str">
        <f>'DCS Detail'!A153</f>
        <v xml:space="preserve">         271.2 SPED - WC SPED Teachers</v>
      </c>
      <c r="B153" s="106" t="str">
        <f>IF('DCS Detail'!$B153="","",'DCS Detail'!$B153)</f>
        <v>Benefits</v>
      </c>
      <c r="C153" s="106"/>
      <c r="D153" s="106"/>
      <c r="E153" s="18">
        <v>71.67</v>
      </c>
      <c r="F153" s="18">
        <v>71.67</v>
      </c>
      <c r="G153" s="18">
        <v>71.67</v>
      </c>
      <c r="H153" s="18">
        <v>71.67</v>
      </c>
      <c r="I153" s="18">
        <v>71.67</v>
      </c>
      <c r="J153" s="18">
        <v>71.67</v>
      </c>
      <c r="K153" s="18">
        <v>71.67</v>
      </c>
      <c r="L153" s="18">
        <v>71.669999999999959</v>
      </c>
      <c r="M153" s="18">
        <v>71.67</v>
      </c>
      <c r="N153" s="18">
        <v>71.67</v>
      </c>
      <c r="O153" s="18">
        <v>71.67</v>
      </c>
      <c r="P153" s="18">
        <v>143.33000000000001</v>
      </c>
      <c r="Q153" s="18">
        <v>71.67</v>
      </c>
      <c r="R153" s="18">
        <v>71.67</v>
      </c>
      <c r="S153" s="18">
        <v>71.67</v>
      </c>
      <c r="T153" s="18">
        <v>71.67</v>
      </c>
      <c r="U153" s="18">
        <v>71.67</v>
      </c>
      <c r="V153" s="18">
        <v>71.67</v>
      </c>
      <c r="W153" s="18">
        <v>71.67</v>
      </c>
      <c r="X153" s="18">
        <v>71.67</v>
      </c>
      <c r="Y153" s="18">
        <v>71.67</v>
      </c>
      <c r="Z153" s="18">
        <v>71.67</v>
      </c>
      <c r="AA153" s="146">
        <v>71.67</v>
      </c>
      <c r="AB153" s="102">
        <f t="shared" ref="AB153" si="1261">SUM(U153:AA153)/SUM(U$144:AA$144)*AB$144</f>
        <v>143.47707856737736</v>
      </c>
      <c r="AC153" s="102">
        <f t="shared" ref="AC153" si="1262">SUM(V153:AB153)/SUM(V$144:AB$144)*AC$144</f>
        <v>0</v>
      </c>
      <c r="AD153" s="102">
        <f t="shared" ref="AD153" si="1263">SUM(W153:AC153)/SUM(W$144:AC$144)*AD$144</f>
        <v>143.55060131909579</v>
      </c>
      <c r="AE153" s="102">
        <f t="shared" ref="AE153" si="1264">SUM(X153:AD153)/SUM(X$144:AD$144)*AE$144</f>
        <v>143.54692210576681</v>
      </c>
      <c r="AF153" s="102">
        <f t="shared" ref="AF153" si="1265">SUM(Y153:AE153)/SUM(Y$144:AE$144)*AF$144</f>
        <v>143.54324426019699</v>
      </c>
      <c r="AG153" s="102">
        <f t="shared" ref="AG153" si="1266">SUM(Z153:AF153)/SUM(Z$144:AF$144)*AG$144</f>
        <v>143.53956764487847</v>
      </c>
      <c r="AH153" s="102">
        <f t="shared" ref="AH153" si="1267">SUM(AA153:AG153)/SUM(AA$144:AG$144)*AH$144</f>
        <v>143.53589214739205</v>
      </c>
      <c r="AI153" s="102">
        <f t="shared" ref="AI153" si="1268">SUM(AB153:AH153)/SUM(AB$144:AH$144)*AI$144</f>
        <v>143.5322176741179</v>
      </c>
      <c r="AJ153" s="102">
        <f t="shared" ref="AJ153" si="1269">SUM(AC153:AI153)/SUM(AC$144:AI$144)*AJ$144</f>
        <v>143.54140752524134</v>
      </c>
      <c r="AK153" s="102">
        <f t="shared" ref="AK153" si="1270">SUM(AD153:AJ153)/SUM(AD$144:AJ$144)*AK$144</f>
        <v>143.54140752524131</v>
      </c>
      <c r="AL153" s="102">
        <f t="shared" ref="AL153" si="1271">SUM(AE153:AK153)/SUM(AE$144:AK$144)*AL$144</f>
        <v>143.54009412611927</v>
      </c>
      <c r="AM153" s="102">
        <f t="shared" ref="AM153" si="1272">SUM(AF153:AL153)/SUM(AF$144:AL$144)*AM$144</f>
        <v>143.53911870045533</v>
      </c>
      <c r="AN153" s="102">
        <f t="shared" ref="AN153" si="1273">SUM(AG153:AM153)/SUM(AG$144:AM$144)*AN$144</f>
        <v>287.07705866955587</v>
      </c>
      <c r="AO153" s="102">
        <f t="shared" ref="AO153" si="1274">SUM(AH153:AN153)/SUM(AH$144:AN$144)*AO$144</f>
        <v>0</v>
      </c>
      <c r="AP153" s="102">
        <f t="shared" ref="AP153" si="1275">SUM(AI153:AO153)/SUM(AI$144:AO$144)*AP$144</f>
        <v>147.84492047819327</v>
      </c>
      <c r="AQ153" s="102">
        <f t="shared" ref="AQ153" si="1276">SUM(AJ153:AP153)/SUM(AJ$144:AP$144)*AQ$144</f>
        <v>147.84587869637991</v>
      </c>
      <c r="AR153" s="102">
        <f t="shared" ref="AR153" si="1277">SUM(AK153:AQ153)/SUM(AK$144:AQ$144)*AR$144</f>
        <v>147.84562783878519</v>
      </c>
      <c r="AS153" s="102">
        <f t="shared" ref="AS153" si="1278">SUM(AL153:AR153)/SUM(AL$144:AR$144)*AS$144</f>
        <v>147.84534266075792</v>
      </c>
      <c r="AT153" s="102">
        <f t="shared" ref="AT153" si="1279">SUM(AM153:AS153)/SUM(AM$144:AS$144)*AT$144</f>
        <v>147.8452086313836</v>
      </c>
      <c r="AU153" s="102">
        <f t="shared" ref="AU153" si="1280">SUM(AN153:AT153)/SUM(AN$144:AT$144)*AU$144</f>
        <v>147.8451969348682</v>
      </c>
      <c r="AV153" s="102">
        <f t="shared" ref="AV153" si="1281">SUM(AO153:AU153)/SUM(AO$144:AU$144)*AV$144</f>
        <v>147.84536254006133</v>
      </c>
      <c r="AW153" s="102">
        <f t="shared" ref="AW153" si="1282">SUM(AP153:AV153)/SUM(AP$144:AV$144)*AW$144</f>
        <v>147.84536254006133</v>
      </c>
      <c r="AX153" s="102">
        <f t="shared" ref="AX153" si="1283">SUM(AQ153:AW153)/SUM(AQ$144:AW$144)*AX$144</f>
        <v>147.84542569175682</v>
      </c>
      <c r="AY153" s="102">
        <f t="shared" ref="AY153" si="1284">SUM(AR153:AX153)/SUM(AR$144:AX$144)*AY$144</f>
        <v>147.84536097681067</v>
      </c>
      <c r="AZ153" s="102">
        <f t="shared" ref="AZ153" si="1285">SUM(AS153:AY153)/SUM(AS$144:AY$144)*AZ$144</f>
        <v>295.69064570734292</v>
      </c>
      <c r="BA153" s="102">
        <f t="shared" ref="BA153" si="1286">SUM(AT153:AZ153)/SUM(AT$144:AZ$144)*BA$144</f>
        <v>0</v>
      </c>
      <c r="BB153" s="102">
        <f t="shared" ref="BB153" si="1287">SUM(AU153:BA153)/SUM(AU$144:BA$144)*BB$144</f>
        <v>152.28069643180405</v>
      </c>
      <c r="BC153" s="102">
        <f t="shared" ref="BC153" si="1288">SUM(AV153:BB153)/SUM(AV$144:BB$144)*BC$144</f>
        <v>152.28071685696619</v>
      </c>
      <c r="BD153" s="102">
        <f t="shared" ref="BD153" si="1289">SUM(AW153:BC153)/SUM(AW$144:BC$144)*BD$144</f>
        <v>152.28071592788729</v>
      </c>
      <c r="BE153" s="102">
        <f t="shared" ref="BE153" si="1290">SUM(AX153:BD153)/SUM(AX$144:BD$144)*BE$144</f>
        <v>152.28071487169888</v>
      </c>
      <c r="BF153" s="102">
        <f t="shared" ref="BF153" si="1291">SUM(AY153:BE153)/SUM(AY$144:BE$144)*BF$144</f>
        <v>152.28070453591081</v>
      </c>
      <c r="BG153" s="102">
        <f t="shared" ref="BG153" si="1292">SUM(AZ153:BF153)/SUM(AZ$144:BF$144)*BG$144</f>
        <v>152.28070212049766</v>
      </c>
      <c r="BH153" s="102">
        <f t="shared" ref="BH153" si="1293">SUM(BA153:BG153)/SUM(BA$144:BG$144)*BH$144</f>
        <v>152.28070845746083</v>
      </c>
      <c r="BI153" s="102">
        <f t="shared" ref="BI153" si="1294">SUM(BB153:BH153)/SUM(BB$144:BH$144)*BI$144</f>
        <v>152.28070845746083</v>
      </c>
      <c r="BJ153" s="102">
        <f t="shared" ref="BJ153" si="1295">SUM(BC153:BI153)/SUM(BC$144:BI$144)*BJ$144</f>
        <v>152.28071017541174</v>
      </c>
      <c r="BK153" s="102">
        <f t="shared" ref="BK153" si="1296">SUM(BD153:BJ153)/SUM(BD$144:BJ$144)*BK$144</f>
        <v>152.28070922090399</v>
      </c>
      <c r="BL153" s="102">
        <f t="shared" ref="BL153" si="1297">SUM(BE153:BK153)/SUM(BE$144:BK$144)*BL$144</f>
        <v>304.56141652552702</v>
      </c>
      <c r="BM153" s="102">
        <f t="shared" ref="BM153" si="1298">SUM(BF153:BL153)/SUM(BF$144:BL$144)*BM$144</f>
        <v>0</v>
      </c>
      <c r="BN153" s="102">
        <f t="shared" ref="BN153" si="1299">SUM(BG153:BM153)/SUM(BG$144:BM$144)*BN$144</f>
        <v>156.84912908656852</v>
      </c>
      <c r="BO153" s="102">
        <f t="shared" ref="BO153" si="1300">SUM(BH153:BN153)/SUM(BH$144:BN$144)*BO$144</f>
        <v>156.84912992617822</v>
      </c>
      <c r="BP153" s="102">
        <f t="shared" ref="BP153" si="1301">SUM(BI153:BO153)/SUM(BI$144:BO$144)*BP$144</f>
        <v>156.84912995663058</v>
      </c>
      <c r="BQ153" s="102">
        <f t="shared" ref="BQ153" si="1302">SUM(BJ153:BP153)/SUM(BJ$144:BP$144)*BQ$144</f>
        <v>156.84912999124919</v>
      </c>
      <c r="BR153" s="102">
        <f t="shared" ref="BR153" si="1303">SUM(BK153:BQ153)/SUM(BK$144:BQ$144)*BR$144</f>
        <v>156.84912978206029</v>
      </c>
      <c r="BS153" s="102">
        <f t="shared" ref="BS153" si="1304">SUM(BL153:BR153)/SUM(BL$144:BR$144)*BS$144</f>
        <v>156.84912968199441</v>
      </c>
      <c r="BT153" s="102">
        <f t="shared" ref="BT153" si="1305">SUM(BM153:BS153)/SUM(BM$144:BS$144)*BT$144</f>
        <v>156.84912973744687</v>
      </c>
      <c r="BU153" s="102">
        <f t="shared" ref="BU153" si="1306">SUM(BN153:BT153)/SUM(BN$144:BT$144)*BU$144</f>
        <v>156.84912973744687</v>
      </c>
      <c r="BV153" s="102">
        <f t="shared" ref="BV153" si="1307">SUM(BO153:BU153)/SUM(BO$144:BU$144)*BV$144</f>
        <v>156.84912983042949</v>
      </c>
      <c r="BW153" s="102">
        <f t="shared" ref="BW153" si="1308">SUM(BP153:BV153)/SUM(BP$144:BV$144)*BW$144</f>
        <v>156.84912981675109</v>
      </c>
      <c r="BX153" s="102">
        <f t="shared" ref="BX153" si="1309">SUM(BQ153:BW153)/SUM(BQ$144:BW$144)*BX$144</f>
        <v>313.6982595935367</v>
      </c>
      <c r="BY153" s="8"/>
      <c r="BZ153" s="72">
        <f t="shared" si="961"/>
        <v>71.67</v>
      </c>
      <c r="CA153" s="72">
        <f t="shared" si="962"/>
        <v>788.36999999999989</v>
      </c>
      <c r="CB153" s="97"/>
      <c r="CC153" s="72">
        <f t="shared" si="895"/>
        <v>0</v>
      </c>
      <c r="CD153" s="72">
        <f t="shared" si="1113"/>
        <v>0</v>
      </c>
      <c r="CE153" s="72">
        <f t="shared" si="1113"/>
        <v>931.69999999999993</v>
      </c>
      <c r="CF153" s="72">
        <f t="shared" si="1113"/>
        <v>931.84707856737725</v>
      </c>
      <c r="CG153" s="72">
        <f t="shared" si="1113"/>
        <v>1722.487531698061</v>
      </c>
      <c r="CH153" s="72">
        <f t="shared" si="1113"/>
        <v>1774.1443326964013</v>
      </c>
      <c r="CI153" s="72">
        <f t="shared" si="1113"/>
        <v>1827.3685035815292</v>
      </c>
      <c r="CJ153" s="72">
        <f t="shared" si="1113"/>
        <v>1882.1895571402922</v>
      </c>
      <c r="CL153" s="13"/>
      <c r="CM153" s="13"/>
    </row>
    <row r="154" spans="1:91" x14ac:dyDescent="0.3">
      <c r="A154" s="97" t="str">
        <f>'DCS Detail'!A154</f>
        <v xml:space="preserve">         272.2 SPED - WC SPED Support</v>
      </c>
      <c r="B154" s="106" t="str">
        <f>IF('DCS Detail'!$B154="","",'DCS Detail'!$B154)</f>
        <v>Benefits</v>
      </c>
      <c r="C154" s="145"/>
      <c r="D154" s="145"/>
      <c r="E154" s="146">
        <v>71.67</v>
      </c>
      <c r="F154" s="146">
        <v>71.67</v>
      </c>
      <c r="G154" s="146">
        <v>71.67</v>
      </c>
      <c r="H154" s="146">
        <v>71.67</v>
      </c>
      <c r="I154" s="146">
        <v>71.67</v>
      </c>
      <c r="J154" s="146">
        <v>71.67</v>
      </c>
      <c r="K154" s="146">
        <v>71.67</v>
      </c>
      <c r="L154" s="146">
        <v>71.669999999999959</v>
      </c>
      <c r="M154" s="146">
        <v>71.67</v>
      </c>
      <c r="N154" s="146">
        <v>71.67</v>
      </c>
      <c r="O154" s="146">
        <v>71.67</v>
      </c>
      <c r="P154" s="146">
        <v>143.33000000000001</v>
      </c>
      <c r="Q154" s="146">
        <v>71.67</v>
      </c>
      <c r="R154" s="146">
        <v>71.67</v>
      </c>
      <c r="S154" s="146">
        <v>71.67</v>
      </c>
      <c r="T154" s="146">
        <v>71.67</v>
      </c>
      <c r="U154" s="146">
        <v>71.67</v>
      </c>
      <c r="V154" s="146">
        <v>71.67</v>
      </c>
      <c r="W154" s="146">
        <v>71.67</v>
      </c>
      <c r="X154" s="146">
        <v>71.67</v>
      </c>
      <c r="Y154" s="18">
        <v>71.67</v>
      </c>
      <c r="Z154" s="18">
        <v>71.67</v>
      </c>
      <c r="AA154" s="146">
        <v>71.67</v>
      </c>
      <c r="AB154" s="149">
        <f t="shared" ref="AB154" si="1310">SUM(U154:AA154)/SUM(U$145:AA$145)*AB$145</f>
        <v>155.42316123068247</v>
      </c>
      <c r="AC154" s="149">
        <f t="shared" ref="AC154" si="1311">SUM(V154:AB154)/SUM(V$145:AB$145)*AC$145</f>
        <v>0</v>
      </c>
      <c r="AD154" s="149">
        <f t="shared" ref="AD154" si="1312">SUM(W154:AC154)/SUM(W$145:AC$145)*AD$145</f>
        <v>77.733036866971588</v>
      </c>
      <c r="AE154" s="149">
        <f t="shared" ref="AE154" si="1313">SUM(X154:AD154)/SUM(X$145:AD$145)*AE$145</f>
        <v>77.982383608520166</v>
      </c>
      <c r="AF154" s="149">
        <f t="shared" ref="AF154" si="1314">SUM(Y154:AE154)/SUM(Y$145:AE$145)*AF$145</f>
        <v>79.504045295655871</v>
      </c>
      <c r="AG154" s="149">
        <f t="shared" ref="AG154" si="1315">SUM(Z154:AF154)/SUM(Z$145:AF$145)*AG$145</f>
        <v>78.758798709189819</v>
      </c>
      <c r="AH154" s="149">
        <f t="shared" ref="AH154" si="1316">SUM(AA154:AG154)/SUM(AA$145:AG$145)*AH$145</f>
        <v>78.322767833405877</v>
      </c>
      <c r="AI154" s="149">
        <f t="shared" ref="AI154" si="1317">SUM(AB154:AH154)/SUM(AB$145:AH$145)*AI$145</f>
        <v>78.246313363489406</v>
      </c>
      <c r="AJ154" s="149">
        <f t="shared" ref="AJ154" si="1318">SUM(AC154:AI154)/SUM(AC$145:AI$145)*AJ$145</f>
        <v>78.424557612872107</v>
      </c>
      <c r="AK154" s="149">
        <f t="shared" ref="AK154" si="1319">SUM(AD154:AJ154)/SUM(AD$145:AJ$145)*AK$145</f>
        <v>78.424557612872121</v>
      </c>
      <c r="AL154" s="149">
        <f t="shared" ref="AL154" si="1320">SUM(AE154:AK154)/SUM(AE$145:AK$145)*AL$145</f>
        <v>78.523346290857901</v>
      </c>
      <c r="AM154" s="149">
        <f t="shared" ref="AM154" si="1321">SUM(AF154:AL154)/SUM(AF$145:AL$145)*AM$145</f>
        <v>78.600626674049025</v>
      </c>
      <c r="AN154" s="149">
        <f t="shared" ref="AN154" si="1322">SUM(AG154:AM154)/SUM(AG$145:AM$145)*AN$145</f>
        <v>156.94313374192467</v>
      </c>
      <c r="AO154" s="149">
        <f t="shared" ref="AO154" si="1323">SUM(AH154:AN154)/SUM(AH$145:AN$145)*AO$145</f>
        <v>0</v>
      </c>
      <c r="AP154" s="149">
        <f t="shared" ref="AP154" si="1324">SUM(AI154:AO154)/SUM(AI$145:AO$145)*AP$145</f>
        <v>80.805344479278176</v>
      </c>
      <c r="AQ154" s="149">
        <f t="shared" ref="AQ154" si="1325">SUM(AJ154:AP154)/SUM(AJ$145:AP$145)*AQ$145</f>
        <v>80.835449986374044</v>
      </c>
      <c r="AR154" s="149">
        <f t="shared" ref="AR154" si="1326">SUM(AK154:AQ154)/SUM(AK$145:AQ$145)*AR$145</f>
        <v>80.843687329874896</v>
      </c>
      <c r="AS154" s="149">
        <f t="shared" ref="AS154" si="1327">SUM(AL154:AR154)/SUM(AL$145:AR$145)*AS$145</f>
        <v>80.85305164420727</v>
      </c>
      <c r="AT154" s="149">
        <f t="shared" ref="AT154" si="1328">SUM(AM154:AS154)/SUM(AM$145:AS$145)*AT$145</f>
        <v>80.849400656092627</v>
      </c>
      <c r="AU154" s="149">
        <f t="shared" ref="AU154" si="1329">SUM(AN154:AT154)/SUM(AN$145:AT$145)*AU$145</f>
        <v>80.834121660543261</v>
      </c>
      <c r="AV154" s="149">
        <f t="shared" ref="AV154" si="1330">SUM(AO154:AU154)/SUM(AO$145:AU$145)*AV$145</f>
        <v>80.83684262606171</v>
      </c>
      <c r="AW154" s="149">
        <f t="shared" ref="AW154" si="1331">SUM(AP154:AV154)/SUM(AP$145:AV$145)*AW$145</f>
        <v>80.836842626061724</v>
      </c>
      <c r="AX154" s="149">
        <f t="shared" ref="AX154" si="1332">SUM(AQ154:AW154)/SUM(AQ$145:AW$145)*AX$145</f>
        <v>80.841342361316492</v>
      </c>
      <c r="AY154" s="149">
        <f t="shared" ref="AY154" si="1333">SUM(AR154:AX154)/SUM(AR$145:AX$145)*AY$145</f>
        <v>80.842184129165432</v>
      </c>
      <c r="AZ154" s="149">
        <f t="shared" ref="AZ154" si="1334">SUM(AS154:AY154)/SUM(AS$145:AY$145)*AZ$145</f>
        <v>161.68393877241385</v>
      </c>
      <c r="BA154" s="149">
        <f t="shared" ref="BA154" si="1335">SUM(AT154:AZ154)/SUM(AT$145:AZ$145)*BA$145</f>
        <v>0</v>
      </c>
      <c r="BB154" s="149">
        <f t="shared" ref="BB154" si="1336">SUM(AU154:BA154)/SUM(AU$145:BA$145)*BB$145</f>
        <v>83.264504334404208</v>
      </c>
      <c r="BC154" s="149">
        <f t="shared" ref="BC154" si="1337">SUM(AV154:BB154)/SUM(AV$145:BB$145)*BC$145</f>
        <v>83.265266642234167</v>
      </c>
      <c r="BD154" s="149">
        <f t="shared" ref="BD154" si="1338">SUM(AW154:BC154)/SUM(AW$145:BC$145)*BD$145</f>
        <v>83.265736718351789</v>
      </c>
      <c r="BE154" s="149">
        <f t="shared" ref="BE154" si="1339">SUM(AX154:BD154)/SUM(AX$145:BD$145)*BE$145</f>
        <v>83.266271106716857</v>
      </c>
      <c r="BF154" s="149">
        <f t="shared" ref="BF154" si="1340">SUM(AY154:BE154)/SUM(AY$145:BE$145)*BF$145</f>
        <v>83.266227353143933</v>
      </c>
      <c r="BG154" s="149">
        <f t="shared" ref="BG154" si="1341">SUM(AZ154:BF154)/SUM(AZ$145:BF$145)*BG$145</f>
        <v>83.266056402109442</v>
      </c>
      <c r="BH154" s="149">
        <f t="shared" ref="BH154" si="1342">SUM(BA154:BG154)/SUM(BA$145:BG$145)*BH$145</f>
        <v>83.265677092826706</v>
      </c>
      <c r="BI154" s="149">
        <f t="shared" ref="BI154" si="1343">SUM(BB154:BH154)/SUM(BB$145:BH$145)*BI$145</f>
        <v>83.265677092826692</v>
      </c>
      <c r="BJ154" s="149">
        <f t="shared" ref="BJ154" si="1344">SUM(BC154:BI154)/SUM(BC$145:BI$145)*BJ$145</f>
        <v>83.265844629744194</v>
      </c>
      <c r="BK154" s="149">
        <f t="shared" ref="BK154" si="1345">SUM(BD154:BJ154)/SUM(BD$145:BJ$145)*BK$145</f>
        <v>83.2659271993885</v>
      </c>
      <c r="BL154" s="149">
        <f t="shared" ref="BL154" si="1346">SUM(BE154:BK154)/SUM(BE$145:BK$145)*BL$145</f>
        <v>166.53190882193033</v>
      </c>
      <c r="BM154" s="149">
        <f t="shared" ref="BM154" si="1347">SUM(BF154:BL154)/SUM(BF$145:BL$145)*BM$145</f>
        <v>0</v>
      </c>
      <c r="BN154" s="149">
        <f t="shared" ref="BN154" si="1348">SUM(BG154:BM154)/SUM(BG$145:BM$145)*BN$145</f>
        <v>85.763846282284391</v>
      </c>
      <c r="BO154" s="149">
        <f t="shared" ref="BO154" si="1349">SUM(BH154:BN154)/SUM(BH$145:BN$145)*BO$145</f>
        <v>85.76381899752073</v>
      </c>
      <c r="BP154" s="149">
        <f t="shared" ref="BP154" si="1350">SUM(BI154:BO154)/SUM(BI$145:BO$145)*BP$145</f>
        <v>85.763843302323764</v>
      </c>
      <c r="BQ154" s="149">
        <f t="shared" ref="BQ154" si="1351">SUM(BJ154:BP154)/SUM(BJ$145:BP$145)*BQ$145</f>
        <v>85.763870932325489</v>
      </c>
      <c r="BR154" s="149">
        <f t="shared" ref="BR154" si="1352">SUM(BK154:BQ154)/SUM(BK$145:BQ$145)*BR$145</f>
        <v>85.76387809014696</v>
      </c>
      <c r="BS154" s="149">
        <f t="shared" ref="BS154" si="1353">SUM(BL154:BR154)/SUM(BL$145:BR$145)*BS$145</f>
        <v>85.76387432438149</v>
      </c>
      <c r="BT154" s="149">
        <f t="shared" ref="BT154" si="1354">SUM(BM154:BS154)/SUM(BM$145:BS$145)*BT$145</f>
        <v>85.763855321497132</v>
      </c>
      <c r="BU154" s="149">
        <f t="shared" ref="BU154" si="1355">SUM(BN154:BT154)/SUM(BN$145:BT$145)*BU$145</f>
        <v>85.763855321497118</v>
      </c>
      <c r="BV154" s="149">
        <f t="shared" ref="BV154" si="1356">SUM(BO154:BU154)/SUM(BO$145:BU$145)*BV$145</f>
        <v>85.763856612813228</v>
      </c>
      <c r="BW154" s="149">
        <f t="shared" ref="BW154" si="1357">SUM(BP154:BV154)/SUM(BP$145:BV$145)*BW$145</f>
        <v>85.763861986426448</v>
      </c>
      <c r="BX154" s="149">
        <f t="shared" ref="BX154" si="1358">SUM(BQ154:BW154)/SUM(BQ$145:BW$145)*BX$145</f>
        <v>171.527729311168</v>
      </c>
      <c r="BY154" s="11"/>
      <c r="BZ154" s="386">
        <f t="shared" ref="BZ154:BZ171" si="1359">SUMIF($B$252:$BY$252,1,$B154:$BY154)</f>
        <v>71.67</v>
      </c>
      <c r="CA154" s="386">
        <f t="shared" ref="CA154:CA171" si="1360">SUMIF($B$253:$BY$253,1,$B154:$BY154)</f>
        <v>788.36999999999989</v>
      </c>
      <c r="CB154" s="97"/>
      <c r="CC154" s="386">
        <f t="shared" si="895"/>
        <v>0</v>
      </c>
      <c r="CD154" s="386">
        <f t="shared" si="1113"/>
        <v>0</v>
      </c>
      <c r="CE154" s="386">
        <f t="shared" si="1113"/>
        <v>931.69999999999993</v>
      </c>
      <c r="CF154" s="386">
        <f t="shared" si="1113"/>
        <v>943.79316123068236</v>
      </c>
      <c r="CG154" s="386">
        <f t="shared" si="1113"/>
        <v>941.46356760980871</v>
      </c>
      <c r="CH154" s="386">
        <f t="shared" si="1113"/>
        <v>970.06220627138953</v>
      </c>
      <c r="CI154" s="386">
        <f t="shared" si="1113"/>
        <v>999.18909739367655</v>
      </c>
      <c r="CJ154" s="386">
        <f t="shared" si="1113"/>
        <v>1029.1662904823847</v>
      </c>
      <c r="CL154" s="13"/>
      <c r="CM154" s="13"/>
    </row>
    <row r="155" spans="1:91" x14ac:dyDescent="0.3">
      <c r="A155" s="97" t="str">
        <f>'DCS Detail'!A155</f>
        <v xml:space="preserve">         640.20 SPED - Special Ed Supplies</v>
      </c>
      <c r="B155" s="106" t="str">
        <f>IF('DCS Detail'!$B155="","",'DCS Detail'!$B155)</f>
        <v>Supplies</v>
      </c>
      <c r="C155" s="145"/>
      <c r="D155" s="145"/>
      <c r="E155" s="146">
        <v>0</v>
      </c>
      <c r="F155" s="146">
        <v>0</v>
      </c>
      <c r="G155" s="146">
        <v>0</v>
      </c>
      <c r="H155" s="146">
        <v>0</v>
      </c>
      <c r="I155" s="146">
        <v>0</v>
      </c>
      <c r="J155" s="146">
        <v>0</v>
      </c>
      <c r="K155" s="146">
        <v>0</v>
      </c>
      <c r="L155" s="146">
        <v>0</v>
      </c>
      <c r="M155" s="146">
        <v>0</v>
      </c>
      <c r="N155" s="146">
        <v>0</v>
      </c>
      <c r="O155" s="146">
        <v>0</v>
      </c>
      <c r="P155" s="146">
        <v>0</v>
      </c>
      <c r="Q155" s="146">
        <v>0</v>
      </c>
      <c r="R155" s="146">
        <v>0</v>
      </c>
      <c r="S155" s="146">
        <v>0</v>
      </c>
      <c r="T155" s="146">
        <v>0</v>
      </c>
      <c r="U155" s="146">
        <v>0</v>
      </c>
      <c r="V155" s="146">
        <v>0</v>
      </c>
      <c r="W155" s="146">
        <v>0</v>
      </c>
      <c r="X155" s="146">
        <v>0</v>
      </c>
      <c r="Y155" s="18">
        <v>241.75</v>
      </c>
      <c r="Z155" s="18">
        <v>0</v>
      </c>
      <c r="AA155" s="146">
        <v>0</v>
      </c>
      <c r="AB155" s="120">
        <f t="shared" ref="AB155:AN155" si="1361">P155*(1+AB$263)</f>
        <v>0</v>
      </c>
      <c r="AC155" s="120">
        <f t="shared" si="1361"/>
        <v>0</v>
      </c>
      <c r="AD155" s="120">
        <f t="shared" si="1361"/>
        <v>0</v>
      </c>
      <c r="AE155" s="120">
        <f t="shared" si="1361"/>
        <v>0</v>
      </c>
      <c r="AF155" s="120">
        <f t="shared" si="1361"/>
        <v>0</v>
      </c>
      <c r="AG155" s="120">
        <f t="shared" si="1361"/>
        <v>0</v>
      </c>
      <c r="AH155" s="120">
        <f t="shared" si="1361"/>
        <v>0</v>
      </c>
      <c r="AI155" s="120">
        <f t="shared" si="1361"/>
        <v>0</v>
      </c>
      <c r="AJ155" s="120">
        <f t="shared" si="1361"/>
        <v>0</v>
      </c>
      <c r="AK155" s="120">
        <f t="shared" si="1361"/>
        <v>249.0025</v>
      </c>
      <c r="AL155" s="120">
        <f t="shared" si="1361"/>
        <v>0</v>
      </c>
      <c r="AM155" s="120">
        <f t="shared" si="1361"/>
        <v>0</v>
      </c>
      <c r="AN155" s="120">
        <f t="shared" si="1361"/>
        <v>0</v>
      </c>
      <c r="AO155" s="397">
        <f t="shared" ref="AO155" si="1362">AC155*(1+($AP$19/$AO$19-1))</f>
        <v>0</v>
      </c>
      <c r="AP155" s="397">
        <f t="shared" ref="AP155" si="1363">AD155*(1+($AP$19/$AO$19-1))</f>
        <v>0</v>
      </c>
      <c r="AQ155" s="397">
        <f t="shared" ref="AQ155" si="1364">AE155*(1+($AP$19/$AO$19-1))</f>
        <v>0</v>
      </c>
      <c r="AR155" s="397">
        <f t="shared" ref="AR155" si="1365">AF155*(1+($AP$19/$AO$19-1))</f>
        <v>0</v>
      </c>
      <c r="AS155" s="397">
        <f t="shared" ref="AS155" si="1366">AG155*(1+($AP$19/$AO$19-1))</f>
        <v>0</v>
      </c>
      <c r="AT155" s="397">
        <f t="shared" ref="AT155" si="1367">AH155*(1+($AP$19/$AO$19-1))</f>
        <v>0</v>
      </c>
      <c r="AU155" s="397">
        <f t="shared" ref="AU155" si="1368">AI155*(1+($AP$19/$AO$19-1))</f>
        <v>0</v>
      </c>
      <c r="AV155" s="397">
        <f t="shared" ref="AV155" si="1369">AJ155*(1+($AP$19/$AO$19-1))</f>
        <v>0</v>
      </c>
      <c r="AW155" s="397">
        <f t="shared" ref="AW155" si="1370">AK155*(1+($AP$19/$AO$19-1))</f>
        <v>303.13347826086959</v>
      </c>
      <c r="AX155" s="397">
        <f t="shared" ref="AX155" si="1371">AL155*(1+($AP$19/$AO$19-1))</f>
        <v>0</v>
      </c>
      <c r="AY155" s="397">
        <f t="shared" ref="AY155" si="1372">AM155*(1+($AP$19/$AO$19-1))</f>
        <v>0</v>
      </c>
      <c r="AZ155" s="397">
        <f t="shared" ref="AZ155" si="1373">AN155*(1+($AP$19/$AO$19-1))</f>
        <v>0</v>
      </c>
      <c r="BA155" s="120">
        <f t="shared" ref="BA155:BX155" si="1374">AO155*(1+BA$263)</f>
        <v>0</v>
      </c>
      <c r="BB155" s="120">
        <f t="shared" si="1374"/>
        <v>0</v>
      </c>
      <c r="BC155" s="120">
        <f t="shared" si="1374"/>
        <v>0</v>
      </c>
      <c r="BD155" s="120">
        <f t="shared" si="1374"/>
        <v>0</v>
      </c>
      <c r="BE155" s="120">
        <f t="shared" si="1374"/>
        <v>0</v>
      </c>
      <c r="BF155" s="120">
        <f t="shared" si="1374"/>
        <v>0</v>
      </c>
      <c r="BG155" s="120">
        <f t="shared" si="1374"/>
        <v>0</v>
      </c>
      <c r="BH155" s="120">
        <f t="shared" si="1374"/>
        <v>0</v>
      </c>
      <c r="BI155" s="120">
        <f t="shared" si="1374"/>
        <v>312.22748260869571</v>
      </c>
      <c r="BJ155" s="120">
        <f t="shared" si="1374"/>
        <v>0</v>
      </c>
      <c r="BK155" s="120">
        <f t="shared" si="1374"/>
        <v>0</v>
      </c>
      <c r="BL155" s="120">
        <f t="shared" si="1374"/>
        <v>0</v>
      </c>
      <c r="BM155" s="120">
        <f t="shared" si="1374"/>
        <v>0</v>
      </c>
      <c r="BN155" s="120">
        <f t="shared" si="1374"/>
        <v>0</v>
      </c>
      <c r="BO155" s="120">
        <f t="shared" si="1374"/>
        <v>0</v>
      </c>
      <c r="BP155" s="120">
        <f t="shared" si="1374"/>
        <v>0</v>
      </c>
      <c r="BQ155" s="120">
        <f t="shared" si="1374"/>
        <v>0</v>
      </c>
      <c r="BR155" s="120">
        <f t="shared" si="1374"/>
        <v>0</v>
      </c>
      <c r="BS155" s="120">
        <f t="shared" si="1374"/>
        <v>0</v>
      </c>
      <c r="BT155" s="120">
        <f t="shared" si="1374"/>
        <v>0</v>
      </c>
      <c r="BU155" s="120">
        <f t="shared" si="1374"/>
        <v>321.59430708695658</v>
      </c>
      <c r="BV155" s="120">
        <f t="shared" si="1374"/>
        <v>0</v>
      </c>
      <c r="BW155" s="120">
        <f t="shared" si="1374"/>
        <v>0</v>
      </c>
      <c r="BX155" s="120">
        <f t="shared" si="1374"/>
        <v>0</v>
      </c>
      <c r="BY155" s="11"/>
      <c r="BZ155" s="386">
        <f t="shared" si="1359"/>
        <v>0</v>
      </c>
      <c r="CA155" s="386">
        <f t="shared" si="1360"/>
        <v>241.75</v>
      </c>
      <c r="CB155" s="97"/>
      <c r="CC155" s="386">
        <f t="shared" si="895"/>
        <v>0</v>
      </c>
      <c r="CD155" s="386">
        <f t="shared" si="1113"/>
        <v>0</v>
      </c>
      <c r="CE155" s="386">
        <f t="shared" si="1113"/>
        <v>0</v>
      </c>
      <c r="CF155" s="386">
        <f t="shared" si="1113"/>
        <v>241.75</v>
      </c>
      <c r="CG155" s="386">
        <f t="shared" si="1113"/>
        <v>249.0025</v>
      </c>
      <c r="CH155" s="386">
        <f t="shared" si="1113"/>
        <v>303.13347826086959</v>
      </c>
      <c r="CI155" s="386">
        <f t="shared" si="1113"/>
        <v>312.22748260869571</v>
      </c>
      <c r="CJ155" s="386">
        <f t="shared" si="1113"/>
        <v>321.59430708695658</v>
      </c>
      <c r="CL155" s="13"/>
      <c r="CM155" s="13"/>
    </row>
    <row r="156" spans="1:91" x14ac:dyDescent="0.3">
      <c r="A156" s="97" t="str">
        <f>'DCS Detail'!A156</f>
        <v xml:space="preserve">         340.20 SPED - Special Ed Services</v>
      </c>
      <c r="B156" s="106" t="str">
        <f>IF('DCS Detail'!$B156="","",'DCS Detail'!$B156)</f>
        <v>Prof. Serv.</v>
      </c>
      <c r="C156" s="139"/>
      <c r="D156" s="139"/>
      <c r="E156" s="121">
        <v>0</v>
      </c>
      <c r="F156" s="121">
        <v>0</v>
      </c>
      <c r="G156" s="121">
        <v>833.63</v>
      </c>
      <c r="H156" s="121">
        <v>0</v>
      </c>
      <c r="I156" s="121">
        <v>4621.5</v>
      </c>
      <c r="J156" s="121">
        <v>1418.63</v>
      </c>
      <c r="K156" s="121">
        <v>2106</v>
      </c>
      <c r="L156" s="121">
        <v>2895.75</v>
      </c>
      <c r="M156" s="121">
        <v>2471.63</v>
      </c>
      <c r="N156" s="121">
        <v>2413.13</v>
      </c>
      <c r="O156" s="121">
        <v>0</v>
      </c>
      <c r="P156" s="121">
        <v>2486.25</v>
      </c>
      <c r="Q156" s="121">
        <v>390</v>
      </c>
      <c r="R156" s="121">
        <v>0</v>
      </c>
      <c r="S156" s="121">
        <v>0</v>
      </c>
      <c r="T156" s="121">
        <v>0</v>
      </c>
      <c r="U156" s="121">
        <v>9871.8799999999992</v>
      </c>
      <c r="V156" s="121">
        <v>4518.75</v>
      </c>
      <c r="W156" s="121">
        <v>4950</v>
      </c>
      <c r="X156" s="121">
        <v>10162.5</v>
      </c>
      <c r="Y156" s="121">
        <v>18759.38</v>
      </c>
      <c r="Z156" s="121">
        <v>9084.3799999999992</v>
      </c>
      <c r="AA156" s="408">
        <v>16528.13</v>
      </c>
      <c r="AB156" s="110">
        <f>AVERAGE($U$156:$X$156)</f>
        <v>7375.7824999999993</v>
      </c>
      <c r="AC156" s="121">
        <v>0</v>
      </c>
      <c r="AD156" s="121">
        <v>0</v>
      </c>
      <c r="AE156" s="121">
        <v>0</v>
      </c>
      <c r="AF156" s="121">
        <v>0</v>
      </c>
      <c r="AG156" s="121">
        <v>0</v>
      </c>
      <c r="AH156" s="121">
        <v>0</v>
      </c>
      <c r="AI156" s="121">
        <v>0</v>
      </c>
      <c r="AJ156" s="121">
        <v>0</v>
      </c>
      <c r="AK156" s="121">
        <v>0</v>
      </c>
      <c r="AL156" s="121">
        <v>0</v>
      </c>
      <c r="AM156" s="121">
        <v>0</v>
      </c>
      <c r="AN156" s="121">
        <v>0</v>
      </c>
      <c r="AO156" s="121">
        <v>0</v>
      </c>
      <c r="AP156" s="121">
        <v>0</v>
      </c>
      <c r="AQ156" s="121">
        <v>0</v>
      </c>
      <c r="AR156" s="121">
        <v>0</v>
      </c>
      <c r="AS156" s="121">
        <v>0</v>
      </c>
      <c r="AT156" s="121">
        <v>0</v>
      </c>
      <c r="AU156" s="121">
        <v>0</v>
      </c>
      <c r="AV156" s="121">
        <v>0</v>
      </c>
      <c r="AW156" s="121">
        <v>0</v>
      </c>
      <c r="AX156" s="121">
        <v>0</v>
      </c>
      <c r="AY156" s="121">
        <v>0</v>
      </c>
      <c r="AZ156" s="121">
        <v>0</v>
      </c>
      <c r="BA156" s="121">
        <v>0</v>
      </c>
      <c r="BB156" s="121">
        <v>0</v>
      </c>
      <c r="BC156" s="121">
        <v>0</v>
      </c>
      <c r="BD156" s="121">
        <v>0</v>
      </c>
      <c r="BE156" s="121">
        <v>0</v>
      </c>
      <c r="BF156" s="121">
        <v>0</v>
      </c>
      <c r="BG156" s="121">
        <v>0</v>
      </c>
      <c r="BH156" s="121">
        <v>0</v>
      </c>
      <c r="BI156" s="121">
        <v>0</v>
      </c>
      <c r="BJ156" s="121">
        <v>0</v>
      </c>
      <c r="BK156" s="121">
        <v>0</v>
      </c>
      <c r="BL156" s="121">
        <v>0</v>
      </c>
      <c r="BM156" s="121">
        <v>0</v>
      </c>
      <c r="BN156" s="121">
        <v>0</v>
      </c>
      <c r="BO156" s="121">
        <v>0</v>
      </c>
      <c r="BP156" s="121">
        <v>0</v>
      </c>
      <c r="BQ156" s="121">
        <v>0</v>
      </c>
      <c r="BR156" s="121">
        <v>0</v>
      </c>
      <c r="BS156" s="121">
        <v>0</v>
      </c>
      <c r="BT156" s="121">
        <v>0</v>
      </c>
      <c r="BU156" s="121">
        <v>0</v>
      </c>
      <c r="BV156" s="121">
        <v>0</v>
      </c>
      <c r="BW156" s="121">
        <v>0</v>
      </c>
      <c r="BX156" s="121">
        <v>0</v>
      </c>
      <c r="BY156" s="8"/>
      <c r="BZ156" s="73">
        <f t="shared" si="1359"/>
        <v>16528.13</v>
      </c>
      <c r="CA156" s="73">
        <f t="shared" si="1360"/>
        <v>74265.01999999999</v>
      </c>
      <c r="CB156" s="97"/>
      <c r="CC156" s="73">
        <f t="shared" si="895"/>
        <v>0</v>
      </c>
      <c r="CD156" s="73">
        <f t="shared" si="1113"/>
        <v>0</v>
      </c>
      <c r="CE156" s="73">
        <f t="shared" si="1113"/>
        <v>19246.52</v>
      </c>
      <c r="CF156" s="73">
        <f t="shared" si="1113"/>
        <v>81640.802499999991</v>
      </c>
      <c r="CG156" s="73">
        <f t="shared" si="1113"/>
        <v>0</v>
      </c>
      <c r="CH156" s="73">
        <f t="shared" si="1113"/>
        <v>0</v>
      </c>
      <c r="CI156" s="73">
        <f t="shared" si="1113"/>
        <v>0</v>
      </c>
      <c r="CJ156" s="73">
        <f t="shared" si="1113"/>
        <v>0</v>
      </c>
      <c r="CL156" s="13"/>
      <c r="CM156" s="13"/>
    </row>
    <row r="157" spans="1:91" x14ac:dyDescent="0.3">
      <c r="A157" s="97" t="str">
        <f>'DCS Detail'!A157</f>
        <v xml:space="preserve">      Total SP1000 SPED - Instruction</v>
      </c>
      <c r="B157" s="106" t="str">
        <f>IF('DCS Detail'!$B157="","",'DCS Detail'!$B157)</f>
        <v/>
      </c>
      <c r="C157" s="36">
        <f>SUM(C142:C156)</f>
        <v>0</v>
      </c>
      <c r="D157" s="36">
        <f t="shared" ref="D157:AN157" si="1375">SUM(D142:D156)</f>
        <v>0</v>
      </c>
      <c r="E157" s="36">
        <f t="shared" si="1375"/>
        <v>-5093.8799999999992</v>
      </c>
      <c r="F157" s="36">
        <f t="shared" si="1375"/>
        <v>7296.6600000000008</v>
      </c>
      <c r="G157" s="36">
        <f t="shared" si="1375"/>
        <v>8247.9800000000014</v>
      </c>
      <c r="H157" s="36">
        <f t="shared" si="1375"/>
        <v>7414.3500000000013</v>
      </c>
      <c r="I157" s="36">
        <f t="shared" si="1375"/>
        <v>12035.850000000002</v>
      </c>
      <c r="J157" s="36">
        <f t="shared" si="1375"/>
        <v>8832.9800000000014</v>
      </c>
      <c r="K157" s="36">
        <f t="shared" si="1375"/>
        <v>9622.7999999999993</v>
      </c>
      <c r="L157" s="36">
        <f t="shared" si="1375"/>
        <v>10399.039999999999</v>
      </c>
      <c r="M157" s="36">
        <f t="shared" ref="M157" si="1376">SUM(M142:M156)</f>
        <v>9948.0700000000015</v>
      </c>
      <c r="N157" s="36">
        <f t="shared" si="1375"/>
        <v>9894.4900000000016</v>
      </c>
      <c r="O157" s="36">
        <f t="shared" si="1375"/>
        <v>7472.5500000000011</v>
      </c>
      <c r="P157" s="36">
        <f t="shared" si="1375"/>
        <v>24669.130000000005</v>
      </c>
      <c r="Q157" s="36">
        <f t="shared" ref="Q157:R157" si="1377">SUM(Q142:Q156)</f>
        <v>533.34</v>
      </c>
      <c r="R157" s="36">
        <f t="shared" si="1377"/>
        <v>7408.7700000000013</v>
      </c>
      <c r="S157" s="36">
        <f t="shared" ref="S157:T157" si="1378">SUM(S142:S156)</f>
        <v>7456.6099999999988</v>
      </c>
      <c r="T157" s="36">
        <f t="shared" si="1378"/>
        <v>7408.79</v>
      </c>
      <c r="U157" s="36">
        <f t="shared" ref="U157:V157" si="1379">SUM(U142:U156)</f>
        <v>17280.66</v>
      </c>
      <c r="V157" s="36">
        <f t="shared" si="1379"/>
        <v>12342.490000000002</v>
      </c>
      <c r="W157" s="36">
        <f t="shared" ref="W157" si="1380">SUM(W142:W156)</f>
        <v>12691.900000000001</v>
      </c>
      <c r="X157" s="36">
        <f t="shared" si="1375"/>
        <v>18131.66</v>
      </c>
      <c r="Y157" s="36">
        <f t="shared" si="1375"/>
        <v>26477.600000000002</v>
      </c>
      <c r="Z157" s="36">
        <f t="shared" si="1375"/>
        <v>16628.86</v>
      </c>
      <c r="AA157" s="36">
        <f t="shared" si="1375"/>
        <v>24167.74</v>
      </c>
      <c r="AB157" s="36">
        <f t="shared" si="1375"/>
        <v>23116.347103501241</v>
      </c>
      <c r="AC157" s="36">
        <f t="shared" si="1375"/>
        <v>0</v>
      </c>
      <c r="AD157" s="36">
        <f t="shared" si="1375"/>
        <v>13099.517178530319</v>
      </c>
      <c r="AE157" s="36">
        <f t="shared" si="1375"/>
        <v>13095.059576553711</v>
      </c>
      <c r="AF157" s="36">
        <f t="shared" si="1375"/>
        <v>13099.630965485072</v>
      </c>
      <c r="AG157" s="36">
        <f t="shared" si="1375"/>
        <v>13095.156398546882</v>
      </c>
      <c r="AH157" s="36">
        <f t="shared" si="1375"/>
        <v>13093.488299450426</v>
      </c>
      <c r="AI157" s="36">
        <f t="shared" si="1375"/>
        <v>13091.753391228698</v>
      </c>
      <c r="AJ157" s="36">
        <f t="shared" si="1375"/>
        <v>13095.767634965852</v>
      </c>
      <c r="AK157" s="36">
        <f t="shared" si="1375"/>
        <v>13344.770134965853</v>
      </c>
      <c r="AL157" s="36">
        <f t="shared" si="1375"/>
        <v>13095.231985885215</v>
      </c>
      <c r="AM157" s="36">
        <f t="shared" si="1375"/>
        <v>13095.256615789713</v>
      </c>
      <c r="AN157" s="36">
        <f t="shared" si="1375"/>
        <v>26189.263417380753</v>
      </c>
      <c r="AO157" s="36">
        <f t="shared" ref="AO157:AZ157" si="1381">SUM(AO142:AO156)</f>
        <v>0</v>
      </c>
      <c r="AP157" s="36">
        <f t="shared" si="1381"/>
        <v>13487.56170008894</v>
      </c>
      <c r="AQ157" s="36">
        <f t="shared" si="1381"/>
        <v>13487.996366820571</v>
      </c>
      <c r="AR157" s="36">
        <f t="shared" si="1381"/>
        <v>13487.905106594757</v>
      </c>
      <c r="AS157" s="36">
        <f t="shared" si="1381"/>
        <v>13487.801360837344</v>
      </c>
      <c r="AT157" s="36">
        <f t="shared" si="1381"/>
        <v>13487.760969738403</v>
      </c>
      <c r="AU157" s="36">
        <f t="shared" si="1381"/>
        <v>13487.711550923719</v>
      </c>
      <c r="AV157" s="36">
        <f t="shared" si="1381"/>
        <v>13487.789509167289</v>
      </c>
      <c r="AW157" s="36">
        <f t="shared" si="1381"/>
        <v>13790.922987428159</v>
      </c>
      <c r="AX157" s="36">
        <f t="shared" si="1381"/>
        <v>13487.822053321339</v>
      </c>
      <c r="AY157" s="36">
        <f t="shared" si="1381"/>
        <v>13487.797151392877</v>
      </c>
      <c r="AZ157" s="36">
        <f t="shared" si="1381"/>
        <v>26975.563458442353</v>
      </c>
      <c r="BA157" s="36">
        <f t="shared" ref="BA157:BX157" si="1382">SUM(BA142:BA156)</f>
        <v>0</v>
      </c>
      <c r="BB157" s="36">
        <f t="shared" si="1382"/>
        <v>13892.41534705533</v>
      </c>
      <c r="BC157" s="36">
        <f t="shared" si="1382"/>
        <v>13892.425652831134</v>
      </c>
      <c r="BD157" s="36">
        <f t="shared" si="1382"/>
        <v>13892.426001044849</v>
      </c>
      <c r="BE157" s="36">
        <f t="shared" si="1382"/>
        <v>13892.42639689852</v>
      </c>
      <c r="BF157" s="36">
        <f t="shared" si="1382"/>
        <v>13892.422138749302</v>
      </c>
      <c r="BG157" s="36">
        <f t="shared" si="1382"/>
        <v>13892.420890191906</v>
      </c>
      <c r="BH157" s="36">
        <f t="shared" si="1382"/>
        <v>13892.422737795176</v>
      </c>
      <c r="BI157" s="36">
        <f t="shared" si="1382"/>
        <v>14204.650220403872</v>
      </c>
      <c r="BJ157" s="36">
        <f t="shared" si="1382"/>
        <v>13892.423793615153</v>
      </c>
      <c r="BK157" s="36">
        <f t="shared" si="1382"/>
        <v>13892.423528012869</v>
      </c>
      <c r="BL157" s="36">
        <f t="shared" si="1382"/>
        <v>27784.846349445168</v>
      </c>
      <c r="BM157" s="36">
        <f t="shared" si="1382"/>
        <v>0</v>
      </c>
      <c r="BN157" s="36">
        <f t="shared" si="1382"/>
        <v>14309.195548280159</v>
      </c>
      <c r="BO157" s="36">
        <f t="shared" si="1382"/>
        <v>14309.195837239262</v>
      </c>
      <c r="BP157" s="36">
        <f t="shared" si="1382"/>
        <v>14309.195896348359</v>
      </c>
      <c r="BQ157" s="36">
        <f t="shared" si="1382"/>
        <v>14309.195963544316</v>
      </c>
      <c r="BR157" s="36">
        <f t="shared" si="1382"/>
        <v>14309.195887156773</v>
      </c>
      <c r="BS157" s="36">
        <f t="shared" si="1382"/>
        <v>14309.195838667754</v>
      </c>
      <c r="BT157" s="36">
        <f t="shared" si="1382"/>
        <v>14309.195828539438</v>
      </c>
      <c r="BU157" s="36">
        <f t="shared" si="1382"/>
        <v>14630.790135626394</v>
      </c>
      <c r="BV157" s="36">
        <f t="shared" si="1382"/>
        <v>14309.195868576477</v>
      </c>
      <c r="BW157" s="36">
        <f t="shared" si="1382"/>
        <v>14309.195873053224</v>
      </c>
      <c r="BX157" s="36">
        <f t="shared" si="1382"/>
        <v>28618.391739450693</v>
      </c>
      <c r="BY157" s="8"/>
      <c r="BZ157" s="72">
        <f t="shared" si="1359"/>
        <v>24167.74</v>
      </c>
      <c r="CA157" s="72">
        <f t="shared" si="1360"/>
        <v>150528.42000000001</v>
      </c>
      <c r="CB157" s="97"/>
      <c r="CC157" s="72">
        <f t="shared" si="895"/>
        <v>0</v>
      </c>
      <c r="CD157" s="72">
        <f t="shared" si="1113"/>
        <v>0</v>
      </c>
      <c r="CE157" s="72">
        <f t="shared" si="1113"/>
        <v>110740.02000000002</v>
      </c>
      <c r="CF157" s="72">
        <f t="shared" si="1113"/>
        <v>173644.76710350125</v>
      </c>
      <c r="CG157" s="72">
        <f t="shared" si="1113"/>
        <v>157394.89559878252</v>
      </c>
      <c r="CH157" s="72">
        <f t="shared" si="1113"/>
        <v>162156.63221475575</v>
      </c>
      <c r="CI157" s="72">
        <f t="shared" si="1113"/>
        <v>167021.30305604328</v>
      </c>
      <c r="CJ157" s="72">
        <f t="shared" si="1113"/>
        <v>172031.94441648285</v>
      </c>
      <c r="CL157" s="13"/>
      <c r="CM157" s="13"/>
    </row>
    <row r="158" spans="1:91" x14ac:dyDescent="0.3">
      <c r="A158" s="97" t="str">
        <f>'DCS Detail'!A158</f>
        <v xml:space="preserve">   Total 200 Special Education Fund</v>
      </c>
      <c r="B158" s="106" t="str">
        <f>IF('DCS Detail'!$B158="","",'DCS Detail'!$B158)</f>
        <v/>
      </c>
      <c r="C158" s="112">
        <f>C157</f>
        <v>0</v>
      </c>
      <c r="D158" s="112">
        <f t="shared" ref="D158:AN158" si="1383">D157</f>
        <v>0</v>
      </c>
      <c r="E158" s="112">
        <f t="shared" si="1383"/>
        <v>-5093.8799999999992</v>
      </c>
      <c r="F158" s="112">
        <f t="shared" si="1383"/>
        <v>7296.6600000000008</v>
      </c>
      <c r="G158" s="112">
        <f t="shared" si="1383"/>
        <v>8247.9800000000014</v>
      </c>
      <c r="H158" s="112">
        <f t="shared" si="1383"/>
        <v>7414.3500000000013</v>
      </c>
      <c r="I158" s="112">
        <f t="shared" si="1383"/>
        <v>12035.850000000002</v>
      </c>
      <c r="J158" s="112">
        <f t="shared" si="1383"/>
        <v>8832.9800000000014</v>
      </c>
      <c r="K158" s="112">
        <f t="shared" si="1383"/>
        <v>9622.7999999999993</v>
      </c>
      <c r="L158" s="112">
        <f t="shared" si="1383"/>
        <v>10399.039999999999</v>
      </c>
      <c r="M158" s="112">
        <f t="shared" ref="M158" si="1384">M157</f>
        <v>9948.0700000000015</v>
      </c>
      <c r="N158" s="112">
        <f t="shared" si="1383"/>
        <v>9894.4900000000016</v>
      </c>
      <c r="O158" s="112">
        <f t="shared" si="1383"/>
        <v>7472.5500000000011</v>
      </c>
      <c r="P158" s="112">
        <f t="shared" si="1383"/>
        <v>24669.130000000005</v>
      </c>
      <c r="Q158" s="112">
        <f t="shared" ref="Q158:R158" si="1385">Q157</f>
        <v>533.34</v>
      </c>
      <c r="R158" s="112">
        <f t="shared" si="1385"/>
        <v>7408.7700000000013</v>
      </c>
      <c r="S158" s="112">
        <f t="shared" ref="S158:T158" si="1386">S157</f>
        <v>7456.6099999999988</v>
      </c>
      <c r="T158" s="112">
        <f t="shared" si="1386"/>
        <v>7408.79</v>
      </c>
      <c r="U158" s="112">
        <f t="shared" ref="U158:V158" si="1387">U157</f>
        <v>17280.66</v>
      </c>
      <c r="V158" s="112">
        <f t="shared" si="1387"/>
        <v>12342.490000000002</v>
      </c>
      <c r="W158" s="112">
        <f t="shared" ref="W158" si="1388">W157</f>
        <v>12691.900000000001</v>
      </c>
      <c r="X158" s="112">
        <f t="shared" si="1383"/>
        <v>18131.66</v>
      </c>
      <c r="Y158" s="112">
        <f t="shared" si="1383"/>
        <v>26477.600000000002</v>
      </c>
      <c r="Z158" s="112">
        <f t="shared" si="1383"/>
        <v>16628.86</v>
      </c>
      <c r="AA158" s="112">
        <f t="shared" si="1383"/>
        <v>24167.74</v>
      </c>
      <c r="AB158" s="112">
        <f t="shared" si="1383"/>
        <v>23116.347103501241</v>
      </c>
      <c r="AC158" s="112">
        <f t="shared" si="1383"/>
        <v>0</v>
      </c>
      <c r="AD158" s="112">
        <f t="shared" si="1383"/>
        <v>13099.517178530319</v>
      </c>
      <c r="AE158" s="112">
        <f t="shared" si="1383"/>
        <v>13095.059576553711</v>
      </c>
      <c r="AF158" s="112">
        <f t="shared" si="1383"/>
        <v>13099.630965485072</v>
      </c>
      <c r="AG158" s="112">
        <f t="shared" si="1383"/>
        <v>13095.156398546882</v>
      </c>
      <c r="AH158" s="112">
        <f t="shared" si="1383"/>
        <v>13093.488299450426</v>
      </c>
      <c r="AI158" s="112">
        <f t="shared" si="1383"/>
        <v>13091.753391228698</v>
      </c>
      <c r="AJ158" s="112">
        <f t="shared" si="1383"/>
        <v>13095.767634965852</v>
      </c>
      <c r="AK158" s="112">
        <f t="shared" si="1383"/>
        <v>13344.770134965853</v>
      </c>
      <c r="AL158" s="112">
        <f t="shared" si="1383"/>
        <v>13095.231985885215</v>
      </c>
      <c r="AM158" s="112">
        <f t="shared" si="1383"/>
        <v>13095.256615789713</v>
      </c>
      <c r="AN158" s="112">
        <f t="shared" si="1383"/>
        <v>26189.263417380753</v>
      </c>
      <c r="AO158" s="112">
        <f t="shared" ref="AO158:AZ158" si="1389">AO157</f>
        <v>0</v>
      </c>
      <c r="AP158" s="112">
        <f t="shared" si="1389"/>
        <v>13487.56170008894</v>
      </c>
      <c r="AQ158" s="112">
        <f t="shared" si="1389"/>
        <v>13487.996366820571</v>
      </c>
      <c r="AR158" s="112">
        <f t="shared" si="1389"/>
        <v>13487.905106594757</v>
      </c>
      <c r="AS158" s="112">
        <f t="shared" si="1389"/>
        <v>13487.801360837344</v>
      </c>
      <c r="AT158" s="112">
        <f t="shared" si="1389"/>
        <v>13487.760969738403</v>
      </c>
      <c r="AU158" s="112">
        <f t="shared" si="1389"/>
        <v>13487.711550923719</v>
      </c>
      <c r="AV158" s="112">
        <f t="shared" si="1389"/>
        <v>13487.789509167289</v>
      </c>
      <c r="AW158" s="112">
        <f t="shared" si="1389"/>
        <v>13790.922987428159</v>
      </c>
      <c r="AX158" s="112">
        <f t="shared" si="1389"/>
        <v>13487.822053321339</v>
      </c>
      <c r="AY158" s="112">
        <f t="shared" si="1389"/>
        <v>13487.797151392877</v>
      </c>
      <c r="AZ158" s="112">
        <f t="shared" si="1389"/>
        <v>26975.563458442353</v>
      </c>
      <c r="BA158" s="112">
        <f t="shared" ref="BA158:BX158" si="1390">BA157</f>
        <v>0</v>
      </c>
      <c r="BB158" s="112">
        <f t="shared" si="1390"/>
        <v>13892.41534705533</v>
      </c>
      <c r="BC158" s="112">
        <f t="shared" si="1390"/>
        <v>13892.425652831134</v>
      </c>
      <c r="BD158" s="112">
        <f t="shared" si="1390"/>
        <v>13892.426001044849</v>
      </c>
      <c r="BE158" s="112">
        <f t="shared" si="1390"/>
        <v>13892.42639689852</v>
      </c>
      <c r="BF158" s="112">
        <f t="shared" si="1390"/>
        <v>13892.422138749302</v>
      </c>
      <c r="BG158" s="112">
        <f t="shared" si="1390"/>
        <v>13892.420890191906</v>
      </c>
      <c r="BH158" s="112">
        <f t="shared" si="1390"/>
        <v>13892.422737795176</v>
      </c>
      <c r="BI158" s="112">
        <f t="shared" si="1390"/>
        <v>14204.650220403872</v>
      </c>
      <c r="BJ158" s="112">
        <f t="shared" si="1390"/>
        <v>13892.423793615153</v>
      </c>
      <c r="BK158" s="112">
        <f t="shared" si="1390"/>
        <v>13892.423528012869</v>
      </c>
      <c r="BL158" s="112">
        <f t="shared" si="1390"/>
        <v>27784.846349445168</v>
      </c>
      <c r="BM158" s="112">
        <f t="shared" si="1390"/>
        <v>0</v>
      </c>
      <c r="BN158" s="112">
        <f t="shared" si="1390"/>
        <v>14309.195548280159</v>
      </c>
      <c r="BO158" s="112">
        <f t="shared" si="1390"/>
        <v>14309.195837239262</v>
      </c>
      <c r="BP158" s="112">
        <f t="shared" si="1390"/>
        <v>14309.195896348359</v>
      </c>
      <c r="BQ158" s="112">
        <f t="shared" si="1390"/>
        <v>14309.195963544316</v>
      </c>
      <c r="BR158" s="112">
        <f t="shared" si="1390"/>
        <v>14309.195887156773</v>
      </c>
      <c r="BS158" s="112">
        <f t="shared" si="1390"/>
        <v>14309.195838667754</v>
      </c>
      <c r="BT158" s="112">
        <f t="shared" si="1390"/>
        <v>14309.195828539438</v>
      </c>
      <c r="BU158" s="112">
        <f t="shared" si="1390"/>
        <v>14630.790135626394</v>
      </c>
      <c r="BV158" s="112">
        <f t="shared" si="1390"/>
        <v>14309.195868576477</v>
      </c>
      <c r="BW158" s="112">
        <f t="shared" si="1390"/>
        <v>14309.195873053224</v>
      </c>
      <c r="BX158" s="112">
        <f t="shared" si="1390"/>
        <v>28618.391739450693</v>
      </c>
      <c r="BY158" s="8"/>
      <c r="BZ158" s="385">
        <f t="shared" si="1359"/>
        <v>24167.74</v>
      </c>
      <c r="CA158" s="385">
        <f t="shared" si="1360"/>
        <v>150528.42000000001</v>
      </c>
      <c r="CB158" s="97"/>
      <c r="CC158" s="385">
        <f t="shared" si="895"/>
        <v>0</v>
      </c>
      <c r="CD158" s="385">
        <f t="shared" si="1113"/>
        <v>0</v>
      </c>
      <c r="CE158" s="385">
        <f t="shared" si="1113"/>
        <v>110740.02000000002</v>
      </c>
      <c r="CF158" s="385">
        <f t="shared" si="1113"/>
        <v>173644.76710350125</v>
      </c>
      <c r="CG158" s="385">
        <f t="shared" si="1113"/>
        <v>157394.89559878252</v>
      </c>
      <c r="CH158" s="385">
        <f t="shared" si="1113"/>
        <v>162156.63221475575</v>
      </c>
      <c r="CI158" s="385">
        <f t="shared" si="1113"/>
        <v>167021.30305604328</v>
      </c>
      <c r="CJ158" s="385">
        <f t="shared" si="1113"/>
        <v>172031.94441648285</v>
      </c>
      <c r="CL158" s="13"/>
      <c r="CM158" s="13"/>
    </row>
    <row r="159" spans="1:91" x14ac:dyDescent="0.3">
      <c r="A159" s="97" t="str">
        <f>'DCS Detail'!A159</f>
        <v xml:space="preserve">   241.30 Transportation Expenses</v>
      </c>
      <c r="B159" s="106" t="str">
        <f>IF('DCS Detail'!$B159="","",'DCS Detail'!$B159)</f>
        <v>Misc.</v>
      </c>
      <c r="C159" s="106"/>
      <c r="D159" s="106"/>
      <c r="E159" s="18">
        <v>0</v>
      </c>
      <c r="F159" s="18">
        <v>0</v>
      </c>
      <c r="G159" s="18">
        <v>1197.93</v>
      </c>
      <c r="H159" s="18">
        <v>439.57</v>
      </c>
      <c r="I159" s="18">
        <v>199.65</v>
      </c>
      <c r="J159" s="18">
        <v>0</v>
      </c>
      <c r="K159" s="18">
        <v>1633.78</v>
      </c>
      <c r="L159" s="18">
        <v>747.76999999999953</v>
      </c>
      <c r="M159" s="18">
        <v>3010.56</v>
      </c>
      <c r="N159" s="18">
        <v>0</v>
      </c>
      <c r="O159" s="18">
        <v>413.4</v>
      </c>
      <c r="P159" s="18">
        <v>560.52</v>
      </c>
      <c r="Q159" s="18">
        <v>663</v>
      </c>
      <c r="R159" s="18">
        <v>702</v>
      </c>
      <c r="S159" s="18">
        <v>1021.63</v>
      </c>
      <c r="T159" s="18">
        <v>680.73</v>
      </c>
      <c r="U159" s="18">
        <v>775.16</v>
      </c>
      <c r="V159" s="18">
        <v>442.96</v>
      </c>
      <c r="W159" s="18">
        <v>5947.4</v>
      </c>
      <c r="X159" s="18">
        <v>693.8</v>
      </c>
      <c r="Y159" s="18">
        <v>1014</v>
      </c>
      <c r="Z159" s="18">
        <v>373.14</v>
      </c>
      <c r="AA159" s="442">
        <v>1561.08</v>
      </c>
      <c r="AB159" s="120">
        <f t="shared" ref="AB159:BE159" si="1391">P159*(1+AB$263)</f>
        <v>577.3356</v>
      </c>
      <c r="AC159" s="120">
        <f t="shared" si="1391"/>
        <v>682.89</v>
      </c>
      <c r="AD159" s="120">
        <f t="shared" si="1391"/>
        <v>723.06000000000006</v>
      </c>
      <c r="AE159" s="120">
        <f t="shared" si="1391"/>
        <v>1052.2789</v>
      </c>
      <c r="AF159" s="120">
        <f t="shared" si="1391"/>
        <v>701.15190000000007</v>
      </c>
      <c r="AG159" s="120">
        <f t="shared" si="1391"/>
        <v>798.41480000000001</v>
      </c>
      <c r="AH159" s="120">
        <f t="shared" si="1391"/>
        <v>456.24880000000002</v>
      </c>
      <c r="AI159" s="120">
        <f t="shared" si="1391"/>
        <v>6125.8220000000001</v>
      </c>
      <c r="AJ159" s="120">
        <f t="shared" si="1391"/>
        <v>714.61399999999992</v>
      </c>
      <c r="AK159" s="120">
        <f t="shared" si="1391"/>
        <v>1044.42</v>
      </c>
      <c r="AL159" s="120">
        <f t="shared" si="1391"/>
        <v>384.33420000000001</v>
      </c>
      <c r="AM159" s="120">
        <f t="shared" si="1391"/>
        <v>1607.9123999999999</v>
      </c>
      <c r="AN159" s="120">
        <f t="shared" si="1391"/>
        <v>594.65566799999999</v>
      </c>
      <c r="AO159" s="120">
        <f t="shared" si="1391"/>
        <v>703.37670000000003</v>
      </c>
      <c r="AP159" s="120">
        <f t="shared" si="1391"/>
        <v>744.75180000000012</v>
      </c>
      <c r="AQ159" s="120">
        <f t="shared" si="1391"/>
        <v>1083.8472670000001</v>
      </c>
      <c r="AR159" s="120">
        <f t="shared" si="1391"/>
        <v>722.18645700000013</v>
      </c>
      <c r="AS159" s="120">
        <f t="shared" si="1391"/>
        <v>822.36724400000003</v>
      </c>
      <c r="AT159" s="120">
        <f t="shared" si="1391"/>
        <v>469.93626400000005</v>
      </c>
      <c r="AU159" s="120">
        <f t="shared" si="1391"/>
        <v>6309.5966600000002</v>
      </c>
      <c r="AV159" s="120">
        <f t="shared" si="1391"/>
        <v>736.05241999999998</v>
      </c>
      <c r="AW159" s="120">
        <f t="shared" si="1391"/>
        <v>1075.7526</v>
      </c>
      <c r="AX159" s="120">
        <f t="shared" si="1391"/>
        <v>395.86422600000003</v>
      </c>
      <c r="AY159" s="120">
        <f t="shared" si="1391"/>
        <v>1656.149772</v>
      </c>
      <c r="AZ159" s="120">
        <f t="shared" si="1391"/>
        <v>612.49533803999998</v>
      </c>
      <c r="BA159" s="120">
        <f t="shared" si="1391"/>
        <v>724.47800100000006</v>
      </c>
      <c r="BB159" s="120">
        <f t="shared" si="1391"/>
        <v>767.09435400000018</v>
      </c>
      <c r="BC159" s="120">
        <f t="shared" si="1391"/>
        <v>1116.3626850100002</v>
      </c>
      <c r="BD159" s="120">
        <f t="shared" si="1391"/>
        <v>743.85205071000019</v>
      </c>
      <c r="BE159" s="120">
        <f t="shared" si="1391"/>
        <v>847.03826132000006</v>
      </c>
      <c r="BF159" s="120">
        <f t="shared" ref="BF159:BX159" si="1392">AT159*(1+BF$263)</f>
        <v>484.03435192000006</v>
      </c>
      <c r="BG159" s="120">
        <f t="shared" si="1392"/>
        <v>6498.8845598000007</v>
      </c>
      <c r="BH159" s="120">
        <f t="shared" si="1392"/>
        <v>758.13399260000006</v>
      </c>
      <c r="BI159" s="120">
        <f t="shared" si="1392"/>
        <v>1108.0251780000001</v>
      </c>
      <c r="BJ159" s="120">
        <f t="shared" si="1392"/>
        <v>407.74015278000002</v>
      </c>
      <c r="BK159" s="120">
        <f t="shared" si="1392"/>
        <v>1705.8342651600001</v>
      </c>
      <c r="BL159" s="120">
        <f t="shared" si="1392"/>
        <v>630.87019818119995</v>
      </c>
      <c r="BM159" s="120">
        <f t="shared" si="1392"/>
        <v>746.21234103000006</v>
      </c>
      <c r="BN159" s="120">
        <f t="shared" si="1392"/>
        <v>790.10718462000023</v>
      </c>
      <c r="BO159" s="120">
        <f t="shared" si="1392"/>
        <v>1149.8535655603002</v>
      </c>
      <c r="BP159" s="120">
        <f t="shared" si="1392"/>
        <v>766.16761223130015</v>
      </c>
      <c r="BQ159" s="120">
        <f t="shared" si="1392"/>
        <v>872.44940915960012</v>
      </c>
      <c r="BR159" s="120">
        <f t="shared" si="1392"/>
        <v>498.55538247760006</v>
      </c>
      <c r="BS159" s="120">
        <f t="shared" si="1392"/>
        <v>6693.8510965940013</v>
      </c>
      <c r="BT159" s="120">
        <f t="shared" si="1392"/>
        <v>780.87801237800011</v>
      </c>
      <c r="BU159" s="120">
        <f t="shared" si="1392"/>
        <v>1141.2659333400002</v>
      </c>
      <c r="BV159" s="120">
        <f t="shared" si="1392"/>
        <v>419.97235736340002</v>
      </c>
      <c r="BW159" s="120">
        <f t="shared" si="1392"/>
        <v>1757.0092931148001</v>
      </c>
      <c r="BX159" s="120">
        <f t="shared" si="1392"/>
        <v>649.79630412663596</v>
      </c>
      <c r="BY159" s="8"/>
      <c r="BZ159" s="72">
        <f t="shared" si="1359"/>
        <v>1561.08</v>
      </c>
      <c r="CA159" s="72">
        <f t="shared" si="1360"/>
        <v>13874.899999999998</v>
      </c>
      <c r="CB159" s="97"/>
      <c r="CC159" s="72">
        <f t="shared" si="895"/>
        <v>0</v>
      </c>
      <c r="CD159" s="72">
        <f t="shared" si="1113"/>
        <v>0</v>
      </c>
      <c r="CE159" s="72">
        <f t="shared" si="1113"/>
        <v>8203.18</v>
      </c>
      <c r="CF159" s="72">
        <f t="shared" si="1113"/>
        <v>14452.235599999998</v>
      </c>
      <c r="CG159" s="72">
        <f t="shared" si="1113"/>
        <v>14885.802667999997</v>
      </c>
      <c r="CH159" s="72">
        <f t="shared" si="1113"/>
        <v>15332.37674804</v>
      </c>
      <c r="CI159" s="72">
        <f t="shared" si="1113"/>
        <v>15792.3480504812</v>
      </c>
      <c r="CJ159" s="72">
        <f t="shared" si="1113"/>
        <v>16266.118491995638</v>
      </c>
      <c r="CL159" s="13"/>
      <c r="CM159" s="13"/>
    </row>
    <row r="160" spans="1:91" x14ac:dyDescent="0.3">
      <c r="A160" s="97" t="str">
        <f>'DCS Detail'!A160</f>
        <v xml:space="preserve">   639 Part B</v>
      </c>
      <c r="B160" s="106" t="str">
        <f>IF('DCS Detail'!$B160="","",'DCS Detail'!$B160)</f>
        <v/>
      </c>
      <c r="C160" s="106"/>
      <c r="D160" s="106"/>
      <c r="E160" s="18">
        <v>0</v>
      </c>
      <c r="F160" s="18">
        <v>0</v>
      </c>
      <c r="G160" s="18">
        <v>0</v>
      </c>
      <c r="H160" s="18">
        <v>0</v>
      </c>
      <c r="I160" s="18">
        <v>0</v>
      </c>
      <c r="J160" s="18">
        <v>0</v>
      </c>
      <c r="K160" s="18">
        <v>0</v>
      </c>
      <c r="L160" s="18">
        <v>0</v>
      </c>
      <c r="M160" s="18">
        <v>0</v>
      </c>
      <c r="N160" s="18">
        <v>0</v>
      </c>
      <c r="O160" s="18">
        <v>0</v>
      </c>
      <c r="P160" s="18">
        <v>0</v>
      </c>
      <c r="Q160" s="18">
        <v>0</v>
      </c>
      <c r="R160" s="18">
        <v>0</v>
      </c>
      <c r="S160" s="18">
        <v>0</v>
      </c>
      <c r="T160" s="18">
        <v>0</v>
      </c>
      <c r="U160" s="18">
        <v>0</v>
      </c>
      <c r="V160" s="18">
        <v>0</v>
      </c>
      <c r="W160" s="18">
        <v>0</v>
      </c>
      <c r="X160" s="18">
        <v>0</v>
      </c>
      <c r="Y160" s="18">
        <v>0</v>
      </c>
      <c r="Z160" s="18">
        <v>0</v>
      </c>
      <c r="AA160" s="146">
        <v>0</v>
      </c>
      <c r="AB160" s="18">
        <v>0</v>
      </c>
      <c r="AC160" s="18">
        <v>0</v>
      </c>
      <c r="AD160" s="18">
        <v>0</v>
      </c>
      <c r="AE160" s="18">
        <v>0</v>
      </c>
      <c r="AF160" s="18">
        <v>0</v>
      </c>
      <c r="AG160" s="18">
        <v>0</v>
      </c>
      <c r="AH160" s="18">
        <v>0</v>
      </c>
      <c r="AI160" s="18">
        <v>0</v>
      </c>
      <c r="AJ160" s="18">
        <v>0</v>
      </c>
      <c r="AK160" s="18">
        <v>0</v>
      </c>
      <c r="AL160" s="18">
        <v>0</v>
      </c>
      <c r="AM160" s="18">
        <v>0</v>
      </c>
      <c r="AN160" s="18">
        <v>0</v>
      </c>
      <c r="AO160" s="18">
        <v>0</v>
      </c>
      <c r="AP160" s="18">
        <v>0</v>
      </c>
      <c r="AQ160" s="18">
        <v>0</v>
      </c>
      <c r="AR160" s="18">
        <v>0</v>
      </c>
      <c r="AS160" s="18">
        <v>0</v>
      </c>
      <c r="AT160" s="18">
        <v>0</v>
      </c>
      <c r="AU160" s="18">
        <v>0</v>
      </c>
      <c r="AV160" s="18">
        <v>0</v>
      </c>
      <c r="AW160" s="18">
        <v>0</v>
      </c>
      <c r="AX160" s="18">
        <v>0</v>
      </c>
      <c r="AY160" s="18">
        <v>0</v>
      </c>
      <c r="AZ160" s="18">
        <v>0</v>
      </c>
      <c r="BA160" s="18">
        <v>0</v>
      </c>
      <c r="BB160" s="18">
        <v>0</v>
      </c>
      <c r="BC160" s="18">
        <v>0</v>
      </c>
      <c r="BD160" s="18">
        <v>0</v>
      </c>
      <c r="BE160" s="18">
        <v>0</v>
      </c>
      <c r="BF160" s="18">
        <v>0</v>
      </c>
      <c r="BG160" s="18">
        <v>0</v>
      </c>
      <c r="BH160" s="18">
        <v>0</v>
      </c>
      <c r="BI160" s="18">
        <v>0</v>
      </c>
      <c r="BJ160" s="18">
        <v>0</v>
      </c>
      <c r="BK160" s="18">
        <v>0</v>
      </c>
      <c r="BL160" s="18">
        <v>0</v>
      </c>
      <c r="BM160" s="18">
        <v>0</v>
      </c>
      <c r="BN160" s="18">
        <v>0</v>
      </c>
      <c r="BO160" s="18">
        <v>0</v>
      </c>
      <c r="BP160" s="18">
        <v>0</v>
      </c>
      <c r="BQ160" s="18">
        <v>0</v>
      </c>
      <c r="BR160" s="18">
        <v>0</v>
      </c>
      <c r="BS160" s="18">
        <v>0</v>
      </c>
      <c r="BT160" s="18">
        <v>0</v>
      </c>
      <c r="BU160" s="18">
        <v>0</v>
      </c>
      <c r="BV160" s="18">
        <v>0</v>
      </c>
      <c r="BW160" s="18">
        <v>0</v>
      </c>
      <c r="BX160" s="18">
        <v>0</v>
      </c>
      <c r="BY160" s="8"/>
      <c r="BZ160" s="72">
        <f t="shared" si="1359"/>
        <v>0</v>
      </c>
      <c r="CA160" s="72">
        <f t="shared" si="1360"/>
        <v>0</v>
      </c>
      <c r="CB160" s="97"/>
      <c r="CC160" s="72">
        <f t="shared" si="895"/>
        <v>0</v>
      </c>
      <c r="CD160" s="72">
        <f t="shared" ref="CD160:CJ173" si="1393">SUMIF($C$3:$BY$3,CD$3,$C160:$BY160)</f>
        <v>0</v>
      </c>
      <c r="CE160" s="72">
        <f t="shared" si="1393"/>
        <v>0</v>
      </c>
      <c r="CF160" s="72">
        <f t="shared" si="1393"/>
        <v>0</v>
      </c>
      <c r="CG160" s="72">
        <f t="shared" si="1393"/>
        <v>0</v>
      </c>
      <c r="CH160" s="72">
        <f t="shared" si="1393"/>
        <v>0</v>
      </c>
      <c r="CI160" s="72">
        <f t="shared" si="1393"/>
        <v>0</v>
      </c>
      <c r="CJ160" s="72">
        <f t="shared" si="1393"/>
        <v>0</v>
      </c>
      <c r="CL160" s="13"/>
      <c r="CM160" s="13"/>
    </row>
    <row r="161" spans="1:91" x14ac:dyDescent="0.3">
      <c r="A161" s="97" t="str">
        <f>'DCS Detail'!A161</f>
        <v xml:space="preserve">      231.4 PERS</v>
      </c>
      <c r="B161" s="106" t="str">
        <f>IF('DCS Detail'!$B161="","",'DCS Detail'!$B161)</f>
        <v>Misc.</v>
      </c>
      <c r="C161" s="139"/>
      <c r="D161" s="139"/>
      <c r="E161" s="121">
        <v>0</v>
      </c>
      <c r="F161" s="121">
        <v>0</v>
      </c>
      <c r="G161" s="121">
        <v>0</v>
      </c>
      <c r="H161" s="121">
        <v>0</v>
      </c>
      <c r="I161" s="121">
        <v>0</v>
      </c>
      <c r="J161" s="121">
        <v>0</v>
      </c>
      <c r="K161" s="121">
        <v>0</v>
      </c>
      <c r="L161" s="121">
        <v>0</v>
      </c>
      <c r="M161" s="121">
        <v>0</v>
      </c>
      <c r="N161" s="121">
        <v>0</v>
      </c>
      <c r="O161" s="121">
        <v>0</v>
      </c>
      <c r="P161" s="121">
        <v>38692.68</v>
      </c>
      <c r="Q161" s="121">
        <v>0</v>
      </c>
      <c r="R161" s="121">
        <v>0</v>
      </c>
      <c r="S161" s="121">
        <v>0</v>
      </c>
      <c r="T161" s="121">
        <v>0</v>
      </c>
      <c r="U161" s="121">
        <v>0</v>
      </c>
      <c r="V161" s="121">
        <v>0</v>
      </c>
      <c r="W161" s="121">
        <v>0</v>
      </c>
      <c r="X161" s="121">
        <v>0</v>
      </c>
      <c r="Y161" s="121">
        <v>0</v>
      </c>
      <c r="Z161" s="121">
        <v>0</v>
      </c>
      <c r="AA161" s="121">
        <v>0</v>
      </c>
      <c r="AB161" s="121">
        <v>0</v>
      </c>
      <c r="AC161" s="121">
        <v>0</v>
      </c>
      <c r="AD161" s="121">
        <v>0</v>
      </c>
      <c r="AE161" s="121">
        <v>0</v>
      </c>
      <c r="AF161" s="121">
        <v>0</v>
      </c>
      <c r="AG161" s="121">
        <v>0</v>
      </c>
      <c r="AH161" s="121">
        <v>0</v>
      </c>
      <c r="AI161" s="121">
        <v>0</v>
      </c>
      <c r="AJ161" s="121">
        <v>0</v>
      </c>
      <c r="AK161" s="121">
        <v>0</v>
      </c>
      <c r="AL161" s="121">
        <v>0</v>
      </c>
      <c r="AM161" s="121">
        <v>0</v>
      </c>
      <c r="AN161" s="121">
        <v>0</v>
      </c>
      <c r="AO161" s="121">
        <v>0</v>
      </c>
      <c r="AP161" s="121">
        <v>0</v>
      </c>
      <c r="AQ161" s="121">
        <v>0</v>
      </c>
      <c r="AR161" s="121">
        <v>0</v>
      </c>
      <c r="AS161" s="121">
        <v>0</v>
      </c>
      <c r="AT161" s="121">
        <v>0</v>
      </c>
      <c r="AU161" s="121">
        <v>0</v>
      </c>
      <c r="AV161" s="121">
        <v>0</v>
      </c>
      <c r="AW161" s="121">
        <v>0</v>
      </c>
      <c r="AX161" s="121">
        <v>0</v>
      </c>
      <c r="AY161" s="121">
        <v>0</v>
      </c>
      <c r="AZ161" s="121">
        <v>0</v>
      </c>
      <c r="BA161" s="121">
        <v>0</v>
      </c>
      <c r="BB161" s="121">
        <v>0</v>
      </c>
      <c r="BC161" s="121">
        <v>0</v>
      </c>
      <c r="BD161" s="121">
        <v>0</v>
      </c>
      <c r="BE161" s="121">
        <v>0</v>
      </c>
      <c r="BF161" s="121">
        <v>0</v>
      </c>
      <c r="BG161" s="121">
        <v>0</v>
      </c>
      <c r="BH161" s="121">
        <v>0</v>
      </c>
      <c r="BI161" s="121">
        <v>0</v>
      </c>
      <c r="BJ161" s="121">
        <v>0</v>
      </c>
      <c r="BK161" s="121">
        <v>0</v>
      </c>
      <c r="BL161" s="121">
        <v>0</v>
      </c>
      <c r="BM161" s="121">
        <v>0</v>
      </c>
      <c r="BN161" s="121">
        <v>0</v>
      </c>
      <c r="BO161" s="121">
        <v>0</v>
      </c>
      <c r="BP161" s="121">
        <v>0</v>
      </c>
      <c r="BQ161" s="121">
        <v>0</v>
      </c>
      <c r="BR161" s="121">
        <v>0</v>
      </c>
      <c r="BS161" s="121">
        <v>0</v>
      </c>
      <c r="BT161" s="121">
        <v>0</v>
      </c>
      <c r="BU161" s="121">
        <v>0</v>
      </c>
      <c r="BV161" s="121">
        <v>0</v>
      </c>
      <c r="BW161" s="121">
        <v>0</v>
      </c>
      <c r="BX161" s="121">
        <v>0</v>
      </c>
      <c r="BY161" s="8"/>
      <c r="BZ161" s="73">
        <f t="shared" si="1359"/>
        <v>0</v>
      </c>
      <c r="CA161" s="73">
        <f t="shared" si="1360"/>
        <v>0</v>
      </c>
      <c r="CB161" s="97"/>
      <c r="CC161" s="73">
        <f t="shared" si="895"/>
        <v>0</v>
      </c>
      <c r="CD161" s="73">
        <f t="shared" si="1393"/>
        <v>0</v>
      </c>
      <c r="CE161" s="73">
        <f t="shared" si="1393"/>
        <v>38692.68</v>
      </c>
      <c r="CF161" s="73">
        <f t="shared" si="1393"/>
        <v>0</v>
      </c>
      <c r="CG161" s="73">
        <f t="shared" si="1393"/>
        <v>0</v>
      </c>
      <c r="CH161" s="73">
        <f t="shared" si="1393"/>
        <v>0</v>
      </c>
      <c r="CI161" s="73">
        <f t="shared" si="1393"/>
        <v>0</v>
      </c>
      <c r="CJ161" s="73">
        <f t="shared" si="1393"/>
        <v>0</v>
      </c>
      <c r="CL161" s="13"/>
      <c r="CM161" s="13"/>
    </row>
    <row r="162" spans="1:91" x14ac:dyDescent="0.3">
      <c r="A162" s="97" t="str">
        <f>'DCS Detail'!A162</f>
        <v xml:space="preserve">   Total 639 Part B</v>
      </c>
      <c r="B162" s="106" t="str">
        <f>IF('DCS Detail'!$B162="","",'DCS Detail'!$B162)</f>
        <v/>
      </c>
      <c r="C162" s="106"/>
      <c r="D162" s="106"/>
      <c r="E162" s="36">
        <f>SUM(E160:E161)</f>
        <v>0</v>
      </c>
      <c r="F162" s="36">
        <f t="shared" ref="F162:Y162" si="1394">SUM(F160:F161)</f>
        <v>0</v>
      </c>
      <c r="G162" s="36">
        <f t="shared" si="1394"/>
        <v>0</v>
      </c>
      <c r="H162" s="36">
        <f t="shared" si="1394"/>
        <v>0</v>
      </c>
      <c r="I162" s="36">
        <f t="shared" si="1394"/>
        <v>0</v>
      </c>
      <c r="J162" s="36">
        <f t="shared" si="1394"/>
        <v>0</v>
      </c>
      <c r="K162" s="36">
        <f t="shared" si="1394"/>
        <v>0</v>
      </c>
      <c r="L162" s="36">
        <f t="shared" si="1394"/>
        <v>0</v>
      </c>
      <c r="M162" s="36">
        <f t="shared" si="1394"/>
        <v>0</v>
      </c>
      <c r="N162" s="36">
        <f t="shared" si="1394"/>
        <v>0</v>
      </c>
      <c r="O162" s="36">
        <f t="shared" si="1394"/>
        <v>0</v>
      </c>
      <c r="P162" s="36">
        <f t="shared" si="1394"/>
        <v>38692.68</v>
      </c>
      <c r="Q162" s="36">
        <f t="shared" si="1394"/>
        <v>0</v>
      </c>
      <c r="R162" s="36">
        <f t="shared" si="1394"/>
        <v>0</v>
      </c>
      <c r="S162" s="36">
        <f t="shared" si="1394"/>
        <v>0</v>
      </c>
      <c r="T162" s="36">
        <f t="shared" si="1394"/>
        <v>0</v>
      </c>
      <c r="U162" s="36">
        <f t="shared" si="1394"/>
        <v>0</v>
      </c>
      <c r="V162" s="36">
        <f t="shared" si="1394"/>
        <v>0</v>
      </c>
      <c r="W162" s="36">
        <f t="shared" si="1394"/>
        <v>0</v>
      </c>
      <c r="X162" s="36">
        <v>0</v>
      </c>
      <c r="Y162" s="36">
        <f t="shared" si="1394"/>
        <v>0</v>
      </c>
      <c r="Z162" s="36">
        <f t="shared" ref="Z162:AZ162" si="1395">SUM(Z160:Z161)</f>
        <v>0</v>
      </c>
      <c r="AA162" s="36">
        <f t="shared" si="1395"/>
        <v>0</v>
      </c>
      <c r="AB162" s="36">
        <f t="shared" si="1395"/>
        <v>0</v>
      </c>
      <c r="AC162" s="36">
        <f t="shared" si="1395"/>
        <v>0</v>
      </c>
      <c r="AD162" s="36">
        <f t="shared" si="1395"/>
        <v>0</v>
      </c>
      <c r="AE162" s="36">
        <f t="shared" si="1395"/>
        <v>0</v>
      </c>
      <c r="AF162" s="36">
        <f t="shared" si="1395"/>
        <v>0</v>
      </c>
      <c r="AG162" s="36">
        <f t="shared" si="1395"/>
        <v>0</v>
      </c>
      <c r="AH162" s="36">
        <f t="shared" si="1395"/>
        <v>0</v>
      </c>
      <c r="AI162" s="36">
        <f t="shared" si="1395"/>
        <v>0</v>
      </c>
      <c r="AJ162" s="36">
        <f t="shared" si="1395"/>
        <v>0</v>
      </c>
      <c r="AK162" s="36">
        <f t="shared" si="1395"/>
        <v>0</v>
      </c>
      <c r="AL162" s="36">
        <f t="shared" si="1395"/>
        <v>0</v>
      </c>
      <c r="AM162" s="36">
        <f t="shared" si="1395"/>
        <v>0</v>
      </c>
      <c r="AN162" s="36">
        <f t="shared" si="1395"/>
        <v>0</v>
      </c>
      <c r="AO162" s="36">
        <f t="shared" si="1395"/>
        <v>0</v>
      </c>
      <c r="AP162" s="36">
        <f t="shared" si="1395"/>
        <v>0</v>
      </c>
      <c r="AQ162" s="36">
        <f t="shared" si="1395"/>
        <v>0</v>
      </c>
      <c r="AR162" s="36">
        <f t="shared" si="1395"/>
        <v>0</v>
      </c>
      <c r="AS162" s="36">
        <f t="shared" si="1395"/>
        <v>0</v>
      </c>
      <c r="AT162" s="36">
        <f t="shared" si="1395"/>
        <v>0</v>
      </c>
      <c r="AU162" s="36">
        <f t="shared" si="1395"/>
        <v>0</v>
      </c>
      <c r="AV162" s="36">
        <f t="shared" si="1395"/>
        <v>0</v>
      </c>
      <c r="AW162" s="36">
        <f t="shared" si="1395"/>
        <v>0</v>
      </c>
      <c r="AX162" s="36">
        <f t="shared" si="1395"/>
        <v>0</v>
      </c>
      <c r="AY162" s="36">
        <f t="shared" si="1395"/>
        <v>0</v>
      </c>
      <c r="AZ162" s="36">
        <f t="shared" si="1395"/>
        <v>0</v>
      </c>
      <c r="BA162" s="36">
        <f t="shared" ref="BA162:BX162" si="1396">SUM(BA160:BA161)</f>
        <v>0</v>
      </c>
      <c r="BB162" s="36">
        <f t="shared" si="1396"/>
        <v>0</v>
      </c>
      <c r="BC162" s="36">
        <f t="shared" si="1396"/>
        <v>0</v>
      </c>
      <c r="BD162" s="36">
        <f t="shared" si="1396"/>
        <v>0</v>
      </c>
      <c r="BE162" s="36">
        <f t="shared" si="1396"/>
        <v>0</v>
      </c>
      <c r="BF162" s="36">
        <f t="shared" si="1396"/>
        <v>0</v>
      </c>
      <c r="BG162" s="36">
        <f t="shared" si="1396"/>
        <v>0</v>
      </c>
      <c r="BH162" s="36">
        <f t="shared" si="1396"/>
        <v>0</v>
      </c>
      <c r="BI162" s="36">
        <f t="shared" si="1396"/>
        <v>0</v>
      </c>
      <c r="BJ162" s="36">
        <f t="shared" si="1396"/>
        <v>0</v>
      </c>
      <c r="BK162" s="36">
        <f t="shared" si="1396"/>
        <v>0</v>
      </c>
      <c r="BL162" s="36">
        <f t="shared" si="1396"/>
        <v>0</v>
      </c>
      <c r="BM162" s="36">
        <f t="shared" si="1396"/>
        <v>0</v>
      </c>
      <c r="BN162" s="36">
        <f t="shared" si="1396"/>
        <v>0</v>
      </c>
      <c r="BO162" s="36">
        <f t="shared" si="1396"/>
        <v>0</v>
      </c>
      <c r="BP162" s="36">
        <f t="shared" si="1396"/>
        <v>0</v>
      </c>
      <c r="BQ162" s="36">
        <f t="shared" si="1396"/>
        <v>0</v>
      </c>
      <c r="BR162" s="36">
        <f t="shared" si="1396"/>
        <v>0</v>
      </c>
      <c r="BS162" s="36">
        <f t="shared" si="1396"/>
        <v>0</v>
      </c>
      <c r="BT162" s="36">
        <f t="shared" si="1396"/>
        <v>0</v>
      </c>
      <c r="BU162" s="36">
        <f t="shared" si="1396"/>
        <v>0</v>
      </c>
      <c r="BV162" s="36">
        <f t="shared" si="1396"/>
        <v>0</v>
      </c>
      <c r="BW162" s="36">
        <f t="shared" si="1396"/>
        <v>0</v>
      </c>
      <c r="BX162" s="36">
        <f t="shared" si="1396"/>
        <v>0</v>
      </c>
      <c r="BY162" s="8"/>
      <c r="BZ162" s="72">
        <f t="shared" si="1359"/>
        <v>0</v>
      </c>
      <c r="CA162" s="72">
        <f t="shared" si="1360"/>
        <v>0</v>
      </c>
      <c r="CB162" s="97"/>
      <c r="CC162" s="72">
        <f t="shared" si="895"/>
        <v>0</v>
      </c>
      <c r="CD162" s="72">
        <f t="shared" si="1393"/>
        <v>0</v>
      </c>
      <c r="CE162" s="72">
        <f t="shared" si="1393"/>
        <v>38692.68</v>
      </c>
      <c r="CF162" s="72">
        <f t="shared" si="1393"/>
        <v>0</v>
      </c>
      <c r="CG162" s="72">
        <f t="shared" si="1393"/>
        <v>0</v>
      </c>
      <c r="CH162" s="72">
        <f t="shared" si="1393"/>
        <v>0</v>
      </c>
      <c r="CI162" s="72">
        <f t="shared" si="1393"/>
        <v>0</v>
      </c>
      <c r="CJ162" s="72">
        <f t="shared" si="1393"/>
        <v>0</v>
      </c>
      <c r="CL162" s="13"/>
      <c r="CM162" s="13"/>
    </row>
    <row r="163" spans="1:91" x14ac:dyDescent="0.3">
      <c r="A163" s="97" t="str">
        <f>'DCS Detail'!A163</f>
        <v xml:space="preserve">   312.2 Receiver</v>
      </c>
      <c r="B163" s="106" t="str">
        <f>IF('DCS Detail'!$B163="","",'DCS Detail'!$B163)</f>
        <v>Salaries</v>
      </c>
      <c r="C163" s="106"/>
      <c r="D163" s="106"/>
      <c r="E163" s="18">
        <v>0</v>
      </c>
      <c r="F163" s="18">
        <v>0</v>
      </c>
      <c r="G163" s="18">
        <v>0</v>
      </c>
      <c r="H163" s="18">
        <v>0</v>
      </c>
      <c r="I163" s="18">
        <v>0</v>
      </c>
      <c r="J163" s="18">
        <v>-11700</v>
      </c>
      <c r="K163" s="18">
        <v>0</v>
      </c>
      <c r="L163" s="18">
        <v>0</v>
      </c>
      <c r="M163" s="18">
        <v>0</v>
      </c>
      <c r="N163" s="18">
        <v>0</v>
      </c>
      <c r="O163" s="18">
        <v>0</v>
      </c>
      <c r="P163" s="18">
        <v>0</v>
      </c>
      <c r="Q163" s="18">
        <v>0</v>
      </c>
      <c r="R163" s="18">
        <v>0</v>
      </c>
      <c r="S163" s="18">
        <v>0</v>
      </c>
      <c r="T163" s="18">
        <v>0</v>
      </c>
      <c r="U163" s="18">
        <v>0</v>
      </c>
      <c r="V163" s="18">
        <v>0</v>
      </c>
      <c r="W163" s="18">
        <v>0</v>
      </c>
      <c r="X163" s="18">
        <v>0</v>
      </c>
      <c r="Y163" s="18">
        <v>0</v>
      </c>
      <c r="Z163" s="18">
        <v>0</v>
      </c>
      <c r="AA163" s="146">
        <v>0</v>
      </c>
      <c r="AB163" s="18">
        <v>0</v>
      </c>
      <c r="AC163" s="18">
        <v>0</v>
      </c>
      <c r="AD163" s="18">
        <v>0</v>
      </c>
      <c r="AE163" s="18">
        <v>0</v>
      </c>
      <c r="AF163" s="18">
        <v>0</v>
      </c>
      <c r="AG163" s="18">
        <v>0</v>
      </c>
      <c r="AH163" s="18">
        <v>0</v>
      </c>
      <c r="AI163" s="18">
        <v>0</v>
      </c>
      <c r="AJ163" s="18">
        <v>0</v>
      </c>
      <c r="AK163" s="18">
        <v>0</v>
      </c>
      <c r="AL163" s="18">
        <v>0</v>
      </c>
      <c r="AM163" s="18">
        <v>0</v>
      </c>
      <c r="AN163" s="18">
        <v>0</v>
      </c>
      <c r="AO163" s="18">
        <v>0</v>
      </c>
      <c r="AP163" s="18">
        <v>0</v>
      </c>
      <c r="AQ163" s="18">
        <v>0</v>
      </c>
      <c r="AR163" s="18">
        <v>0</v>
      </c>
      <c r="AS163" s="18">
        <v>0</v>
      </c>
      <c r="AT163" s="18">
        <v>0</v>
      </c>
      <c r="AU163" s="18">
        <v>0</v>
      </c>
      <c r="AV163" s="18">
        <v>0</v>
      </c>
      <c r="AW163" s="18">
        <v>0</v>
      </c>
      <c r="AX163" s="18">
        <v>0</v>
      </c>
      <c r="AY163" s="18">
        <v>0</v>
      </c>
      <c r="AZ163" s="18">
        <v>0</v>
      </c>
      <c r="BA163" s="18">
        <v>0</v>
      </c>
      <c r="BB163" s="18">
        <v>0</v>
      </c>
      <c r="BC163" s="18">
        <v>0</v>
      </c>
      <c r="BD163" s="18">
        <v>0</v>
      </c>
      <c r="BE163" s="18">
        <v>0</v>
      </c>
      <c r="BF163" s="18">
        <v>0</v>
      </c>
      <c r="BG163" s="18">
        <v>0</v>
      </c>
      <c r="BH163" s="18">
        <v>0</v>
      </c>
      <c r="BI163" s="18">
        <v>0</v>
      </c>
      <c r="BJ163" s="18">
        <v>0</v>
      </c>
      <c r="BK163" s="18">
        <v>0</v>
      </c>
      <c r="BL163" s="18">
        <v>0</v>
      </c>
      <c r="BM163" s="18">
        <v>0</v>
      </c>
      <c r="BN163" s="18">
        <v>0</v>
      </c>
      <c r="BO163" s="18">
        <v>0</v>
      </c>
      <c r="BP163" s="18">
        <v>0</v>
      </c>
      <c r="BQ163" s="18">
        <v>0</v>
      </c>
      <c r="BR163" s="18">
        <v>0</v>
      </c>
      <c r="BS163" s="18">
        <v>0</v>
      </c>
      <c r="BT163" s="18">
        <v>0</v>
      </c>
      <c r="BU163" s="18">
        <v>0</v>
      </c>
      <c r="BV163" s="18">
        <v>0</v>
      </c>
      <c r="BW163" s="18">
        <v>0</v>
      </c>
      <c r="BX163" s="18">
        <v>0</v>
      </c>
      <c r="BY163" s="8"/>
      <c r="BZ163" s="72">
        <f t="shared" si="1359"/>
        <v>0</v>
      </c>
      <c r="CA163" s="72">
        <f t="shared" si="1360"/>
        <v>0</v>
      </c>
      <c r="CB163" s="97"/>
      <c r="CC163" s="72">
        <f t="shared" si="895"/>
        <v>0</v>
      </c>
      <c r="CD163" s="72">
        <f t="shared" si="1393"/>
        <v>0</v>
      </c>
      <c r="CE163" s="72">
        <f t="shared" si="1393"/>
        <v>-11700</v>
      </c>
      <c r="CF163" s="72">
        <f t="shared" si="1393"/>
        <v>0</v>
      </c>
      <c r="CG163" s="72">
        <f t="shared" si="1393"/>
        <v>0</v>
      </c>
      <c r="CH163" s="72">
        <f t="shared" si="1393"/>
        <v>0</v>
      </c>
      <c r="CI163" s="72">
        <f t="shared" si="1393"/>
        <v>0</v>
      </c>
      <c r="CJ163" s="72">
        <f t="shared" si="1393"/>
        <v>0</v>
      </c>
      <c r="CL163" s="13"/>
      <c r="CM163" s="13"/>
    </row>
    <row r="164" spans="1:91" x14ac:dyDescent="0.3">
      <c r="A164" s="97" t="str">
        <f>'DCS Detail'!A164</f>
        <v xml:space="preserve">   800.1 Parent Involvement</v>
      </c>
      <c r="B164" s="106" t="str">
        <f>IF('DCS Detail'!$B164="","",'DCS Detail'!$B164)</f>
        <v>Curriculum</v>
      </c>
      <c r="C164" s="106"/>
      <c r="D164" s="106"/>
      <c r="E164" s="18">
        <v>0</v>
      </c>
      <c r="F164" s="18">
        <v>0</v>
      </c>
      <c r="G164" s="18">
        <v>0</v>
      </c>
      <c r="H164" s="18">
        <v>0</v>
      </c>
      <c r="I164" s="18">
        <v>0</v>
      </c>
      <c r="J164" s="18">
        <v>0</v>
      </c>
      <c r="K164" s="18">
        <v>0</v>
      </c>
      <c r="L164" s="18">
        <v>0</v>
      </c>
      <c r="M164" s="18">
        <v>0</v>
      </c>
      <c r="N164" s="18">
        <v>0</v>
      </c>
      <c r="O164" s="18">
        <v>459.18</v>
      </c>
      <c r="P164" s="18">
        <v>0</v>
      </c>
      <c r="Q164" s="18">
        <v>0</v>
      </c>
      <c r="R164" s="18">
        <v>368.49</v>
      </c>
      <c r="S164" s="18">
        <v>0</v>
      </c>
      <c r="T164" s="18">
        <v>0</v>
      </c>
      <c r="U164" s="18">
        <v>-12.48</v>
      </c>
      <c r="V164" s="18">
        <v>0</v>
      </c>
      <c r="W164" s="18">
        <v>0</v>
      </c>
      <c r="X164" s="18">
        <v>0</v>
      </c>
      <c r="Y164" s="18">
        <v>0</v>
      </c>
      <c r="Z164" s="18">
        <v>54.91</v>
      </c>
      <c r="AA164" s="146">
        <v>39</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c r="AU164" s="18">
        <v>0</v>
      </c>
      <c r="AV164" s="18">
        <v>0</v>
      </c>
      <c r="AW164" s="18">
        <v>0</v>
      </c>
      <c r="AX164" s="18">
        <v>0</v>
      </c>
      <c r="AY164" s="18">
        <v>0</v>
      </c>
      <c r="AZ164" s="18">
        <v>0</v>
      </c>
      <c r="BA164" s="18">
        <v>0</v>
      </c>
      <c r="BB164" s="18">
        <v>0</v>
      </c>
      <c r="BC164" s="18">
        <v>0</v>
      </c>
      <c r="BD164" s="18">
        <v>0</v>
      </c>
      <c r="BE164" s="18">
        <v>0</v>
      </c>
      <c r="BF164" s="18">
        <v>0</v>
      </c>
      <c r="BG164" s="18">
        <v>0</v>
      </c>
      <c r="BH164" s="18">
        <v>0</v>
      </c>
      <c r="BI164" s="18">
        <v>0</v>
      </c>
      <c r="BJ164" s="18">
        <v>0</v>
      </c>
      <c r="BK164" s="18">
        <v>0</v>
      </c>
      <c r="BL164" s="18">
        <v>0</v>
      </c>
      <c r="BM164" s="18">
        <v>0</v>
      </c>
      <c r="BN164" s="18">
        <v>0</v>
      </c>
      <c r="BO164" s="18">
        <v>0</v>
      </c>
      <c r="BP164" s="18">
        <v>0</v>
      </c>
      <c r="BQ164" s="18">
        <v>0</v>
      </c>
      <c r="BR164" s="18">
        <v>0</v>
      </c>
      <c r="BS164" s="18">
        <v>0</v>
      </c>
      <c r="BT164" s="18">
        <v>0</v>
      </c>
      <c r="BU164" s="18">
        <v>0</v>
      </c>
      <c r="BV164" s="18">
        <v>0</v>
      </c>
      <c r="BW164" s="18">
        <v>0</v>
      </c>
      <c r="BX164" s="18">
        <v>0</v>
      </c>
      <c r="BY164" s="8"/>
      <c r="BZ164" s="72">
        <f t="shared" si="1359"/>
        <v>39</v>
      </c>
      <c r="CA164" s="72">
        <f t="shared" si="1360"/>
        <v>449.91999999999996</v>
      </c>
      <c r="CB164" s="97"/>
      <c r="CC164" s="72">
        <f t="shared" ref="CC164:CC173" si="1397">SUMIF($C$3:$BY$3,CC$3,$C164:$BY164)</f>
        <v>0</v>
      </c>
      <c r="CD164" s="72">
        <f t="shared" si="1393"/>
        <v>0</v>
      </c>
      <c r="CE164" s="72">
        <f t="shared" si="1393"/>
        <v>459.18</v>
      </c>
      <c r="CF164" s="72">
        <f t="shared" si="1393"/>
        <v>449.91999999999996</v>
      </c>
      <c r="CG164" s="72">
        <f t="shared" si="1393"/>
        <v>0</v>
      </c>
      <c r="CH164" s="72">
        <f t="shared" si="1393"/>
        <v>0</v>
      </c>
      <c r="CI164" s="72">
        <f t="shared" si="1393"/>
        <v>0</v>
      </c>
      <c r="CJ164" s="72">
        <f t="shared" si="1393"/>
        <v>0</v>
      </c>
      <c r="CL164" s="13"/>
      <c r="CM164" s="13"/>
    </row>
    <row r="165" spans="1:91" x14ac:dyDescent="0.3">
      <c r="A165" s="97" t="str">
        <f>'DCS Detail'!A165</f>
        <v xml:space="preserve">   Advertisement</v>
      </c>
      <c r="B165" s="106" t="str">
        <f>IF('DCS Detail'!$B165="","",'DCS Detail'!$B165)</f>
        <v>Prof. Serv.</v>
      </c>
      <c r="C165" s="139"/>
      <c r="D165" s="139"/>
      <c r="E165" s="121">
        <v>0</v>
      </c>
      <c r="F165" s="121">
        <v>0</v>
      </c>
      <c r="G165" s="121">
        <v>0</v>
      </c>
      <c r="H165" s="121">
        <v>0</v>
      </c>
      <c r="I165" s="121">
        <v>0</v>
      </c>
      <c r="J165" s="121">
        <v>0</v>
      </c>
      <c r="K165" s="121">
        <v>0</v>
      </c>
      <c r="L165" s="121">
        <v>0</v>
      </c>
      <c r="M165" s="121">
        <v>0</v>
      </c>
      <c r="N165" s="121">
        <v>0</v>
      </c>
      <c r="O165" s="121">
        <v>19.5</v>
      </c>
      <c r="P165" s="121">
        <v>19.48</v>
      </c>
      <c r="Q165" s="121">
        <v>0</v>
      </c>
      <c r="R165" s="121">
        <v>0</v>
      </c>
      <c r="S165" s="121">
        <v>0</v>
      </c>
      <c r="T165" s="121">
        <v>0</v>
      </c>
      <c r="U165" s="121">
        <v>0</v>
      </c>
      <c r="V165" s="121">
        <v>0</v>
      </c>
      <c r="W165" s="121">
        <v>10.92</v>
      </c>
      <c r="X165" s="121">
        <v>0</v>
      </c>
      <c r="Y165" s="121">
        <v>19.5</v>
      </c>
      <c r="Z165" s="121">
        <v>0</v>
      </c>
      <c r="AA165" s="121">
        <v>0</v>
      </c>
      <c r="AB165" s="121">
        <v>0</v>
      </c>
      <c r="AC165" s="121">
        <v>0</v>
      </c>
      <c r="AD165" s="121">
        <v>0</v>
      </c>
      <c r="AE165" s="121">
        <v>0</v>
      </c>
      <c r="AF165" s="121">
        <v>0</v>
      </c>
      <c r="AG165" s="121">
        <v>0</v>
      </c>
      <c r="AH165" s="121">
        <v>0</v>
      </c>
      <c r="AI165" s="121">
        <v>0</v>
      </c>
      <c r="AJ165" s="121">
        <v>0</v>
      </c>
      <c r="AK165" s="121">
        <v>0</v>
      </c>
      <c r="AL165" s="121">
        <v>0</v>
      </c>
      <c r="AM165" s="121">
        <v>0</v>
      </c>
      <c r="AN165" s="121">
        <v>0</v>
      </c>
      <c r="AO165" s="121">
        <v>0</v>
      </c>
      <c r="AP165" s="121">
        <v>0</v>
      </c>
      <c r="AQ165" s="121">
        <v>0</v>
      </c>
      <c r="AR165" s="121">
        <v>0</v>
      </c>
      <c r="AS165" s="121">
        <v>0</v>
      </c>
      <c r="AT165" s="121">
        <v>0</v>
      </c>
      <c r="AU165" s="121">
        <v>0</v>
      </c>
      <c r="AV165" s="121">
        <v>0</v>
      </c>
      <c r="AW165" s="121">
        <v>0</v>
      </c>
      <c r="AX165" s="121">
        <v>0</v>
      </c>
      <c r="AY165" s="121">
        <v>0</v>
      </c>
      <c r="AZ165" s="121">
        <v>0</v>
      </c>
      <c r="BA165" s="121">
        <v>0</v>
      </c>
      <c r="BB165" s="121">
        <v>0</v>
      </c>
      <c r="BC165" s="121">
        <v>0</v>
      </c>
      <c r="BD165" s="121">
        <v>0</v>
      </c>
      <c r="BE165" s="121">
        <v>0</v>
      </c>
      <c r="BF165" s="121">
        <v>0</v>
      </c>
      <c r="BG165" s="121">
        <v>0</v>
      </c>
      <c r="BH165" s="121">
        <v>0</v>
      </c>
      <c r="BI165" s="121">
        <v>0</v>
      </c>
      <c r="BJ165" s="121">
        <v>0</v>
      </c>
      <c r="BK165" s="121">
        <v>0</v>
      </c>
      <c r="BL165" s="121">
        <v>0</v>
      </c>
      <c r="BM165" s="121">
        <v>0</v>
      </c>
      <c r="BN165" s="121">
        <v>0</v>
      </c>
      <c r="BO165" s="121">
        <v>0</v>
      </c>
      <c r="BP165" s="121">
        <v>0</v>
      </c>
      <c r="BQ165" s="121">
        <v>0</v>
      </c>
      <c r="BR165" s="121">
        <v>0</v>
      </c>
      <c r="BS165" s="121">
        <v>0</v>
      </c>
      <c r="BT165" s="121">
        <v>0</v>
      </c>
      <c r="BU165" s="121">
        <v>0</v>
      </c>
      <c r="BV165" s="121">
        <v>0</v>
      </c>
      <c r="BW165" s="121">
        <v>0</v>
      </c>
      <c r="BX165" s="121">
        <v>0</v>
      </c>
      <c r="BY165" s="8"/>
      <c r="BZ165" s="73">
        <f t="shared" si="1359"/>
        <v>0</v>
      </c>
      <c r="CA165" s="73">
        <f t="shared" si="1360"/>
        <v>30.42</v>
      </c>
      <c r="CB165" s="97"/>
      <c r="CC165" s="73">
        <f t="shared" si="1397"/>
        <v>0</v>
      </c>
      <c r="CD165" s="73">
        <f t="shared" si="1393"/>
        <v>0</v>
      </c>
      <c r="CE165" s="73">
        <f t="shared" si="1393"/>
        <v>38.980000000000004</v>
      </c>
      <c r="CF165" s="73">
        <f t="shared" si="1393"/>
        <v>30.42</v>
      </c>
      <c r="CG165" s="73">
        <f t="shared" si="1393"/>
        <v>0</v>
      </c>
      <c r="CH165" s="73">
        <f t="shared" si="1393"/>
        <v>0</v>
      </c>
      <c r="CI165" s="73">
        <f t="shared" si="1393"/>
        <v>0</v>
      </c>
      <c r="CJ165" s="73">
        <f t="shared" si="1393"/>
        <v>0</v>
      </c>
      <c r="CL165" s="13"/>
      <c r="CM165" s="13"/>
    </row>
    <row r="166" spans="1:91" x14ac:dyDescent="0.3">
      <c r="A166" s="97" t="str">
        <f>'DCS Detail'!A166</f>
        <v>Total Expenses</v>
      </c>
      <c r="B166" s="106" t="str">
        <f>IF('DCS Detail'!$B166="","",'DCS Detail'!$B166)</f>
        <v/>
      </c>
      <c r="C166" s="36">
        <f t="shared" ref="C166:O166" si="1398">C163+C159+C158+C141++C162+C164+C165</f>
        <v>0</v>
      </c>
      <c r="D166" s="36">
        <f t="shared" si="1398"/>
        <v>0</v>
      </c>
      <c r="E166" s="36">
        <f t="shared" si="1398"/>
        <v>-57076.890000000007</v>
      </c>
      <c r="F166" s="36">
        <f t="shared" si="1398"/>
        <v>178584.17</v>
      </c>
      <c r="G166" s="36">
        <f t="shared" si="1398"/>
        <v>276311.12999999995</v>
      </c>
      <c r="H166" s="36">
        <f t="shared" si="1398"/>
        <v>237051.87700000001</v>
      </c>
      <c r="I166" s="36">
        <f t="shared" si="1398"/>
        <v>220223.2942</v>
      </c>
      <c r="J166" s="36">
        <f t="shared" si="1398"/>
        <v>165549.26240000004</v>
      </c>
      <c r="K166" s="36">
        <f t="shared" si="1398"/>
        <v>223252.34399999998</v>
      </c>
      <c r="L166" s="36">
        <f t="shared" si="1398"/>
        <v>235780.3124</v>
      </c>
      <c r="M166" s="36">
        <f t="shared" si="1398"/>
        <v>234729.65999999997</v>
      </c>
      <c r="N166" s="36">
        <f t="shared" si="1398"/>
        <v>251692.28</v>
      </c>
      <c r="O166" s="36">
        <f t="shared" si="1398"/>
        <v>229952.57</v>
      </c>
      <c r="P166" s="36">
        <f>P163+P159+P158+P141++P162+P164+P165</f>
        <v>272753.71000000002</v>
      </c>
      <c r="Q166" s="36">
        <f t="shared" ref="Q166:AN166" si="1399">Q163+Q159+Q158+Q141++Q162+Q164+Q165</f>
        <v>98676.920000000013</v>
      </c>
      <c r="R166" s="36">
        <f t="shared" si="1399"/>
        <v>243695.54</v>
      </c>
      <c r="S166" s="36">
        <f t="shared" si="1399"/>
        <v>324527.15999999997</v>
      </c>
      <c r="T166" s="36">
        <f t="shared" si="1399"/>
        <v>238867.18000000002</v>
      </c>
      <c r="U166" s="36">
        <f t="shared" si="1399"/>
        <v>338717.97999999992</v>
      </c>
      <c r="V166" s="36">
        <f t="shared" si="1399"/>
        <v>239686.02000000002</v>
      </c>
      <c r="W166" s="36">
        <f t="shared" si="1399"/>
        <v>247733.96</v>
      </c>
      <c r="X166" s="36">
        <f t="shared" si="1399"/>
        <v>276284.74000000005</v>
      </c>
      <c r="Y166" s="36">
        <f t="shared" si="1399"/>
        <v>123764.60000000003</v>
      </c>
      <c r="Z166" s="36">
        <f t="shared" si="1399"/>
        <v>276135.06</v>
      </c>
      <c r="AA166" s="36">
        <f t="shared" si="1399"/>
        <v>275894.12999999995</v>
      </c>
      <c r="AB166" s="36">
        <f t="shared" si="1399"/>
        <v>374534.9658014247</v>
      </c>
      <c r="AC166" s="36">
        <f t="shared" si="1399"/>
        <v>58781.717909523817</v>
      </c>
      <c r="AD166" s="36">
        <f t="shared" si="1399"/>
        <v>239166.27853319122</v>
      </c>
      <c r="AE166" s="36">
        <f t="shared" si="1399"/>
        <v>330046.49362876685</v>
      </c>
      <c r="AF166" s="36">
        <f t="shared" si="1399"/>
        <v>244635.94900887238</v>
      </c>
      <c r="AG166" s="36">
        <f t="shared" si="1399"/>
        <v>263008.38543303544</v>
      </c>
      <c r="AH166" s="36">
        <f t="shared" si="1399"/>
        <v>223923.43391524002</v>
      </c>
      <c r="AI166" s="36">
        <f t="shared" si="1399"/>
        <v>253527.50415806341</v>
      </c>
      <c r="AJ166" s="36">
        <f t="shared" si="1399"/>
        <v>234732.39723606603</v>
      </c>
      <c r="AK166" s="36">
        <f t="shared" si="1399"/>
        <v>251550.49036249064</v>
      </c>
      <c r="AL166" s="36">
        <f t="shared" si="1399"/>
        <v>230825.67786031408</v>
      </c>
      <c r="AM166" s="36">
        <f t="shared" si="1399"/>
        <v>247166.28076080608</v>
      </c>
      <c r="AN166" s="36">
        <f t="shared" si="1399"/>
        <v>389202.48177800048</v>
      </c>
      <c r="AO166" s="36">
        <f t="shared" ref="AO166:AZ166" si="1400">AO163+AO159+AO158+AO141++AO162+AO164+AO165</f>
        <v>79641.965192380187</v>
      </c>
      <c r="AP166" s="36">
        <f t="shared" si="1400"/>
        <v>284496.23378626496</v>
      </c>
      <c r="AQ166" s="36">
        <f t="shared" si="1400"/>
        <v>360769.02290100849</v>
      </c>
      <c r="AR166" s="36">
        <f t="shared" si="1400"/>
        <v>294361.37481041986</v>
      </c>
      <c r="AS166" s="36">
        <f t="shared" si="1400"/>
        <v>311814.95859685732</v>
      </c>
      <c r="AT166" s="36">
        <f t="shared" si="1400"/>
        <v>267929.11945251981</v>
      </c>
      <c r="AU166" s="36">
        <f t="shared" si="1400"/>
        <v>298932.94048928004</v>
      </c>
      <c r="AV166" s="36">
        <f t="shared" si="1400"/>
        <v>275662.74098688748</v>
      </c>
      <c r="AW166" s="36">
        <f t="shared" si="1400"/>
        <v>292943.16313516354</v>
      </c>
      <c r="AX166" s="36">
        <f t="shared" si="1400"/>
        <v>266649.14323875325</v>
      </c>
      <c r="AY166" s="36">
        <f t="shared" si="1400"/>
        <v>282642.64189980156</v>
      </c>
      <c r="AZ166" s="36">
        <f t="shared" si="1400"/>
        <v>440286.99517466995</v>
      </c>
      <c r="BA166" s="36">
        <f t="shared" ref="BA166:BX166" si="1401">BA163+BA159+BA158+BA141++BA162+BA164+BA165</f>
        <v>86761.546737974568</v>
      </c>
      <c r="BB166" s="36">
        <f t="shared" si="1401"/>
        <v>295796.98497569794</v>
      </c>
      <c r="BC166" s="36">
        <f t="shared" si="1401"/>
        <v>371813.29128038487</v>
      </c>
      <c r="BD166" s="36">
        <f t="shared" si="1401"/>
        <v>302038.94317698275</v>
      </c>
      <c r="BE166" s="36">
        <f t="shared" si="1401"/>
        <v>320017.4686959855</v>
      </c>
      <c r="BF166" s="36">
        <f t="shared" si="1401"/>
        <v>274813.66513220669</v>
      </c>
      <c r="BG166" s="36">
        <f t="shared" si="1401"/>
        <v>306745.40865908907</v>
      </c>
      <c r="BH166" s="36">
        <f t="shared" si="1401"/>
        <v>282776.58830903174</v>
      </c>
      <c r="BI166" s="36">
        <f t="shared" si="1401"/>
        <v>300574.82788366085</v>
      </c>
      <c r="BJ166" s="36">
        <f t="shared" si="1401"/>
        <v>273491.79408993694</v>
      </c>
      <c r="BK166" s="36">
        <f t="shared" si="1401"/>
        <v>289964.74763523112</v>
      </c>
      <c r="BL166" s="36">
        <f t="shared" si="1401"/>
        <v>452338.08037402463</v>
      </c>
      <c r="BM166" s="36">
        <f t="shared" si="1401"/>
        <v>88205.861045113779</v>
      </c>
      <c r="BN166" s="36">
        <f t="shared" si="1401"/>
        <v>303511.61796675099</v>
      </c>
      <c r="BO166" s="36">
        <f t="shared" si="1401"/>
        <v>381222.87895287765</v>
      </c>
      <c r="BP166" s="36">
        <f t="shared" si="1401"/>
        <v>309939.76251647912</v>
      </c>
      <c r="BQ166" s="36">
        <f t="shared" si="1401"/>
        <v>328457.11375710333</v>
      </c>
      <c r="BR166" s="36">
        <f t="shared" si="1401"/>
        <v>281896.61677877116</v>
      </c>
      <c r="BS166" s="36">
        <f t="shared" si="1401"/>
        <v>314785.70014789799</v>
      </c>
      <c r="BT166" s="36">
        <f t="shared" si="1401"/>
        <v>290097.16184862319</v>
      </c>
      <c r="BU166" s="36">
        <f t="shared" si="1401"/>
        <v>308428.75337239588</v>
      </c>
      <c r="BV166" s="36">
        <f t="shared" si="1401"/>
        <v>280532.65102349501</v>
      </c>
      <c r="BW166" s="36">
        <f t="shared" si="1401"/>
        <v>297499.20948611654</v>
      </c>
      <c r="BX166" s="36">
        <f t="shared" si="1401"/>
        <v>464743.16087941884</v>
      </c>
      <c r="BY166" s="8"/>
      <c r="BZ166" s="72">
        <f t="shared" si="1359"/>
        <v>275894.12999999995</v>
      </c>
      <c r="CA166" s="72">
        <f t="shared" si="1360"/>
        <v>2683983.29</v>
      </c>
      <c r="CB166" s="97"/>
      <c r="CC166" s="72">
        <f t="shared" si="1397"/>
        <v>0</v>
      </c>
      <c r="CD166" s="72">
        <f t="shared" si="1393"/>
        <v>0</v>
      </c>
      <c r="CE166" s="72">
        <f t="shared" si="1393"/>
        <v>2468803.7199999997</v>
      </c>
      <c r="CF166" s="72">
        <f t="shared" si="1393"/>
        <v>3058518.2558014248</v>
      </c>
      <c r="CG166" s="72">
        <f t="shared" si="1393"/>
        <v>2966567.0905843703</v>
      </c>
      <c r="CH166" s="72">
        <f t="shared" si="1393"/>
        <v>3456130.2996640061</v>
      </c>
      <c r="CI166" s="72">
        <f t="shared" si="1393"/>
        <v>3557133.3469502069</v>
      </c>
      <c r="CJ166" s="72">
        <f t="shared" si="1393"/>
        <v>3649320.4877750431</v>
      </c>
      <c r="CL166" s="13"/>
      <c r="CM166" s="13"/>
    </row>
    <row r="167" spans="1:91" x14ac:dyDescent="0.3">
      <c r="A167" s="97" t="str">
        <f>'DCS Detail'!A167</f>
        <v>Net Operating Income</v>
      </c>
      <c r="B167" s="106" t="str">
        <f>IF('DCS Detail'!$B167="","",'DCS Detail'!$B167)</f>
        <v/>
      </c>
      <c r="C167" s="112">
        <f t="shared" ref="C167:AN167" si="1402">C53-C166</f>
        <v>0</v>
      </c>
      <c r="D167" s="112">
        <f t="shared" si="1402"/>
        <v>0</v>
      </c>
      <c r="E167" s="112">
        <f t="shared" si="1402"/>
        <v>396963.92000000004</v>
      </c>
      <c r="F167" s="112">
        <f t="shared" si="1402"/>
        <v>214275.62999999998</v>
      </c>
      <c r="G167" s="112">
        <f t="shared" si="1402"/>
        <v>-87342.139999999956</v>
      </c>
      <c r="H167" s="112">
        <f t="shared" si="1402"/>
        <v>259445.90300000002</v>
      </c>
      <c r="I167" s="112">
        <f t="shared" si="1402"/>
        <v>-203394.89600000001</v>
      </c>
      <c r="J167" s="112">
        <f t="shared" si="1402"/>
        <v>253590.90760000001</v>
      </c>
      <c r="K167" s="112">
        <f t="shared" si="1402"/>
        <v>-221791.90939999997</v>
      </c>
      <c r="L167" s="112">
        <f t="shared" si="1402"/>
        <v>26410.954799999949</v>
      </c>
      <c r="M167" s="112">
        <f t="shared" si="1402"/>
        <v>-16152.979999999981</v>
      </c>
      <c r="N167" s="112">
        <f t="shared" si="1402"/>
        <v>205653.34</v>
      </c>
      <c r="O167" s="112">
        <f t="shared" si="1402"/>
        <v>-221141.37</v>
      </c>
      <c r="P167" s="112">
        <f t="shared" si="1402"/>
        <v>36296.500000000058</v>
      </c>
      <c r="Q167" s="112">
        <f t="shared" ref="Q167:R167" si="1403">Q53-Q166</f>
        <v>68742.920000000013</v>
      </c>
      <c r="R167" s="112">
        <f t="shared" si="1403"/>
        <v>-17860.290000000008</v>
      </c>
      <c r="S167" s="112">
        <f t="shared" ref="S167:T167" si="1404">S53-S166</f>
        <v>277921.48000000004</v>
      </c>
      <c r="T167" s="112">
        <f t="shared" si="1404"/>
        <v>3718.3499999999476</v>
      </c>
      <c r="U167" s="112">
        <f t="shared" ref="U167:V167" si="1405">U53-U166</f>
        <v>-69972.349999999919</v>
      </c>
      <c r="V167" s="112">
        <f t="shared" si="1405"/>
        <v>-21028.840000000026</v>
      </c>
      <c r="W167" s="112">
        <f t="shared" ref="W167" si="1406">W53-W166</f>
        <v>-10854.539999999979</v>
      </c>
      <c r="X167" s="112">
        <f t="shared" si="1402"/>
        <v>-54233.140000000043</v>
      </c>
      <c r="Y167" s="112">
        <f t="shared" si="1402"/>
        <v>97032.439999999973</v>
      </c>
      <c r="Z167" s="112">
        <f t="shared" si="1402"/>
        <v>201652.55</v>
      </c>
      <c r="AA167" s="112">
        <f t="shared" si="1402"/>
        <v>-41393.81999999992</v>
      </c>
      <c r="AB167" s="112">
        <f t="shared" si="1402"/>
        <v>-68011.884968091326</v>
      </c>
      <c r="AC167" s="112">
        <f t="shared" si="1402"/>
        <v>825088.27625714277</v>
      </c>
      <c r="AD167" s="112">
        <f t="shared" si="1402"/>
        <v>54036.562560975523</v>
      </c>
      <c r="AE167" s="112">
        <f t="shared" si="1402"/>
        <v>337031.87724531651</v>
      </c>
      <c r="AF167" s="112">
        <f t="shared" si="1402"/>
        <v>34602.922766294272</v>
      </c>
      <c r="AG167" s="112">
        <f t="shared" si="1402"/>
        <v>27731.0508869646</v>
      </c>
      <c r="AH167" s="112">
        <f t="shared" si="1402"/>
        <v>49542.631283593335</v>
      </c>
      <c r="AI167" s="112">
        <f t="shared" si="1402"/>
        <v>32864.429238603247</v>
      </c>
      <c r="AJ167" s="112">
        <f t="shared" si="1402"/>
        <v>115695.64484951735</v>
      </c>
      <c r="AK167" s="112">
        <f t="shared" si="1402"/>
        <v>82529.685556759359</v>
      </c>
      <c r="AL167" s="112">
        <f t="shared" si="1402"/>
        <v>94317.926437435963</v>
      </c>
      <c r="AM167" s="112">
        <f t="shared" si="1402"/>
        <v>94951.47303661055</v>
      </c>
      <c r="AN167" s="112">
        <f t="shared" si="1402"/>
        <v>-108598.41302458377</v>
      </c>
      <c r="AO167" s="112">
        <f t="shared" ref="AO167:AZ167" si="1407">AO53-AO166</f>
        <v>194601.32243870321</v>
      </c>
      <c r="AP167" s="112">
        <f t="shared" si="1407"/>
        <v>75629.84615696175</v>
      </c>
      <c r="AQ167" s="112">
        <f t="shared" si="1407"/>
        <v>373003.69641553238</v>
      </c>
      <c r="AR167" s="112">
        <f t="shared" si="1407"/>
        <v>48280.546900903457</v>
      </c>
      <c r="AS167" s="112">
        <f t="shared" si="1407"/>
        <v>42354.059328977717</v>
      </c>
      <c r="AT167" s="112">
        <f t="shared" si="1407"/>
        <v>68744.425451846852</v>
      </c>
      <c r="AU167" s="112">
        <f t="shared" si="1407"/>
        <v>50966.159625521628</v>
      </c>
      <c r="AV167" s="112">
        <f t="shared" si="1407"/>
        <v>91023.054544165032</v>
      </c>
      <c r="AW167" s="112">
        <f t="shared" si="1407"/>
        <v>82282.176979638112</v>
      </c>
      <c r="AX167" s="112">
        <f t="shared" si="1407"/>
        <v>72851.919270830927</v>
      </c>
      <c r="AY167" s="112">
        <f t="shared" si="1407"/>
        <v>74597.355227772612</v>
      </c>
      <c r="AZ167" s="112">
        <f t="shared" si="1407"/>
        <v>-96741.38324241573</v>
      </c>
      <c r="BA167" s="112">
        <f t="shared" ref="BA167:BX167" si="1408">BA53-BA166</f>
        <v>250063.03577160963</v>
      </c>
      <c r="BB167" s="112">
        <f t="shared" si="1408"/>
        <v>70764.765441535274</v>
      </c>
      <c r="BC167" s="112">
        <f t="shared" si="1408"/>
        <v>367508.85873642587</v>
      </c>
      <c r="BD167" s="112">
        <f t="shared" si="1408"/>
        <v>46092.962151519198</v>
      </c>
      <c r="BE167" s="112">
        <f t="shared" si="1408"/>
        <v>39785.83553078206</v>
      </c>
      <c r="BF167" s="112">
        <f t="shared" si="1408"/>
        <v>67911.560507986462</v>
      </c>
      <c r="BG167" s="112">
        <f t="shared" si="1408"/>
        <v>49970.97492049128</v>
      </c>
      <c r="BH167" s="112">
        <f t="shared" si="1408"/>
        <v>90676.043168814271</v>
      </c>
      <c r="BI167" s="112">
        <f t="shared" si="1408"/>
        <v>80852.778570380295</v>
      </c>
      <c r="BJ167" s="112">
        <f t="shared" si="1408"/>
        <v>72047.541238565056</v>
      </c>
      <c r="BK167" s="112">
        <f t="shared" si="1408"/>
        <v>73690.366717075638</v>
      </c>
      <c r="BL167" s="112">
        <f t="shared" si="1408"/>
        <v>-102734.48315795592</v>
      </c>
      <c r="BM167" s="112">
        <f t="shared" si="1408"/>
        <v>254605.85528338823</v>
      </c>
      <c r="BN167" s="112">
        <f t="shared" si="1408"/>
        <v>67793.993293197651</v>
      </c>
      <c r="BO167" s="112">
        <f t="shared" si="1408"/>
        <v>363342.71974644746</v>
      </c>
      <c r="BP167" s="112">
        <f t="shared" si="1408"/>
        <v>43383.337173433276</v>
      </c>
      <c r="BQ167" s="112">
        <f t="shared" si="1408"/>
        <v>35950.357784998836</v>
      </c>
      <c r="BR167" s="112">
        <f t="shared" si="1408"/>
        <v>64656.216824620147</v>
      </c>
      <c r="BS167" s="112">
        <f t="shared" si="1408"/>
        <v>45223.620349318662</v>
      </c>
      <c r="BT167" s="112">
        <f t="shared" si="1408"/>
        <v>88471.505872695881</v>
      </c>
      <c r="BU167" s="112">
        <f t="shared" si="1408"/>
        <v>78138.863974820764</v>
      </c>
      <c r="BV167" s="112">
        <f t="shared" si="1408"/>
        <v>69460.029859113216</v>
      </c>
      <c r="BW167" s="112">
        <f t="shared" si="1408"/>
        <v>70909.779720594059</v>
      </c>
      <c r="BX167" s="112">
        <f t="shared" si="1408"/>
        <v>-110710.37617314927</v>
      </c>
      <c r="BY167" s="8"/>
      <c r="BZ167" s="385">
        <f t="shared" si="1359"/>
        <v>-41393.81999999992</v>
      </c>
      <c r="CA167" s="385">
        <f t="shared" si="1360"/>
        <v>433724.76</v>
      </c>
      <c r="CB167" s="97"/>
      <c r="CC167" s="385">
        <f t="shared" si="1397"/>
        <v>0</v>
      </c>
      <c r="CD167" s="385">
        <f t="shared" si="1393"/>
        <v>0</v>
      </c>
      <c r="CE167" s="385">
        <f t="shared" si="1393"/>
        <v>642813.8600000001</v>
      </c>
      <c r="CF167" s="385">
        <f t="shared" si="1393"/>
        <v>365712.87503190868</v>
      </c>
      <c r="CG167" s="385">
        <f t="shared" si="1393"/>
        <v>1639794.0670946296</v>
      </c>
      <c r="CH167" s="385">
        <f t="shared" si="1393"/>
        <v>1077593.179098438</v>
      </c>
      <c r="CI167" s="385">
        <f t="shared" si="1393"/>
        <v>1106630.2395972293</v>
      </c>
      <c r="CJ167" s="385">
        <f t="shared" si="1393"/>
        <v>1071225.9037094791</v>
      </c>
      <c r="CL167" s="13"/>
      <c r="CM167" s="13"/>
    </row>
    <row r="168" spans="1:91" x14ac:dyDescent="0.3">
      <c r="A168" s="97" t="str">
        <f>'DCS Detail'!A168</f>
        <v>Other Expenses</v>
      </c>
      <c r="B168" s="106" t="str">
        <f>IF('DCS Detail'!$B168="","",'DCS Detail'!$B168)</f>
        <v/>
      </c>
      <c r="C168" s="36"/>
      <c r="D168" s="36"/>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442">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0</v>
      </c>
      <c r="AZ168" s="18">
        <v>0</v>
      </c>
      <c r="BA168" s="18">
        <v>0</v>
      </c>
      <c r="BB168" s="18">
        <v>0</v>
      </c>
      <c r="BC168" s="18">
        <v>0</v>
      </c>
      <c r="BD168" s="18">
        <v>0</v>
      </c>
      <c r="BE168" s="18">
        <v>0</v>
      </c>
      <c r="BF168" s="18">
        <v>0</v>
      </c>
      <c r="BG168" s="18">
        <v>0</v>
      </c>
      <c r="BH168" s="18">
        <v>0</v>
      </c>
      <c r="BI168" s="18">
        <v>0</v>
      </c>
      <c r="BJ168" s="18">
        <v>0</v>
      </c>
      <c r="BK168" s="18">
        <v>0</v>
      </c>
      <c r="BL168" s="18">
        <v>0</v>
      </c>
      <c r="BM168" s="18">
        <v>0</v>
      </c>
      <c r="BN168" s="18">
        <v>0</v>
      </c>
      <c r="BO168" s="18">
        <v>0</v>
      </c>
      <c r="BP168" s="18">
        <v>0</v>
      </c>
      <c r="BQ168" s="18">
        <v>0</v>
      </c>
      <c r="BR168" s="18">
        <v>0</v>
      </c>
      <c r="BS168" s="18">
        <v>0</v>
      </c>
      <c r="BT168" s="18">
        <v>0</v>
      </c>
      <c r="BU168" s="18">
        <v>0</v>
      </c>
      <c r="BV168" s="18">
        <v>0</v>
      </c>
      <c r="BW168" s="18">
        <v>0</v>
      </c>
      <c r="BX168" s="18">
        <v>0</v>
      </c>
      <c r="BY168" s="8"/>
      <c r="BZ168" s="72">
        <f t="shared" si="1359"/>
        <v>0</v>
      </c>
      <c r="CA168" s="72">
        <f t="shared" si="1360"/>
        <v>0</v>
      </c>
      <c r="CB168" s="97"/>
      <c r="CC168" s="72">
        <f t="shared" si="1397"/>
        <v>0</v>
      </c>
      <c r="CD168" s="72">
        <f t="shared" si="1393"/>
        <v>0</v>
      </c>
      <c r="CE168" s="72">
        <f t="shared" si="1393"/>
        <v>0</v>
      </c>
      <c r="CF168" s="72">
        <f t="shared" si="1393"/>
        <v>0</v>
      </c>
      <c r="CG168" s="72">
        <f t="shared" si="1393"/>
        <v>0</v>
      </c>
      <c r="CH168" s="72">
        <f t="shared" si="1393"/>
        <v>0</v>
      </c>
      <c r="CI168" s="72">
        <f t="shared" si="1393"/>
        <v>0</v>
      </c>
      <c r="CJ168" s="72">
        <f t="shared" si="1393"/>
        <v>0</v>
      </c>
      <c r="CL168" s="13"/>
      <c r="CM168" s="13"/>
    </row>
    <row r="169" spans="1:91" x14ac:dyDescent="0.3">
      <c r="A169" s="97" t="str">
        <f>'DCS Detail'!A169</f>
        <v xml:space="preserve">   900 Interest Expense</v>
      </c>
      <c r="B169" s="106" t="str">
        <f>IF('DCS Detail'!$B169="","",'DCS Detail'!$B169)</f>
        <v>Interest</v>
      </c>
      <c r="C169" s="137"/>
      <c r="D169" s="137"/>
      <c r="E169" s="121">
        <v>0</v>
      </c>
      <c r="F169" s="121">
        <v>0</v>
      </c>
      <c r="G169" s="121">
        <v>0</v>
      </c>
      <c r="H169" s="121">
        <v>0</v>
      </c>
      <c r="I169" s="121">
        <v>0</v>
      </c>
      <c r="J169" s="121">
        <v>0</v>
      </c>
      <c r="K169" s="121">
        <v>0</v>
      </c>
      <c r="L169" s="121">
        <v>0</v>
      </c>
      <c r="M169" s="121">
        <v>0</v>
      </c>
      <c r="N169" s="121">
        <v>0</v>
      </c>
      <c r="O169" s="121">
        <v>0</v>
      </c>
      <c r="P169" s="121">
        <v>267350</v>
      </c>
      <c r="Q169" s="121">
        <v>53924.19</v>
      </c>
      <c r="R169" s="121">
        <v>54078.66</v>
      </c>
      <c r="S169" s="121">
        <v>54234.44</v>
      </c>
      <c r="T169" s="121">
        <v>54391.57</v>
      </c>
      <c r="U169" s="121">
        <v>54550.04</v>
      </c>
      <c r="V169" s="121">
        <v>54709.88</v>
      </c>
      <c r="W169" s="121">
        <v>54871.08</v>
      </c>
      <c r="X169" s="121">
        <v>54989.11</v>
      </c>
      <c r="Y169" s="121">
        <v>55108.15</v>
      </c>
      <c r="Z169" s="121">
        <v>55228.22</v>
      </c>
      <c r="AA169" s="121">
        <v>55349.31</v>
      </c>
      <c r="AB169" s="121">
        <v>55471.45</v>
      </c>
      <c r="AC169" s="110">
        <f t="shared" ref="AC169:BX169" si="1409">IF($B$291="Red Hook",AC292,AC293)</f>
        <v>50687.869999999995</v>
      </c>
      <c r="AD169" s="110">
        <f t="shared" si="1409"/>
        <v>50687.869999999995</v>
      </c>
      <c r="AE169" s="110">
        <f t="shared" si="1409"/>
        <v>50687.869999999995</v>
      </c>
      <c r="AF169" s="110">
        <f t="shared" si="1409"/>
        <v>50687.869999999995</v>
      </c>
      <c r="AG169" s="110">
        <f t="shared" si="1409"/>
        <v>50687.869999999995</v>
      </c>
      <c r="AH169" s="110">
        <f t="shared" si="1409"/>
        <v>50687.869999999995</v>
      </c>
      <c r="AI169" s="110">
        <f t="shared" si="1409"/>
        <v>50687.869999999995</v>
      </c>
      <c r="AJ169" s="110">
        <f t="shared" si="1409"/>
        <v>50687.869999999995</v>
      </c>
      <c r="AK169" s="110">
        <f t="shared" si="1409"/>
        <v>50687.869999999995</v>
      </c>
      <c r="AL169" s="110">
        <f t="shared" si="1409"/>
        <v>50687.869999999995</v>
      </c>
      <c r="AM169" s="110">
        <f t="shared" si="1409"/>
        <v>50687.869999999995</v>
      </c>
      <c r="AN169" s="110">
        <f t="shared" si="1409"/>
        <v>50687.869999999995</v>
      </c>
      <c r="AO169" s="110">
        <f t="shared" si="1409"/>
        <v>83354.672500000001</v>
      </c>
      <c r="AP169" s="110">
        <f t="shared" si="1409"/>
        <v>83354.672500000001</v>
      </c>
      <c r="AQ169" s="110">
        <f t="shared" si="1409"/>
        <v>83354.672500000001</v>
      </c>
      <c r="AR169" s="110">
        <f t="shared" si="1409"/>
        <v>83354.672500000001</v>
      </c>
      <c r="AS169" s="110">
        <f t="shared" si="1409"/>
        <v>83354.672500000001</v>
      </c>
      <c r="AT169" s="110">
        <f t="shared" si="1409"/>
        <v>83354.672500000001</v>
      </c>
      <c r="AU169" s="110">
        <f t="shared" si="1409"/>
        <v>83354.672500000001</v>
      </c>
      <c r="AV169" s="110">
        <f t="shared" si="1409"/>
        <v>83354.672500000001</v>
      </c>
      <c r="AW169" s="110">
        <f t="shared" si="1409"/>
        <v>83354.672500000001</v>
      </c>
      <c r="AX169" s="110">
        <f t="shared" si="1409"/>
        <v>83354.672500000001</v>
      </c>
      <c r="AY169" s="110">
        <f t="shared" si="1409"/>
        <v>83354.672500000001</v>
      </c>
      <c r="AZ169" s="110">
        <f t="shared" si="1409"/>
        <v>83354.672500000001</v>
      </c>
      <c r="BA169" s="110">
        <f t="shared" si="1409"/>
        <v>109145.83333333333</v>
      </c>
      <c r="BB169" s="110">
        <f t="shared" si="1409"/>
        <v>109145.83333333333</v>
      </c>
      <c r="BC169" s="110">
        <f t="shared" si="1409"/>
        <v>109145.83333333333</v>
      </c>
      <c r="BD169" s="110">
        <f t="shared" si="1409"/>
        <v>109145.83333333333</v>
      </c>
      <c r="BE169" s="110">
        <f t="shared" si="1409"/>
        <v>109145.83333333333</v>
      </c>
      <c r="BF169" s="110">
        <f t="shared" si="1409"/>
        <v>109145.83333333333</v>
      </c>
      <c r="BG169" s="110">
        <f t="shared" si="1409"/>
        <v>109145.83333333333</v>
      </c>
      <c r="BH169" s="110">
        <f t="shared" si="1409"/>
        <v>109145.83333333333</v>
      </c>
      <c r="BI169" s="110">
        <f t="shared" si="1409"/>
        <v>109145.83333333333</v>
      </c>
      <c r="BJ169" s="110">
        <f t="shared" si="1409"/>
        <v>109145.83333333333</v>
      </c>
      <c r="BK169" s="110">
        <f t="shared" si="1409"/>
        <v>109145.83333333333</v>
      </c>
      <c r="BL169" s="110">
        <f t="shared" si="1409"/>
        <v>109145.83333333333</v>
      </c>
      <c r="BM169" s="110">
        <f t="shared" si="1409"/>
        <v>108414.58333333333</v>
      </c>
      <c r="BN169" s="110">
        <f t="shared" si="1409"/>
        <v>108414.58333333333</v>
      </c>
      <c r="BO169" s="110">
        <f t="shared" si="1409"/>
        <v>108414.58333333333</v>
      </c>
      <c r="BP169" s="110">
        <f t="shared" si="1409"/>
        <v>108414.58333333333</v>
      </c>
      <c r="BQ169" s="110">
        <f t="shared" si="1409"/>
        <v>108414.58333333333</v>
      </c>
      <c r="BR169" s="110">
        <f t="shared" si="1409"/>
        <v>108414.58333333333</v>
      </c>
      <c r="BS169" s="110">
        <f t="shared" si="1409"/>
        <v>108414.58333333333</v>
      </c>
      <c r="BT169" s="110">
        <f t="shared" si="1409"/>
        <v>108414.58333333333</v>
      </c>
      <c r="BU169" s="110">
        <f t="shared" si="1409"/>
        <v>108414.58333333333</v>
      </c>
      <c r="BV169" s="110">
        <f t="shared" si="1409"/>
        <v>108414.58333333333</v>
      </c>
      <c r="BW169" s="110">
        <f t="shared" si="1409"/>
        <v>108414.58333333333</v>
      </c>
      <c r="BX169" s="110">
        <f t="shared" si="1409"/>
        <v>108414.58333333333</v>
      </c>
      <c r="BY169" s="8"/>
      <c r="BZ169" s="73">
        <f t="shared" si="1359"/>
        <v>55349.31</v>
      </c>
      <c r="CA169" s="73">
        <f t="shared" si="1360"/>
        <v>601434.65000000014</v>
      </c>
      <c r="CB169" s="97"/>
      <c r="CC169" s="73">
        <f t="shared" si="1397"/>
        <v>0</v>
      </c>
      <c r="CD169" s="73">
        <f t="shared" si="1393"/>
        <v>0</v>
      </c>
      <c r="CE169" s="73">
        <f t="shared" si="1393"/>
        <v>267350</v>
      </c>
      <c r="CF169" s="73">
        <f t="shared" si="1393"/>
        <v>656906.10000000009</v>
      </c>
      <c r="CG169" s="73">
        <f t="shared" si="1393"/>
        <v>608254.43999999994</v>
      </c>
      <c r="CH169" s="73">
        <f t="shared" si="1393"/>
        <v>1000256.07</v>
      </c>
      <c r="CI169" s="73">
        <f t="shared" si="1393"/>
        <v>1309750</v>
      </c>
      <c r="CJ169" s="73">
        <f t="shared" si="1393"/>
        <v>1300975</v>
      </c>
      <c r="CL169" s="13"/>
      <c r="CM169" s="13"/>
    </row>
    <row r="170" spans="1:91" x14ac:dyDescent="0.3">
      <c r="A170" s="97" t="str">
        <f>'DCS Detail'!A170</f>
        <v>Total Other Expenses</v>
      </c>
      <c r="B170" s="106" t="str">
        <f>IF('DCS Detail'!$B170="","",'DCS Detail'!$B170)</f>
        <v/>
      </c>
      <c r="C170" s="36"/>
      <c r="D170" s="36"/>
      <c r="E170" s="36">
        <f>SUM(E168:E169)</f>
        <v>0</v>
      </c>
      <c r="F170" s="36">
        <f t="shared" ref="F170:AN170" si="1410">SUM(F168:F169)</f>
        <v>0</v>
      </c>
      <c r="G170" s="36">
        <f t="shared" si="1410"/>
        <v>0</v>
      </c>
      <c r="H170" s="36">
        <f t="shared" si="1410"/>
        <v>0</v>
      </c>
      <c r="I170" s="36">
        <f t="shared" si="1410"/>
        <v>0</v>
      </c>
      <c r="J170" s="36">
        <f t="shared" si="1410"/>
        <v>0</v>
      </c>
      <c r="K170" s="36">
        <f t="shared" si="1410"/>
        <v>0</v>
      </c>
      <c r="L170" s="36">
        <f t="shared" si="1410"/>
        <v>0</v>
      </c>
      <c r="M170" s="36">
        <f t="shared" si="1410"/>
        <v>0</v>
      </c>
      <c r="N170" s="36">
        <f t="shared" si="1410"/>
        <v>0</v>
      </c>
      <c r="O170" s="36">
        <f t="shared" si="1410"/>
        <v>0</v>
      </c>
      <c r="P170" s="36">
        <f t="shared" si="1410"/>
        <v>267350</v>
      </c>
      <c r="Q170" s="36">
        <f t="shared" si="1410"/>
        <v>53924.19</v>
      </c>
      <c r="R170" s="36">
        <f t="shared" si="1410"/>
        <v>54078.66</v>
      </c>
      <c r="S170" s="36">
        <f t="shared" si="1410"/>
        <v>54234.44</v>
      </c>
      <c r="T170" s="36">
        <f t="shared" si="1410"/>
        <v>54391.57</v>
      </c>
      <c r="U170" s="36">
        <f t="shared" si="1410"/>
        <v>54550.04</v>
      </c>
      <c r="V170" s="36">
        <f t="shared" si="1410"/>
        <v>54709.88</v>
      </c>
      <c r="W170" s="36">
        <f t="shared" si="1410"/>
        <v>54871.08</v>
      </c>
      <c r="X170" s="36">
        <f t="shared" si="1410"/>
        <v>54989.11</v>
      </c>
      <c r="Y170" s="36">
        <f t="shared" si="1410"/>
        <v>55108.15</v>
      </c>
      <c r="Z170" s="36">
        <f t="shared" si="1410"/>
        <v>55228.22</v>
      </c>
      <c r="AA170" s="36">
        <f t="shared" si="1410"/>
        <v>55349.31</v>
      </c>
      <c r="AB170" s="36">
        <f t="shared" si="1410"/>
        <v>55471.45</v>
      </c>
      <c r="AC170" s="36">
        <f t="shared" si="1410"/>
        <v>50687.869999999995</v>
      </c>
      <c r="AD170" s="36">
        <f t="shared" si="1410"/>
        <v>50687.869999999995</v>
      </c>
      <c r="AE170" s="36">
        <f t="shared" si="1410"/>
        <v>50687.869999999995</v>
      </c>
      <c r="AF170" s="36">
        <f t="shared" si="1410"/>
        <v>50687.869999999995</v>
      </c>
      <c r="AG170" s="36">
        <f t="shared" si="1410"/>
        <v>50687.869999999995</v>
      </c>
      <c r="AH170" s="36">
        <f t="shared" si="1410"/>
        <v>50687.869999999995</v>
      </c>
      <c r="AI170" s="36">
        <f t="shared" si="1410"/>
        <v>50687.869999999995</v>
      </c>
      <c r="AJ170" s="36">
        <f t="shared" si="1410"/>
        <v>50687.869999999995</v>
      </c>
      <c r="AK170" s="36">
        <f t="shared" si="1410"/>
        <v>50687.869999999995</v>
      </c>
      <c r="AL170" s="36">
        <f t="shared" si="1410"/>
        <v>50687.869999999995</v>
      </c>
      <c r="AM170" s="36">
        <f t="shared" si="1410"/>
        <v>50687.869999999995</v>
      </c>
      <c r="AN170" s="36">
        <f t="shared" si="1410"/>
        <v>50687.869999999995</v>
      </c>
      <c r="AO170" s="36">
        <f t="shared" ref="AO170:AZ170" si="1411">SUM(AO168:AO169)</f>
        <v>83354.672500000001</v>
      </c>
      <c r="AP170" s="36">
        <f t="shared" si="1411"/>
        <v>83354.672500000001</v>
      </c>
      <c r="AQ170" s="36">
        <f t="shared" si="1411"/>
        <v>83354.672500000001</v>
      </c>
      <c r="AR170" s="36">
        <f t="shared" si="1411"/>
        <v>83354.672500000001</v>
      </c>
      <c r="AS170" s="36">
        <f t="shared" si="1411"/>
        <v>83354.672500000001</v>
      </c>
      <c r="AT170" s="36">
        <f t="shared" si="1411"/>
        <v>83354.672500000001</v>
      </c>
      <c r="AU170" s="36">
        <f t="shared" si="1411"/>
        <v>83354.672500000001</v>
      </c>
      <c r="AV170" s="36">
        <f t="shared" si="1411"/>
        <v>83354.672500000001</v>
      </c>
      <c r="AW170" s="36">
        <f t="shared" si="1411"/>
        <v>83354.672500000001</v>
      </c>
      <c r="AX170" s="36">
        <f t="shared" si="1411"/>
        <v>83354.672500000001</v>
      </c>
      <c r="AY170" s="36">
        <f t="shared" si="1411"/>
        <v>83354.672500000001</v>
      </c>
      <c r="AZ170" s="36">
        <f t="shared" si="1411"/>
        <v>83354.672500000001</v>
      </c>
      <c r="BA170" s="36">
        <f t="shared" ref="BA170:BX170" si="1412">SUM(BA168:BA169)</f>
        <v>109145.83333333333</v>
      </c>
      <c r="BB170" s="36">
        <f t="shared" si="1412"/>
        <v>109145.83333333333</v>
      </c>
      <c r="BC170" s="36">
        <f t="shared" si="1412"/>
        <v>109145.83333333333</v>
      </c>
      <c r="BD170" s="36">
        <f t="shared" si="1412"/>
        <v>109145.83333333333</v>
      </c>
      <c r="BE170" s="36">
        <f t="shared" si="1412"/>
        <v>109145.83333333333</v>
      </c>
      <c r="BF170" s="36">
        <f t="shared" si="1412"/>
        <v>109145.83333333333</v>
      </c>
      <c r="BG170" s="36">
        <f t="shared" si="1412"/>
        <v>109145.83333333333</v>
      </c>
      <c r="BH170" s="36">
        <f t="shared" si="1412"/>
        <v>109145.83333333333</v>
      </c>
      <c r="BI170" s="36">
        <f t="shared" si="1412"/>
        <v>109145.83333333333</v>
      </c>
      <c r="BJ170" s="36">
        <f t="shared" si="1412"/>
        <v>109145.83333333333</v>
      </c>
      <c r="BK170" s="36">
        <f t="shared" si="1412"/>
        <v>109145.83333333333</v>
      </c>
      <c r="BL170" s="36">
        <f t="shared" si="1412"/>
        <v>109145.83333333333</v>
      </c>
      <c r="BM170" s="36">
        <f t="shared" si="1412"/>
        <v>108414.58333333333</v>
      </c>
      <c r="BN170" s="36">
        <f t="shared" si="1412"/>
        <v>108414.58333333333</v>
      </c>
      <c r="BO170" s="36">
        <f t="shared" si="1412"/>
        <v>108414.58333333333</v>
      </c>
      <c r="BP170" s="36">
        <f t="shared" si="1412"/>
        <v>108414.58333333333</v>
      </c>
      <c r="BQ170" s="36">
        <f t="shared" si="1412"/>
        <v>108414.58333333333</v>
      </c>
      <c r="BR170" s="36">
        <f t="shared" si="1412"/>
        <v>108414.58333333333</v>
      </c>
      <c r="BS170" s="36">
        <f t="shared" si="1412"/>
        <v>108414.58333333333</v>
      </c>
      <c r="BT170" s="36">
        <f t="shared" si="1412"/>
        <v>108414.58333333333</v>
      </c>
      <c r="BU170" s="36">
        <f t="shared" si="1412"/>
        <v>108414.58333333333</v>
      </c>
      <c r="BV170" s="36">
        <f t="shared" si="1412"/>
        <v>108414.58333333333</v>
      </c>
      <c r="BW170" s="36">
        <f t="shared" si="1412"/>
        <v>108414.58333333333</v>
      </c>
      <c r="BX170" s="36">
        <f t="shared" si="1412"/>
        <v>108414.58333333333</v>
      </c>
      <c r="BY170" s="8"/>
      <c r="BZ170" s="72">
        <f t="shared" si="1359"/>
        <v>55349.31</v>
      </c>
      <c r="CA170" s="72">
        <f t="shared" si="1360"/>
        <v>601434.65000000014</v>
      </c>
      <c r="CB170" s="97"/>
      <c r="CC170" s="72">
        <f t="shared" si="1397"/>
        <v>0</v>
      </c>
      <c r="CD170" s="72">
        <f t="shared" si="1393"/>
        <v>0</v>
      </c>
      <c r="CE170" s="72">
        <f t="shared" si="1393"/>
        <v>267350</v>
      </c>
      <c r="CF170" s="72">
        <f t="shared" si="1393"/>
        <v>656906.10000000009</v>
      </c>
      <c r="CG170" s="72">
        <f t="shared" si="1393"/>
        <v>608254.43999999994</v>
      </c>
      <c r="CH170" s="72">
        <f t="shared" si="1393"/>
        <v>1000256.07</v>
      </c>
      <c r="CI170" s="72">
        <f t="shared" si="1393"/>
        <v>1309750</v>
      </c>
      <c r="CJ170" s="72">
        <f t="shared" si="1393"/>
        <v>1300975</v>
      </c>
      <c r="CL170" s="13"/>
      <c r="CM170" s="13"/>
    </row>
    <row r="171" spans="1:91" x14ac:dyDescent="0.3">
      <c r="A171" s="97" t="str">
        <f>'DCS Detail'!A171</f>
        <v>Net Other Income</v>
      </c>
      <c r="B171" s="106" t="str">
        <f>IF('DCS Detail'!$B171="","",'DCS Detail'!$B171)</f>
        <v/>
      </c>
      <c r="C171" s="112"/>
      <c r="D171" s="112"/>
      <c r="E171" s="112">
        <f>-E170</f>
        <v>0</v>
      </c>
      <c r="F171" s="112">
        <f t="shared" ref="F171:AN171" si="1413">-F170</f>
        <v>0</v>
      </c>
      <c r="G171" s="112">
        <f t="shared" si="1413"/>
        <v>0</v>
      </c>
      <c r="H171" s="112">
        <f t="shared" si="1413"/>
        <v>0</v>
      </c>
      <c r="I171" s="112">
        <f t="shared" si="1413"/>
        <v>0</v>
      </c>
      <c r="J171" s="112">
        <f t="shared" si="1413"/>
        <v>0</v>
      </c>
      <c r="K171" s="112">
        <f t="shared" si="1413"/>
        <v>0</v>
      </c>
      <c r="L171" s="112">
        <f t="shared" si="1413"/>
        <v>0</v>
      </c>
      <c r="M171" s="112">
        <f t="shared" si="1413"/>
        <v>0</v>
      </c>
      <c r="N171" s="112">
        <f t="shared" si="1413"/>
        <v>0</v>
      </c>
      <c r="O171" s="112">
        <f t="shared" si="1413"/>
        <v>0</v>
      </c>
      <c r="P171" s="112">
        <f t="shared" si="1413"/>
        <v>-267350</v>
      </c>
      <c r="Q171" s="112">
        <f t="shared" si="1413"/>
        <v>-53924.19</v>
      </c>
      <c r="R171" s="112">
        <f t="shared" si="1413"/>
        <v>-54078.66</v>
      </c>
      <c r="S171" s="112">
        <f t="shared" si="1413"/>
        <v>-54234.44</v>
      </c>
      <c r="T171" s="112">
        <f t="shared" si="1413"/>
        <v>-54391.57</v>
      </c>
      <c r="U171" s="112">
        <f t="shared" si="1413"/>
        <v>-54550.04</v>
      </c>
      <c r="V171" s="112">
        <f t="shared" si="1413"/>
        <v>-54709.88</v>
      </c>
      <c r="W171" s="112">
        <f t="shared" si="1413"/>
        <v>-54871.08</v>
      </c>
      <c r="X171" s="112">
        <f t="shared" si="1413"/>
        <v>-54989.11</v>
      </c>
      <c r="Y171" s="112">
        <f t="shared" si="1413"/>
        <v>-55108.15</v>
      </c>
      <c r="Z171" s="112">
        <f t="shared" si="1413"/>
        <v>-55228.22</v>
      </c>
      <c r="AA171" s="112">
        <f t="shared" si="1413"/>
        <v>-55349.31</v>
      </c>
      <c r="AB171" s="112">
        <f t="shared" si="1413"/>
        <v>-55471.45</v>
      </c>
      <c r="AC171" s="112">
        <f t="shared" si="1413"/>
        <v>-50687.869999999995</v>
      </c>
      <c r="AD171" s="112">
        <f t="shared" si="1413"/>
        <v>-50687.869999999995</v>
      </c>
      <c r="AE171" s="112">
        <f t="shared" si="1413"/>
        <v>-50687.869999999995</v>
      </c>
      <c r="AF171" s="112">
        <f t="shared" si="1413"/>
        <v>-50687.869999999995</v>
      </c>
      <c r="AG171" s="112">
        <f t="shared" si="1413"/>
        <v>-50687.869999999995</v>
      </c>
      <c r="AH171" s="112">
        <f t="shared" si="1413"/>
        <v>-50687.869999999995</v>
      </c>
      <c r="AI171" s="112">
        <f t="shared" si="1413"/>
        <v>-50687.869999999995</v>
      </c>
      <c r="AJ171" s="112">
        <f t="shared" si="1413"/>
        <v>-50687.869999999995</v>
      </c>
      <c r="AK171" s="112">
        <f t="shared" si="1413"/>
        <v>-50687.869999999995</v>
      </c>
      <c r="AL171" s="112">
        <f t="shared" si="1413"/>
        <v>-50687.869999999995</v>
      </c>
      <c r="AM171" s="112">
        <f t="shared" si="1413"/>
        <v>-50687.869999999995</v>
      </c>
      <c r="AN171" s="112">
        <f t="shared" si="1413"/>
        <v>-50687.869999999995</v>
      </c>
      <c r="AO171" s="112">
        <f t="shared" ref="AO171:AZ171" si="1414">-AO170</f>
        <v>-83354.672500000001</v>
      </c>
      <c r="AP171" s="112">
        <f t="shared" si="1414"/>
        <v>-83354.672500000001</v>
      </c>
      <c r="AQ171" s="112">
        <f t="shared" si="1414"/>
        <v>-83354.672500000001</v>
      </c>
      <c r="AR171" s="112">
        <f t="shared" si="1414"/>
        <v>-83354.672500000001</v>
      </c>
      <c r="AS171" s="112">
        <f t="shared" si="1414"/>
        <v>-83354.672500000001</v>
      </c>
      <c r="AT171" s="112">
        <f t="shared" si="1414"/>
        <v>-83354.672500000001</v>
      </c>
      <c r="AU171" s="112">
        <f t="shared" si="1414"/>
        <v>-83354.672500000001</v>
      </c>
      <c r="AV171" s="112">
        <f t="shared" si="1414"/>
        <v>-83354.672500000001</v>
      </c>
      <c r="AW171" s="112">
        <f t="shared" si="1414"/>
        <v>-83354.672500000001</v>
      </c>
      <c r="AX171" s="112">
        <f t="shared" si="1414"/>
        <v>-83354.672500000001</v>
      </c>
      <c r="AY171" s="112">
        <f t="shared" si="1414"/>
        <v>-83354.672500000001</v>
      </c>
      <c r="AZ171" s="112">
        <f t="shared" si="1414"/>
        <v>-83354.672500000001</v>
      </c>
      <c r="BA171" s="112">
        <f t="shared" ref="BA171:BX171" si="1415">-BA170</f>
        <v>-109145.83333333333</v>
      </c>
      <c r="BB171" s="112">
        <f t="shared" si="1415"/>
        <v>-109145.83333333333</v>
      </c>
      <c r="BC171" s="112">
        <f t="shared" si="1415"/>
        <v>-109145.83333333333</v>
      </c>
      <c r="BD171" s="112">
        <f t="shared" si="1415"/>
        <v>-109145.83333333333</v>
      </c>
      <c r="BE171" s="112">
        <f t="shared" si="1415"/>
        <v>-109145.83333333333</v>
      </c>
      <c r="BF171" s="112">
        <f t="shared" si="1415"/>
        <v>-109145.83333333333</v>
      </c>
      <c r="BG171" s="112">
        <f t="shared" si="1415"/>
        <v>-109145.83333333333</v>
      </c>
      <c r="BH171" s="112">
        <f t="shared" si="1415"/>
        <v>-109145.83333333333</v>
      </c>
      <c r="BI171" s="112">
        <f t="shared" si="1415"/>
        <v>-109145.83333333333</v>
      </c>
      <c r="BJ171" s="112">
        <f t="shared" si="1415"/>
        <v>-109145.83333333333</v>
      </c>
      <c r="BK171" s="112">
        <f t="shared" si="1415"/>
        <v>-109145.83333333333</v>
      </c>
      <c r="BL171" s="112">
        <f t="shared" si="1415"/>
        <v>-109145.83333333333</v>
      </c>
      <c r="BM171" s="112">
        <f t="shared" si="1415"/>
        <v>-108414.58333333333</v>
      </c>
      <c r="BN171" s="112">
        <f t="shared" si="1415"/>
        <v>-108414.58333333333</v>
      </c>
      <c r="BO171" s="112">
        <f t="shared" si="1415"/>
        <v>-108414.58333333333</v>
      </c>
      <c r="BP171" s="112">
        <f t="shared" si="1415"/>
        <v>-108414.58333333333</v>
      </c>
      <c r="BQ171" s="112">
        <f t="shared" si="1415"/>
        <v>-108414.58333333333</v>
      </c>
      <c r="BR171" s="112">
        <f t="shared" si="1415"/>
        <v>-108414.58333333333</v>
      </c>
      <c r="BS171" s="112">
        <f t="shared" si="1415"/>
        <v>-108414.58333333333</v>
      </c>
      <c r="BT171" s="112">
        <f t="shared" si="1415"/>
        <v>-108414.58333333333</v>
      </c>
      <c r="BU171" s="112">
        <f t="shared" si="1415"/>
        <v>-108414.58333333333</v>
      </c>
      <c r="BV171" s="112">
        <f t="shared" si="1415"/>
        <v>-108414.58333333333</v>
      </c>
      <c r="BW171" s="112">
        <f t="shared" si="1415"/>
        <v>-108414.58333333333</v>
      </c>
      <c r="BX171" s="112">
        <f t="shared" si="1415"/>
        <v>-108414.58333333333</v>
      </c>
      <c r="BY171" s="8"/>
      <c r="BZ171" s="385">
        <f t="shared" si="1359"/>
        <v>-55349.31</v>
      </c>
      <c r="CA171" s="385">
        <f t="shared" si="1360"/>
        <v>-601434.65000000014</v>
      </c>
      <c r="CB171" s="97"/>
      <c r="CC171" s="385">
        <f t="shared" si="1397"/>
        <v>0</v>
      </c>
      <c r="CD171" s="385">
        <f t="shared" si="1393"/>
        <v>0</v>
      </c>
      <c r="CE171" s="385">
        <f t="shared" si="1393"/>
        <v>-267350</v>
      </c>
      <c r="CF171" s="385">
        <f t="shared" si="1393"/>
        <v>-656906.10000000009</v>
      </c>
      <c r="CG171" s="385">
        <f t="shared" si="1393"/>
        <v>-608254.43999999994</v>
      </c>
      <c r="CH171" s="385">
        <f t="shared" si="1393"/>
        <v>-1000256.07</v>
      </c>
      <c r="CI171" s="385">
        <f t="shared" si="1393"/>
        <v>-1309750</v>
      </c>
      <c r="CJ171" s="385">
        <f t="shared" si="1393"/>
        <v>-1300975</v>
      </c>
      <c r="CL171" s="13"/>
      <c r="CM171" s="13"/>
    </row>
    <row r="172" spans="1:91" x14ac:dyDescent="0.3">
      <c r="A172" s="97"/>
      <c r="B172" s="106"/>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8"/>
      <c r="BZ172" s="379"/>
      <c r="CA172" s="379"/>
      <c r="CB172" s="97"/>
      <c r="CC172" s="379">
        <f t="shared" si="1397"/>
        <v>0</v>
      </c>
      <c r="CD172" s="379">
        <f t="shared" si="1393"/>
        <v>0</v>
      </c>
      <c r="CE172" s="379">
        <f t="shared" si="1393"/>
        <v>0</v>
      </c>
      <c r="CF172" s="379">
        <f t="shared" si="1393"/>
        <v>0</v>
      </c>
      <c r="CG172" s="379">
        <f t="shared" si="1393"/>
        <v>0</v>
      </c>
      <c r="CH172" s="379">
        <f t="shared" si="1393"/>
        <v>0</v>
      </c>
      <c r="CI172" s="379">
        <f t="shared" si="1393"/>
        <v>0</v>
      </c>
      <c r="CJ172" s="379">
        <f t="shared" si="1393"/>
        <v>0</v>
      </c>
      <c r="CL172" s="13"/>
      <c r="CM172" s="13"/>
    </row>
    <row r="173" spans="1:91" ht="15" thickBot="1" x14ac:dyDescent="0.35">
      <c r="A173" s="97" t="str">
        <f>'DCS Detail'!A173</f>
        <v>Net Income</v>
      </c>
      <c r="B173" s="106" t="str">
        <f>IF('DCS Detail'!$B173="","",'DCS Detail'!$B173)</f>
        <v/>
      </c>
      <c r="C173" s="111">
        <f t="shared" ref="C173:AH173" si="1416">SUM(C23:C31,C33:C51)-SUM(C54:C73,C75:C84,C86:C95,C97:C98,C100:C112,C114:C122,C124:C139,C142:C156,C159:C161,C163:C165,C168:C169)</f>
        <v>0</v>
      </c>
      <c r="D173" s="111">
        <f t="shared" si="1416"/>
        <v>0</v>
      </c>
      <c r="E173" s="111">
        <f t="shared" si="1416"/>
        <v>396963.92000000004</v>
      </c>
      <c r="F173" s="111">
        <f t="shared" si="1416"/>
        <v>214275.63</v>
      </c>
      <c r="G173" s="111">
        <f t="shared" si="1416"/>
        <v>-87342.140000000101</v>
      </c>
      <c r="H173" s="111">
        <f t="shared" si="1416"/>
        <v>259445.9029999999</v>
      </c>
      <c r="I173" s="111">
        <f t="shared" si="1416"/>
        <v>-203394.89600000007</v>
      </c>
      <c r="J173" s="111">
        <f t="shared" si="1416"/>
        <v>253590.90759999998</v>
      </c>
      <c r="K173" s="111">
        <f t="shared" si="1416"/>
        <v>-221791.90940000006</v>
      </c>
      <c r="L173" s="111">
        <f t="shared" si="1416"/>
        <v>26410.954800000036</v>
      </c>
      <c r="M173" s="111">
        <f t="shared" si="1416"/>
        <v>-16152.980000000069</v>
      </c>
      <c r="N173" s="111">
        <f t="shared" si="1416"/>
        <v>205653.33999999988</v>
      </c>
      <c r="O173" s="111">
        <f t="shared" si="1416"/>
        <v>-221141.37000000002</v>
      </c>
      <c r="P173" s="111">
        <f t="shared" si="1416"/>
        <v>-231053.50000000006</v>
      </c>
      <c r="Q173" s="111">
        <f t="shared" si="1416"/>
        <v>14818.73000000004</v>
      </c>
      <c r="R173" s="111">
        <f t="shared" si="1416"/>
        <v>-71938.950000000128</v>
      </c>
      <c r="S173" s="111">
        <f t="shared" si="1416"/>
        <v>223687.0400000001</v>
      </c>
      <c r="T173" s="111">
        <f t="shared" si="1416"/>
        <v>-50673.220000000118</v>
      </c>
      <c r="U173" s="111">
        <f t="shared" si="1416"/>
        <v>-124522.3899999999</v>
      </c>
      <c r="V173" s="111">
        <f t="shared" si="1416"/>
        <v>-75738.72000000003</v>
      </c>
      <c r="W173" s="111">
        <f t="shared" si="1416"/>
        <v>-65725.620000000054</v>
      </c>
      <c r="X173" s="111">
        <f t="shared" si="1416"/>
        <v>-109222.24999999991</v>
      </c>
      <c r="Y173" s="111">
        <f t="shared" si="1416"/>
        <v>41924.28999999995</v>
      </c>
      <c r="Z173" s="111">
        <f t="shared" si="1416"/>
        <v>146424.32999999996</v>
      </c>
      <c r="AA173" s="111">
        <f t="shared" si="1416"/>
        <v>-96743.129999999917</v>
      </c>
      <c r="AB173" s="111">
        <f t="shared" si="1416"/>
        <v>-123483.3349680914</v>
      </c>
      <c r="AC173" s="111">
        <f t="shared" si="1416"/>
        <v>774400.40625714278</v>
      </c>
      <c r="AD173" s="111">
        <f t="shared" si="1416"/>
        <v>3348.6925609755563</v>
      </c>
      <c r="AE173" s="111">
        <f t="shared" si="1416"/>
        <v>286344.00724531658</v>
      </c>
      <c r="AF173" s="111">
        <f t="shared" si="1416"/>
        <v>-16084.947233705723</v>
      </c>
      <c r="AG173" s="111">
        <f t="shared" si="1416"/>
        <v>-22956.819113035279</v>
      </c>
      <c r="AH173" s="111">
        <f t="shared" si="1416"/>
        <v>-1145.2387164066313</v>
      </c>
      <c r="AI173" s="111">
        <f t="shared" ref="AI173:BN173" si="1417">SUM(AI23:AI31,AI33:AI51)-SUM(AI54:AI73,AI75:AI84,AI86:AI95,AI97:AI98,AI100:AI112,AI114:AI122,AI124:AI139,AI142:AI156,AI159:AI161,AI163:AI165,AI168:AI169)</f>
        <v>-17823.440761396778</v>
      </c>
      <c r="AJ173" s="111">
        <f t="shared" si="1417"/>
        <v>65007.774849517387</v>
      </c>
      <c r="AK173" s="111">
        <f t="shared" si="1417"/>
        <v>31841.815556759422</v>
      </c>
      <c r="AL173" s="111">
        <f t="shared" si="1417"/>
        <v>43630.056437435909</v>
      </c>
      <c r="AM173" s="111">
        <f t="shared" si="1417"/>
        <v>44263.603036610526</v>
      </c>
      <c r="AN173" s="111">
        <f t="shared" si="1417"/>
        <v>-159286.28302458371</v>
      </c>
      <c r="AO173" s="111">
        <f t="shared" si="1417"/>
        <v>111246.64993870317</v>
      </c>
      <c r="AP173" s="111">
        <f t="shared" si="1417"/>
        <v>-7724.8263430382358</v>
      </c>
      <c r="AQ173" s="111">
        <f t="shared" si="1417"/>
        <v>289649.02391553234</v>
      </c>
      <c r="AR173" s="111">
        <f t="shared" si="1417"/>
        <v>-35074.125599096413</v>
      </c>
      <c r="AS173" s="111">
        <f t="shared" si="1417"/>
        <v>-41000.613171022327</v>
      </c>
      <c r="AT173" s="111">
        <f t="shared" si="1417"/>
        <v>-14610.247048153135</v>
      </c>
      <c r="AU173" s="111">
        <f t="shared" si="1417"/>
        <v>-32388.512874478241</v>
      </c>
      <c r="AV173" s="111">
        <f t="shared" si="1417"/>
        <v>7668.3820441649295</v>
      </c>
      <c r="AW173" s="111">
        <f t="shared" si="1417"/>
        <v>-1072.4955203618738</v>
      </c>
      <c r="AX173" s="111">
        <f t="shared" si="1417"/>
        <v>-10502.753229169059</v>
      </c>
      <c r="AY173" s="111">
        <f t="shared" si="1417"/>
        <v>-8757.3172722273739</v>
      </c>
      <c r="AZ173" s="111">
        <f t="shared" si="1417"/>
        <v>-180096.0557424156</v>
      </c>
      <c r="BA173" s="111">
        <f t="shared" si="1417"/>
        <v>140917.20243827629</v>
      </c>
      <c r="BB173" s="111">
        <f t="shared" si="1417"/>
        <v>-38381.067891798099</v>
      </c>
      <c r="BC173" s="111">
        <f t="shared" si="1417"/>
        <v>258363.02540309262</v>
      </c>
      <c r="BD173" s="111">
        <f t="shared" si="1417"/>
        <v>-63052.871181814116</v>
      </c>
      <c r="BE173" s="111">
        <f t="shared" si="1417"/>
        <v>-69359.997802551195</v>
      </c>
      <c r="BF173" s="111">
        <f t="shared" si="1417"/>
        <v>-41234.272825346852</v>
      </c>
      <c r="BG173" s="111">
        <f t="shared" si="1417"/>
        <v>-59174.858412842033</v>
      </c>
      <c r="BH173" s="111">
        <f t="shared" si="1417"/>
        <v>-18469.790164519043</v>
      </c>
      <c r="BI173" s="111">
        <f t="shared" si="1417"/>
        <v>-28293.054762952903</v>
      </c>
      <c r="BJ173" s="111">
        <f t="shared" si="1417"/>
        <v>-37098.292094768258</v>
      </c>
      <c r="BK173" s="111">
        <f t="shared" si="1417"/>
        <v>-35455.466616257792</v>
      </c>
      <c r="BL173" s="111">
        <f t="shared" si="1417"/>
        <v>-211880.31649128912</v>
      </c>
      <c r="BM173" s="111">
        <f t="shared" si="1417"/>
        <v>146191.27195005488</v>
      </c>
      <c r="BN173" s="111">
        <f t="shared" si="1417"/>
        <v>-40620.590040135838</v>
      </c>
      <c r="BO173" s="111">
        <f t="shared" ref="BO173:BX173" si="1418">SUM(BO23:BO31,BO33:BO51)-SUM(BO54:BO73,BO75:BO84,BO86:BO95,BO97:BO98,BO100:BO112,BO114:BO122,BO124:BO139,BO142:BO156,BO159:BO161,BO163:BO165,BO168:BO169)</f>
        <v>254928.13641311415</v>
      </c>
      <c r="BP173" s="111">
        <f t="shared" si="1418"/>
        <v>-65031.246159900038</v>
      </c>
      <c r="BQ173" s="111">
        <f t="shared" si="1418"/>
        <v>-72464.22554833442</v>
      </c>
      <c r="BR173" s="111">
        <f t="shared" si="1418"/>
        <v>-43758.366508713167</v>
      </c>
      <c r="BS173" s="111">
        <f t="shared" si="1418"/>
        <v>-63190.96298401471</v>
      </c>
      <c r="BT173" s="111">
        <f t="shared" si="1418"/>
        <v>-19943.077460637549</v>
      </c>
      <c r="BU173" s="111">
        <f t="shared" si="1418"/>
        <v>-30275.71935851255</v>
      </c>
      <c r="BV173" s="111">
        <f t="shared" si="1418"/>
        <v>-38954.55347422004</v>
      </c>
      <c r="BW173" s="111">
        <f t="shared" si="1418"/>
        <v>-37504.803612739081</v>
      </c>
      <c r="BX173" s="111">
        <f t="shared" si="1418"/>
        <v>-219124.95950648235</v>
      </c>
      <c r="BY173" s="8"/>
      <c r="BZ173" s="387">
        <f>SUM(BZ23:BZ31,BZ33:BZ51)-SUM(BZ54:BZ73,BZ75:BZ84,BZ86:BZ95,BZ97:BZ98,BZ100:BZ112,BZ114:BZ122,BZ124:BZ139,BZ142:BZ156,BZ159:BZ161,BZ163:BZ165,BZ168:BZ169)</f>
        <v>-96743.129999999917</v>
      </c>
      <c r="CA173" s="387">
        <f>SUM(CA23:CA31,CA33:CA51)-SUM(CA54:CA73,CA75:CA84,CA86:CA95,CA97:CA98,CA100:CA112,CA114:CA122,CA124:CA139,CA142:CA156,CA159:CA161,CA163:CA165,CA168:CA169)</f>
        <v>-167709.8899999992</v>
      </c>
      <c r="CB173" s="97"/>
      <c r="CC173" s="387">
        <f t="shared" si="1397"/>
        <v>0</v>
      </c>
      <c r="CD173" s="387">
        <f t="shared" si="1393"/>
        <v>0</v>
      </c>
      <c r="CE173" s="387">
        <f t="shared" si="1393"/>
        <v>375463.85999999946</v>
      </c>
      <c r="CF173" s="387">
        <f t="shared" si="1393"/>
        <v>-291193.22496809141</v>
      </c>
      <c r="CG173" s="387">
        <f t="shared" si="1393"/>
        <v>1031539.6270946299</v>
      </c>
      <c r="CH173" s="387">
        <f t="shared" si="1393"/>
        <v>77337.109098438174</v>
      </c>
      <c r="CI173" s="387">
        <f t="shared" si="1393"/>
        <v>-203119.76040277054</v>
      </c>
      <c r="CJ173" s="387">
        <f t="shared" si="1393"/>
        <v>-229749.09629052074</v>
      </c>
      <c r="CL173" s="13"/>
      <c r="CM173" s="13"/>
    </row>
    <row r="174" spans="1:91" ht="15" thickTop="1" x14ac:dyDescent="0.3">
      <c r="A174" s="107" t="s">
        <v>246</v>
      </c>
      <c r="B174" s="106"/>
      <c r="C174" s="57">
        <f>C167-C170-C173</f>
        <v>0</v>
      </c>
      <c r="D174" s="57">
        <f t="shared" ref="D174:CA174" si="1419">D167-D170-D173</f>
        <v>0</v>
      </c>
      <c r="E174" s="57">
        <f t="shared" si="1419"/>
        <v>0</v>
      </c>
      <c r="F174" s="57">
        <f t="shared" si="1419"/>
        <v>0</v>
      </c>
      <c r="G174" s="57">
        <f t="shared" si="1419"/>
        <v>1.4551915228366852E-10</v>
      </c>
      <c r="H174" s="57">
        <f t="shared" si="1419"/>
        <v>0</v>
      </c>
      <c r="I174" s="57">
        <f t="shared" si="1419"/>
        <v>0</v>
      </c>
      <c r="J174" s="57">
        <f t="shared" si="1419"/>
        <v>0</v>
      </c>
      <c r="K174" s="57">
        <f t="shared" si="1419"/>
        <v>0</v>
      </c>
      <c r="L174" s="57">
        <f t="shared" si="1419"/>
        <v>-8.7311491370201111E-11</v>
      </c>
      <c r="M174" s="57">
        <f t="shared" si="1419"/>
        <v>8.7311491370201111E-11</v>
      </c>
      <c r="N174" s="57">
        <f t="shared" si="1419"/>
        <v>0</v>
      </c>
      <c r="O174" s="57">
        <f t="shared" si="1419"/>
        <v>0</v>
      </c>
      <c r="P174" s="57">
        <f t="shared" si="1419"/>
        <v>0</v>
      </c>
      <c r="Q174" s="57">
        <f t="shared" si="1419"/>
        <v>-2.9103830456733704E-11</v>
      </c>
      <c r="R174" s="57">
        <f t="shared" si="1419"/>
        <v>1.1641532182693481E-10</v>
      </c>
      <c r="S174" s="57">
        <f t="shared" si="1419"/>
        <v>0</v>
      </c>
      <c r="T174" s="57">
        <f t="shared" si="1419"/>
        <v>6.5483618527650833E-11</v>
      </c>
      <c r="U174" s="57">
        <f t="shared" si="1419"/>
        <v>0</v>
      </c>
      <c r="V174" s="57">
        <f t="shared" si="1419"/>
        <v>0</v>
      </c>
      <c r="W174" s="57">
        <f t="shared" si="1419"/>
        <v>0</v>
      </c>
      <c r="X174" s="57">
        <f t="shared" si="1419"/>
        <v>-1.3096723705530167E-10</v>
      </c>
      <c r="Y174" s="57">
        <f t="shared" si="1419"/>
        <v>0</v>
      </c>
      <c r="Z174" s="57">
        <f t="shared" si="1419"/>
        <v>0</v>
      </c>
      <c r="AA174" s="57">
        <f t="shared" si="1419"/>
        <v>0</v>
      </c>
      <c r="AB174" s="57">
        <f t="shared" si="1419"/>
        <v>0</v>
      </c>
      <c r="AC174" s="57">
        <f t="shared" si="1419"/>
        <v>0</v>
      </c>
      <c r="AD174" s="57">
        <f t="shared" si="1419"/>
        <v>-2.9103830456733704E-11</v>
      </c>
      <c r="AE174" s="57">
        <f t="shared" si="1419"/>
        <v>0</v>
      </c>
      <c r="AF174" s="57">
        <f t="shared" si="1419"/>
        <v>0</v>
      </c>
      <c r="AG174" s="57">
        <f t="shared" si="1419"/>
        <v>-1.1641532182693481E-10</v>
      </c>
      <c r="AH174" s="57">
        <f t="shared" si="1419"/>
        <v>-2.9103830456733704E-11</v>
      </c>
      <c r="AI174" s="57">
        <f t="shared" si="1419"/>
        <v>2.9103830456733704E-11</v>
      </c>
      <c r="AJ174" s="57">
        <f t="shared" si="1419"/>
        <v>0</v>
      </c>
      <c r="AK174" s="57">
        <f t="shared" si="1419"/>
        <v>-5.8207660913467407E-11</v>
      </c>
      <c r="AL174" s="57">
        <f t="shared" si="1419"/>
        <v>5.8207660913467407E-11</v>
      </c>
      <c r="AM174" s="57">
        <f t="shared" si="1419"/>
        <v>0</v>
      </c>
      <c r="AN174" s="57">
        <f t="shared" si="1419"/>
        <v>0</v>
      </c>
      <c r="AO174" s="57">
        <f t="shared" ref="AO174:AZ174" si="1420">AO167-AO170-AO173</f>
        <v>0</v>
      </c>
      <c r="AP174" s="57">
        <f t="shared" si="1420"/>
        <v>-1.4551915228366852E-11</v>
      </c>
      <c r="AQ174" s="57">
        <f t="shared" si="1420"/>
        <v>0</v>
      </c>
      <c r="AR174" s="57">
        <f t="shared" si="1420"/>
        <v>-1.3096723705530167E-10</v>
      </c>
      <c r="AS174" s="57">
        <f t="shared" si="1420"/>
        <v>0</v>
      </c>
      <c r="AT174" s="57">
        <f t="shared" si="1420"/>
        <v>-1.4551915228366852E-11</v>
      </c>
      <c r="AU174" s="57">
        <f t="shared" si="1420"/>
        <v>-1.3096723705530167E-10</v>
      </c>
      <c r="AV174" s="57">
        <f t="shared" si="1420"/>
        <v>1.0186340659856796E-10</v>
      </c>
      <c r="AW174" s="57">
        <f t="shared" si="1420"/>
        <v>-1.4551915228366852E-11</v>
      </c>
      <c r="AX174" s="57">
        <f t="shared" si="1420"/>
        <v>-1.4551915228366852E-11</v>
      </c>
      <c r="AY174" s="57">
        <f t="shared" si="1420"/>
        <v>-1.4551915228366852E-11</v>
      </c>
      <c r="AZ174" s="57">
        <f t="shared" si="1420"/>
        <v>0</v>
      </c>
      <c r="BA174" s="57">
        <f t="shared" ref="BA174:BX174" si="1421">BA167-BA170-BA173</f>
        <v>0</v>
      </c>
      <c r="BB174" s="57">
        <f t="shared" si="1421"/>
        <v>0</v>
      </c>
      <c r="BC174" s="57">
        <f t="shared" si="1421"/>
        <v>0</v>
      </c>
      <c r="BD174" s="57">
        <f t="shared" si="1421"/>
        <v>0</v>
      </c>
      <c r="BE174" s="57">
        <f t="shared" si="1421"/>
        <v>0</v>
      </c>
      <c r="BF174" s="57">
        <f t="shared" si="1421"/>
        <v>0</v>
      </c>
      <c r="BG174" s="57">
        <f t="shared" si="1421"/>
        <v>0</v>
      </c>
      <c r="BH174" s="57">
        <f t="shared" si="1421"/>
        <v>0</v>
      </c>
      <c r="BI174" s="57">
        <f t="shared" si="1421"/>
        <v>-1.3096723705530167E-10</v>
      </c>
      <c r="BJ174" s="57">
        <f t="shared" si="1421"/>
        <v>0</v>
      </c>
      <c r="BK174" s="57">
        <f t="shared" si="1421"/>
        <v>1.0186340659856796E-10</v>
      </c>
      <c r="BL174" s="57">
        <f t="shared" si="1421"/>
        <v>0</v>
      </c>
      <c r="BM174" s="57">
        <f t="shared" si="1421"/>
        <v>0</v>
      </c>
      <c r="BN174" s="57">
        <f t="shared" si="1421"/>
        <v>1.6007106751203537E-10</v>
      </c>
      <c r="BO174" s="57">
        <f t="shared" si="1421"/>
        <v>0</v>
      </c>
      <c r="BP174" s="57">
        <f t="shared" si="1421"/>
        <v>0</v>
      </c>
      <c r="BQ174" s="57">
        <f t="shared" si="1421"/>
        <v>0</v>
      </c>
      <c r="BR174" s="57">
        <f t="shared" si="1421"/>
        <v>0</v>
      </c>
      <c r="BS174" s="57">
        <f t="shared" si="1421"/>
        <v>0</v>
      </c>
      <c r="BT174" s="57">
        <f t="shared" si="1421"/>
        <v>1.0186340659856796E-10</v>
      </c>
      <c r="BU174" s="57">
        <f t="shared" si="1421"/>
        <v>0</v>
      </c>
      <c r="BV174" s="57">
        <f t="shared" si="1421"/>
        <v>-7.2759576141834259E-11</v>
      </c>
      <c r="BW174" s="57">
        <f t="shared" si="1421"/>
        <v>-1.8917489796876907E-10</v>
      </c>
      <c r="BX174" s="57">
        <f t="shared" si="1421"/>
        <v>-2.3283064365386963E-10</v>
      </c>
      <c r="BY174" s="2"/>
      <c r="BZ174" s="388">
        <f t="shared" si="1419"/>
        <v>0</v>
      </c>
      <c r="CA174" s="388">
        <f t="shared" si="1419"/>
        <v>-9.3132257461547852E-10</v>
      </c>
      <c r="CB174" s="97"/>
      <c r="CC174" s="388">
        <f t="shared" ref="CC174:CJ174" si="1422">CC167-CC170-CC173</f>
        <v>0</v>
      </c>
      <c r="CD174" s="388">
        <f t="shared" si="1422"/>
        <v>0</v>
      </c>
      <c r="CE174" s="388">
        <f t="shared" si="1422"/>
        <v>6.4028427004814148E-10</v>
      </c>
      <c r="CF174" s="388">
        <f t="shared" si="1422"/>
        <v>0</v>
      </c>
      <c r="CG174" s="388">
        <f t="shared" si="1422"/>
        <v>0</v>
      </c>
      <c r="CH174" s="388">
        <f t="shared" si="1422"/>
        <v>-1.1641532182693481E-10</v>
      </c>
      <c r="CI174" s="388">
        <f t="shared" si="1422"/>
        <v>0</v>
      </c>
      <c r="CJ174" s="388">
        <f t="shared" si="1422"/>
        <v>0</v>
      </c>
    </row>
    <row r="175" spans="1:91" x14ac:dyDescent="0.3">
      <c r="A175" s="23" t="s">
        <v>384</v>
      </c>
      <c r="B175" s="87"/>
      <c r="C175" s="87"/>
      <c r="D175" s="87"/>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383"/>
      <c r="CA175" s="383"/>
      <c r="CB175" s="383"/>
      <c r="CC175" s="383"/>
      <c r="CD175" s="383"/>
      <c r="CE175" s="383"/>
      <c r="CF175" s="383"/>
      <c r="CG175" s="383"/>
      <c r="CH175" s="383"/>
      <c r="CI175" s="383"/>
      <c r="CJ175" s="383"/>
    </row>
    <row r="176" spans="1:91" x14ac:dyDescent="0.3">
      <c r="A176" s="97" t="str">
        <f>'DCS Detail'!A176</f>
        <v>Net Income</v>
      </c>
      <c r="B176" s="106" t="str">
        <f>IF('DCS Detail'!$B176="","",'DCS Detail'!$B176)</f>
        <v/>
      </c>
      <c r="C176" s="368"/>
      <c r="D176" s="368"/>
      <c r="E176" s="368">
        <f>E173</f>
        <v>396963.92000000004</v>
      </c>
      <c r="F176" s="368">
        <f t="shared" ref="F176:BQ176" si="1423">F173</f>
        <v>214275.63</v>
      </c>
      <c r="G176" s="368">
        <f t="shared" si="1423"/>
        <v>-87342.140000000101</v>
      </c>
      <c r="H176" s="368">
        <f t="shared" si="1423"/>
        <v>259445.9029999999</v>
      </c>
      <c r="I176" s="368">
        <f t="shared" si="1423"/>
        <v>-203394.89600000007</v>
      </c>
      <c r="J176" s="368">
        <f t="shared" si="1423"/>
        <v>253590.90759999998</v>
      </c>
      <c r="K176" s="368">
        <f t="shared" si="1423"/>
        <v>-221791.90940000006</v>
      </c>
      <c r="L176" s="368">
        <f t="shared" si="1423"/>
        <v>26410.954800000036</v>
      </c>
      <c r="M176" s="368">
        <f t="shared" si="1423"/>
        <v>-16152.980000000069</v>
      </c>
      <c r="N176" s="368">
        <f t="shared" si="1423"/>
        <v>205653.33999999988</v>
      </c>
      <c r="O176" s="368">
        <f t="shared" si="1423"/>
        <v>-221141.37000000002</v>
      </c>
      <c r="P176" s="368">
        <f t="shared" si="1423"/>
        <v>-231053.50000000006</v>
      </c>
      <c r="Q176" s="368">
        <f t="shared" si="1423"/>
        <v>14818.73000000004</v>
      </c>
      <c r="R176" s="368">
        <f t="shared" si="1423"/>
        <v>-71938.950000000128</v>
      </c>
      <c r="S176" s="368">
        <f t="shared" si="1423"/>
        <v>223687.0400000001</v>
      </c>
      <c r="T176" s="368">
        <f t="shared" si="1423"/>
        <v>-50673.220000000118</v>
      </c>
      <c r="U176" s="368">
        <f t="shared" si="1423"/>
        <v>-124522.3899999999</v>
      </c>
      <c r="V176" s="368">
        <f t="shared" si="1423"/>
        <v>-75738.72000000003</v>
      </c>
      <c r="W176" s="368">
        <f t="shared" si="1423"/>
        <v>-65725.620000000054</v>
      </c>
      <c r="X176" s="368">
        <f t="shared" si="1423"/>
        <v>-109222.24999999991</v>
      </c>
      <c r="Y176" s="368">
        <f t="shared" si="1423"/>
        <v>41924.28999999995</v>
      </c>
      <c r="Z176" s="368">
        <f t="shared" si="1423"/>
        <v>146424.32999999996</v>
      </c>
      <c r="AA176" s="368">
        <f t="shared" si="1423"/>
        <v>-96743.129999999917</v>
      </c>
      <c r="AB176" s="368">
        <f t="shared" si="1423"/>
        <v>-123483.3349680914</v>
      </c>
      <c r="AC176" s="368">
        <f t="shared" si="1423"/>
        <v>774400.40625714278</v>
      </c>
      <c r="AD176" s="368">
        <f t="shared" si="1423"/>
        <v>3348.6925609755563</v>
      </c>
      <c r="AE176" s="368">
        <f t="shared" si="1423"/>
        <v>286344.00724531658</v>
      </c>
      <c r="AF176" s="368">
        <f t="shared" si="1423"/>
        <v>-16084.947233705723</v>
      </c>
      <c r="AG176" s="368">
        <f t="shared" si="1423"/>
        <v>-22956.819113035279</v>
      </c>
      <c r="AH176" s="368">
        <f t="shared" si="1423"/>
        <v>-1145.2387164066313</v>
      </c>
      <c r="AI176" s="368">
        <f t="shared" si="1423"/>
        <v>-17823.440761396778</v>
      </c>
      <c r="AJ176" s="368">
        <f t="shared" si="1423"/>
        <v>65007.774849517387</v>
      </c>
      <c r="AK176" s="368">
        <f t="shared" si="1423"/>
        <v>31841.815556759422</v>
      </c>
      <c r="AL176" s="368">
        <f t="shared" si="1423"/>
        <v>43630.056437435909</v>
      </c>
      <c r="AM176" s="368">
        <f t="shared" si="1423"/>
        <v>44263.603036610526</v>
      </c>
      <c r="AN176" s="368">
        <f t="shared" si="1423"/>
        <v>-159286.28302458371</v>
      </c>
      <c r="AO176" s="368">
        <f t="shared" si="1423"/>
        <v>111246.64993870317</v>
      </c>
      <c r="AP176" s="368">
        <f t="shared" si="1423"/>
        <v>-7724.8263430382358</v>
      </c>
      <c r="AQ176" s="368">
        <f t="shared" si="1423"/>
        <v>289649.02391553234</v>
      </c>
      <c r="AR176" s="368">
        <f t="shared" si="1423"/>
        <v>-35074.125599096413</v>
      </c>
      <c r="AS176" s="368">
        <f t="shared" si="1423"/>
        <v>-41000.613171022327</v>
      </c>
      <c r="AT176" s="368">
        <f t="shared" si="1423"/>
        <v>-14610.247048153135</v>
      </c>
      <c r="AU176" s="368">
        <f t="shared" si="1423"/>
        <v>-32388.512874478241</v>
      </c>
      <c r="AV176" s="368">
        <f t="shared" si="1423"/>
        <v>7668.3820441649295</v>
      </c>
      <c r="AW176" s="368">
        <f t="shared" si="1423"/>
        <v>-1072.4955203618738</v>
      </c>
      <c r="AX176" s="368">
        <f t="shared" si="1423"/>
        <v>-10502.753229169059</v>
      </c>
      <c r="AY176" s="368">
        <f t="shared" si="1423"/>
        <v>-8757.3172722273739</v>
      </c>
      <c r="AZ176" s="368">
        <f t="shared" si="1423"/>
        <v>-180096.0557424156</v>
      </c>
      <c r="BA176" s="368">
        <f t="shared" si="1423"/>
        <v>140917.20243827629</v>
      </c>
      <c r="BB176" s="368">
        <f t="shared" si="1423"/>
        <v>-38381.067891798099</v>
      </c>
      <c r="BC176" s="368">
        <f t="shared" si="1423"/>
        <v>258363.02540309262</v>
      </c>
      <c r="BD176" s="368">
        <f t="shared" si="1423"/>
        <v>-63052.871181814116</v>
      </c>
      <c r="BE176" s="368">
        <f t="shared" si="1423"/>
        <v>-69359.997802551195</v>
      </c>
      <c r="BF176" s="368">
        <f t="shared" si="1423"/>
        <v>-41234.272825346852</v>
      </c>
      <c r="BG176" s="368">
        <f t="shared" si="1423"/>
        <v>-59174.858412842033</v>
      </c>
      <c r="BH176" s="368">
        <f t="shared" si="1423"/>
        <v>-18469.790164519043</v>
      </c>
      <c r="BI176" s="368">
        <f t="shared" si="1423"/>
        <v>-28293.054762952903</v>
      </c>
      <c r="BJ176" s="368">
        <f t="shared" si="1423"/>
        <v>-37098.292094768258</v>
      </c>
      <c r="BK176" s="368">
        <f t="shared" si="1423"/>
        <v>-35455.466616257792</v>
      </c>
      <c r="BL176" s="368">
        <f t="shared" si="1423"/>
        <v>-211880.31649128912</v>
      </c>
      <c r="BM176" s="368">
        <f t="shared" si="1423"/>
        <v>146191.27195005488</v>
      </c>
      <c r="BN176" s="368">
        <f t="shared" si="1423"/>
        <v>-40620.590040135838</v>
      </c>
      <c r="BO176" s="368">
        <f t="shared" si="1423"/>
        <v>254928.13641311415</v>
      </c>
      <c r="BP176" s="368">
        <f t="shared" si="1423"/>
        <v>-65031.246159900038</v>
      </c>
      <c r="BQ176" s="368">
        <f t="shared" si="1423"/>
        <v>-72464.22554833442</v>
      </c>
      <c r="BR176" s="368">
        <f t="shared" ref="BR176:CJ176" si="1424">BR173</f>
        <v>-43758.366508713167</v>
      </c>
      <c r="BS176" s="368">
        <f t="shared" si="1424"/>
        <v>-63190.96298401471</v>
      </c>
      <c r="BT176" s="368">
        <f t="shared" si="1424"/>
        <v>-19943.077460637549</v>
      </c>
      <c r="BU176" s="368">
        <f t="shared" si="1424"/>
        <v>-30275.71935851255</v>
      </c>
      <c r="BV176" s="368">
        <f t="shared" si="1424"/>
        <v>-38954.55347422004</v>
      </c>
      <c r="BW176" s="368">
        <f t="shared" si="1424"/>
        <v>-37504.803612739081</v>
      </c>
      <c r="BX176" s="368">
        <f t="shared" si="1424"/>
        <v>-219124.95950648235</v>
      </c>
      <c r="BY176" s="368"/>
      <c r="BZ176" s="389">
        <f t="shared" si="1424"/>
        <v>-96743.129999999917</v>
      </c>
      <c r="CA176" s="389">
        <f t="shared" si="1424"/>
        <v>-167709.8899999992</v>
      </c>
      <c r="CB176" s="389"/>
      <c r="CC176" s="389">
        <f t="shared" si="1424"/>
        <v>0</v>
      </c>
      <c r="CD176" s="389">
        <f t="shared" si="1424"/>
        <v>0</v>
      </c>
      <c r="CE176" s="389">
        <f t="shared" si="1424"/>
        <v>375463.85999999946</v>
      </c>
      <c r="CF176" s="389">
        <f t="shared" si="1424"/>
        <v>-291193.22496809141</v>
      </c>
      <c r="CG176" s="389">
        <f t="shared" si="1424"/>
        <v>1031539.6270946299</v>
      </c>
      <c r="CH176" s="389">
        <f t="shared" si="1424"/>
        <v>77337.109098438174</v>
      </c>
      <c r="CI176" s="389">
        <f t="shared" si="1424"/>
        <v>-203119.76040277054</v>
      </c>
      <c r="CJ176" s="389">
        <f t="shared" si="1424"/>
        <v>-229749.09629052074</v>
      </c>
    </row>
    <row r="177" spans="1:88" x14ac:dyDescent="0.3">
      <c r="A177" s="97" t="str">
        <f>'DCS Detail'!A177</f>
        <v xml:space="preserve">   900 Interest Expense</v>
      </c>
      <c r="B177" s="106" t="str">
        <f>IF('DCS Detail'!$B177="","",'DCS Detail'!$B177)</f>
        <v>Interest</v>
      </c>
      <c r="C177" s="368"/>
      <c r="D177" s="368"/>
      <c r="E177" s="368">
        <f t="shared" ref="E177:N180" si="1425">SUMIF($A$21:$A$174,$A177,E$21:E$174)</f>
        <v>0</v>
      </c>
      <c r="F177" s="368">
        <f t="shared" si="1425"/>
        <v>0</v>
      </c>
      <c r="G177" s="368">
        <f t="shared" si="1425"/>
        <v>0</v>
      </c>
      <c r="H177" s="368">
        <f t="shared" si="1425"/>
        <v>0</v>
      </c>
      <c r="I177" s="368">
        <f t="shared" si="1425"/>
        <v>0</v>
      </c>
      <c r="J177" s="368">
        <f t="shared" si="1425"/>
        <v>0</v>
      </c>
      <c r="K177" s="368">
        <f t="shared" si="1425"/>
        <v>0</v>
      </c>
      <c r="L177" s="368">
        <f t="shared" si="1425"/>
        <v>0</v>
      </c>
      <c r="M177" s="368">
        <f t="shared" si="1425"/>
        <v>0</v>
      </c>
      <c r="N177" s="368">
        <f t="shared" si="1425"/>
        <v>0</v>
      </c>
      <c r="O177" s="368">
        <f t="shared" ref="O177:X180" si="1426">SUMIF($A$21:$A$174,$A177,O$21:O$174)</f>
        <v>0</v>
      </c>
      <c r="P177" s="368">
        <f t="shared" si="1426"/>
        <v>267350</v>
      </c>
      <c r="Q177" s="368">
        <f t="shared" si="1426"/>
        <v>53924.19</v>
      </c>
      <c r="R177" s="368">
        <f t="shared" si="1426"/>
        <v>54078.66</v>
      </c>
      <c r="S177" s="368">
        <f t="shared" si="1426"/>
        <v>54234.44</v>
      </c>
      <c r="T177" s="368">
        <f t="shared" si="1426"/>
        <v>54391.57</v>
      </c>
      <c r="U177" s="368">
        <f t="shared" si="1426"/>
        <v>54550.04</v>
      </c>
      <c r="V177" s="368">
        <f t="shared" si="1426"/>
        <v>54709.88</v>
      </c>
      <c r="W177" s="368">
        <f t="shared" si="1426"/>
        <v>54871.08</v>
      </c>
      <c r="X177" s="368">
        <f t="shared" si="1426"/>
        <v>54989.11</v>
      </c>
      <c r="Y177" s="368">
        <f t="shared" ref="Y177:AH180" si="1427">SUMIF($A$21:$A$174,$A177,Y$21:Y$174)</f>
        <v>55108.15</v>
      </c>
      <c r="Z177" s="368">
        <f t="shared" si="1427"/>
        <v>55228.22</v>
      </c>
      <c r="AA177" s="368">
        <f t="shared" si="1427"/>
        <v>55349.31</v>
      </c>
      <c r="AB177" s="368">
        <f t="shared" si="1427"/>
        <v>55471.45</v>
      </c>
      <c r="AC177" s="368">
        <f t="shared" si="1427"/>
        <v>50687.869999999995</v>
      </c>
      <c r="AD177" s="368">
        <f t="shared" si="1427"/>
        <v>50687.869999999995</v>
      </c>
      <c r="AE177" s="368">
        <f t="shared" si="1427"/>
        <v>50687.869999999995</v>
      </c>
      <c r="AF177" s="368">
        <f t="shared" si="1427"/>
        <v>50687.869999999995</v>
      </c>
      <c r="AG177" s="368">
        <f t="shared" si="1427"/>
        <v>50687.869999999995</v>
      </c>
      <c r="AH177" s="368">
        <f t="shared" si="1427"/>
        <v>50687.869999999995</v>
      </c>
      <c r="AI177" s="368">
        <f t="shared" ref="AI177:AR180" si="1428">SUMIF($A$21:$A$174,$A177,AI$21:AI$174)</f>
        <v>50687.869999999995</v>
      </c>
      <c r="AJ177" s="368">
        <f t="shared" si="1428"/>
        <v>50687.869999999995</v>
      </c>
      <c r="AK177" s="368">
        <f t="shared" si="1428"/>
        <v>50687.869999999995</v>
      </c>
      <c r="AL177" s="368">
        <f t="shared" si="1428"/>
        <v>50687.869999999995</v>
      </c>
      <c r="AM177" s="368">
        <f t="shared" si="1428"/>
        <v>50687.869999999995</v>
      </c>
      <c r="AN177" s="368">
        <f t="shared" si="1428"/>
        <v>50687.869999999995</v>
      </c>
      <c r="AO177" s="368">
        <f t="shared" si="1428"/>
        <v>83354.672500000001</v>
      </c>
      <c r="AP177" s="368">
        <f t="shared" si="1428"/>
        <v>83354.672500000001</v>
      </c>
      <c r="AQ177" s="368">
        <f t="shared" si="1428"/>
        <v>83354.672500000001</v>
      </c>
      <c r="AR177" s="368">
        <f t="shared" si="1428"/>
        <v>83354.672500000001</v>
      </c>
      <c r="AS177" s="368">
        <f t="shared" ref="AS177:BB180" si="1429">SUMIF($A$21:$A$174,$A177,AS$21:AS$174)</f>
        <v>83354.672500000001</v>
      </c>
      <c r="AT177" s="368">
        <f t="shared" si="1429"/>
        <v>83354.672500000001</v>
      </c>
      <c r="AU177" s="368">
        <f t="shared" si="1429"/>
        <v>83354.672500000001</v>
      </c>
      <c r="AV177" s="368">
        <f t="shared" si="1429"/>
        <v>83354.672500000001</v>
      </c>
      <c r="AW177" s="368">
        <f t="shared" si="1429"/>
        <v>83354.672500000001</v>
      </c>
      <c r="AX177" s="368">
        <f t="shared" si="1429"/>
        <v>83354.672500000001</v>
      </c>
      <c r="AY177" s="368">
        <f t="shared" si="1429"/>
        <v>83354.672500000001</v>
      </c>
      <c r="AZ177" s="368">
        <f t="shared" si="1429"/>
        <v>83354.672500000001</v>
      </c>
      <c r="BA177" s="368">
        <f t="shared" si="1429"/>
        <v>109145.83333333333</v>
      </c>
      <c r="BB177" s="368">
        <f t="shared" si="1429"/>
        <v>109145.83333333333</v>
      </c>
      <c r="BC177" s="368">
        <f t="shared" ref="BC177:BL180" si="1430">SUMIF($A$21:$A$174,$A177,BC$21:BC$174)</f>
        <v>109145.83333333333</v>
      </c>
      <c r="BD177" s="368">
        <f t="shared" si="1430"/>
        <v>109145.83333333333</v>
      </c>
      <c r="BE177" s="368">
        <f t="shared" si="1430"/>
        <v>109145.83333333333</v>
      </c>
      <c r="BF177" s="368">
        <f t="shared" si="1430"/>
        <v>109145.83333333333</v>
      </c>
      <c r="BG177" s="368">
        <f t="shared" si="1430"/>
        <v>109145.83333333333</v>
      </c>
      <c r="BH177" s="368">
        <f t="shared" si="1430"/>
        <v>109145.83333333333</v>
      </c>
      <c r="BI177" s="368">
        <f t="shared" si="1430"/>
        <v>109145.83333333333</v>
      </c>
      <c r="BJ177" s="368">
        <f t="shared" si="1430"/>
        <v>109145.83333333333</v>
      </c>
      <c r="BK177" s="368">
        <f t="shared" si="1430"/>
        <v>109145.83333333333</v>
      </c>
      <c r="BL177" s="368">
        <f t="shared" si="1430"/>
        <v>109145.83333333333</v>
      </c>
      <c r="BM177" s="368">
        <f t="shared" ref="BM177:BX180" si="1431">SUMIF($A$21:$A$174,$A177,BM$21:BM$174)</f>
        <v>108414.58333333333</v>
      </c>
      <c r="BN177" s="368">
        <f t="shared" si="1431"/>
        <v>108414.58333333333</v>
      </c>
      <c r="BO177" s="368">
        <f t="shared" si="1431"/>
        <v>108414.58333333333</v>
      </c>
      <c r="BP177" s="368">
        <f t="shared" si="1431"/>
        <v>108414.58333333333</v>
      </c>
      <c r="BQ177" s="368">
        <f t="shared" si="1431"/>
        <v>108414.58333333333</v>
      </c>
      <c r="BR177" s="368">
        <f t="shared" si="1431"/>
        <v>108414.58333333333</v>
      </c>
      <c r="BS177" s="368">
        <f t="shared" si="1431"/>
        <v>108414.58333333333</v>
      </c>
      <c r="BT177" s="368">
        <f t="shared" si="1431"/>
        <v>108414.58333333333</v>
      </c>
      <c r="BU177" s="368">
        <f t="shared" si="1431"/>
        <v>108414.58333333333</v>
      </c>
      <c r="BV177" s="368">
        <f t="shared" si="1431"/>
        <v>108414.58333333333</v>
      </c>
      <c r="BW177" s="368">
        <f t="shared" si="1431"/>
        <v>108414.58333333333</v>
      </c>
      <c r="BX177" s="368">
        <f t="shared" si="1431"/>
        <v>108414.58333333333</v>
      </c>
      <c r="BY177" s="368"/>
      <c r="BZ177" s="389">
        <f>SUMIF($B$252:$BY$252,1,$B177:$BY177)</f>
        <v>55349.31</v>
      </c>
      <c r="CA177" s="389">
        <f>SUMIF($B$253:$BY$253,1,$B177:$BY177)</f>
        <v>601434.65000000014</v>
      </c>
      <c r="CB177" s="389"/>
      <c r="CC177" s="389">
        <f t="shared" ref="CC177:CC181" si="1432">SUMIF($C$3:$BY$3,CC$3,$C177:$BY177)</f>
        <v>0</v>
      </c>
      <c r="CD177" s="389">
        <f t="shared" ref="CD177:CJ181" si="1433">SUMIF($C$3:$BY$3,CD$3,$C177:$BY177)</f>
        <v>0</v>
      </c>
      <c r="CE177" s="389">
        <f t="shared" si="1433"/>
        <v>267350</v>
      </c>
      <c r="CF177" s="389">
        <f t="shared" si="1433"/>
        <v>656906.10000000009</v>
      </c>
      <c r="CG177" s="389">
        <f t="shared" si="1433"/>
        <v>608254.43999999994</v>
      </c>
      <c r="CH177" s="389">
        <f t="shared" si="1433"/>
        <v>1000256.07</v>
      </c>
      <c r="CI177" s="389">
        <f t="shared" si="1433"/>
        <v>1309750</v>
      </c>
      <c r="CJ177" s="389">
        <f t="shared" si="1433"/>
        <v>1300975</v>
      </c>
    </row>
    <row r="178" spans="1:88" x14ac:dyDescent="0.3">
      <c r="A178" s="97" t="str">
        <f>'DCS Detail'!A178</f>
        <v xml:space="preserve">         733.1 Depreciation</v>
      </c>
      <c r="B178" s="106" t="str">
        <f>IF('DCS Detail'!$B178="","",'DCS Detail'!$B178)</f>
        <v>Depreciation</v>
      </c>
      <c r="C178" s="368"/>
      <c r="D178" s="368"/>
      <c r="E178" s="368">
        <f t="shared" si="1425"/>
        <v>221.01</v>
      </c>
      <c r="F178" s="368">
        <f t="shared" si="1425"/>
        <v>221.01</v>
      </c>
      <c r="G178" s="368">
        <f t="shared" si="1425"/>
        <v>221.01</v>
      </c>
      <c r="H178" s="368">
        <f t="shared" si="1425"/>
        <v>221.01</v>
      </c>
      <c r="I178" s="368">
        <f t="shared" si="1425"/>
        <v>221.01</v>
      </c>
      <c r="J178" s="368">
        <f t="shared" si="1425"/>
        <v>221.01</v>
      </c>
      <c r="K178" s="368">
        <f t="shared" si="1425"/>
        <v>221.01</v>
      </c>
      <c r="L178" s="368">
        <f t="shared" si="1425"/>
        <v>221.01</v>
      </c>
      <c r="M178" s="368">
        <f t="shared" si="1425"/>
        <v>7986.5400000000009</v>
      </c>
      <c r="N178" s="368">
        <f t="shared" si="1425"/>
        <v>2340.56</v>
      </c>
      <c r="O178" s="368">
        <f t="shared" si="1426"/>
        <v>2425.54</v>
      </c>
      <c r="P178" s="368">
        <f t="shared" si="1426"/>
        <v>129152.02</v>
      </c>
      <c r="Q178" s="368">
        <f t="shared" si="1426"/>
        <v>23489.360000000001</v>
      </c>
      <c r="R178" s="368">
        <f t="shared" si="1426"/>
        <v>23544.79</v>
      </c>
      <c r="S178" s="368">
        <f t="shared" si="1426"/>
        <v>23544.79</v>
      </c>
      <c r="T178" s="368">
        <f t="shared" si="1426"/>
        <v>23544.79</v>
      </c>
      <c r="U178" s="368">
        <f t="shared" si="1426"/>
        <v>23544.79</v>
      </c>
      <c r="V178" s="368">
        <f t="shared" si="1426"/>
        <v>23544.79</v>
      </c>
      <c r="W178" s="368">
        <f t="shared" si="1426"/>
        <v>23544.79</v>
      </c>
      <c r="X178" s="368">
        <f t="shared" si="1426"/>
        <v>23544.79</v>
      </c>
      <c r="Y178" s="368">
        <f t="shared" si="1427"/>
        <v>23544.79</v>
      </c>
      <c r="Z178" s="368">
        <f t="shared" si="1427"/>
        <v>23655.41</v>
      </c>
      <c r="AA178" s="368">
        <f t="shared" si="1427"/>
        <v>21528.799999999999</v>
      </c>
      <c r="AB178" s="368">
        <f t="shared" si="1427"/>
        <v>23544.79</v>
      </c>
      <c r="AC178" s="368">
        <f t="shared" si="1427"/>
        <v>25149.767142857148</v>
      </c>
      <c r="AD178" s="368">
        <f t="shared" si="1427"/>
        <v>25149.767142857148</v>
      </c>
      <c r="AE178" s="368">
        <f t="shared" si="1427"/>
        <v>25159.290952380961</v>
      </c>
      <c r="AF178" s="368">
        <f t="shared" si="1427"/>
        <v>25168.814761904767</v>
      </c>
      <c r="AG178" s="368">
        <f t="shared" si="1427"/>
        <v>25206.910000000007</v>
      </c>
      <c r="AH178" s="368">
        <f t="shared" si="1427"/>
        <v>27131.985926424648</v>
      </c>
      <c r="AI178" s="368">
        <f t="shared" si="1428"/>
        <v>29057.061852849292</v>
      </c>
      <c r="AJ178" s="368">
        <f t="shared" si="1428"/>
        <v>30982.137779273937</v>
      </c>
      <c r="AK178" s="368">
        <f t="shared" si="1428"/>
        <v>32907.213705698574</v>
      </c>
      <c r="AL178" s="368">
        <f t="shared" si="1428"/>
        <v>34832.289632123218</v>
      </c>
      <c r="AM178" s="368">
        <f t="shared" si="1428"/>
        <v>36757.365558547863</v>
      </c>
      <c r="AN178" s="368">
        <f t="shared" si="1428"/>
        <v>38682.441484972507</v>
      </c>
      <c r="AO178" s="368">
        <f t="shared" si="1428"/>
        <v>40605.749365713498</v>
      </c>
      <c r="AP178" s="368">
        <f t="shared" si="1428"/>
        <v>42529.057246454504</v>
      </c>
      <c r="AQ178" s="368">
        <f t="shared" si="1428"/>
        <v>44452.36512719551</v>
      </c>
      <c r="AR178" s="368">
        <f t="shared" si="1428"/>
        <v>46375.673007936508</v>
      </c>
      <c r="AS178" s="368">
        <f t="shared" si="1429"/>
        <v>46395.51427777778</v>
      </c>
      <c r="AT178" s="368">
        <f t="shared" si="1429"/>
        <v>46415.355547619045</v>
      </c>
      <c r="AU178" s="368">
        <f t="shared" si="1429"/>
        <v>46435.196817460317</v>
      </c>
      <c r="AV178" s="368">
        <f t="shared" si="1429"/>
        <v>46455.038087301575</v>
      </c>
      <c r="AW178" s="368">
        <f t="shared" si="1429"/>
        <v>46474.87935714284</v>
      </c>
      <c r="AX178" s="368">
        <f t="shared" si="1429"/>
        <v>46494.720626984112</v>
      </c>
      <c r="AY178" s="368">
        <f t="shared" si="1429"/>
        <v>46514.561896825377</v>
      </c>
      <c r="AZ178" s="368">
        <f t="shared" si="1429"/>
        <v>46534.403166666649</v>
      </c>
      <c r="BA178" s="368">
        <f t="shared" si="1429"/>
        <v>46554.244436507906</v>
      </c>
      <c r="BB178" s="368">
        <f t="shared" si="1429"/>
        <v>46574.085706349179</v>
      </c>
      <c r="BC178" s="368">
        <f t="shared" si="1430"/>
        <v>46593.926976190443</v>
      </c>
      <c r="BD178" s="368">
        <f t="shared" si="1430"/>
        <v>46613.768246031716</v>
      </c>
      <c r="BE178" s="368">
        <f t="shared" si="1430"/>
        <v>46633.60951587298</v>
      </c>
      <c r="BF178" s="368">
        <f t="shared" si="1430"/>
        <v>46653.450785714253</v>
      </c>
      <c r="BG178" s="368">
        <f t="shared" si="1430"/>
        <v>46673.29205555551</v>
      </c>
      <c r="BH178" s="368">
        <f t="shared" si="1430"/>
        <v>46693.133325396775</v>
      </c>
      <c r="BI178" s="368">
        <f t="shared" si="1430"/>
        <v>46712.974595238047</v>
      </c>
      <c r="BJ178" s="368">
        <f t="shared" si="1430"/>
        <v>46732.815865079312</v>
      </c>
      <c r="BK178" s="368">
        <f t="shared" si="1430"/>
        <v>46752.657134920584</v>
      </c>
      <c r="BL178" s="368">
        <f t="shared" si="1430"/>
        <v>46772.498404761842</v>
      </c>
      <c r="BM178" s="368">
        <f t="shared" si="1431"/>
        <v>46792.339674603114</v>
      </c>
      <c r="BN178" s="368">
        <f t="shared" si="1431"/>
        <v>46812.180944444379</v>
      </c>
      <c r="BO178" s="368">
        <f t="shared" si="1431"/>
        <v>46832.022214285651</v>
      </c>
      <c r="BP178" s="368">
        <f t="shared" si="1431"/>
        <v>46851.863484126916</v>
      </c>
      <c r="BQ178" s="368">
        <f t="shared" si="1431"/>
        <v>46871.704753968188</v>
      </c>
      <c r="BR178" s="368">
        <f t="shared" si="1431"/>
        <v>46891.546023809446</v>
      </c>
      <c r="BS178" s="368">
        <f t="shared" si="1431"/>
        <v>46911.387293650718</v>
      </c>
      <c r="BT178" s="368">
        <f t="shared" si="1431"/>
        <v>46931.228563491983</v>
      </c>
      <c r="BU178" s="368">
        <f t="shared" si="1431"/>
        <v>46951.069833333248</v>
      </c>
      <c r="BV178" s="368">
        <f t="shared" si="1431"/>
        <v>46970.91110317452</v>
      </c>
      <c r="BW178" s="368">
        <f t="shared" si="1431"/>
        <v>46990.752373015777</v>
      </c>
      <c r="BX178" s="368">
        <f t="shared" si="1431"/>
        <v>47010.593642857049</v>
      </c>
      <c r="BY178" s="368"/>
      <c r="BZ178" s="389">
        <f>SUMIF($B$252:$BY$252,1,$B178:$BY178)</f>
        <v>21528.799999999999</v>
      </c>
      <c r="CA178" s="389">
        <f>SUMIF($B$253:$BY$253,1,$B178:$BY178)</f>
        <v>257031.89000000004</v>
      </c>
      <c r="CB178" s="389"/>
      <c r="CC178" s="389">
        <f t="shared" si="1432"/>
        <v>0</v>
      </c>
      <c r="CD178" s="389">
        <f t="shared" si="1433"/>
        <v>0</v>
      </c>
      <c r="CE178" s="389">
        <f t="shared" si="1433"/>
        <v>143672.74</v>
      </c>
      <c r="CF178" s="389">
        <f t="shared" si="1433"/>
        <v>280576.68000000005</v>
      </c>
      <c r="CG178" s="389">
        <f t="shared" si="1433"/>
        <v>356185.04593989003</v>
      </c>
      <c r="CH178" s="389">
        <f t="shared" si="1433"/>
        <v>545682.51452507777</v>
      </c>
      <c r="CI178" s="389">
        <f t="shared" si="1433"/>
        <v>559960.45704761846</v>
      </c>
      <c r="CJ178" s="389">
        <f t="shared" si="1433"/>
        <v>562817.59990476095</v>
      </c>
    </row>
    <row r="179" spans="1:88" x14ac:dyDescent="0.3">
      <c r="A179" s="97" t="str">
        <f>'DCS Detail'!A179</f>
        <v xml:space="preserve">      231.4 PERS</v>
      </c>
      <c r="B179" s="106" t="str">
        <f>IF('DCS Detail'!$B179="","",'DCS Detail'!$B179)</f>
        <v>Non-Operating</v>
      </c>
      <c r="C179" s="368"/>
      <c r="D179" s="368"/>
      <c r="E179" s="368">
        <f t="shared" si="1425"/>
        <v>0</v>
      </c>
      <c r="F179" s="368">
        <f t="shared" si="1425"/>
        <v>0</v>
      </c>
      <c r="G179" s="368">
        <f t="shared" si="1425"/>
        <v>0</v>
      </c>
      <c r="H179" s="368">
        <f t="shared" si="1425"/>
        <v>0</v>
      </c>
      <c r="I179" s="368">
        <f t="shared" si="1425"/>
        <v>0</v>
      </c>
      <c r="J179" s="368">
        <f t="shared" si="1425"/>
        <v>0</v>
      </c>
      <c r="K179" s="368">
        <f t="shared" si="1425"/>
        <v>0</v>
      </c>
      <c r="L179" s="368">
        <f t="shared" si="1425"/>
        <v>0</v>
      </c>
      <c r="M179" s="368">
        <f t="shared" si="1425"/>
        <v>0</v>
      </c>
      <c r="N179" s="368">
        <f t="shared" si="1425"/>
        <v>0</v>
      </c>
      <c r="O179" s="368">
        <f t="shared" si="1426"/>
        <v>0</v>
      </c>
      <c r="P179" s="368">
        <f t="shared" si="1426"/>
        <v>38692.68</v>
      </c>
      <c r="Q179" s="368">
        <f t="shared" si="1426"/>
        <v>0</v>
      </c>
      <c r="R179" s="368">
        <f t="shared" si="1426"/>
        <v>0</v>
      </c>
      <c r="S179" s="368">
        <f t="shared" si="1426"/>
        <v>0</v>
      </c>
      <c r="T179" s="368">
        <f t="shared" si="1426"/>
        <v>0</v>
      </c>
      <c r="U179" s="368">
        <f t="shared" si="1426"/>
        <v>0</v>
      </c>
      <c r="V179" s="368">
        <f t="shared" si="1426"/>
        <v>0</v>
      </c>
      <c r="W179" s="368">
        <f t="shared" si="1426"/>
        <v>0</v>
      </c>
      <c r="X179" s="368">
        <f t="shared" si="1426"/>
        <v>0</v>
      </c>
      <c r="Y179" s="368">
        <f t="shared" si="1427"/>
        <v>0</v>
      </c>
      <c r="Z179" s="368">
        <f t="shared" si="1427"/>
        <v>0</v>
      </c>
      <c r="AA179" s="368">
        <f t="shared" si="1427"/>
        <v>0</v>
      </c>
      <c r="AB179" s="368">
        <f t="shared" si="1427"/>
        <v>0</v>
      </c>
      <c r="AC179" s="368">
        <f t="shared" si="1427"/>
        <v>0</v>
      </c>
      <c r="AD179" s="368">
        <f t="shared" si="1427"/>
        <v>0</v>
      </c>
      <c r="AE179" s="368">
        <f t="shared" si="1427"/>
        <v>0</v>
      </c>
      <c r="AF179" s="368">
        <f t="shared" si="1427"/>
        <v>0</v>
      </c>
      <c r="AG179" s="368">
        <f t="shared" si="1427"/>
        <v>0</v>
      </c>
      <c r="AH179" s="368">
        <f t="shared" si="1427"/>
        <v>0</v>
      </c>
      <c r="AI179" s="368">
        <f t="shared" si="1428"/>
        <v>0</v>
      </c>
      <c r="AJ179" s="368">
        <f t="shared" si="1428"/>
        <v>0</v>
      </c>
      <c r="AK179" s="368">
        <f t="shared" si="1428"/>
        <v>0</v>
      </c>
      <c r="AL179" s="368">
        <f t="shared" si="1428"/>
        <v>0</v>
      </c>
      <c r="AM179" s="368">
        <f t="shared" si="1428"/>
        <v>0</v>
      </c>
      <c r="AN179" s="368">
        <f t="shared" si="1428"/>
        <v>0</v>
      </c>
      <c r="AO179" s="368">
        <f t="shared" si="1428"/>
        <v>0</v>
      </c>
      <c r="AP179" s="368">
        <f t="shared" si="1428"/>
        <v>0</v>
      </c>
      <c r="AQ179" s="368">
        <f t="shared" si="1428"/>
        <v>0</v>
      </c>
      <c r="AR179" s="368">
        <f t="shared" si="1428"/>
        <v>0</v>
      </c>
      <c r="AS179" s="368">
        <f t="shared" si="1429"/>
        <v>0</v>
      </c>
      <c r="AT179" s="368">
        <f t="shared" si="1429"/>
        <v>0</v>
      </c>
      <c r="AU179" s="368">
        <f t="shared" si="1429"/>
        <v>0</v>
      </c>
      <c r="AV179" s="368">
        <f t="shared" si="1429"/>
        <v>0</v>
      </c>
      <c r="AW179" s="368">
        <f t="shared" si="1429"/>
        <v>0</v>
      </c>
      <c r="AX179" s="368">
        <f t="shared" si="1429"/>
        <v>0</v>
      </c>
      <c r="AY179" s="368">
        <f t="shared" si="1429"/>
        <v>0</v>
      </c>
      <c r="AZ179" s="368">
        <f t="shared" si="1429"/>
        <v>0</v>
      </c>
      <c r="BA179" s="368">
        <f t="shared" si="1429"/>
        <v>0</v>
      </c>
      <c r="BB179" s="368">
        <f t="shared" si="1429"/>
        <v>0</v>
      </c>
      <c r="BC179" s="368">
        <f t="shared" si="1430"/>
        <v>0</v>
      </c>
      <c r="BD179" s="368">
        <f t="shared" si="1430"/>
        <v>0</v>
      </c>
      <c r="BE179" s="368">
        <f t="shared" si="1430"/>
        <v>0</v>
      </c>
      <c r="BF179" s="368">
        <f t="shared" si="1430"/>
        <v>0</v>
      </c>
      <c r="BG179" s="368">
        <f t="shared" si="1430"/>
        <v>0</v>
      </c>
      <c r="BH179" s="368">
        <f t="shared" si="1430"/>
        <v>0</v>
      </c>
      <c r="BI179" s="368">
        <f t="shared" si="1430"/>
        <v>0</v>
      </c>
      <c r="BJ179" s="368">
        <f t="shared" si="1430"/>
        <v>0</v>
      </c>
      <c r="BK179" s="368">
        <f t="shared" si="1430"/>
        <v>0</v>
      </c>
      <c r="BL179" s="368">
        <f t="shared" si="1430"/>
        <v>0</v>
      </c>
      <c r="BM179" s="368">
        <f t="shared" si="1431"/>
        <v>0</v>
      </c>
      <c r="BN179" s="368">
        <f t="shared" si="1431"/>
        <v>0</v>
      </c>
      <c r="BO179" s="368">
        <f t="shared" si="1431"/>
        <v>0</v>
      </c>
      <c r="BP179" s="368">
        <f t="shared" si="1431"/>
        <v>0</v>
      </c>
      <c r="BQ179" s="368">
        <f t="shared" si="1431"/>
        <v>0</v>
      </c>
      <c r="BR179" s="368">
        <f t="shared" si="1431"/>
        <v>0</v>
      </c>
      <c r="BS179" s="368">
        <f t="shared" si="1431"/>
        <v>0</v>
      </c>
      <c r="BT179" s="368">
        <f t="shared" si="1431"/>
        <v>0</v>
      </c>
      <c r="BU179" s="368">
        <f t="shared" si="1431"/>
        <v>0</v>
      </c>
      <c r="BV179" s="368">
        <f t="shared" si="1431"/>
        <v>0</v>
      </c>
      <c r="BW179" s="368">
        <f t="shared" si="1431"/>
        <v>0</v>
      </c>
      <c r="BX179" s="368">
        <f t="shared" si="1431"/>
        <v>0</v>
      </c>
      <c r="BY179" s="368"/>
      <c r="BZ179" s="389">
        <f>SUMIF($B$252:$BY$252,1,$B179:$BY179)</f>
        <v>0</v>
      </c>
      <c r="CA179" s="389">
        <f>SUMIF($B$253:$BY$253,1,$B179:$BY179)</f>
        <v>0</v>
      </c>
      <c r="CB179" s="389"/>
      <c r="CC179" s="389">
        <f t="shared" si="1432"/>
        <v>0</v>
      </c>
      <c r="CD179" s="389">
        <f t="shared" si="1433"/>
        <v>0</v>
      </c>
      <c r="CE179" s="389">
        <f t="shared" si="1433"/>
        <v>38692.68</v>
      </c>
      <c r="CF179" s="389">
        <f t="shared" si="1433"/>
        <v>0</v>
      </c>
      <c r="CG179" s="389">
        <f t="shared" si="1433"/>
        <v>0</v>
      </c>
      <c r="CH179" s="389">
        <f t="shared" si="1433"/>
        <v>0</v>
      </c>
      <c r="CI179" s="389">
        <f t="shared" si="1433"/>
        <v>0</v>
      </c>
      <c r="CJ179" s="389">
        <f t="shared" si="1433"/>
        <v>0</v>
      </c>
    </row>
    <row r="180" spans="1:88" x14ac:dyDescent="0.3">
      <c r="A180" s="97" t="str">
        <f>'DCS Detail'!A180</f>
        <v xml:space="preserve">   312.2 Receiver</v>
      </c>
      <c r="B180" s="106" t="str">
        <f>IF('DCS Detail'!$B180="","",'DCS Detail'!$B180)</f>
        <v>Non-Operating</v>
      </c>
      <c r="C180" s="368"/>
      <c r="D180" s="368"/>
      <c r="E180" s="368">
        <f t="shared" si="1425"/>
        <v>0</v>
      </c>
      <c r="F180" s="368">
        <f t="shared" si="1425"/>
        <v>0</v>
      </c>
      <c r="G180" s="368">
        <f t="shared" si="1425"/>
        <v>0</v>
      </c>
      <c r="H180" s="368">
        <f t="shared" si="1425"/>
        <v>0</v>
      </c>
      <c r="I180" s="368">
        <f t="shared" si="1425"/>
        <v>0</v>
      </c>
      <c r="J180" s="368">
        <f t="shared" si="1425"/>
        <v>-11700</v>
      </c>
      <c r="K180" s="368">
        <f t="shared" si="1425"/>
        <v>0</v>
      </c>
      <c r="L180" s="368">
        <f t="shared" si="1425"/>
        <v>0</v>
      </c>
      <c r="M180" s="368">
        <f t="shared" si="1425"/>
        <v>0</v>
      </c>
      <c r="N180" s="368">
        <f t="shared" si="1425"/>
        <v>0</v>
      </c>
      <c r="O180" s="368">
        <f t="shared" si="1426"/>
        <v>0</v>
      </c>
      <c r="P180" s="368">
        <f t="shared" si="1426"/>
        <v>0</v>
      </c>
      <c r="Q180" s="368">
        <f t="shared" si="1426"/>
        <v>0</v>
      </c>
      <c r="R180" s="368">
        <f t="shared" si="1426"/>
        <v>0</v>
      </c>
      <c r="S180" s="368">
        <f t="shared" si="1426"/>
        <v>0</v>
      </c>
      <c r="T180" s="368">
        <f t="shared" si="1426"/>
        <v>0</v>
      </c>
      <c r="U180" s="368">
        <f t="shared" si="1426"/>
        <v>0</v>
      </c>
      <c r="V180" s="368">
        <f t="shared" si="1426"/>
        <v>0</v>
      </c>
      <c r="W180" s="368">
        <f t="shared" si="1426"/>
        <v>0</v>
      </c>
      <c r="X180" s="368">
        <f t="shared" si="1426"/>
        <v>0</v>
      </c>
      <c r="Y180" s="368">
        <f t="shared" si="1427"/>
        <v>0</v>
      </c>
      <c r="Z180" s="368">
        <f t="shared" si="1427"/>
        <v>0</v>
      </c>
      <c r="AA180" s="368">
        <f t="shared" si="1427"/>
        <v>0</v>
      </c>
      <c r="AB180" s="368">
        <f t="shared" si="1427"/>
        <v>0</v>
      </c>
      <c r="AC180" s="368">
        <f t="shared" si="1427"/>
        <v>0</v>
      </c>
      <c r="AD180" s="368">
        <f t="shared" si="1427"/>
        <v>0</v>
      </c>
      <c r="AE180" s="368">
        <f t="shared" si="1427"/>
        <v>0</v>
      </c>
      <c r="AF180" s="368">
        <f t="shared" si="1427"/>
        <v>0</v>
      </c>
      <c r="AG180" s="368">
        <f t="shared" si="1427"/>
        <v>0</v>
      </c>
      <c r="AH180" s="368">
        <f t="shared" si="1427"/>
        <v>0</v>
      </c>
      <c r="AI180" s="368">
        <f t="shared" si="1428"/>
        <v>0</v>
      </c>
      <c r="AJ180" s="368">
        <f t="shared" si="1428"/>
        <v>0</v>
      </c>
      <c r="AK180" s="368">
        <f t="shared" si="1428"/>
        <v>0</v>
      </c>
      <c r="AL180" s="368">
        <f t="shared" si="1428"/>
        <v>0</v>
      </c>
      <c r="AM180" s="368">
        <f t="shared" si="1428"/>
        <v>0</v>
      </c>
      <c r="AN180" s="368">
        <f t="shared" si="1428"/>
        <v>0</v>
      </c>
      <c r="AO180" s="368">
        <f t="shared" si="1428"/>
        <v>0</v>
      </c>
      <c r="AP180" s="368">
        <f t="shared" si="1428"/>
        <v>0</v>
      </c>
      <c r="AQ180" s="368">
        <f t="shared" si="1428"/>
        <v>0</v>
      </c>
      <c r="AR180" s="368">
        <f t="shared" si="1428"/>
        <v>0</v>
      </c>
      <c r="AS180" s="368">
        <f t="shared" si="1429"/>
        <v>0</v>
      </c>
      <c r="AT180" s="368">
        <f t="shared" si="1429"/>
        <v>0</v>
      </c>
      <c r="AU180" s="368">
        <f t="shared" si="1429"/>
        <v>0</v>
      </c>
      <c r="AV180" s="368">
        <f t="shared" si="1429"/>
        <v>0</v>
      </c>
      <c r="AW180" s="368">
        <f t="shared" si="1429"/>
        <v>0</v>
      </c>
      <c r="AX180" s="368">
        <f t="shared" si="1429"/>
        <v>0</v>
      </c>
      <c r="AY180" s="368">
        <f t="shared" si="1429"/>
        <v>0</v>
      </c>
      <c r="AZ180" s="368">
        <f t="shared" si="1429"/>
        <v>0</v>
      </c>
      <c r="BA180" s="368">
        <f t="shared" si="1429"/>
        <v>0</v>
      </c>
      <c r="BB180" s="368">
        <f t="shared" si="1429"/>
        <v>0</v>
      </c>
      <c r="BC180" s="368">
        <f t="shared" si="1430"/>
        <v>0</v>
      </c>
      <c r="BD180" s="368">
        <f t="shared" si="1430"/>
        <v>0</v>
      </c>
      <c r="BE180" s="368">
        <f t="shared" si="1430"/>
        <v>0</v>
      </c>
      <c r="BF180" s="368">
        <f t="shared" si="1430"/>
        <v>0</v>
      </c>
      <c r="BG180" s="368">
        <f t="shared" si="1430"/>
        <v>0</v>
      </c>
      <c r="BH180" s="368">
        <f t="shared" si="1430"/>
        <v>0</v>
      </c>
      <c r="BI180" s="368">
        <f t="shared" si="1430"/>
        <v>0</v>
      </c>
      <c r="BJ180" s="368">
        <f t="shared" si="1430"/>
        <v>0</v>
      </c>
      <c r="BK180" s="368">
        <f t="shared" si="1430"/>
        <v>0</v>
      </c>
      <c r="BL180" s="368">
        <f t="shared" si="1430"/>
        <v>0</v>
      </c>
      <c r="BM180" s="368">
        <f t="shared" si="1431"/>
        <v>0</v>
      </c>
      <c r="BN180" s="368">
        <f t="shared" si="1431"/>
        <v>0</v>
      </c>
      <c r="BO180" s="368">
        <f t="shared" si="1431"/>
        <v>0</v>
      </c>
      <c r="BP180" s="368">
        <f t="shared" si="1431"/>
        <v>0</v>
      </c>
      <c r="BQ180" s="368">
        <f t="shared" si="1431"/>
        <v>0</v>
      </c>
      <c r="BR180" s="368">
        <f t="shared" si="1431"/>
        <v>0</v>
      </c>
      <c r="BS180" s="368">
        <f t="shared" si="1431"/>
        <v>0</v>
      </c>
      <c r="BT180" s="368">
        <f t="shared" si="1431"/>
        <v>0</v>
      </c>
      <c r="BU180" s="368">
        <f t="shared" si="1431"/>
        <v>0</v>
      </c>
      <c r="BV180" s="368">
        <f t="shared" si="1431"/>
        <v>0</v>
      </c>
      <c r="BW180" s="368">
        <f t="shared" si="1431"/>
        <v>0</v>
      </c>
      <c r="BX180" s="368">
        <f t="shared" si="1431"/>
        <v>0</v>
      </c>
      <c r="BY180" s="368"/>
      <c r="BZ180" s="389">
        <f>SUMIF($B$252:$BY$252,1,$B180:$BY180)</f>
        <v>0</v>
      </c>
      <c r="CA180" s="389">
        <f>SUMIF($B$253:$BY$253,1,$B180:$BY180)</f>
        <v>0</v>
      </c>
      <c r="CB180" s="389"/>
      <c r="CC180" s="389">
        <f t="shared" si="1432"/>
        <v>0</v>
      </c>
      <c r="CD180" s="389">
        <f t="shared" si="1433"/>
        <v>0</v>
      </c>
      <c r="CE180" s="389">
        <f t="shared" si="1433"/>
        <v>-11700</v>
      </c>
      <c r="CF180" s="389">
        <f t="shared" si="1433"/>
        <v>0</v>
      </c>
      <c r="CG180" s="389">
        <f t="shared" si="1433"/>
        <v>0</v>
      </c>
      <c r="CH180" s="389">
        <f t="shared" si="1433"/>
        <v>0</v>
      </c>
      <c r="CI180" s="389">
        <f t="shared" si="1433"/>
        <v>0</v>
      </c>
      <c r="CJ180" s="389">
        <f t="shared" si="1433"/>
        <v>0</v>
      </c>
    </row>
    <row r="181" spans="1:88" x14ac:dyDescent="0.3">
      <c r="A181" s="97" t="str">
        <f>'DCS Detail'!A181</f>
        <v>Non-Cash Gain</v>
      </c>
      <c r="B181" s="106" t="str">
        <f>IF('DCS Detail'!$B181="","",'DCS Detail'!$B181)</f>
        <v>Non-Operating</v>
      </c>
      <c r="C181" s="368"/>
      <c r="D181" s="368"/>
      <c r="E181" s="368"/>
      <c r="F181" s="368"/>
      <c r="G181" s="368"/>
      <c r="H181" s="368"/>
      <c r="I181" s="368"/>
      <c r="J181" s="368"/>
      <c r="K181" s="368"/>
      <c r="L181" s="368"/>
      <c r="M181" s="368"/>
      <c r="N181" s="368"/>
      <c r="O181" s="368"/>
      <c r="P181" s="368"/>
      <c r="Q181" s="368"/>
      <c r="R181" s="368"/>
      <c r="S181" s="368"/>
      <c r="T181" s="368"/>
      <c r="U181" s="368"/>
      <c r="V181" s="368"/>
      <c r="W181" s="368"/>
      <c r="X181" s="368"/>
      <c r="Y181" s="368"/>
      <c r="Z181" s="368"/>
      <c r="AA181" s="368"/>
      <c r="AB181" s="368"/>
      <c r="AC181" s="368">
        <f>-AC36</f>
        <v>-670098.30999999994</v>
      </c>
      <c r="AD181" s="368"/>
      <c r="AE181" s="368"/>
      <c r="AF181" s="368"/>
      <c r="AG181" s="368"/>
      <c r="AH181" s="368"/>
      <c r="AI181" s="368"/>
      <c r="AJ181" s="368"/>
      <c r="AK181" s="368"/>
      <c r="AL181" s="368"/>
      <c r="AM181" s="368"/>
      <c r="AN181" s="368"/>
      <c r="AO181" s="368"/>
      <c r="AP181" s="368"/>
      <c r="AQ181" s="368"/>
      <c r="AR181" s="368"/>
      <c r="AS181" s="368"/>
      <c r="AT181" s="368"/>
      <c r="AU181" s="368"/>
      <c r="AV181" s="368"/>
      <c r="AW181" s="368"/>
      <c r="AX181" s="368"/>
      <c r="AY181" s="368"/>
      <c r="AZ181" s="368"/>
      <c r="BA181" s="368"/>
      <c r="BB181" s="368"/>
      <c r="BC181" s="368"/>
      <c r="BD181" s="368"/>
      <c r="BE181" s="368"/>
      <c r="BF181" s="368"/>
      <c r="BG181" s="368"/>
      <c r="BH181" s="368"/>
      <c r="BI181" s="368"/>
      <c r="BJ181" s="368"/>
      <c r="BK181" s="368"/>
      <c r="BL181" s="368"/>
      <c r="BM181" s="368"/>
      <c r="BN181" s="368"/>
      <c r="BO181" s="368"/>
      <c r="BP181" s="368"/>
      <c r="BQ181" s="368"/>
      <c r="BR181" s="368"/>
      <c r="BS181" s="368"/>
      <c r="BT181" s="368"/>
      <c r="BU181" s="368"/>
      <c r="BV181" s="368"/>
      <c r="BW181" s="368"/>
      <c r="BX181" s="368"/>
      <c r="BY181" s="368"/>
      <c r="BZ181" s="389">
        <f>SUMIF($B$252:$BY$252,1,$B181:$BY181)</f>
        <v>0</v>
      </c>
      <c r="CA181" s="389">
        <f>SUMIF($B$253:$BY$253,1,$B181:$BY181)</f>
        <v>0</v>
      </c>
      <c r="CB181" s="389"/>
      <c r="CC181" s="389">
        <f t="shared" si="1432"/>
        <v>0</v>
      </c>
      <c r="CD181" s="389">
        <f t="shared" si="1433"/>
        <v>0</v>
      </c>
      <c r="CE181" s="389">
        <f t="shared" si="1433"/>
        <v>0</v>
      </c>
      <c r="CF181" s="389">
        <f t="shared" si="1433"/>
        <v>0</v>
      </c>
      <c r="CG181" s="389">
        <f t="shared" si="1433"/>
        <v>-670098.30999999994</v>
      </c>
      <c r="CH181" s="389">
        <f t="shared" si="1433"/>
        <v>0</v>
      </c>
      <c r="CI181" s="389">
        <f t="shared" si="1433"/>
        <v>0</v>
      </c>
      <c r="CJ181" s="389">
        <f t="shared" si="1433"/>
        <v>0</v>
      </c>
    </row>
    <row r="182" spans="1:88" x14ac:dyDescent="0.3">
      <c r="A182" s="97"/>
      <c r="B182" s="106"/>
      <c r="C182" s="368"/>
      <c r="D182" s="368"/>
      <c r="E182" s="370"/>
      <c r="F182" s="370"/>
      <c r="G182" s="370"/>
      <c r="H182" s="370"/>
      <c r="I182" s="370"/>
      <c r="J182" s="370"/>
      <c r="K182" s="370"/>
      <c r="L182" s="370"/>
      <c r="M182" s="370"/>
      <c r="N182" s="370"/>
      <c r="O182" s="370"/>
      <c r="P182" s="370"/>
      <c r="Q182" s="370"/>
      <c r="R182" s="370"/>
      <c r="S182" s="370"/>
      <c r="T182" s="370"/>
      <c r="U182" s="370"/>
      <c r="V182" s="370"/>
      <c r="W182" s="370"/>
      <c r="X182" s="370"/>
      <c r="Y182" s="370"/>
      <c r="Z182" s="370"/>
      <c r="AA182" s="370"/>
      <c r="AB182" s="370"/>
      <c r="AC182" s="370"/>
      <c r="AD182" s="370"/>
      <c r="AE182" s="370"/>
      <c r="AF182" s="370"/>
      <c r="AG182" s="370"/>
      <c r="AH182" s="370"/>
      <c r="AI182" s="370"/>
      <c r="AJ182" s="370"/>
      <c r="AK182" s="370"/>
      <c r="AL182" s="370"/>
      <c r="AM182" s="370"/>
      <c r="AN182" s="370"/>
      <c r="AO182" s="370"/>
      <c r="AP182" s="370"/>
      <c r="AQ182" s="370"/>
      <c r="AR182" s="370"/>
      <c r="AS182" s="370"/>
      <c r="AT182" s="370"/>
      <c r="AU182" s="370"/>
      <c r="AV182" s="370"/>
      <c r="AW182" s="370"/>
      <c r="AX182" s="370"/>
      <c r="AY182" s="370"/>
      <c r="AZ182" s="370"/>
      <c r="BA182" s="370"/>
      <c r="BB182" s="370"/>
      <c r="BC182" s="370"/>
      <c r="BD182" s="370"/>
      <c r="BE182" s="370"/>
      <c r="BF182" s="370"/>
      <c r="BG182" s="370"/>
      <c r="BH182" s="370"/>
      <c r="BI182" s="370"/>
      <c r="BJ182" s="370"/>
      <c r="BK182" s="370"/>
      <c r="BL182" s="370"/>
      <c r="BM182" s="370"/>
      <c r="BN182" s="370"/>
      <c r="BO182" s="370"/>
      <c r="BP182" s="370"/>
      <c r="BQ182" s="370"/>
      <c r="BR182" s="370"/>
      <c r="BS182" s="370"/>
      <c r="BT182" s="370"/>
      <c r="BU182" s="370"/>
      <c r="BV182" s="370"/>
      <c r="BW182" s="370"/>
      <c r="BX182" s="370"/>
      <c r="BY182" s="368"/>
      <c r="BZ182" s="389"/>
      <c r="CA182" s="389"/>
      <c r="CB182" s="389"/>
      <c r="CC182" s="389"/>
      <c r="CD182" s="389"/>
      <c r="CE182" s="389"/>
      <c r="CF182" s="389"/>
      <c r="CG182" s="389"/>
      <c r="CH182" s="389"/>
      <c r="CI182" s="389"/>
      <c r="CJ182" s="389"/>
    </row>
    <row r="183" spans="1:88" x14ac:dyDescent="0.3">
      <c r="A183" s="108" t="s">
        <v>384</v>
      </c>
      <c r="B183" s="106"/>
      <c r="C183" s="371">
        <f t="shared" ref="C183:AH183" si="1434">SUM(C176:C182)</f>
        <v>0</v>
      </c>
      <c r="D183" s="371">
        <f t="shared" si="1434"/>
        <v>0</v>
      </c>
      <c r="E183" s="371">
        <f t="shared" si="1434"/>
        <v>397184.93000000005</v>
      </c>
      <c r="F183" s="371">
        <f t="shared" si="1434"/>
        <v>214496.64000000001</v>
      </c>
      <c r="G183" s="371">
        <f t="shared" si="1434"/>
        <v>-87121.130000000107</v>
      </c>
      <c r="H183" s="371">
        <f t="shared" si="1434"/>
        <v>259666.91299999991</v>
      </c>
      <c r="I183" s="371">
        <f t="shared" si="1434"/>
        <v>-203173.88600000006</v>
      </c>
      <c r="J183" s="371">
        <f t="shared" si="1434"/>
        <v>242111.91759999999</v>
      </c>
      <c r="K183" s="371">
        <f t="shared" si="1434"/>
        <v>-221570.89940000005</v>
      </c>
      <c r="L183" s="371">
        <f t="shared" si="1434"/>
        <v>26631.964800000034</v>
      </c>
      <c r="M183" s="371">
        <f t="shared" si="1434"/>
        <v>-8166.4400000000678</v>
      </c>
      <c r="N183" s="371">
        <f t="shared" si="1434"/>
        <v>207993.89999999988</v>
      </c>
      <c r="O183" s="371">
        <f t="shared" si="1434"/>
        <v>-218715.83000000002</v>
      </c>
      <c r="P183" s="371">
        <f t="shared" si="1434"/>
        <v>204141.19999999995</v>
      </c>
      <c r="Q183" s="371">
        <f t="shared" si="1434"/>
        <v>92232.280000000042</v>
      </c>
      <c r="R183" s="371">
        <f t="shared" si="1434"/>
        <v>5684.4999999998763</v>
      </c>
      <c r="S183" s="371">
        <f t="shared" si="1434"/>
        <v>301466.27000000008</v>
      </c>
      <c r="T183" s="371">
        <f t="shared" si="1434"/>
        <v>27263.139999999883</v>
      </c>
      <c r="U183" s="371">
        <f t="shared" si="1434"/>
        <v>-46427.559999999889</v>
      </c>
      <c r="V183" s="371">
        <f t="shared" si="1434"/>
        <v>2515.949999999968</v>
      </c>
      <c r="W183" s="371">
        <f t="shared" si="1434"/>
        <v>12690.249999999949</v>
      </c>
      <c r="X183" s="371">
        <f t="shared" si="1434"/>
        <v>-30688.349999999911</v>
      </c>
      <c r="Y183" s="371">
        <f t="shared" si="1434"/>
        <v>120577.22999999995</v>
      </c>
      <c r="Z183" s="371">
        <f t="shared" si="1434"/>
        <v>225307.95999999996</v>
      </c>
      <c r="AA183" s="371">
        <f t="shared" si="1434"/>
        <v>-19865.01999999992</v>
      </c>
      <c r="AB183" s="371">
        <f t="shared" si="1434"/>
        <v>-44467.094968091398</v>
      </c>
      <c r="AC183" s="371">
        <f t="shared" si="1434"/>
        <v>180139.73340000003</v>
      </c>
      <c r="AD183" s="371">
        <f t="shared" si="1434"/>
        <v>79186.3297038327</v>
      </c>
      <c r="AE183" s="371">
        <f t="shared" si="1434"/>
        <v>362191.16819769755</v>
      </c>
      <c r="AF183" s="371">
        <f t="shared" si="1434"/>
        <v>59771.737528199039</v>
      </c>
      <c r="AG183" s="371">
        <f t="shared" si="1434"/>
        <v>52937.96088696472</v>
      </c>
      <c r="AH183" s="371">
        <f t="shared" si="1434"/>
        <v>76674.617210018012</v>
      </c>
      <c r="AI183" s="371">
        <f t="shared" ref="AI183:BN183" si="1435">SUM(AI176:AI182)</f>
        <v>61921.49109145251</v>
      </c>
      <c r="AJ183" s="371">
        <f t="shared" si="1435"/>
        <v>146677.78262879132</v>
      </c>
      <c r="AK183" s="371">
        <f t="shared" si="1435"/>
        <v>115436.899262458</v>
      </c>
      <c r="AL183" s="371">
        <f t="shared" si="1435"/>
        <v>129150.21606955913</v>
      </c>
      <c r="AM183" s="371">
        <f t="shared" si="1435"/>
        <v>131708.83859515839</v>
      </c>
      <c r="AN183" s="371">
        <f t="shared" si="1435"/>
        <v>-69915.971539611201</v>
      </c>
      <c r="AO183" s="371">
        <f t="shared" si="1435"/>
        <v>235207.07180441666</v>
      </c>
      <c r="AP183" s="371">
        <f t="shared" si="1435"/>
        <v>118158.90340341628</v>
      </c>
      <c r="AQ183" s="371">
        <f t="shared" si="1435"/>
        <v>417456.06154272781</v>
      </c>
      <c r="AR183" s="371">
        <f t="shared" si="1435"/>
        <v>94656.219908840096</v>
      </c>
      <c r="AS183" s="371">
        <f t="shared" si="1435"/>
        <v>88749.573606755454</v>
      </c>
      <c r="AT183" s="371">
        <f t="shared" si="1435"/>
        <v>115159.7809994659</v>
      </c>
      <c r="AU183" s="371">
        <f t="shared" si="1435"/>
        <v>97401.356442982069</v>
      </c>
      <c r="AV183" s="371">
        <f t="shared" si="1435"/>
        <v>137478.09263146651</v>
      </c>
      <c r="AW183" s="371">
        <f t="shared" si="1435"/>
        <v>128757.05633678097</v>
      </c>
      <c r="AX183" s="371">
        <f t="shared" si="1435"/>
        <v>119346.63989781505</v>
      </c>
      <c r="AY183" s="371">
        <f t="shared" si="1435"/>
        <v>121111.917124598</v>
      </c>
      <c r="AZ183" s="371">
        <f t="shared" si="1435"/>
        <v>-50206.98007574895</v>
      </c>
      <c r="BA183" s="371">
        <f t="shared" si="1435"/>
        <v>296617.28020811756</v>
      </c>
      <c r="BB183" s="371">
        <f t="shared" si="1435"/>
        <v>117338.85114788442</v>
      </c>
      <c r="BC183" s="371">
        <f t="shared" si="1435"/>
        <v>414102.7857126164</v>
      </c>
      <c r="BD183" s="371">
        <f t="shared" si="1435"/>
        <v>92706.730397550928</v>
      </c>
      <c r="BE183" s="371">
        <f t="shared" si="1435"/>
        <v>86419.445046655106</v>
      </c>
      <c r="BF183" s="371">
        <f t="shared" si="1435"/>
        <v>114565.01129370072</v>
      </c>
      <c r="BG183" s="371">
        <f t="shared" si="1435"/>
        <v>96644.266976046812</v>
      </c>
      <c r="BH183" s="371">
        <f t="shared" si="1435"/>
        <v>137369.17649421107</v>
      </c>
      <c r="BI183" s="371">
        <f t="shared" si="1435"/>
        <v>127565.75316561847</v>
      </c>
      <c r="BJ183" s="371">
        <f t="shared" si="1435"/>
        <v>118780.35710364438</v>
      </c>
      <c r="BK183" s="371">
        <f t="shared" si="1435"/>
        <v>120443.02385199611</v>
      </c>
      <c r="BL183" s="371">
        <f t="shared" si="1435"/>
        <v>-55961.984753193952</v>
      </c>
      <c r="BM183" s="371">
        <f t="shared" si="1435"/>
        <v>301398.19495799136</v>
      </c>
      <c r="BN183" s="371">
        <f t="shared" si="1435"/>
        <v>114606.17423764187</v>
      </c>
      <c r="BO183" s="371">
        <f t="shared" ref="BO183:BX183" si="1436">SUM(BO176:BO182)</f>
        <v>410174.74196073308</v>
      </c>
      <c r="BP183" s="371">
        <f t="shared" si="1436"/>
        <v>90235.200657560199</v>
      </c>
      <c r="BQ183" s="371">
        <f t="shared" si="1436"/>
        <v>82822.062538967089</v>
      </c>
      <c r="BR183" s="371">
        <f t="shared" si="1436"/>
        <v>111547.76284842961</v>
      </c>
      <c r="BS183" s="371">
        <f t="shared" si="1436"/>
        <v>92135.007642969344</v>
      </c>
      <c r="BT183" s="371">
        <f t="shared" si="1436"/>
        <v>135402.73443618778</v>
      </c>
      <c r="BU183" s="371">
        <f t="shared" si="1436"/>
        <v>125089.93380815402</v>
      </c>
      <c r="BV183" s="371">
        <f t="shared" si="1436"/>
        <v>116430.9409622878</v>
      </c>
      <c r="BW183" s="371">
        <f t="shared" si="1436"/>
        <v>117900.53209361003</v>
      </c>
      <c r="BX183" s="371">
        <f t="shared" si="1436"/>
        <v>-63699.782530291974</v>
      </c>
      <c r="BY183" s="368"/>
      <c r="BZ183" s="390">
        <f>SUM(BZ176:BZ182)</f>
        <v>-19865.01999999992</v>
      </c>
      <c r="CA183" s="390">
        <f>SUM(CA176:CA182)</f>
        <v>690756.65000000095</v>
      </c>
      <c r="CB183" s="389"/>
      <c r="CC183" s="390">
        <f t="shared" ref="CC183:CJ183" si="1437">SUM(CC176:CC182)</f>
        <v>0</v>
      </c>
      <c r="CD183" s="390">
        <f t="shared" si="1437"/>
        <v>0</v>
      </c>
      <c r="CE183" s="390">
        <f t="shared" si="1437"/>
        <v>813479.27999999945</v>
      </c>
      <c r="CF183" s="390">
        <f t="shared" si="1437"/>
        <v>646289.55503190868</v>
      </c>
      <c r="CG183" s="390">
        <f t="shared" si="1437"/>
        <v>1325880.8030345198</v>
      </c>
      <c r="CH183" s="390">
        <f t="shared" si="1437"/>
        <v>1623275.6936235158</v>
      </c>
      <c r="CI183" s="390">
        <f t="shared" si="1437"/>
        <v>1666590.696644848</v>
      </c>
      <c r="CJ183" s="390">
        <f t="shared" si="1437"/>
        <v>1634043.5036142401</v>
      </c>
    </row>
    <row r="184" spans="1:88" x14ac:dyDescent="0.3">
      <c r="A184" s="107"/>
      <c r="B184" s="106"/>
      <c r="C184" s="368"/>
      <c r="D184" s="368"/>
      <c r="E184" s="368"/>
      <c r="F184" s="368"/>
      <c r="G184" s="368"/>
      <c r="H184" s="368"/>
      <c r="I184" s="368"/>
      <c r="J184" s="368"/>
      <c r="K184" s="368"/>
      <c r="L184" s="368"/>
      <c r="M184" s="368"/>
      <c r="N184" s="368"/>
      <c r="O184" s="368"/>
      <c r="P184" s="368"/>
      <c r="Q184" s="368"/>
      <c r="R184" s="368"/>
      <c r="S184" s="368"/>
      <c r="T184" s="368"/>
      <c r="U184" s="368"/>
      <c r="V184" s="368"/>
      <c r="W184" s="368"/>
      <c r="X184" s="368"/>
      <c r="Y184" s="368"/>
      <c r="Z184" s="368"/>
      <c r="AA184" s="368"/>
      <c r="AB184" s="368"/>
      <c r="AC184" s="368"/>
      <c r="AD184" s="368"/>
      <c r="AE184" s="368"/>
      <c r="AF184" s="368"/>
      <c r="AG184" s="368"/>
      <c r="AH184" s="368"/>
      <c r="AI184" s="368"/>
      <c r="AJ184" s="368"/>
      <c r="AK184" s="368"/>
      <c r="AL184" s="368"/>
      <c r="AM184" s="368"/>
      <c r="AN184" s="368"/>
      <c r="AO184" s="368"/>
      <c r="AP184" s="368"/>
      <c r="AQ184" s="368"/>
      <c r="AR184" s="368"/>
      <c r="AS184" s="368"/>
      <c r="AT184" s="368"/>
      <c r="AU184" s="368"/>
      <c r="AV184" s="368"/>
      <c r="AW184" s="368"/>
      <c r="AX184" s="368"/>
      <c r="AY184" s="368"/>
      <c r="AZ184" s="368"/>
      <c r="BA184" s="368"/>
      <c r="BB184" s="368"/>
      <c r="BC184" s="368"/>
      <c r="BD184" s="368"/>
      <c r="BE184" s="368"/>
      <c r="BF184" s="368"/>
      <c r="BG184" s="368"/>
      <c r="BH184" s="368"/>
      <c r="BI184" s="368"/>
      <c r="BJ184" s="368"/>
      <c r="BK184" s="368"/>
      <c r="BL184" s="368"/>
      <c r="BM184" s="368"/>
      <c r="BN184" s="368"/>
      <c r="BO184" s="368"/>
      <c r="BP184" s="368"/>
      <c r="BQ184" s="368"/>
      <c r="BR184" s="368"/>
      <c r="BS184" s="368"/>
      <c r="BT184" s="368"/>
      <c r="BU184" s="368"/>
      <c r="BV184" s="368"/>
      <c r="BW184" s="368"/>
      <c r="BX184" s="368"/>
      <c r="BY184" s="368"/>
      <c r="BZ184" s="389"/>
      <c r="CA184" s="389"/>
      <c r="CB184" s="389"/>
      <c r="CC184" s="389"/>
      <c r="CD184" s="389"/>
      <c r="CE184" s="389"/>
      <c r="CF184" s="389"/>
      <c r="CG184" s="389"/>
      <c r="CH184" s="389"/>
      <c r="CI184" s="389"/>
      <c r="CJ184" s="389"/>
    </row>
    <row r="185" spans="1:88" x14ac:dyDescent="0.3">
      <c r="A185" s="23" t="s">
        <v>151</v>
      </c>
      <c r="B185" s="87"/>
      <c r="C185" s="87"/>
      <c r="D185" s="87"/>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383"/>
      <c r="CA185" s="383"/>
      <c r="CB185" s="383"/>
      <c r="CC185" s="383"/>
      <c r="CD185" s="383"/>
      <c r="CE185" s="383"/>
      <c r="CF185" s="383"/>
      <c r="CG185" s="383"/>
      <c r="CH185" s="383"/>
      <c r="CI185" s="383"/>
      <c r="CJ185" s="383"/>
    </row>
    <row r="186" spans="1:88" x14ac:dyDescent="0.3">
      <c r="A186" s="108" t="s">
        <v>131</v>
      </c>
      <c r="B186" s="106"/>
      <c r="C186" s="106"/>
      <c r="D186" s="106"/>
      <c r="O186" s="13"/>
      <c r="P186" s="13"/>
      <c r="Q186" s="13"/>
      <c r="R186" s="13"/>
      <c r="BZ186" s="97"/>
      <c r="CA186" s="97"/>
      <c r="CB186" s="97"/>
      <c r="CC186" s="97"/>
      <c r="CD186" s="97"/>
      <c r="CE186" s="97"/>
      <c r="CF186" s="97"/>
      <c r="CG186" s="97"/>
      <c r="CH186" s="97"/>
      <c r="CI186" s="97"/>
      <c r="CJ186" s="97"/>
    </row>
    <row r="187" spans="1:88" x14ac:dyDescent="0.3">
      <c r="A187" s="97" t="str">
        <f>'DCS Detail'!A187</f>
        <v>DAP</v>
      </c>
      <c r="B187" s="106"/>
      <c r="C187" s="36">
        <f t="shared" ref="C187:L191" si="1438">SUMIF($B$4:$B$174,$A187,C$4:C$174)</f>
        <v>0</v>
      </c>
      <c r="D187" s="36">
        <f t="shared" si="1438"/>
        <v>0</v>
      </c>
      <c r="E187" s="36">
        <f t="shared" si="1438"/>
        <v>0</v>
      </c>
      <c r="F187" s="36">
        <f t="shared" si="1438"/>
        <v>494</v>
      </c>
      <c r="G187" s="36">
        <f t="shared" si="1438"/>
        <v>2265</v>
      </c>
      <c r="H187" s="36">
        <f t="shared" si="1438"/>
        <v>2300.7200000000003</v>
      </c>
      <c r="I187" s="36">
        <f t="shared" si="1438"/>
        <v>1485</v>
      </c>
      <c r="J187" s="36">
        <f t="shared" si="1438"/>
        <v>1179.24</v>
      </c>
      <c r="K187" s="36">
        <f t="shared" si="1438"/>
        <v>1420</v>
      </c>
      <c r="L187" s="36">
        <f t="shared" si="1438"/>
        <v>3054</v>
      </c>
      <c r="M187" s="36">
        <f t="shared" ref="M187:V191" si="1439">SUMIF($B$4:$B$174,$A187,M$4:M$174)</f>
        <v>2084</v>
      </c>
      <c r="N187" s="36">
        <f t="shared" si="1439"/>
        <v>2273</v>
      </c>
      <c r="O187" s="36">
        <f t="shared" si="1439"/>
        <v>4224.74</v>
      </c>
      <c r="P187" s="36">
        <f t="shared" si="1439"/>
        <v>814.64</v>
      </c>
      <c r="Q187" s="36">
        <f t="shared" si="1439"/>
        <v>1422.8</v>
      </c>
      <c r="R187" s="36">
        <f t="shared" si="1439"/>
        <v>2057.69</v>
      </c>
      <c r="S187" s="36">
        <f t="shared" si="1439"/>
        <v>3116.9</v>
      </c>
      <c r="T187" s="36">
        <f t="shared" si="1439"/>
        <v>2836.93</v>
      </c>
      <c r="U187" s="36">
        <f t="shared" si="1439"/>
        <v>1556.87</v>
      </c>
      <c r="V187" s="36">
        <f t="shared" si="1439"/>
        <v>2470.92</v>
      </c>
      <c r="W187" s="36">
        <f t="shared" ref="W187:AF191" si="1440">SUMIF($B$4:$B$174,$A187,W$4:W$174)</f>
        <v>3038.93</v>
      </c>
      <c r="X187" s="36">
        <f t="shared" si="1440"/>
        <v>6125.86</v>
      </c>
      <c r="Y187" s="36">
        <f t="shared" si="1440"/>
        <v>5363.75</v>
      </c>
      <c r="Z187" s="36">
        <f t="shared" si="1440"/>
        <v>2005.33</v>
      </c>
      <c r="AA187" s="36">
        <f t="shared" si="1440"/>
        <v>2829.68</v>
      </c>
      <c r="AB187" s="36">
        <f t="shared" si="1440"/>
        <v>814.64</v>
      </c>
      <c r="AC187" s="36">
        <f t="shared" si="1440"/>
        <v>2371.3333333333335</v>
      </c>
      <c r="AD187" s="36">
        <f t="shared" si="1440"/>
        <v>3429.4833333333336</v>
      </c>
      <c r="AE187" s="36">
        <f t="shared" si="1440"/>
        <v>5194.8333333333339</v>
      </c>
      <c r="AF187" s="36">
        <f t="shared" si="1440"/>
        <v>4728.2166666666662</v>
      </c>
      <c r="AG187" s="36">
        <f t="shared" ref="AG187:AP191" si="1441">SUMIF($B$4:$B$174,$A187,AG$4:AG$174)</f>
        <v>2594.7833333333333</v>
      </c>
      <c r="AH187" s="36">
        <f t="shared" si="1441"/>
        <v>4118.2000000000007</v>
      </c>
      <c r="AI187" s="36">
        <f t="shared" si="1441"/>
        <v>5064.8833333333332</v>
      </c>
      <c r="AJ187" s="36">
        <f t="shared" si="1441"/>
        <v>10209.766666666666</v>
      </c>
      <c r="AK187" s="36">
        <f t="shared" si="1441"/>
        <v>8939.5833333333339</v>
      </c>
      <c r="AL187" s="36">
        <f t="shared" si="1441"/>
        <v>3342.2166666666667</v>
      </c>
      <c r="AM187" s="36">
        <f t="shared" si="1441"/>
        <v>4716.1333333333332</v>
      </c>
      <c r="AN187" s="36">
        <f t="shared" si="1441"/>
        <v>1357.7333333333333</v>
      </c>
      <c r="AO187" s="36">
        <f t="shared" si="1441"/>
        <v>2845.6</v>
      </c>
      <c r="AP187" s="36">
        <f t="shared" si="1441"/>
        <v>4115.38</v>
      </c>
      <c r="AQ187" s="36">
        <f t="shared" ref="AQ187:AZ191" si="1442">SUMIF($B$4:$B$174,$A187,AQ$4:AQ$174)</f>
        <v>6233.8</v>
      </c>
      <c r="AR187" s="36">
        <f t="shared" si="1442"/>
        <v>5673.86</v>
      </c>
      <c r="AS187" s="36">
        <f t="shared" si="1442"/>
        <v>3113.74</v>
      </c>
      <c r="AT187" s="36">
        <f t="shared" si="1442"/>
        <v>4941.8400000000011</v>
      </c>
      <c r="AU187" s="36">
        <f t="shared" si="1442"/>
        <v>6077.86</v>
      </c>
      <c r="AV187" s="36">
        <f t="shared" si="1442"/>
        <v>12251.72</v>
      </c>
      <c r="AW187" s="36">
        <f t="shared" si="1442"/>
        <v>10727.5</v>
      </c>
      <c r="AX187" s="36">
        <f t="shared" si="1442"/>
        <v>4010.66</v>
      </c>
      <c r="AY187" s="36">
        <f t="shared" si="1442"/>
        <v>5659.36</v>
      </c>
      <c r="AZ187" s="36">
        <f t="shared" si="1442"/>
        <v>1629.28</v>
      </c>
      <c r="BA187" s="36">
        <f t="shared" ref="BA187:BJ191" si="1443">SUMIF($B$4:$B$174,$A187,BA$4:BA$174)</f>
        <v>2987.88</v>
      </c>
      <c r="BB187" s="36">
        <f t="shared" si="1443"/>
        <v>4321.1490000000003</v>
      </c>
      <c r="BC187" s="36">
        <f t="shared" si="1443"/>
        <v>6545.4900000000007</v>
      </c>
      <c r="BD187" s="36">
        <f t="shared" si="1443"/>
        <v>5957.5529999999999</v>
      </c>
      <c r="BE187" s="36">
        <f t="shared" si="1443"/>
        <v>3269.4270000000001</v>
      </c>
      <c r="BF187" s="36">
        <f t="shared" si="1443"/>
        <v>5188.9320000000016</v>
      </c>
      <c r="BG187" s="36">
        <f t="shared" si="1443"/>
        <v>6381.7529999999997</v>
      </c>
      <c r="BH187" s="36">
        <f t="shared" si="1443"/>
        <v>12864.306</v>
      </c>
      <c r="BI187" s="36">
        <f t="shared" si="1443"/>
        <v>11263.875</v>
      </c>
      <c r="BJ187" s="36">
        <f t="shared" si="1443"/>
        <v>4211.1930000000002</v>
      </c>
      <c r="BK187" s="36">
        <f t="shared" ref="BK187:BX191" si="1444">SUMIF($B$4:$B$174,$A187,BK$4:BK$174)</f>
        <v>5942.3279999999995</v>
      </c>
      <c r="BL187" s="36">
        <f t="shared" si="1444"/>
        <v>1710.7440000000001</v>
      </c>
      <c r="BM187" s="36">
        <f t="shared" si="1444"/>
        <v>3137.2740000000003</v>
      </c>
      <c r="BN187" s="36">
        <f t="shared" si="1444"/>
        <v>4537.2064500000006</v>
      </c>
      <c r="BO187" s="36">
        <f t="shared" si="1444"/>
        <v>6872.7645000000011</v>
      </c>
      <c r="BP187" s="36">
        <f t="shared" si="1444"/>
        <v>6255.4306500000002</v>
      </c>
      <c r="BQ187" s="36">
        <f t="shared" si="1444"/>
        <v>3432.8983500000004</v>
      </c>
      <c r="BR187" s="36">
        <f t="shared" si="1444"/>
        <v>5448.3786000000018</v>
      </c>
      <c r="BS187" s="36">
        <f t="shared" si="1444"/>
        <v>6700.8406500000001</v>
      </c>
      <c r="BT187" s="36">
        <f t="shared" si="1444"/>
        <v>13507.5213</v>
      </c>
      <c r="BU187" s="36">
        <f t="shared" si="1444"/>
        <v>11827.06875</v>
      </c>
      <c r="BV187" s="36">
        <f t="shared" si="1444"/>
        <v>4421.7526500000004</v>
      </c>
      <c r="BW187" s="36">
        <f t="shared" si="1444"/>
        <v>6239.4443999999994</v>
      </c>
      <c r="BX187" s="36">
        <f t="shared" si="1444"/>
        <v>1796.2812000000001</v>
      </c>
      <c r="BZ187" s="379">
        <f>SUMIF($B$252:$BY$252,1,$B187:$BY187)</f>
        <v>2829.68</v>
      </c>
      <c r="CA187" s="379">
        <f>SUMIF($B$253:$BY$253,1,$B187:$BY187)</f>
        <v>32825.659999999996</v>
      </c>
      <c r="CB187" s="97"/>
      <c r="CC187" s="379">
        <f t="shared" ref="CC187:CJ196" si="1445">SUMIF($C$3:$BY$3,CC$3,$C187:$BY187)</f>
        <v>0</v>
      </c>
      <c r="CD187" s="379">
        <f t="shared" si="1445"/>
        <v>0</v>
      </c>
      <c r="CE187" s="379">
        <f t="shared" si="1445"/>
        <v>21594.339999999997</v>
      </c>
      <c r="CF187" s="379">
        <f t="shared" si="1445"/>
        <v>33640.299999999996</v>
      </c>
      <c r="CG187" s="379">
        <f t="shared" si="1445"/>
        <v>56067.166666666664</v>
      </c>
      <c r="CH187" s="379">
        <f t="shared" si="1445"/>
        <v>67280.599999999991</v>
      </c>
      <c r="CI187" s="379">
        <f t="shared" si="1445"/>
        <v>70644.63</v>
      </c>
      <c r="CJ187" s="379">
        <f t="shared" si="1445"/>
        <v>74176.861499999985</v>
      </c>
    </row>
    <row r="188" spans="1:88" x14ac:dyDescent="0.3">
      <c r="A188" s="97" t="str">
        <f>'DCS Detail'!A188</f>
        <v>DSA</v>
      </c>
      <c r="B188" s="106"/>
      <c r="C188" s="36">
        <f t="shared" si="1438"/>
        <v>0</v>
      </c>
      <c r="D188" s="36">
        <f t="shared" si="1438"/>
        <v>0</v>
      </c>
      <c r="E188" s="36">
        <f t="shared" si="1438"/>
        <v>348399.09</v>
      </c>
      <c r="F188" s="36">
        <f t="shared" si="1438"/>
        <v>0</v>
      </c>
      <c r="G188" s="36">
        <f t="shared" si="1438"/>
        <v>168929.14440000002</v>
      </c>
      <c r="H188" s="36">
        <f t="shared" si="1438"/>
        <v>482712.17</v>
      </c>
      <c r="I188" s="36">
        <f t="shared" si="1438"/>
        <v>0</v>
      </c>
      <c r="J188" s="36">
        <f t="shared" si="1438"/>
        <v>417865.02</v>
      </c>
      <c r="K188" s="36">
        <f t="shared" si="1438"/>
        <v>0</v>
      </c>
      <c r="L188" s="36">
        <f t="shared" si="1438"/>
        <v>235270.67559999996</v>
      </c>
      <c r="M188" s="36">
        <f t="shared" si="1439"/>
        <v>215517.05</v>
      </c>
      <c r="N188" s="36">
        <f t="shared" si="1439"/>
        <v>455050.96</v>
      </c>
      <c r="O188" s="36">
        <f t="shared" si="1439"/>
        <v>3418.17</v>
      </c>
      <c r="P188" s="36">
        <f t="shared" si="1439"/>
        <v>271338.77</v>
      </c>
      <c r="Q188" s="36">
        <f t="shared" si="1439"/>
        <v>165745.47</v>
      </c>
      <c r="R188" s="36">
        <f t="shared" si="1439"/>
        <v>207642.22</v>
      </c>
      <c r="S188" s="36">
        <f t="shared" si="1439"/>
        <v>207806.55</v>
      </c>
      <c r="T188" s="36">
        <f t="shared" si="1439"/>
        <v>199925.11</v>
      </c>
      <c r="U188" s="36">
        <f t="shared" si="1439"/>
        <v>249791.55</v>
      </c>
      <c r="V188" s="36">
        <f t="shared" si="1439"/>
        <v>216145.34</v>
      </c>
      <c r="W188" s="36">
        <f t="shared" si="1440"/>
        <v>216145.34</v>
      </c>
      <c r="X188" s="36">
        <f t="shared" si="1440"/>
        <v>197044.08</v>
      </c>
      <c r="Y188" s="36">
        <f t="shared" si="1440"/>
        <v>211414.93</v>
      </c>
      <c r="Z188" s="36">
        <f t="shared" si="1440"/>
        <v>206109.25</v>
      </c>
      <c r="AA188" s="36">
        <f t="shared" si="1440"/>
        <v>214379.51</v>
      </c>
      <c r="AB188" s="36">
        <f t="shared" si="1440"/>
        <v>211148.78083333335</v>
      </c>
      <c r="AC188" s="36">
        <f t="shared" si="1440"/>
        <v>211148.78083333335</v>
      </c>
      <c r="AD188" s="36">
        <f t="shared" si="1440"/>
        <v>273423.63492783339</v>
      </c>
      <c r="AE188" s="36">
        <f t="shared" si="1440"/>
        <v>270358.34754074999</v>
      </c>
      <c r="AF188" s="36">
        <f t="shared" si="1440"/>
        <v>268519.1751085</v>
      </c>
      <c r="AG188" s="36">
        <f t="shared" si="1441"/>
        <v>267293.06015366671</v>
      </c>
      <c r="AH188" s="36">
        <f t="shared" si="1441"/>
        <v>266066.94519883336</v>
      </c>
      <c r="AI188" s="36">
        <f t="shared" si="1441"/>
        <v>269745.29006333335</v>
      </c>
      <c r="AJ188" s="36">
        <f t="shared" si="1441"/>
        <v>269132.2325859167</v>
      </c>
      <c r="AK188" s="36">
        <f t="shared" si="1441"/>
        <v>269132.2325859167</v>
      </c>
      <c r="AL188" s="36">
        <f t="shared" si="1441"/>
        <v>267906.11763108335</v>
      </c>
      <c r="AM188" s="36">
        <f t="shared" si="1441"/>
        <v>267906.11763108335</v>
      </c>
      <c r="AN188" s="36">
        <f t="shared" si="1441"/>
        <v>267906.11763108335</v>
      </c>
      <c r="AO188" s="36">
        <f t="shared" si="1441"/>
        <v>267906.11763108335</v>
      </c>
      <c r="AP188" s="36">
        <f t="shared" si="1441"/>
        <v>335930.97532523668</v>
      </c>
      <c r="AQ188" s="36">
        <f t="shared" si="1442"/>
        <v>332773.72931654082</v>
      </c>
      <c r="AR188" s="36">
        <f t="shared" si="1442"/>
        <v>330879.38171132334</v>
      </c>
      <c r="AS188" s="36">
        <f t="shared" si="1442"/>
        <v>329616.48330784502</v>
      </c>
      <c r="AT188" s="36">
        <f t="shared" si="1442"/>
        <v>328353.5849043667</v>
      </c>
      <c r="AU188" s="36">
        <f t="shared" si="1442"/>
        <v>332142.28011480166</v>
      </c>
      <c r="AV188" s="36">
        <f t="shared" si="1442"/>
        <v>331510.8309130625</v>
      </c>
      <c r="AW188" s="36">
        <f t="shared" si="1442"/>
        <v>332142.28011480166</v>
      </c>
      <c r="AX188" s="36">
        <f t="shared" si="1442"/>
        <v>330247.93250958418</v>
      </c>
      <c r="AY188" s="36">
        <f t="shared" si="1442"/>
        <v>330247.93250958418</v>
      </c>
      <c r="AZ188" s="36">
        <f t="shared" si="1442"/>
        <v>330247.93250958418</v>
      </c>
      <c r="BA188" s="36">
        <f t="shared" si="1443"/>
        <v>330247.93250958418</v>
      </c>
      <c r="BB188" s="36">
        <f t="shared" si="1443"/>
        <v>341809.76739342837</v>
      </c>
      <c r="BC188" s="36">
        <f t="shared" si="1443"/>
        <v>337954.77001681074</v>
      </c>
      <c r="BD188" s="36">
        <f t="shared" si="1443"/>
        <v>336027.27132850193</v>
      </c>
      <c r="BE188" s="36">
        <f t="shared" si="1443"/>
        <v>334742.27220296272</v>
      </c>
      <c r="BF188" s="36">
        <f t="shared" si="1443"/>
        <v>334099.77264019317</v>
      </c>
      <c r="BG188" s="36">
        <f t="shared" si="1443"/>
        <v>338597.26957958034</v>
      </c>
      <c r="BH188" s="36">
        <f t="shared" si="1443"/>
        <v>337312.27045404114</v>
      </c>
      <c r="BI188" s="36">
        <f t="shared" si="1443"/>
        <v>337312.27045404114</v>
      </c>
      <c r="BJ188" s="36">
        <f t="shared" si="1443"/>
        <v>336027.27132850193</v>
      </c>
      <c r="BK188" s="36">
        <f t="shared" si="1444"/>
        <v>336027.27132850193</v>
      </c>
      <c r="BL188" s="36">
        <f t="shared" si="1444"/>
        <v>336027.27132850193</v>
      </c>
      <c r="BM188" s="36">
        <f t="shared" si="1444"/>
        <v>336027.27132850193</v>
      </c>
      <c r="BN188" s="36">
        <f t="shared" si="1444"/>
        <v>346082.38948584622</v>
      </c>
      <c r="BO188" s="36">
        <f t="shared" si="1444"/>
        <v>342829.73544932512</v>
      </c>
      <c r="BP188" s="36">
        <f t="shared" si="1444"/>
        <v>340878.14302741241</v>
      </c>
      <c r="BQ188" s="36">
        <f t="shared" si="1444"/>
        <v>338926.55060549977</v>
      </c>
      <c r="BR188" s="36">
        <f t="shared" si="1444"/>
        <v>337625.48899089132</v>
      </c>
      <c r="BS188" s="36">
        <f t="shared" si="1444"/>
        <v>341528.67383471667</v>
      </c>
      <c r="BT188" s="36">
        <f t="shared" si="1444"/>
        <v>341528.67383471667</v>
      </c>
      <c r="BU188" s="36">
        <f t="shared" si="1444"/>
        <v>341528.67383471667</v>
      </c>
      <c r="BV188" s="36">
        <f t="shared" si="1444"/>
        <v>340227.61222010822</v>
      </c>
      <c r="BW188" s="36">
        <f t="shared" si="1444"/>
        <v>340227.61222010822</v>
      </c>
      <c r="BX188" s="36">
        <f t="shared" si="1444"/>
        <v>340227.61222010822</v>
      </c>
      <c r="BZ188" s="379">
        <f>SUMIF($B$252:$BY$252,1,$B188:$BY188)</f>
        <v>214379.51</v>
      </c>
      <c r="CA188" s="379">
        <f>SUMIF($B$253:$BY$253,1,$B188:$BY188)</f>
        <v>2292149.35</v>
      </c>
      <c r="CB188" s="97"/>
      <c r="CC188" s="379">
        <f t="shared" si="1445"/>
        <v>0</v>
      </c>
      <c r="CD188" s="379">
        <f t="shared" si="1445"/>
        <v>0</v>
      </c>
      <c r="CE188" s="379">
        <f t="shared" si="1445"/>
        <v>2598501.0500000003</v>
      </c>
      <c r="CF188" s="379">
        <f t="shared" si="1445"/>
        <v>2503298.1308333334</v>
      </c>
      <c r="CG188" s="379">
        <f t="shared" si="1445"/>
        <v>3168538.0518913334</v>
      </c>
      <c r="CH188" s="379">
        <f t="shared" si="1445"/>
        <v>3911999.4608678147</v>
      </c>
      <c r="CI188" s="379">
        <f t="shared" si="1445"/>
        <v>4036185.4105646494</v>
      </c>
      <c r="CJ188" s="379">
        <f t="shared" si="1445"/>
        <v>4087638.4370519514</v>
      </c>
    </row>
    <row r="189" spans="1:88" x14ac:dyDescent="0.3">
      <c r="A189" s="97" t="str">
        <f>'DCS Detail'!A189</f>
        <v>Special Educ.</v>
      </c>
      <c r="B189" s="106"/>
      <c r="C189" s="36">
        <f t="shared" si="1438"/>
        <v>0</v>
      </c>
      <c r="D189" s="36">
        <f t="shared" si="1438"/>
        <v>0</v>
      </c>
      <c r="E189" s="36">
        <f t="shared" si="1438"/>
        <v>0</v>
      </c>
      <c r="F189" s="36">
        <f t="shared" si="1438"/>
        <v>0</v>
      </c>
      <c r="G189" s="36">
        <f t="shared" si="1438"/>
        <v>14699.895600000002</v>
      </c>
      <c r="H189" s="36">
        <f t="shared" si="1438"/>
        <v>0</v>
      </c>
      <c r="I189" s="36">
        <f t="shared" si="1438"/>
        <v>15114.5982</v>
      </c>
      <c r="J189" s="36">
        <f t="shared" si="1438"/>
        <v>0</v>
      </c>
      <c r="K189" s="36">
        <f t="shared" si="1438"/>
        <v>0</v>
      </c>
      <c r="L189" s="36">
        <f t="shared" si="1438"/>
        <v>15114.606199999995</v>
      </c>
      <c r="M189" s="36">
        <f t="shared" si="1439"/>
        <v>0</v>
      </c>
      <c r="N189" s="36">
        <f t="shared" si="1439"/>
        <v>0</v>
      </c>
      <c r="O189" s="36">
        <f t="shared" si="1439"/>
        <v>0</v>
      </c>
      <c r="P189" s="36">
        <f t="shared" si="1439"/>
        <v>23717.34</v>
      </c>
      <c r="Q189" s="36">
        <f t="shared" si="1439"/>
        <v>0</v>
      </c>
      <c r="R189" s="36">
        <f t="shared" si="1439"/>
        <v>16119.01</v>
      </c>
      <c r="S189" s="36">
        <f t="shared" si="1439"/>
        <v>0</v>
      </c>
      <c r="T189" s="36">
        <f t="shared" si="1439"/>
        <v>0</v>
      </c>
      <c r="U189" s="36">
        <f t="shared" si="1439"/>
        <v>16119.01</v>
      </c>
      <c r="V189" s="36">
        <f t="shared" si="1439"/>
        <v>0</v>
      </c>
      <c r="W189" s="36">
        <f t="shared" si="1440"/>
        <v>0</v>
      </c>
      <c r="X189" s="36">
        <f t="shared" si="1440"/>
        <v>16119.01</v>
      </c>
      <c r="Y189" s="36">
        <f t="shared" si="1440"/>
        <v>0</v>
      </c>
      <c r="Z189" s="36">
        <f t="shared" si="1440"/>
        <v>0</v>
      </c>
      <c r="AA189" s="36">
        <f t="shared" si="1440"/>
        <v>16119.01</v>
      </c>
      <c r="AB189" s="36">
        <f t="shared" si="1440"/>
        <v>7598.33</v>
      </c>
      <c r="AC189" s="36">
        <f t="shared" si="1440"/>
        <v>0</v>
      </c>
      <c r="AD189" s="36">
        <f t="shared" si="1440"/>
        <v>16333.392833000002</v>
      </c>
      <c r="AE189" s="36">
        <f t="shared" si="1440"/>
        <v>0</v>
      </c>
      <c r="AF189" s="36">
        <f t="shared" si="1440"/>
        <v>0</v>
      </c>
      <c r="AG189" s="36">
        <f t="shared" si="1441"/>
        <v>16333.392833000002</v>
      </c>
      <c r="AH189" s="36">
        <f t="shared" si="1441"/>
        <v>0</v>
      </c>
      <c r="AI189" s="36">
        <f t="shared" si="1441"/>
        <v>0</v>
      </c>
      <c r="AJ189" s="36">
        <f t="shared" si="1441"/>
        <v>16333.392833000002</v>
      </c>
      <c r="AK189" s="36">
        <f t="shared" si="1441"/>
        <v>0</v>
      </c>
      <c r="AL189" s="36">
        <f t="shared" si="1441"/>
        <v>0</v>
      </c>
      <c r="AM189" s="36">
        <f t="shared" si="1441"/>
        <v>16333.392833000002</v>
      </c>
      <c r="AN189" s="36">
        <f t="shared" si="1441"/>
        <v>7699.3877890000003</v>
      </c>
      <c r="AO189" s="36">
        <f t="shared" si="1441"/>
        <v>0</v>
      </c>
      <c r="AP189" s="36">
        <f t="shared" si="1441"/>
        <v>16823.394617990001</v>
      </c>
      <c r="AQ189" s="36">
        <f t="shared" si="1442"/>
        <v>0</v>
      </c>
      <c r="AR189" s="36">
        <f t="shared" si="1442"/>
        <v>0</v>
      </c>
      <c r="AS189" s="36">
        <f t="shared" si="1442"/>
        <v>16823.394617990001</v>
      </c>
      <c r="AT189" s="36">
        <f t="shared" si="1442"/>
        <v>0</v>
      </c>
      <c r="AU189" s="36">
        <f t="shared" si="1442"/>
        <v>0</v>
      </c>
      <c r="AV189" s="36">
        <f t="shared" si="1442"/>
        <v>16823.394617990001</v>
      </c>
      <c r="AW189" s="36">
        <f t="shared" si="1442"/>
        <v>0</v>
      </c>
      <c r="AX189" s="36">
        <f t="shared" si="1442"/>
        <v>0</v>
      </c>
      <c r="AY189" s="36">
        <f t="shared" si="1442"/>
        <v>16823.394617990001</v>
      </c>
      <c r="AZ189" s="36">
        <f t="shared" si="1442"/>
        <v>7930.3694226700009</v>
      </c>
      <c r="BA189" s="36">
        <f t="shared" si="1443"/>
        <v>0</v>
      </c>
      <c r="BB189" s="36">
        <f t="shared" si="1443"/>
        <v>17117.804023804827</v>
      </c>
      <c r="BC189" s="36">
        <f t="shared" si="1443"/>
        <v>0</v>
      </c>
      <c r="BD189" s="36">
        <f t="shared" si="1443"/>
        <v>0</v>
      </c>
      <c r="BE189" s="36">
        <f t="shared" si="1443"/>
        <v>17117.804023804827</v>
      </c>
      <c r="BF189" s="36">
        <f t="shared" si="1443"/>
        <v>0</v>
      </c>
      <c r="BG189" s="36">
        <f t="shared" si="1443"/>
        <v>0</v>
      </c>
      <c r="BH189" s="36">
        <f t="shared" si="1443"/>
        <v>17117.804023804827</v>
      </c>
      <c r="BI189" s="36">
        <f t="shared" si="1443"/>
        <v>0</v>
      </c>
      <c r="BJ189" s="36">
        <f t="shared" si="1443"/>
        <v>0</v>
      </c>
      <c r="BK189" s="36">
        <f t="shared" si="1444"/>
        <v>17117.804023804827</v>
      </c>
      <c r="BL189" s="36">
        <f t="shared" si="1444"/>
        <v>8069.1508875667269</v>
      </c>
      <c r="BM189" s="36">
        <f t="shared" si="1444"/>
        <v>0</v>
      </c>
      <c r="BN189" s="36">
        <f t="shared" si="1444"/>
        <v>17331.776574102387</v>
      </c>
      <c r="BO189" s="36">
        <f t="shared" si="1444"/>
        <v>0</v>
      </c>
      <c r="BP189" s="36">
        <f t="shared" si="1444"/>
        <v>0</v>
      </c>
      <c r="BQ189" s="36">
        <f t="shared" si="1444"/>
        <v>17331.776574102387</v>
      </c>
      <c r="BR189" s="36">
        <f t="shared" si="1444"/>
        <v>0</v>
      </c>
      <c r="BS189" s="36">
        <f t="shared" si="1444"/>
        <v>0</v>
      </c>
      <c r="BT189" s="36">
        <f t="shared" si="1444"/>
        <v>17331.776574102387</v>
      </c>
      <c r="BU189" s="36">
        <f t="shared" si="1444"/>
        <v>0</v>
      </c>
      <c r="BV189" s="36">
        <f t="shared" si="1444"/>
        <v>0</v>
      </c>
      <c r="BW189" s="36">
        <f t="shared" si="1444"/>
        <v>17331.776574102387</v>
      </c>
      <c r="BX189" s="36">
        <f t="shared" si="1444"/>
        <v>8170.0152736613109</v>
      </c>
      <c r="BZ189" s="379">
        <f>SUMIF($B$252:$BY$252,1,$B189:$BY189)</f>
        <v>16119.01</v>
      </c>
      <c r="CA189" s="379">
        <f>SUMIF($B$253:$BY$253,1,$B189:$BY189)</f>
        <v>64476.04</v>
      </c>
      <c r="CB189" s="97"/>
      <c r="CC189" s="379">
        <f t="shared" si="1445"/>
        <v>0</v>
      </c>
      <c r="CD189" s="379">
        <f t="shared" si="1445"/>
        <v>0</v>
      </c>
      <c r="CE189" s="379">
        <f t="shared" si="1445"/>
        <v>68646.44</v>
      </c>
      <c r="CF189" s="379">
        <f t="shared" si="1445"/>
        <v>72074.37</v>
      </c>
      <c r="CG189" s="379">
        <f t="shared" si="1445"/>
        <v>73032.959121000007</v>
      </c>
      <c r="CH189" s="379">
        <f t="shared" si="1445"/>
        <v>75223.947894630008</v>
      </c>
      <c r="CI189" s="379">
        <f t="shared" si="1445"/>
        <v>76540.366982786029</v>
      </c>
      <c r="CJ189" s="379">
        <f t="shared" si="1445"/>
        <v>77497.121570070856</v>
      </c>
    </row>
    <row r="190" spans="1:88" x14ac:dyDescent="0.3">
      <c r="A190" s="97" t="str">
        <f>'DCS Detail'!A190</f>
        <v>Grants</v>
      </c>
      <c r="B190" s="106"/>
      <c r="C190" s="36">
        <f t="shared" si="1438"/>
        <v>0</v>
      </c>
      <c r="D190" s="36">
        <f t="shared" si="1438"/>
        <v>0</v>
      </c>
      <c r="E190" s="36">
        <f t="shared" si="1438"/>
        <v>0</v>
      </c>
      <c r="F190" s="36">
        <f t="shared" si="1438"/>
        <v>390034</v>
      </c>
      <c r="G190" s="36">
        <f t="shared" si="1438"/>
        <v>2000</v>
      </c>
      <c r="H190" s="36">
        <f t="shared" si="1438"/>
        <v>11345.28</v>
      </c>
      <c r="I190" s="36">
        <f t="shared" si="1438"/>
        <v>0</v>
      </c>
      <c r="J190" s="36">
        <f t="shared" si="1438"/>
        <v>0</v>
      </c>
      <c r="K190" s="36">
        <f t="shared" si="1438"/>
        <v>0</v>
      </c>
      <c r="L190" s="36">
        <f t="shared" si="1438"/>
        <v>8634.9100000000126</v>
      </c>
      <c r="M190" s="36">
        <f t="shared" si="1439"/>
        <v>-9005.2800000000025</v>
      </c>
      <c r="N190" s="36">
        <f t="shared" si="1439"/>
        <v>0</v>
      </c>
      <c r="O190" s="36">
        <f t="shared" si="1439"/>
        <v>0</v>
      </c>
      <c r="P190" s="36">
        <f t="shared" si="1439"/>
        <v>12778.63</v>
      </c>
      <c r="Q190" s="36">
        <f t="shared" si="1439"/>
        <v>0</v>
      </c>
      <c r="R190" s="36">
        <f t="shared" si="1439"/>
        <v>0</v>
      </c>
      <c r="S190" s="36">
        <f t="shared" si="1439"/>
        <v>390000</v>
      </c>
      <c r="T190" s="36">
        <f t="shared" si="1439"/>
        <v>37072.01</v>
      </c>
      <c r="U190" s="36">
        <f t="shared" si="1439"/>
        <v>0</v>
      </c>
      <c r="V190" s="36">
        <f t="shared" si="1439"/>
        <v>31.2</v>
      </c>
      <c r="W190" s="36">
        <f t="shared" si="1440"/>
        <v>9353.39</v>
      </c>
      <c r="X190" s="36">
        <f t="shared" si="1440"/>
        <v>0</v>
      </c>
      <c r="Y190" s="36">
        <f t="shared" si="1440"/>
        <v>0</v>
      </c>
      <c r="Z190" s="36">
        <f t="shared" si="1440"/>
        <v>267767.76</v>
      </c>
      <c r="AA190" s="36">
        <f t="shared" si="1440"/>
        <v>520.07000000000005</v>
      </c>
      <c r="AB190" s="36">
        <f t="shared" si="1440"/>
        <v>86560.500000000015</v>
      </c>
      <c r="AC190" s="36">
        <f t="shared" si="1440"/>
        <v>0</v>
      </c>
      <c r="AD190" s="36">
        <f t="shared" si="1440"/>
        <v>0</v>
      </c>
      <c r="AE190" s="36">
        <f t="shared" si="1440"/>
        <v>390000</v>
      </c>
      <c r="AF190" s="36">
        <f t="shared" si="1440"/>
        <v>3240</v>
      </c>
      <c r="AG190" s="36">
        <f t="shared" si="1441"/>
        <v>3240</v>
      </c>
      <c r="AH190" s="36">
        <f t="shared" si="1441"/>
        <v>3271.2</v>
      </c>
      <c r="AI190" s="36">
        <f t="shared" si="1441"/>
        <v>3240</v>
      </c>
      <c r="AJ190" s="36">
        <f t="shared" si="1441"/>
        <v>51990</v>
      </c>
      <c r="AK190" s="36">
        <f t="shared" si="1441"/>
        <v>51990</v>
      </c>
      <c r="AL190" s="36">
        <f t="shared" si="1441"/>
        <v>51990</v>
      </c>
      <c r="AM190" s="36">
        <f t="shared" si="1441"/>
        <v>52510.07</v>
      </c>
      <c r="AN190" s="36">
        <f t="shared" si="1441"/>
        <v>3240</v>
      </c>
      <c r="AO190" s="36">
        <f t="shared" si="1441"/>
        <v>3240</v>
      </c>
      <c r="AP190" s="36">
        <f t="shared" si="1441"/>
        <v>3240</v>
      </c>
      <c r="AQ190" s="36">
        <f t="shared" si="1442"/>
        <v>393240</v>
      </c>
      <c r="AR190" s="36">
        <f t="shared" si="1442"/>
        <v>3337.2000000000003</v>
      </c>
      <c r="AS190" s="36">
        <f t="shared" si="1442"/>
        <v>3337.2000000000003</v>
      </c>
      <c r="AT190" s="36">
        <f t="shared" si="1442"/>
        <v>3368.4</v>
      </c>
      <c r="AU190" s="36">
        <f t="shared" si="1442"/>
        <v>3337.2000000000003</v>
      </c>
      <c r="AV190" s="36">
        <f t="shared" si="1442"/>
        <v>3337.2000000000003</v>
      </c>
      <c r="AW190" s="36">
        <f t="shared" si="1442"/>
        <v>28337.200000000001</v>
      </c>
      <c r="AX190" s="36">
        <f t="shared" si="1442"/>
        <v>3337.2000000000003</v>
      </c>
      <c r="AY190" s="36">
        <f t="shared" si="1442"/>
        <v>3857.2700000000004</v>
      </c>
      <c r="AZ190" s="36">
        <f t="shared" si="1442"/>
        <v>3337.2000000000003</v>
      </c>
      <c r="BA190" s="36">
        <f t="shared" si="1443"/>
        <v>3337.2000000000003</v>
      </c>
      <c r="BB190" s="36">
        <f t="shared" si="1443"/>
        <v>3296.7000000000003</v>
      </c>
      <c r="BC190" s="36">
        <f t="shared" si="1443"/>
        <v>393296.7</v>
      </c>
      <c r="BD190" s="36">
        <f t="shared" si="1443"/>
        <v>3395.6010000000006</v>
      </c>
      <c r="BE190" s="36">
        <f t="shared" si="1443"/>
        <v>3395.6010000000006</v>
      </c>
      <c r="BF190" s="36">
        <f t="shared" si="1443"/>
        <v>3426.8010000000004</v>
      </c>
      <c r="BG190" s="36">
        <f t="shared" si="1443"/>
        <v>3395.6010000000006</v>
      </c>
      <c r="BH190" s="36">
        <f t="shared" si="1443"/>
        <v>3395.6010000000006</v>
      </c>
      <c r="BI190" s="36">
        <f t="shared" si="1443"/>
        <v>28833.101000000002</v>
      </c>
      <c r="BJ190" s="36">
        <f t="shared" si="1443"/>
        <v>3395.6010000000006</v>
      </c>
      <c r="BK190" s="36">
        <f t="shared" si="1444"/>
        <v>3915.6710000000007</v>
      </c>
      <c r="BL190" s="36">
        <f t="shared" si="1444"/>
        <v>3395.6010000000006</v>
      </c>
      <c r="BM190" s="36">
        <f t="shared" si="1444"/>
        <v>3395.6010000000006</v>
      </c>
      <c r="BN190" s="36">
        <f t="shared" si="1444"/>
        <v>3337.9087500000001</v>
      </c>
      <c r="BO190" s="36">
        <f t="shared" si="1444"/>
        <v>393337.90875</v>
      </c>
      <c r="BP190" s="36">
        <f t="shared" si="1444"/>
        <v>3438.0460125000004</v>
      </c>
      <c r="BQ190" s="36">
        <f t="shared" si="1444"/>
        <v>3438.0460125000004</v>
      </c>
      <c r="BR190" s="36">
        <f t="shared" si="1444"/>
        <v>3469.2460125000002</v>
      </c>
      <c r="BS190" s="36">
        <f t="shared" si="1444"/>
        <v>3438.0460125000004</v>
      </c>
      <c r="BT190" s="36">
        <f t="shared" si="1444"/>
        <v>3438.0460125000004</v>
      </c>
      <c r="BU190" s="36">
        <f t="shared" si="1444"/>
        <v>29193.514762499999</v>
      </c>
      <c r="BV190" s="36">
        <f t="shared" si="1444"/>
        <v>3438.0460125000004</v>
      </c>
      <c r="BW190" s="36">
        <f t="shared" si="1444"/>
        <v>3958.1160125000006</v>
      </c>
      <c r="BX190" s="36">
        <f t="shared" si="1444"/>
        <v>3438.0460125000004</v>
      </c>
      <c r="BZ190" s="379">
        <f>SUMIF($B$252:$BY$252,1,$B190:$BY190)</f>
        <v>520.07000000000005</v>
      </c>
      <c r="CA190" s="379">
        <f>SUMIF($B$253:$BY$253,1,$B190:$BY190)</f>
        <v>704744.43</v>
      </c>
      <c r="CB190" s="97"/>
      <c r="CC190" s="379">
        <f t="shared" si="1445"/>
        <v>0</v>
      </c>
      <c r="CD190" s="379">
        <f t="shared" si="1445"/>
        <v>0</v>
      </c>
      <c r="CE190" s="379">
        <f t="shared" si="1445"/>
        <v>415787.54000000004</v>
      </c>
      <c r="CF190" s="379">
        <f t="shared" si="1445"/>
        <v>791304.93</v>
      </c>
      <c r="CG190" s="379">
        <f t="shared" si="1445"/>
        <v>614711.2699999999</v>
      </c>
      <c r="CH190" s="379">
        <f t="shared" si="1445"/>
        <v>455306.07000000012</v>
      </c>
      <c r="CI190" s="379">
        <f t="shared" si="1445"/>
        <v>456479.77900000016</v>
      </c>
      <c r="CJ190" s="379">
        <f t="shared" si="1445"/>
        <v>457320.57136250014</v>
      </c>
    </row>
    <row r="191" spans="1:88" x14ac:dyDescent="0.3">
      <c r="A191" s="97" t="str">
        <f>'DCS Detail'!A191</f>
        <v>Other</v>
      </c>
      <c r="B191" s="106"/>
      <c r="C191" s="36">
        <f t="shared" si="1438"/>
        <v>0</v>
      </c>
      <c r="D191" s="36">
        <f t="shared" si="1438"/>
        <v>0</v>
      </c>
      <c r="E191" s="36">
        <f t="shared" si="1438"/>
        <v>-8512.0600000000013</v>
      </c>
      <c r="F191" s="36">
        <f t="shared" si="1438"/>
        <v>2331.7999999999997</v>
      </c>
      <c r="G191" s="36">
        <f t="shared" si="1438"/>
        <v>1074.95</v>
      </c>
      <c r="H191" s="36">
        <f t="shared" si="1438"/>
        <v>139.61000000000001</v>
      </c>
      <c r="I191" s="36">
        <f t="shared" si="1438"/>
        <v>228.8</v>
      </c>
      <c r="J191" s="36">
        <f t="shared" si="1438"/>
        <v>95.91</v>
      </c>
      <c r="K191" s="36">
        <f t="shared" si="1438"/>
        <v>40.434600000000003</v>
      </c>
      <c r="L191" s="36">
        <f t="shared" si="1438"/>
        <v>117.07540000000007</v>
      </c>
      <c r="M191" s="36">
        <f t="shared" si="1439"/>
        <v>9980.91</v>
      </c>
      <c r="N191" s="36">
        <f t="shared" si="1439"/>
        <v>21.66</v>
      </c>
      <c r="O191" s="36">
        <f t="shared" si="1439"/>
        <v>1168.29</v>
      </c>
      <c r="P191" s="36">
        <f t="shared" si="1439"/>
        <v>400.83</v>
      </c>
      <c r="Q191" s="36">
        <f t="shared" si="1439"/>
        <v>251.57</v>
      </c>
      <c r="R191" s="36">
        <f t="shared" si="1439"/>
        <v>16.329999999999998</v>
      </c>
      <c r="S191" s="36">
        <f t="shared" si="1439"/>
        <v>1525.19</v>
      </c>
      <c r="T191" s="36">
        <f t="shared" si="1439"/>
        <v>2751.4799999999996</v>
      </c>
      <c r="U191" s="36">
        <f t="shared" si="1439"/>
        <v>1278.2</v>
      </c>
      <c r="V191" s="36">
        <f t="shared" si="1439"/>
        <v>9.7200000000000006</v>
      </c>
      <c r="W191" s="36">
        <f t="shared" si="1440"/>
        <v>8341.76</v>
      </c>
      <c r="X191" s="36">
        <f t="shared" si="1440"/>
        <v>2762.65</v>
      </c>
      <c r="Y191" s="36">
        <f t="shared" si="1440"/>
        <v>4018.36</v>
      </c>
      <c r="Z191" s="36">
        <f t="shared" si="1440"/>
        <v>1905.27</v>
      </c>
      <c r="AA191" s="36">
        <f t="shared" si="1440"/>
        <v>652.04</v>
      </c>
      <c r="AB191" s="36">
        <f t="shared" si="1440"/>
        <v>400.83</v>
      </c>
      <c r="AC191" s="36">
        <f t="shared" si="1440"/>
        <v>670349.87999999989</v>
      </c>
      <c r="AD191" s="36">
        <f t="shared" si="1440"/>
        <v>16.329999999999998</v>
      </c>
      <c r="AE191" s="36">
        <f t="shared" si="1440"/>
        <v>1525.19</v>
      </c>
      <c r="AF191" s="36">
        <f t="shared" si="1440"/>
        <v>2751.4799999999996</v>
      </c>
      <c r="AG191" s="36">
        <f t="shared" si="1441"/>
        <v>1278.2</v>
      </c>
      <c r="AH191" s="36">
        <f t="shared" si="1441"/>
        <v>9.7200000000000006</v>
      </c>
      <c r="AI191" s="36">
        <f t="shared" si="1441"/>
        <v>8341.76</v>
      </c>
      <c r="AJ191" s="36">
        <f t="shared" si="1441"/>
        <v>2762.65</v>
      </c>
      <c r="AK191" s="36">
        <f t="shared" si="1441"/>
        <v>4018.36</v>
      </c>
      <c r="AL191" s="36">
        <f t="shared" si="1441"/>
        <v>1905.27</v>
      </c>
      <c r="AM191" s="36">
        <f t="shared" si="1441"/>
        <v>652.04</v>
      </c>
      <c r="AN191" s="36">
        <f t="shared" si="1441"/>
        <v>400.83</v>
      </c>
      <c r="AO191" s="36">
        <f t="shared" si="1441"/>
        <v>251.57</v>
      </c>
      <c r="AP191" s="36">
        <f t="shared" si="1441"/>
        <v>16.329999999999998</v>
      </c>
      <c r="AQ191" s="36">
        <f t="shared" si="1442"/>
        <v>1525.19</v>
      </c>
      <c r="AR191" s="36">
        <f t="shared" si="1442"/>
        <v>2751.4799999999996</v>
      </c>
      <c r="AS191" s="36">
        <f t="shared" si="1442"/>
        <v>1278.2</v>
      </c>
      <c r="AT191" s="36">
        <f t="shared" si="1442"/>
        <v>9.7200000000000006</v>
      </c>
      <c r="AU191" s="36">
        <f t="shared" si="1442"/>
        <v>8341.76</v>
      </c>
      <c r="AV191" s="36">
        <f t="shared" si="1442"/>
        <v>2762.65</v>
      </c>
      <c r="AW191" s="36">
        <f t="shared" si="1442"/>
        <v>4018.36</v>
      </c>
      <c r="AX191" s="36">
        <f t="shared" si="1442"/>
        <v>1905.27</v>
      </c>
      <c r="AY191" s="36">
        <f t="shared" si="1442"/>
        <v>652.04</v>
      </c>
      <c r="AZ191" s="36">
        <f t="shared" si="1442"/>
        <v>400.83</v>
      </c>
      <c r="BA191" s="36">
        <f t="shared" si="1443"/>
        <v>251.57</v>
      </c>
      <c r="BB191" s="36">
        <f t="shared" si="1443"/>
        <v>16.329999999999998</v>
      </c>
      <c r="BC191" s="36">
        <f t="shared" si="1443"/>
        <v>1525.19</v>
      </c>
      <c r="BD191" s="36">
        <f t="shared" si="1443"/>
        <v>2751.4799999999996</v>
      </c>
      <c r="BE191" s="36">
        <f t="shared" si="1443"/>
        <v>1278.2</v>
      </c>
      <c r="BF191" s="36">
        <f t="shared" si="1443"/>
        <v>9.7200000000000006</v>
      </c>
      <c r="BG191" s="36">
        <f t="shared" si="1443"/>
        <v>8341.76</v>
      </c>
      <c r="BH191" s="36">
        <f t="shared" si="1443"/>
        <v>2762.65</v>
      </c>
      <c r="BI191" s="36">
        <f t="shared" si="1443"/>
        <v>4018.36</v>
      </c>
      <c r="BJ191" s="36">
        <f t="shared" si="1443"/>
        <v>1905.27</v>
      </c>
      <c r="BK191" s="36">
        <f t="shared" si="1444"/>
        <v>652.04</v>
      </c>
      <c r="BL191" s="36">
        <f t="shared" si="1444"/>
        <v>400.83</v>
      </c>
      <c r="BM191" s="36">
        <f t="shared" si="1444"/>
        <v>251.57</v>
      </c>
      <c r="BN191" s="36">
        <f t="shared" si="1444"/>
        <v>16.329999999999998</v>
      </c>
      <c r="BO191" s="36">
        <f t="shared" si="1444"/>
        <v>1525.19</v>
      </c>
      <c r="BP191" s="36">
        <f t="shared" si="1444"/>
        <v>2751.4799999999996</v>
      </c>
      <c r="BQ191" s="36">
        <f t="shared" si="1444"/>
        <v>1278.2</v>
      </c>
      <c r="BR191" s="36">
        <f t="shared" si="1444"/>
        <v>9.7200000000000006</v>
      </c>
      <c r="BS191" s="36">
        <f t="shared" si="1444"/>
        <v>8341.76</v>
      </c>
      <c r="BT191" s="36">
        <f t="shared" si="1444"/>
        <v>2762.65</v>
      </c>
      <c r="BU191" s="36">
        <f t="shared" si="1444"/>
        <v>4018.36</v>
      </c>
      <c r="BV191" s="36">
        <f t="shared" si="1444"/>
        <v>1905.27</v>
      </c>
      <c r="BW191" s="36">
        <f t="shared" si="1444"/>
        <v>652.04</v>
      </c>
      <c r="BX191" s="36">
        <f t="shared" si="1444"/>
        <v>400.83</v>
      </c>
      <c r="BZ191" s="379">
        <f>SUMIF($B$252:$BY$252,1,$B191:$BY191)</f>
        <v>652.04</v>
      </c>
      <c r="CA191" s="379">
        <f>SUMIF($B$253:$BY$253,1,$B191:$BY191)</f>
        <v>23512.570000000003</v>
      </c>
      <c r="CB191" s="97"/>
      <c r="CC191" s="379">
        <f t="shared" si="1445"/>
        <v>0</v>
      </c>
      <c r="CD191" s="379">
        <f t="shared" si="1445"/>
        <v>0</v>
      </c>
      <c r="CE191" s="379">
        <f t="shared" si="1445"/>
        <v>7088.2099999999964</v>
      </c>
      <c r="CF191" s="379">
        <f t="shared" si="1445"/>
        <v>23913.400000000005</v>
      </c>
      <c r="CG191" s="379">
        <f t="shared" si="1445"/>
        <v>694011.70999999973</v>
      </c>
      <c r="CH191" s="379">
        <f t="shared" si="1445"/>
        <v>23913.400000000005</v>
      </c>
      <c r="CI191" s="379">
        <f t="shared" si="1445"/>
        <v>23913.400000000005</v>
      </c>
      <c r="CJ191" s="379">
        <f t="shared" si="1445"/>
        <v>23913.400000000005</v>
      </c>
    </row>
    <row r="192" spans="1:88" ht="3" customHeight="1" x14ac:dyDescent="0.3">
      <c r="A192" s="97"/>
      <c r="B192" s="106"/>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Z192" s="391"/>
      <c r="CA192" s="391"/>
      <c r="CB192" s="97"/>
      <c r="CC192" s="391">
        <f t="shared" si="1445"/>
        <v>0</v>
      </c>
      <c r="CD192" s="391">
        <f t="shared" si="1445"/>
        <v>0</v>
      </c>
      <c r="CE192" s="391">
        <f t="shared" si="1445"/>
        <v>0</v>
      </c>
      <c r="CF192" s="391">
        <f t="shared" si="1445"/>
        <v>0</v>
      </c>
      <c r="CG192" s="391">
        <f t="shared" si="1445"/>
        <v>0</v>
      </c>
      <c r="CH192" s="391">
        <f t="shared" si="1445"/>
        <v>0</v>
      </c>
      <c r="CI192" s="391">
        <f t="shared" si="1445"/>
        <v>0</v>
      </c>
      <c r="CJ192" s="391">
        <f t="shared" si="1445"/>
        <v>0</v>
      </c>
    </row>
    <row r="193" spans="1:88" x14ac:dyDescent="0.3">
      <c r="A193" s="108" t="s">
        <v>16</v>
      </c>
      <c r="B193" s="106"/>
      <c r="C193" s="8">
        <f>SUM(C187:C192)</f>
        <v>0</v>
      </c>
      <c r="D193" s="8">
        <f>SUM(D187:D192)</f>
        <v>0</v>
      </c>
      <c r="E193" s="8">
        <f>SUM(E187:E192)</f>
        <v>339887.03</v>
      </c>
      <c r="F193" s="8">
        <f t="shared" ref="F193:CA193" si="1446">SUM(F187:F192)</f>
        <v>392859.8</v>
      </c>
      <c r="G193" s="8">
        <f t="shared" si="1446"/>
        <v>188968.99000000002</v>
      </c>
      <c r="H193" s="8">
        <f t="shared" si="1446"/>
        <v>496497.77999999997</v>
      </c>
      <c r="I193" s="8">
        <f t="shared" si="1446"/>
        <v>16828.3982</v>
      </c>
      <c r="J193" s="8">
        <f t="shared" si="1446"/>
        <v>419140.17</v>
      </c>
      <c r="K193" s="8">
        <f t="shared" ref="K193:P193" si="1447">SUM(K187:K192)</f>
        <v>1460.4346</v>
      </c>
      <c r="L193" s="8">
        <f t="shared" si="1447"/>
        <v>262191.26719999994</v>
      </c>
      <c r="M193" s="8">
        <f t="shared" si="1447"/>
        <v>218576.68</v>
      </c>
      <c r="N193" s="8">
        <f t="shared" si="1447"/>
        <v>457345.62</v>
      </c>
      <c r="O193" s="8">
        <f t="shared" si="1447"/>
        <v>8811.2000000000007</v>
      </c>
      <c r="P193" s="8">
        <f t="shared" si="1447"/>
        <v>309050.21000000008</v>
      </c>
      <c r="Q193" s="8">
        <f t="shared" ref="Q193:AB193" si="1448">SUM(Q187:Q192)</f>
        <v>167419.84</v>
      </c>
      <c r="R193" s="8">
        <f t="shared" si="1448"/>
        <v>225835.25</v>
      </c>
      <c r="S193" s="8">
        <f t="shared" si="1448"/>
        <v>602448.6399999999</v>
      </c>
      <c r="T193" s="8">
        <f t="shared" si="1448"/>
        <v>242585.53</v>
      </c>
      <c r="U193" s="8">
        <f t="shared" si="1448"/>
        <v>268745.63</v>
      </c>
      <c r="V193" s="8">
        <f t="shared" si="1448"/>
        <v>218657.18000000002</v>
      </c>
      <c r="W193" s="8">
        <f t="shared" si="1448"/>
        <v>236879.41999999998</v>
      </c>
      <c r="X193" s="8">
        <f t="shared" si="1448"/>
        <v>222051.59999999998</v>
      </c>
      <c r="Y193" s="8">
        <f t="shared" si="1448"/>
        <v>220797.03999999998</v>
      </c>
      <c r="Z193" s="8">
        <f t="shared" si="1448"/>
        <v>477787.61</v>
      </c>
      <c r="AA193" s="8">
        <f t="shared" si="1448"/>
        <v>234500.31000000003</v>
      </c>
      <c r="AB193" s="8">
        <f t="shared" si="1448"/>
        <v>306523.08083333337</v>
      </c>
      <c r="AC193" s="8">
        <f t="shared" ref="AC193:AN193" si="1449">SUM(AC187:AC192)</f>
        <v>883869.99416666664</v>
      </c>
      <c r="AD193" s="8">
        <f t="shared" si="1449"/>
        <v>293202.84109416674</v>
      </c>
      <c r="AE193" s="8">
        <f t="shared" si="1449"/>
        <v>667078.37087408325</v>
      </c>
      <c r="AF193" s="8">
        <f t="shared" si="1449"/>
        <v>279238.87177516666</v>
      </c>
      <c r="AG193" s="8">
        <f t="shared" si="1449"/>
        <v>290739.43632000004</v>
      </c>
      <c r="AH193" s="8">
        <f t="shared" si="1449"/>
        <v>273466.06519883336</v>
      </c>
      <c r="AI193" s="8">
        <f t="shared" si="1449"/>
        <v>286391.93339666672</v>
      </c>
      <c r="AJ193" s="8">
        <f t="shared" si="1449"/>
        <v>350428.04208558338</v>
      </c>
      <c r="AK193" s="8">
        <f t="shared" si="1449"/>
        <v>334080.17591925</v>
      </c>
      <c r="AL193" s="8">
        <f t="shared" si="1449"/>
        <v>325143.60429775005</v>
      </c>
      <c r="AM193" s="8">
        <f t="shared" si="1449"/>
        <v>342117.75379741669</v>
      </c>
      <c r="AN193" s="8">
        <f t="shared" si="1449"/>
        <v>280604.06875341671</v>
      </c>
      <c r="AO193" s="8">
        <f t="shared" ref="AO193:AZ193" si="1450">SUM(AO187:AO192)</f>
        <v>274243.28763108334</v>
      </c>
      <c r="AP193" s="8">
        <f t="shared" si="1450"/>
        <v>360126.07994322671</v>
      </c>
      <c r="AQ193" s="8">
        <f t="shared" si="1450"/>
        <v>733772.71931654075</v>
      </c>
      <c r="AR193" s="8">
        <f t="shared" si="1450"/>
        <v>342641.92171132332</v>
      </c>
      <c r="AS193" s="8">
        <f t="shared" si="1450"/>
        <v>354169.01792583504</v>
      </c>
      <c r="AT193" s="8">
        <f t="shared" si="1450"/>
        <v>336673.54490436672</v>
      </c>
      <c r="AU193" s="8">
        <f t="shared" si="1450"/>
        <v>349899.10011480167</v>
      </c>
      <c r="AV193" s="8">
        <f t="shared" si="1450"/>
        <v>366685.79553105251</v>
      </c>
      <c r="AW193" s="8">
        <f t="shared" si="1450"/>
        <v>375225.34011480166</v>
      </c>
      <c r="AX193" s="8">
        <f t="shared" si="1450"/>
        <v>339501.06250958418</v>
      </c>
      <c r="AY193" s="8">
        <f t="shared" si="1450"/>
        <v>357239.99712757417</v>
      </c>
      <c r="AZ193" s="8">
        <f t="shared" si="1450"/>
        <v>343545.61193225422</v>
      </c>
      <c r="BA193" s="8">
        <f t="shared" ref="BA193:BX193" si="1451">SUM(BA187:BA192)</f>
        <v>336824.5825095842</v>
      </c>
      <c r="BB193" s="8">
        <f t="shared" si="1451"/>
        <v>366561.75041723321</v>
      </c>
      <c r="BC193" s="8">
        <f t="shared" si="1451"/>
        <v>739322.15001681075</v>
      </c>
      <c r="BD193" s="8">
        <f t="shared" si="1451"/>
        <v>348131.90532850195</v>
      </c>
      <c r="BE193" s="8">
        <f t="shared" si="1451"/>
        <v>359803.30422676762</v>
      </c>
      <c r="BF193" s="8">
        <f t="shared" si="1451"/>
        <v>342725.22564019315</v>
      </c>
      <c r="BG193" s="8">
        <f t="shared" si="1451"/>
        <v>356716.3835795804</v>
      </c>
      <c r="BH193" s="8">
        <f t="shared" si="1451"/>
        <v>373452.63147784601</v>
      </c>
      <c r="BI193" s="8">
        <f t="shared" si="1451"/>
        <v>381427.60645404115</v>
      </c>
      <c r="BJ193" s="8">
        <f t="shared" si="1451"/>
        <v>345539.335328502</v>
      </c>
      <c r="BK193" s="8">
        <f t="shared" si="1451"/>
        <v>363655.1143523067</v>
      </c>
      <c r="BL193" s="8">
        <f t="shared" si="1451"/>
        <v>349603.59721606871</v>
      </c>
      <c r="BM193" s="8">
        <f t="shared" si="1451"/>
        <v>342811.71632850193</v>
      </c>
      <c r="BN193" s="8">
        <f t="shared" si="1451"/>
        <v>371305.61125994864</v>
      </c>
      <c r="BO193" s="8">
        <f t="shared" si="1451"/>
        <v>744565.598699325</v>
      </c>
      <c r="BP193" s="8">
        <f t="shared" si="1451"/>
        <v>353323.0996899124</v>
      </c>
      <c r="BQ193" s="8">
        <f t="shared" si="1451"/>
        <v>364407.47154210217</v>
      </c>
      <c r="BR193" s="8">
        <f t="shared" si="1451"/>
        <v>346552.83360339131</v>
      </c>
      <c r="BS193" s="8">
        <f t="shared" si="1451"/>
        <v>360009.32049721672</v>
      </c>
      <c r="BT193" s="8">
        <f t="shared" si="1451"/>
        <v>378568.66772131913</v>
      </c>
      <c r="BU193" s="8">
        <f t="shared" si="1451"/>
        <v>386567.61734721664</v>
      </c>
      <c r="BV193" s="8">
        <f t="shared" si="1451"/>
        <v>349992.68088260823</v>
      </c>
      <c r="BW193" s="8">
        <f t="shared" si="1451"/>
        <v>368408.9892067106</v>
      </c>
      <c r="BX193" s="8">
        <f t="shared" si="1451"/>
        <v>354032.78470626957</v>
      </c>
      <c r="BZ193" s="379">
        <f t="shared" si="1446"/>
        <v>234500.31000000003</v>
      </c>
      <c r="CA193" s="379">
        <f t="shared" si="1446"/>
        <v>3117708.0500000003</v>
      </c>
      <c r="CB193" s="97"/>
      <c r="CC193" s="379">
        <f t="shared" si="1445"/>
        <v>0</v>
      </c>
      <c r="CD193" s="379">
        <f t="shared" si="1445"/>
        <v>0</v>
      </c>
      <c r="CE193" s="379">
        <f t="shared" si="1445"/>
        <v>3111617.5800000005</v>
      </c>
      <c r="CF193" s="379">
        <f t="shared" si="1445"/>
        <v>3424231.1308333329</v>
      </c>
      <c r="CG193" s="379">
        <f t="shared" si="1445"/>
        <v>4606361.1576790009</v>
      </c>
      <c r="CH193" s="379">
        <f t="shared" si="1445"/>
        <v>4533723.4787624441</v>
      </c>
      <c r="CI193" s="379">
        <f t="shared" si="1445"/>
        <v>4663763.5865474362</v>
      </c>
      <c r="CJ193" s="379">
        <f t="shared" si="1445"/>
        <v>4720546.3914845223</v>
      </c>
    </row>
    <row r="194" spans="1:88" x14ac:dyDescent="0.3">
      <c r="A194" s="97" t="str">
        <f>'DCS Detail'!A194</f>
        <v>Salaries</v>
      </c>
      <c r="B194" s="106"/>
      <c r="C194" s="36">
        <f t="shared" ref="C194:L208" si="1452">SUMIF($B$4:$B$174,$A194,C$4:C$174)</f>
        <v>0</v>
      </c>
      <c r="D194" s="36">
        <f t="shared" si="1452"/>
        <v>0</v>
      </c>
      <c r="E194" s="36">
        <f t="shared" si="1452"/>
        <v>-91483.01</v>
      </c>
      <c r="F194" s="36">
        <f t="shared" si="1452"/>
        <v>90069.79</v>
      </c>
      <c r="G194" s="36">
        <f t="shared" si="1452"/>
        <v>98072.02</v>
      </c>
      <c r="H194" s="36">
        <f t="shared" si="1452"/>
        <v>107791.40000000001</v>
      </c>
      <c r="I194" s="36">
        <f t="shared" si="1452"/>
        <v>108328.37</v>
      </c>
      <c r="J194" s="36">
        <f t="shared" si="1452"/>
        <v>95115.310399999988</v>
      </c>
      <c r="K194" s="36">
        <f t="shared" si="1452"/>
        <v>103271.66</v>
      </c>
      <c r="L194" s="36">
        <f t="shared" si="1452"/>
        <v>106772.51959999999</v>
      </c>
      <c r="M194" s="36">
        <f t="shared" ref="M194:V208" si="1453">SUMIF($B$4:$B$174,$A194,M$4:M$174)</f>
        <v>106180.41</v>
      </c>
      <c r="N194" s="36">
        <f t="shared" si="1453"/>
        <v>108610.87</v>
      </c>
      <c r="O194" s="36">
        <f t="shared" si="1453"/>
        <v>108832.29</v>
      </c>
      <c r="P194" s="36">
        <f t="shared" si="1453"/>
        <v>258159.40999999997</v>
      </c>
      <c r="Q194" s="36">
        <f t="shared" si="1453"/>
        <v>725.51</v>
      </c>
      <c r="R194" s="36">
        <f t="shared" si="1453"/>
        <v>118138.21</v>
      </c>
      <c r="S194" s="36">
        <f t="shared" si="1453"/>
        <v>123152.46999999999</v>
      </c>
      <c r="T194" s="36">
        <f t="shared" si="1453"/>
        <v>118440.49</v>
      </c>
      <c r="U194" s="36">
        <f t="shared" si="1453"/>
        <v>119621.83</v>
      </c>
      <c r="V194" s="36">
        <f t="shared" si="1453"/>
        <v>127063.93000000001</v>
      </c>
      <c r="W194" s="36">
        <f t="shared" ref="W194:AF208" si="1454">SUMIF($B$4:$B$174,$A194,W$4:W$174)</f>
        <v>118585.88</v>
      </c>
      <c r="X194" s="36">
        <f t="shared" si="1454"/>
        <v>124234.71</v>
      </c>
      <c r="Y194" s="36">
        <f t="shared" si="1454"/>
        <v>122098.69000000002</v>
      </c>
      <c r="Z194" s="36">
        <f t="shared" si="1454"/>
        <v>122185.51</v>
      </c>
      <c r="AA194" s="36">
        <f t="shared" si="1454"/>
        <v>136424.00999999998</v>
      </c>
      <c r="AB194" s="36">
        <f t="shared" si="1454"/>
        <v>246121.68000000002</v>
      </c>
      <c r="AC194" s="36">
        <f t="shared" si="1454"/>
        <v>0</v>
      </c>
      <c r="AD194" s="36">
        <f t="shared" si="1454"/>
        <v>125351.12388888889</v>
      </c>
      <c r="AE194" s="36">
        <f t="shared" si="1454"/>
        <v>125110.10388888887</v>
      </c>
      <c r="AF194" s="36">
        <f t="shared" si="1454"/>
        <v>125110.10388888887</v>
      </c>
      <c r="AG194" s="36">
        <f t="shared" ref="AG194:AP208" si="1455">SUMIF($B$4:$B$174,$A194,AG$4:AG$174)</f>
        <v>126194.69388888887</v>
      </c>
      <c r="AH194" s="36">
        <f t="shared" si="1455"/>
        <v>125110.10388888887</v>
      </c>
      <c r="AI194" s="36">
        <f t="shared" si="1455"/>
        <v>125833.16388888887</v>
      </c>
      <c r="AJ194" s="36">
        <f t="shared" si="1455"/>
        <v>125110.10388888887</v>
      </c>
      <c r="AK194" s="36">
        <f t="shared" si="1455"/>
        <v>125110.10388888887</v>
      </c>
      <c r="AL194" s="36">
        <f t="shared" si="1455"/>
        <v>125953.67388888888</v>
      </c>
      <c r="AM194" s="36">
        <f t="shared" si="1455"/>
        <v>125190.44388888887</v>
      </c>
      <c r="AN194" s="36">
        <f t="shared" si="1455"/>
        <v>250220.20777777774</v>
      </c>
      <c r="AO194" s="36">
        <f t="shared" si="1455"/>
        <v>0</v>
      </c>
      <c r="AP194" s="36">
        <f t="shared" si="1455"/>
        <v>140556.66233540053</v>
      </c>
      <c r="AQ194" s="36">
        <f t="shared" ref="AQ194:AZ208" si="1456">SUMIF($B$4:$B$174,$A194,AQ$4:AQ$174)</f>
        <v>140308.41173540053</v>
      </c>
      <c r="AR194" s="36">
        <f t="shared" si="1456"/>
        <v>140308.41173540053</v>
      </c>
      <c r="AS194" s="36">
        <f t="shared" si="1456"/>
        <v>141425.53943540051</v>
      </c>
      <c r="AT194" s="36">
        <f t="shared" si="1456"/>
        <v>140308.41173540053</v>
      </c>
      <c r="AU194" s="36">
        <f t="shared" si="1456"/>
        <v>141053.16353540053</v>
      </c>
      <c r="AV194" s="36">
        <f t="shared" si="1456"/>
        <v>140308.41173540053</v>
      </c>
      <c r="AW194" s="36">
        <f t="shared" si="1456"/>
        <v>140308.41173540053</v>
      </c>
      <c r="AX194" s="36">
        <f t="shared" si="1456"/>
        <v>141177.28883540051</v>
      </c>
      <c r="AY194" s="36">
        <f t="shared" si="1456"/>
        <v>140391.16193540051</v>
      </c>
      <c r="AZ194" s="36">
        <f t="shared" si="1456"/>
        <v>280616.82347080106</v>
      </c>
      <c r="BA194" s="36">
        <f t="shared" ref="BA194:BJ208" si="1457">SUMIF($B$4:$B$174,$A194,BA$4:BA$174)</f>
        <v>0</v>
      </c>
      <c r="BB194" s="36">
        <f t="shared" si="1457"/>
        <v>144773.36220546253</v>
      </c>
      <c r="BC194" s="36">
        <f t="shared" si="1457"/>
        <v>144517.66408746253</v>
      </c>
      <c r="BD194" s="36">
        <f t="shared" si="1457"/>
        <v>144517.66408746253</v>
      </c>
      <c r="BE194" s="36">
        <f t="shared" si="1457"/>
        <v>145668.30561846253</v>
      </c>
      <c r="BF194" s="36">
        <f t="shared" si="1457"/>
        <v>144517.66408746253</v>
      </c>
      <c r="BG194" s="36">
        <f t="shared" si="1457"/>
        <v>145284.75844146253</v>
      </c>
      <c r="BH194" s="36">
        <f t="shared" si="1457"/>
        <v>144517.66408746253</v>
      </c>
      <c r="BI194" s="36">
        <f t="shared" si="1457"/>
        <v>144517.66408746253</v>
      </c>
      <c r="BJ194" s="36">
        <f t="shared" si="1457"/>
        <v>145412.60750046253</v>
      </c>
      <c r="BK194" s="36">
        <f t="shared" ref="BK194:BX208" si="1458">SUMIF($B$4:$B$174,$A194,BK$4:BK$174)</f>
        <v>144602.89679346251</v>
      </c>
      <c r="BL194" s="36">
        <f t="shared" si="1458"/>
        <v>289035.32817492506</v>
      </c>
      <c r="BM194" s="36">
        <f t="shared" si="1458"/>
        <v>0</v>
      </c>
      <c r="BN194" s="36">
        <f t="shared" si="1458"/>
        <v>149116.56307162641</v>
      </c>
      <c r="BO194" s="36">
        <f t="shared" si="1458"/>
        <v>148853.19401008642</v>
      </c>
      <c r="BP194" s="36">
        <f t="shared" si="1458"/>
        <v>148853.19401008642</v>
      </c>
      <c r="BQ194" s="36">
        <f t="shared" si="1458"/>
        <v>150038.35478701643</v>
      </c>
      <c r="BR194" s="36">
        <f t="shared" si="1458"/>
        <v>148853.19401008642</v>
      </c>
      <c r="BS194" s="36">
        <f t="shared" si="1458"/>
        <v>149643.30119470644</v>
      </c>
      <c r="BT194" s="36">
        <f t="shared" si="1458"/>
        <v>148853.19401008642</v>
      </c>
      <c r="BU194" s="36">
        <f t="shared" si="1458"/>
        <v>148853.19401008642</v>
      </c>
      <c r="BV194" s="36">
        <f t="shared" si="1458"/>
        <v>149774.98572547644</v>
      </c>
      <c r="BW194" s="36">
        <f t="shared" si="1458"/>
        <v>148940.98369726643</v>
      </c>
      <c r="BX194" s="36">
        <f t="shared" si="1458"/>
        <v>297706.38802017283</v>
      </c>
      <c r="BZ194" s="379">
        <f t="shared" ref="BZ194:BZ204" si="1459">SUMIF($B$252:$BY$252,1,$B194:$BY194)</f>
        <v>136424.00999999998</v>
      </c>
      <c r="CA194" s="379">
        <f t="shared" ref="CA194:CA204" si="1460">SUMIF($B$253:$BY$253,1,$B194:$BY194)</f>
        <v>1230671.24</v>
      </c>
      <c r="CB194" s="97"/>
      <c r="CC194" s="379">
        <f t="shared" si="1445"/>
        <v>0</v>
      </c>
      <c r="CD194" s="379">
        <f t="shared" si="1445"/>
        <v>0</v>
      </c>
      <c r="CE194" s="379">
        <f t="shared" si="1445"/>
        <v>1199721.04</v>
      </c>
      <c r="CF194" s="379">
        <f t="shared" si="1445"/>
        <v>1476792.92</v>
      </c>
      <c r="CG194" s="379">
        <f t="shared" si="1445"/>
        <v>1504293.8266666664</v>
      </c>
      <c r="CH194" s="379">
        <f t="shared" si="1445"/>
        <v>1686762.6982248062</v>
      </c>
      <c r="CI194" s="379">
        <f t="shared" si="1445"/>
        <v>1737365.5791715505</v>
      </c>
      <c r="CJ194" s="379">
        <f t="shared" si="1445"/>
        <v>1789486.5465466967</v>
      </c>
    </row>
    <row r="195" spans="1:88" x14ac:dyDescent="0.3">
      <c r="A195" s="97" t="str">
        <f>'DCS Detail'!A195</f>
        <v>Benefits</v>
      </c>
      <c r="B195" s="106"/>
      <c r="C195" s="36">
        <f t="shared" si="1452"/>
        <v>0</v>
      </c>
      <c r="D195" s="36">
        <f t="shared" si="1452"/>
        <v>0</v>
      </c>
      <c r="E195" s="36">
        <f t="shared" si="1452"/>
        <v>-21319.160000000003</v>
      </c>
      <c r="F195" s="36">
        <f t="shared" si="1452"/>
        <v>24439.539999999986</v>
      </c>
      <c r="G195" s="36">
        <f t="shared" si="1452"/>
        <v>26359.059999999994</v>
      </c>
      <c r="H195" s="36">
        <f t="shared" si="1452"/>
        <v>30288.929999999997</v>
      </c>
      <c r="I195" s="36">
        <f t="shared" si="1452"/>
        <v>26402.609999999993</v>
      </c>
      <c r="J195" s="36">
        <f t="shared" si="1452"/>
        <v>42775.425799999983</v>
      </c>
      <c r="K195" s="36">
        <f t="shared" si="1452"/>
        <v>31185.574000000001</v>
      </c>
      <c r="L195" s="36">
        <f t="shared" si="1452"/>
        <v>36065.050199999991</v>
      </c>
      <c r="M195" s="36">
        <f t="shared" si="1453"/>
        <v>32441.199999999997</v>
      </c>
      <c r="N195" s="36">
        <f t="shared" si="1453"/>
        <v>26871.62999999999</v>
      </c>
      <c r="O195" s="36">
        <f t="shared" si="1453"/>
        <v>31036.309999999994</v>
      </c>
      <c r="P195" s="36">
        <f t="shared" si="1453"/>
        <v>72259.959999999992</v>
      </c>
      <c r="Q195" s="36">
        <f t="shared" si="1453"/>
        <v>5751.83</v>
      </c>
      <c r="R195" s="36">
        <f t="shared" si="1453"/>
        <v>35155.869999999988</v>
      </c>
      <c r="S195" s="36">
        <f t="shared" si="1453"/>
        <v>33290.04</v>
      </c>
      <c r="T195" s="36">
        <f t="shared" si="1453"/>
        <v>23832.419999999991</v>
      </c>
      <c r="U195" s="36">
        <f t="shared" si="1453"/>
        <v>24886.919999999991</v>
      </c>
      <c r="V195" s="36">
        <f t="shared" si="1453"/>
        <v>23694.730000000003</v>
      </c>
      <c r="W195" s="36">
        <f t="shared" si="1454"/>
        <v>24866.259999999995</v>
      </c>
      <c r="X195" s="36">
        <f t="shared" si="1454"/>
        <v>57714.679999999986</v>
      </c>
      <c r="Y195" s="36">
        <f t="shared" si="1454"/>
        <v>-7961.130000000001</v>
      </c>
      <c r="Z195" s="36">
        <f t="shared" si="1454"/>
        <v>76878.499999999985</v>
      </c>
      <c r="AA195" s="36">
        <f t="shared" si="1454"/>
        <v>32898.32</v>
      </c>
      <c r="AB195" s="36">
        <f t="shared" si="1454"/>
        <v>52231.120434758101</v>
      </c>
      <c r="AC195" s="36">
        <f t="shared" si="1454"/>
        <v>333.27710000000002</v>
      </c>
      <c r="AD195" s="36">
        <f t="shared" si="1454"/>
        <v>29275.445034778484</v>
      </c>
      <c r="AE195" s="36">
        <f t="shared" si="1454"/>
        <v>27549.145220830309</v>
      </c>
      <c r="AF195" s="36">
        <f t="shared" si="1454"/>
        <v>26941.018891412074</v>
      </c>
      <c r="AG195" s="36">
        <f t="shared" si="1455"/>
        <v>27974.862077479826</v>
      </c>
      <c r="AH195" s="36">
        <f t="shared" si="1455"/>
        <v>27510.382933259814</v>
      </c>
      <c r="AI195" s="36">
        <f t="shared" si="1455"/>
        <v>27121.959649658576</v>
      </c>
      <c r="AJ195" s="36">
        <f t="shared" si="1455"/>
        <v>27178.092201236515</v>
      </c>
      <c r="AK195" s="36">
        <f t="shared" si="1455"/>
        <v>27051.628801236515</v>
      </c>
      <c r="AL195" s="36">
        <f t="shared" si="1455"/>
        <v>27113.723839301943</v>
      </c>
      <c r="AM195" s="36">
        <f t="shared" si="1455"/>
        <v>27417.715213369316</v>
      </c>
      <c r="AN195" s="36">
        <f t="shared" si="1455"/>
        <v>54538.516862583587</v>
      </c>
      <c r="AO195" s="36">
        <f t="shared" si="1455"/>
        <v>343.27541300000001</v>
      </c>
      <c r="AP195" s="36">
        <f t="shared" si="1455"/>
        <v>31856.247500786765</v>
      </c>
      <c r="AQ195" s="36">
        <f t="shared" si="1456"/>
        <v>30206.068830180549</v>
      </c>
      <c r="AR195" s="36">
        <f t="shared" si="1456"/>
        <v>29707.864931111824</v>
      </c>
      <c r="AS195" s="36">
        <f t="shared" si="1456"/>
        <v>30844.633508186304</v>
      </c>
      <c r="AT195" s="36">
        <f t="shared" si="1456"/>
        <v>30038.616155659663</v>
      </c>
      <c r="AU195" s="36">
        <f t="shared" si="1456"/>
        <v>29780.867242665539</v>
      </c>
      <c r="AV195" s="36">
        <f t="shared" si="1456"/>
        <v>29838.484958431774</v>
      </c>
      <c r="AW195" s="36">
        <f t="shared" si="1456"/>
        <v>29708.227656431773</v>
      </c>
      <c r="AX195" s="36">
        <f t="shared" si="1456"/>
        <v>29792.5442422382</v>
      </c>
      <c r="AY195" s="36">
        <f t="shared" si="1456"/>
        <v>30110.649562532159</v>
      </c>
      <c r="AZ195" s="36">
        <f t="shared" si="1456"/>
        <v>59890.274559642996</v>
      </c>
      <c r="BA195" s="36">
        <f t="shared" si="1457"/>
        <v>353.57367539000001</v>
      </c>
      <c r="BB195" s="36">
        <f t="shared" si="1457"/>
        <v>32808.642359154255</v>
      </c>
      <c r="BC195" s="36">
        <f t="shared" si="1457"/>
        <v>31110.457692253043</v>
      </c>
      <c r="BD195" s="36">
        <f t="shared" si="1457"/>
        <v>30599.002953438368</v>
      </c>
      <c r="BE195" s="36">
        <f t="shared" si="1457"/>
        <v>31771.804044892491</v>
      </c>
      <c r="BF195" s="36">
        <f t="shared" si="1457"/>
        <v>30940.812164774055</v>
      </c>
      <c r="BG195" s="36">
        <f t="shared" si="1457"/>
        <v>30673.733881504748</v>
      </c>
      <c r="BH195" s="36">
        <f t="shared" si="1457"/>
        <v>30733.16050424616</v>
      </c>
      <c r="BI195" s="36">
        <f t="shared" si="1457"/>
        <v>30598.995483186165</v>
      </c>
      <c r="BJ195" s="36">
        <f t="shared" si="1457"/>
        <v>30686.243504240723</v>
      </c>
      <c r="BK195" s="36">
        <f t="shared" si="1458"/>
        <v>31014.137146653244</v>
      </c>
      <c r="BL195" s="36">
        <f t="shared" si="1458"/>
        <v>61687.394997451636</v>
      </c>
      <c r="BM195" s="36">
        <f t="shared" si="1458"/>
        <v>364.18088565170001</v>
      </c>
      <c r="BN195" s="36">
        <f t="shared" si="1458"/>
        <v>33792.752404806379</v>
      </c>
      <c r="BO195" s="36">
        <f t="shared" si="1458"/>
        <v>32043.68292829235</v>
      </c>
      <c r="BP195" s="36">
        <f t="shared" si="1458"/>
        <v>31516.941895514152</v>
      </c>
      <c r="BQ195" s="36">
        <f t="shared" si="1458"/>
        <v>32724.99221385851</v>
      </c>
      <c r="BR195" s="36">
        <f t="shared" si="1458"/>
        <v>31869.086507791824</v>
      </c>
      <c r="BS195" s="36">
        <f t="shared" si="1458"/>
        <v>31593.97865055759</v>
      </c>
      <c r="BT195" s="36">
        <f t="shared" si="1458"/>
        <v>31655.129971360766</v>
      </c>
      <c r="BU195" s="36">
        <f t="shared" si="1458"/>
        <v>31516.939999668964</v>
      </c>
      <c r="BV195" s="36">
        <f t="shared" si="1458"/>
        <v>31606.823158085124</v>
      </c>
      <c r="BW195" s="36">
        <f t="shared" si="1458"/>
        <v>31944.565158833677</v>
      </c>
      <c r="BX195" s="36">
        <f t="shared" si="1458"/>
        <v>63538.034655596311</v>
      </c>
      <c r="BZ195" s="379">
        <f t="shared" si="1459"/>
        <v>32898.32</v>
      </c>
      <c r="CA195" s="379">
        <f t="shared" si="1460"/>
        <v>331008.43999999994</v>
      </c>
      <c r="CB195" s="97"/>
      <c r="CC195" s="379">
        <f t="shared" si="1445"/>
        <v>0</v>
      </c>
      <c r="CD195" s="379">
        <f t="shared" si="1445"/>
        <v>0</v>
      </c>
      <c r="CE195" s="379">
        <f t="shared" si="1445"/>
        <v>358806.12999999989</v>
      </c>
      <c r="CF195" s="379">
        <f t="shared" si="1445"/>
        <v>383239.56043475802</v>
      </c>
      <c r="CG195" s="379">
        <f t="shared" si="1445"/>
        <v>330005.76782514696</v>
      </c>
      <c r="CH195" s="379">
        <f t="shared" si="1445"/>
        <v>362117.75456086756</v>
      </c>
      <c r="CI195" s="379">
        <f t="shared" si="1445"/>
        <v>372977.95840718487</v>
      </c>
      <c r="CJ195" s="379">
        <f t="shared" si="1445"/>
        <v>384167.10843001737</v>
      </c>
    </row>
    <row r="196" spans="1:88" x14ac:dyDescent="0.3">
      <c r="A196" s="97" t="str">
        <f>'DCS Detail'!A196</f>
        <v>Lease</v>
      </c>
      <c r="B196" s="106"/>
      <c r="C196" s="36">
        <f t="shared" si="1452"/>
        <v>0</v>
      </c>
      <c r="D196" s="36">
        <f t="shared" si="1452"/>
        <v>0</v>
      </c>
      <c r="E196" s="36">
        <f t="shared" si="1452"/>
        <v>33548</v>
      </c>
      <c r="F196" s="36">
        <f t="shared" si="1452"/>
        <v>25450</v>
      </c>
      <c r="G196" s="36">
        <f t="shared" si="1452"/>
        <v>76918</v>
      </c>
      <c r="H196" s="36">
        <f t="shared" si="1452"/>
        <v>25704.5</v>
      </c>
      <c r="I196" s="36">
        <f t="shared" si="1452"/>
        <v>25704.5</v>
      </c>
      <c r="J196" s="36">
        <f t="shared" si="1452"/>
        <v>0</v>
      </c>
      <c r="K196" s="36">
        <f t="shared" si="1452"/>
        <v>52137.22</v>
      </c>
      <c r="L196" s="36">
        <f t="shared" si="1452"/>
        <v>52937.22</v>
      </c>
      <c r="M196" s="36">
        <f t="shared" si="1453"/>
        <v>44039.219999999943</v>
      </c>
      <c r="N196" s="36">
        <f t="shared" si="1453"/>
        <v>70119.66</v>
      </c>
      <c r="O196" s="36">
        <f t="shared" si="1453"/>
        <v>48747.32</v>
      </c>
      <c r="P196" s="36">
        <f t="shared" si="1453"/>
        <v>-301069.68</v>
      </c>
      <c r="Q196" s="36">
        <f t="shared" si="1453"/>
        <v>36879.32</v>
      </c>
      <c r="R196" s="36">
        <f t="shared" si="1453"/>
        <v>15022.32</v>
      </c>
      <c r="S196" s="36">
        <f t="shared" si="1453"/>
        <v>12812.32</v>
      </c>
      <c r="T196" s="36">
        <f t="shared" si="1453"/>
        <v>12812.32</v>
      </c>
      <c r="U196" s="36">
        <f t="shared" si="1453"/>
        <v>22178.46</v>
      </c>
      <c r="V196" s="36">
        <f t="shared" si="1453"/>
        <v>12812.32</v>
      </c>
      <c r="W196" s="36">
        <f t="shared" si="1454"/>
        <v>9060.74</v>
      </c>
      <c r="X196" s="36">
        <f t="shared" si="1454"/>
        <v>11323.67</v>
      </c>
      <c r="Y196" s="36">
        <f t="shared" si="1454"/>
        <v>-108834.47</v>
      </c>
      <c r="Z196" s="36">
        <f t="shared" si="1454"/>
        <v>0</v>
      </c>
      <c r="AA196" s="36">
        <f t="shared" si="1454"/>
        <v>0</v>
      </c>
      <c r="AB196" s="36">
        <f t="shared" si="1454"/>
        <v>0</v>
      </c>
      <c r="AC196" s="36">
        <f t="shared" si="1454"/>
        <v>0</v>
      </c>
      <c r="AD196" s="36">
        <f t="shared" si="1454"/>
        <v>0</v>
      </c>
      <c r="AE196" s="36">
        <f t="shared" si="1454"/>
        <v>0</v>
      </c>
      <c r="AF196" s="36">
        <f t="shared" si="1454"/>
        <v>0</v>
      </c>
      <c r="AG196" s="36">
        <f t="shared" si="1455"/>
        <v>0</v>
      </c>
      <c r="AH196" s="36">
        <f t="shared" si="1455"/>
        <v>0</v>
      </c>
      <c r="AI196" s="36">
        <f t="shared" si="1455"/>
        <v>0</v>
      </c>
      <c r="AJ196" s="36">
        <f t="shared" si="1455"/>
        <v>0</v>
      </c>
      <c r="AK196" s="36">
        <f t="shared" si="1455"/>
        <v>0</v>
      </c>
      <c r="AL196" s="36">
        <f t="shared" si="1455"/>
        <v>0</v>
      </c>
      <c r="AM196" s="36">
        <f t="shared" si="1455"/>
        <v>0</v>
      </c>
      <c r="AN196" s="36">
        <f t="shared" si="1455"/>
        <v>0</v>
      </c>
      <c r="AO196" s="36">
        <f t="shared" si="1455"/>
        <v>0</v>
      </c>
      <c r="AP196" s="36">
        <f t="shared" si="1455"/>
        <v>0</v>
      </c>
      <c r="AQ196" s="36">
        <f t="shared" si="1456"/>
        <v>0</v>
      </c>
      <c r="AR196" s="36">
        <f t="shared" si="1456"/>
        <v>0</v>
      </c>
      <c r="AS196" s="36">
        <f t="shared" si="1456"/>
        <v>0</v>
      </c>
      <c r="AT196" s="36">
        <f t="shared" si="1456"/>
        <v>0</v>
      </c>
      <c r="AU196" s="36">
        <f t="shared" si="1456"/>
        <v>0</v>
      </c>
      <c r="AV196" s="36">
        <f t="shared" si="1456"/>
        <v>0</v>
      </c>
      <c r="AW196" s="36">
        <f t="shared" si="1456"/>
        <v>0</v>
      </c>
      <c r="AX196" s="36">
        <f t="shared" si="1456"/>
        <v>0</v>
      </c>
      <c r="AY196" s="36">
        <f t="shared" si="1456"/>
        <v>0</v>
      </c>
      <c r="AZ196" s="36">
        <f t="shared" si="1456"/>
        <v>0</v>
      </c>
      <c r="BA196" s="36">
        <f t="shared" si="1457"/>
        <v>0</v>
      </c>
      <c r="BB196" s="36">
        <f t="shared" si="1457"/>
        <v>0</v>
      </c>
      <c r="BC196" s="36">
        <f t="shared" si="1457"/>
        <v>0</v>
      </c>
      <c r="BD196" s="36">
        <f t="shared" si="1457"/>
        <v>0</v>
      </c>
      <c r="BE196" s="36">
        <f t="shared" si="1457"/>
        <v>0</v>
      </c>
      <c r="BF196" s="36">
        <f t="shared" si="1457"/>
        <v>0</v>
      </c>
      <c r="BG196" s="36">
        <f t="shared" si="1457"/>
        <v>0</v>
      </c>
      <c r="BH196" s="36">
        <f t="shared" si="1457"/>
        <v>0</v>
      </c>
      <c r="BI196" s="36">
        <f t="shared" si="1457"/>
        <v>0</v>
      </c>
      <c r="BJ196" s="36">
        <f t="shared" si="1457"/>
        <v>0</v>
      </c>
      <c r="BK196" s="36">
        <f t="shared" si="1458"/>
        <v>0</v>
      </c>
      <c r="BL196" s="36">
        <f t="shared" si="1458"/>
        <v>0</v>
      </c>
      <c r="BM196" s="36">
        <f t="shared" si="1458"/>
        <v>0</v>
      </c>
      <c r="BN196" s="36">
        <f t="shared" si="1458"/>
        <v>0</v>
      </c>
      <c r="BO196" s="36">
        <f t="shared" si="1458"/>
        <v>0</v>
      </c>
      <c r="BP196" s="36">
        <f t="shared" si="1458"/>
        <v>0</v>
      </c>
      <c r="BQ196" s="36">
        <f t="shared" si="1458"/>
        <v>0</v>
      </c>
      <c r="BR196" s="36">
        <f t="shared" si="1458"/>
        <v>0</v>
      </c>
      <c r="BS196" s="36">
        <f t="shared" si="1458"/>
        <v>0</v>
      </c>
      <c r="BT196" s="36">
        <f t="shared" si="1458"/>
        <v>0</v>
      </c>
      <c r="BU196" s="36">
        <f t="shared" si="1458"/>
        <v>0</v>
      </c>
      <c r="BV196" s="36">
        <f t="shared" si="1458"/>
        <v>0</v>
      </c>
      <c r="BW196" s="36">
        <f t="shared" si="1458"/>
        <v>0</v>
      </c>
      <c r="BX196" s="36">
        <f t="shared" si="1458"/>
        <v>0</v>
      </c>
      <c r="BZ196" s="379">
        <f t="shared" si="1459"/>
        <v>0</v>
      </c>
      <c r="CA196" s="379">
        <f t="shared" si="1460"/>
        <v>24067</v>
      </c>
      <c r="CB196" s="97"/>
      <c r="CC196" s="379">
        <f t="shared" si="1445"/>
        <v>0</v>
      </c>
      <c r="CD196" s="379">
        <f t="shared" si="1445"/>
        <v>0</v>
      </c>
      <c r="CE196" s="379">
        <f t="shared" si="1445"/>
        <v>154235.95999999996</v>
      </c>
      <c r="CF196" s="379">
        <f t="shared" si="1445"/>
        <v>24067</v>
      </c>
      <c r="CG196" s="379">
        <f t="shared" si="1445"/>
        <v>0</v>
      </c>
      <c r="CH196" s="379">
        <f t="shared" si="1445"/>
        <v>0</v>
      </c>
      <c r="CI196" s="379">
        <f t="shared" si="1445"/>
        <v>0</v>
      </c>
      <c r="CJ196" s="379">
        <f t="shared" si="1445"/>
        <v>0</v>
      </c>
    </row>
    <row r="197" spans="1:88" x14ac:dyDescent="0.3">
      <c r="A197" s="97" t="str">
        <f>'DCS Detail'!A197</f>
        <v>Utilities</v>
      </c>
      <c r="B197" s="106"/>
      <c r="C197" s="36">
        <f t="shared" si="1452"/>
        <v>0</v>
      </c>
      <c r="D197" s="36">
        <f t="shared" si="1452"/>
        <v>0</v>
      </c>
      <c r="E197" s="36">
        <f t="shared" si="1452"/>
        <v>2645.65</v>
      </c>
      <c r="F197" s="36">
        <f t="shared" si="1452"/>
        <v>4303.2900000000009</v>
      </c>
      <c r="G197" s="36">
        <f t="shared" si="1452"/>
        <v>6599.28</v>
      </c>
      <c r="H197" s="36">
        <f t="shared" si="1452"/>
        <v>9579.77</v>
      </c>
      <c r="I197" s="36">
        <f t="shared" si="1452"/>
        <v>1758.33</v>
      </c>
      <c r="J197" s="36">
        <f t="shared" si="1452"/>
        <v>6361.38</v>
      </c>
      <c r="K197" s="36">
        <f t="shared" si="1452"/>
        <v>3002.99</v>
      </c>
      <c r="L197" s="36">
        <f t="shared" si="1452"/>
        <v>2100.5599999999981</v>
      </c>
      <c r="M197" s="36">
        <f t="shared" si="1453"/>
        <v>14671.109999999999</v>
      </c>
      <c r="N197" s="36">
        <f t="shared" si="1453"/>
        <v>8169.1500000000005</v>
      </c>
      <c r="O197" s="36">
        <f t="shared" si="1453"/>
        <v>1335.7600000000002</v>
      </c>
      <c r="P197" s="36">
        <f t="shared" si="1453"/>
        <v>9211.99</v>
      </c>
      <c r="Q197" s="36">
        <f t="shared" si="1453"/>
        <v>4155.6499999999996</v>
      </c>
      <c r="R197" s="36">
        <f t="shared" si="1453"/>
        <v>7983.6600000000008</v>
      </c>
      <c r="S197" s="36">
        <f t="shared" si="1453"/>
        <v>4741.16</v>
      </c>
      <c r="T197" s="36">
        <f t="shared" si="1453"/>
        <v>6204.12</v>
      </c>
      <c r="U197" s="36">
        <f t="shared" si="1453"/>
        <v>2960.92</v>
      </c>
      <c r="V197" s="36">
        <f t="shared" si="1453"/>
        <v>7127.8799999999992</v>
      </c>
      <c r="W197" s="36">
        <f t="shared" si="1454"/>
        <v>3875.5299999999997</v>
      </c>
      <c r="X197" s="36">
        <f t="shared" si="1454"/>
        <v>8377.2100000000009</v>
      </c>
      <c r="Y197" s="36">
        <f t="shared" si="1454"/>
        <v>22065.18</v>
      </c>
      <c r="Z197" s="36">
        <f t="shared" si="1454"/>
        <v>5780.5700000000006</v>
      </c>
      <c r="AA197" s="36">
        <f t="shared" si="1454"/>
        <v>7570.0399999999991</v>
      </c>
      <c r="AB197" s="36">
        <f t="shared" si="1454"/>
        <v>11025.016366666667</v>
      </c>
      <c r="AC197" s="36">
        <f t="shared" si="1454"/>
        <v>5816.9861666666666</v>
      </c>
      <c r="AD197" s="36">
        <f t="shared" si="1454"/>
        <v>9759.8364666666657</v>
      </c>
      <c r="AE197" s="36">
        <f t="shared" si="1454"/>
        <v>6420.061466666667</v>
      </c>
      <c r="AF197" s="36">
        <f t="shared" si="1454"/>
        <v>7926.9102666666668</v>
      </c>
      <c r="AG197" s="36">
        <f t="shared" si="1455"/>
        <v>4586.4142666666667</v>
      </c>
      <c r="AH197" s="36">
        <f t="shared" si="1455"/>
        <v>8878.3830666666654</v>
      </c>
      <c r="AI197" s="36">
        <f t="shared" si="1455"/>
        <v>5528.462566666667</v>
      </c>
      <c r="AJ197" s="36">
        <f t="shared" si="1455"/>
        <v>10165.192966666666</v>
      </c>
      <c r="AK197" s="36">
        <f t="shared" si="1455"/>
        <v>9964.3841666666667</v>
      </c>
      <c r="AL197" s="36">
        <f t="shared" si="1455"/>
        <v>5953.9870999999994</v>
      </c>
      <c r="AM197" s="36">
        <f t="shared" si="1455"/>
        <v>7797.1411999999991</v>
      </c>
      <c r="AN197" s="36">
        <f t="shared" si="1455"/>
        <v>11355.766857666667</v>
      </c>
      <c r="AO197" s="36">
        <f t="shared" si="1455"/>
        <v>6762.094537362319</v>
      </c>
      <c r="AP197" s="36">
        <f t="shared" si="1455"/>
        <v>11593.582075362319</v>
      </c>
      <c r="AQ197" s="36">
        <f t="shared" si="1456"/>
        <v>7501.9014237971032</v>
      </c>
      <c r="AR197" s="36">
        <f t="shared" si="1456"/>
        <v>9362.1936579710145</v>
      </c>
      <c r="AS197" s="36">
        <f t="shared" si="1456"/>
        <v>4971.1444557971008</v>
      </c>
      <c r="AT197" s="36">
        <f t="shared" si="1456"/>
        <v>10196.149951449275</v>
      </c>
      <c r="AU197" s="36">
        <f t="shared" si="1456"/>
        <v>6188.2078699710146</v>
      </c>
      <c r="AV197" s="36">
        <f t="shared" si="1456"/>
        <v>11917.638494449277</v>
      </c>
      <c r="AW197" s="36">
        <f t="shared" si="1456"/>
        <v>11133.991740405798</v>
      </c>
      <c r="AX197" s="36">
        <f t="shared" si="1456"/>
        <v>6789.5053750434781</v>
      </c>
      <c r="AY197" s="36">
        <f t="shared" si="1456"/>
        <v>8762.488014913044</v>
      </c>
      <c r="AZ197" s="36">
        <f t="shared" si="1456"/>
        <v>13507.656448292755</v>
      </c>
      <c r="BA197" s="36">
        <f t="shared" si="1457"/>
        <v>6964.9573734831893</v>
      </c>
      <c r="BB197" s="36">
        <f t="shared" si="1457"/>
        <v>11941.389537623189</v>
      </c>
      <c r="BC197" s="36">
        <f t="shared" si="1457"/>
        <v>7726.9584665110169</v>
      </c>
      <c r="BD197" s="36">
        <f t="shared" si="1457"/>
        <v>9643.0594677101471</v>
      </c>
      <c r="BE197" s="36">
        <f t="shared" si="1457"/>
        <v>5120.2787894710154</v>
      </c>
      <c r="BF197" s="36">
        <f t="shared" si="1457"/>
        <v>10502.034449992754</v>
      </c>
      <c r="BG197" s="36">
        <f t="shared" si="1457"/>
        <v>6373.8541060701464</v>
      </c>
      <c r="BH197" s="36">
        <f t="shared" si="1457"/>
        <v>12275.167649282756</v>
      </c>
      <c r="BI197" s="36">
        <f t="shared" si="1457"/>
        <v>11468.011492617974</v>
      </c>
      <c r="BJ197" s="36">
        <f t="shared" si="1457"/>
        <v>6993.1905362947837</v>
      </c>
      <c r="BK197" s="36">
        <f t="shared" si="1458"/>
        <v>9025.3626553604354</v>
      </c>
      <c r="BL197" s="36">
        <f t="shared" si="1458"/>
        <v>13912.886141741539</v>
      </c>
      <c r="BM197" s="36">
        <f t="shared" si="1458"/>
        <v>7173.9060946876843</v>
      </c>
      <c r="BN197" s="36">
        <f t="shared" si="1458"/>
        <v>12299.631223751887</v>
      </c>
      <c r="BO197" s="36">
        <f t="shared" si="1458"/>
        <v>7958.7672205063463</v>
      </c>
      <c r="BP197" s="36">
        <f t="shared" si="1458"/>
        <v>9932.3512517414511</v>
      </c>
      <c r="BQ197" s="36">
        <f t="shared" si="1458"/>
        <v>5273.8871531551449</v>
      </c>
      <c r="BR197" s="36">
        <f t="shared" si="1458"/>
        <v>10817.095483492538</v>
      </c>
      <c r="BS197" s="36">
        <f t="shared" si="1458"/>
        <v>6565.06972925225</v>
      </c>
      <c r="BT197" s="36">
        <f t="shared" si="1458"/>
        <v>12643.422678761239</v>
      </c>
      <c r="BU197" s="36">
        <f t="shared" si="1458"/>
        <v>11812.051837396511</v>
      </c>
      <c r="BV197" s="36">
        <f t="shared" si="1458"/>
        <v>7202.9862523836273</v>
      </c>
      <c r="BW197" s="36">
        <f t="shared" si="1458"/>
        <v>9296.1235350212501</v>
      </c>
      <c r="BX197" s="36">
        <f t="shared" si="1458"/>
        <v>14330.272725993784</v>
      </c>
      <c r="BZ197" s="379">
        <f t="shared" si="1459"/>
        <v>7570.0399999999991</v>
      </c>
      <c r="CA197" s="379">
        <f t="shared" si="1460"/>
        <v>80841.919999999998</v>
      </c>
      <c r="CB197" s="97"/>
      <c r="CC197" s="379">
        <f t="shared" ref="CC197:CJ208" si="1461">SUMIF($C$3:$BY$3,CC$3,$C197:$BY197)</f>
        <v>0</v>
      </c>
      <c r="CD197" s="379">
        <f t="shared" si="1461"/>
        <v>0</v>
      </c>
      <c r="CE197" s="379">
        <f t="shared" si="1461"/>
        <v>69739.260000000009</v>
      </c>
      <c r="CF197" s="379">
        <f t="shared" si="1461"/>
        <v>91866.936366666661</v>
      </c>
      <c r="CG197" s="379">
        <f t="shared" si="1461"/>
        <v>94153.526557666657</v>
      </c>
      <c r="CH197" s="379">
        <f t="shared" si="1461"/>
        <v>108686.55404481447</v>
      </c>
      <c r="CI197" s="379">
        <f t="shared" si="1461"/>
        <v>111947.15066615894</v>
      </c>
      <c r="CJ197" s="379">
        <f t="shared" si="1461"/>
        <v>115305.56518614374</v>
      </c>
    </row>
    <row r="198" spans="1:88" x14ac:dyDescent="0.3">
      <c r="A198" s="97" t="str">
        <f>'DCS Detail'!A198</f>
        <v>Repairs/Maint</v>
      </c>
      <c r="B198" s="106"/>
      <c r="C198" s="36">
        <f t="shared" si="1452"/>
        <v>0</v>
      </c>
      <c r="D198" s="36">
        <f t="shared" si="1452"/>
        <v>0</v>
      </c>
      <c r="E198" s="36">
        <f t="shared" si="1452"/>
        <v>3295</v>
      </c>
      <c r="F198" s="36">
        <f t="shared" si="1452"/>
        <v>7390.96</v>
      </c>
      <c r="G198" s="36">
        <f t="shared" si="1452"/>
        <v>4878</v>
      </c>
      <c r="H198" s="36">
        <f t="shared" si="1452"/>
        <v>2156.5</v>
      </c>
      <c r="I198" s="36">
        <f t="shared" si="1452"/>
        <v>4626.2700000000004</v>
      </c>
      <c r="J198" s="36">
        <f t="shared" si="1452"/>
        <v>1654.5</v>
      </c>
      <c r="K198" s="36">
        <f t="shared" si="1452"/>
        <v>609</v>
      </c>
      <c r="L198" s="36">
        <f t="shared" si="1452"/>
        <v>1165</v>
      </c>
      <c r="M198" s="36">
        <f t="shared" si="1453"/>
        <v>2248.73</v>
      </c>
      <c r="N198" s="36">
        <f t="shared" si="1453"/>
        <v>2931.54</v>
      </c>
      <c r="O198" s="36">
        <f t="shared" si="1453"/>
        <v>1599.74</v>
      </c>
      <c r="P198" s="36">
        <f t="shared" si="1453"/>
        <v>2020.18</v>
      </c>
      <c r="Q198" s="36">
        <f t="shared" si="1453"/>
        <v>1.1200000000000001</v>
      </c>
      <c r="R198" s="36">
        <f t="shared" si="1453"/>
        <v>4156.6499999999996</v>
      </c>
      <c r="S198" s="36">
        <f t="shared" si="1453"/>
        <v>1760.18</v>
      </c>
      <c r="T198" s="36">
        <f t="shared" si="1453"/>
        <v>5777.12</v>
      </c>
      <c r="U198" s="36">
        <f t="shared" si="1453"/>
        <v>2755.84</v>
      </c>
      <c r="V198" s="36">
        <f t="shared" si="1453"/>
        <v>989.68</v>
      </c>
      <c r="W198" s="36">
        <f t="shared" si="1454"/>
        <v>4005.5</v>
      </c>
      <c r="X198" s="36">
        <f t="shared" si="1454"/>
        <v>749.5</v>
      </c>
      <c r="Y198" s="36">
        <f t="shared" si="1454"/>
        <v>8060.14</v>
      </c>
      <c r="Z198" s="36">
        <f t="shared" si="1454"/>
        <v>1038</v>
      </c>
      <c r="AA198" s="36">
        <f t="shared" si="1454"/>
        <v>2021.78</v>
      </c>
      <c r="AB198" s="36">
        <f t="shared" si="1454"/>
        <v>2080.7854000000002</v>
      </c>
      <c r="AC198" s="36">
        <f t="shared" si="1454"/>
        <v>1.1536000000000002</v>
      </c>
      <c r="AD198" s="36">
        <f t="shared" si="1454"/>
        <v>4281.3494999999994</v>
      </c>
      <c r="AE198" s="36">
        <f t="shared" si="1454"/>
        <v>1812.9854</v>
      </c>
      <c r="AF198" s="36">
        <f t="shared" si="1454"/>
        <v>5950.4336000000003</v>
      </c>
      <c r="AG198" s="36">
        <f t="shared" si="1455"/>
        <v>2838.5152000000003</v>
      </c>
      <c r="AH198" s="36">
        <f t="shared" si="1455"/>
        <v>1019.3704</v>
      </c>
      <c r="AI198" s="36">
        <f t="shared" si="1455"/>
        <v>4125.665</v>
      </c>
      <c r="AJ198" s="36">
        <f t="shared" si="1455"/>
        <v>771.98500000000001</v>
      </c>
      <c r="AK198" s="36">
        <f t="shared" si="1455"/>
        <v>8301.9441999999999</v>
      </c>
      <c r="AL198" s="36">
        <f t="shared" si="1455"/>
        <v>1069.1400000000001</v>
      </c>
      <c r="AM198" s="36">
        <f t="shared" si="1455"/>
        <v>2082.4333999999999</v>
      </c>
      <c r="AN198" s="36">
        <f t="shared" si="1455"/>
        <v>2143.2089620000002</v>
      </c>
      <c r="AO198" s="36">
        <f t="shared" si="1455"/>
        <v>1.4043826086956526</v>
      </c>
      <c r="AP198" s="36">
        <f t="shared" si="1455"/>
        <v>5212.0776521739126</v>
      </c>
      <c r="AQ198" s="36">
        <f t="shared" si="1456"/>
        <v>2207.1126608695654</v>
      </c>
      <c r="AR198" s="36">
        <f t="shared" si="1456"/>
        <v>7244.0061217391312</v>
      </c>
      <c r="AS198" s="36">
        <f t="shared" si="1456"/>
        <v>3455.5837217391309</v>
      </c>
      <c r="AT198" s="36">
        <f t="shared" si="1456"/>
        <v>1240.9726608695653</v>
      </c>
      <c r="AU198" s="36">
        <f t="shared" si="1456"/>
        <v>5022.5486956521745</v>
      </c>
      <c r="AV198" s="36">
        <f t="shared" si="1456"/>
        <v>939.80782608695665</v>
      </c>
      <c r="AW198" s="36">
        <f t="shared" si="1456"/>
        <v>10106.714678260871</v>
      </c>
      <c r="AX198" s="36">
        <f t="shared" si="1456"/>
        <v>1301.5617391304349</v>
      </c>
      <c r="AY198" s="36">
        <f t="shared" si="1456"/>
        <v>2535.1363130434784</v>
      </c>
      <c r="AZ198" s="36">
        <f t="shared" si="1456"/>
        <v>2609.1239537391307</v>
      </c>
      <c r="BA198" s="36">
        <f t="shared" si="1457"/>
        <v>1.4465140869565223</v>
      </c>
      <c r="BB198" s="36">
        <f t="shared" si="1457"/>
        <v>5368.4399817391304</v>
      </c>
      <c r="BC198" s="36">
        <f t="shared" si="1457"/>
        <v>2273.3260406956524</v>
      </c>
      <c r="BD198" s="36">
        <f t="shared" si="1457"/>
        <v>7461.3263053913051</v>
      </c>
      <c r="BE198" s="36">
        <f t="shared" si="1457"/>
        <v>3559.251233391305</v>
      </c>
      <c r="BF198" s="36">
        <f t="shared" si="1457"/>
        <v>1278.2018406956522</v>
      </c>
      <c r="BG198" s="36">
        <f t="shared" si="1457"/>
        <v>5173.2251565217402</v>
      </c>
      <c r="BH198" s="36">
        <f t="shared" si="1457"/>
        <v>968.00206086956541</v>
      </c>
      <c r="BI198" s="36">
        <f t="shared" si="1457"/>
        <v>10409.916118608697</v>
      </c>
      <c r="BJ198" s="36">
        <f t="shared" si="1457"/>
        <v>1340.608591304348</v>
      </c>
      <c r="BK198" s="36">
        <f t="shared" si="1458"/>
        <v>2611.1904024347828</v>
      </c>
      <c r="BL198" s="36">
        <f t="shared" si="1458"/>
        <v>2687.3976723513047</v>
      </c>
      <c r="BM198" s="36">
        <f t="shared" si="1458"/>
        <v>1.4899095095652179</v>
      </c>
      <c r="BN198" s="36">
        <f t="shared" si="1458"/>
        <v>5529.4931811913048</v>
      </c>
      <c r="BO198" s="36">
        <f t="shared" si="1458"/>
        <v>2341.5258219165221</v>
      </c>
      <c r="BP198" s="36">
        <f t="shared" si="1458"/>
        <v>7685.1660945530448</v>
      </c>
      <c r="BQ198" s="36">
        <f t="shared" si="1458"/>
        <v>3666.0287703930444</v>
      </c>
      <c r="BR198" s="36">
        <f t="shared" si="1458"/>
        <v>1316.5478959165218</v>
      </c>
      <c r="BS198" s="36">
        <f t="shared" si="1458"/>
        <v>5328.4219112173923</v>
      </c>
      <c r="BT198" s="36">
        <f t="shared" si="1458"/>
        <v>997.04212269565244</v>
      </c>
      <c r="BU198" s="36">
        <f t="shared" si="1458"/>
        <v>10722.213602166958</v>
      </c>
      <c r="BV198" s="36">
        <f t="shared" si="1458"/>
        <v>1380.8268490434784</v>
      </c>
      <c r="BW198" s="36">
        <f t="shared" si="1458"/>
        <v>2689.5261145078262</v>
      </c>
      <c r="BX198" s="36">
        <f t="shared" si="1458"/>
        <v>2768.0196025218438</v>
      </c>
      <c r="BZ198" s="379">
        <f t="shared" si="1459"/>
        <v>2021.78</v>
      </c>
      <c r="CA198" s="379">
        <f t="shared" si="1460"/>
        <v>31315.51</v>
      </c>
      <c r="CB198" s="97"/>
      <c r="CC198" s="379">
        <f t="shared" si="1461"/>
        <v>0</v>
      </c>
      <c r="CD198" s="379">
        <f t="shared" si="1461"/>
        <v>0</v>
      </c>
      <c r="CE198" s="379">
        <f t="shared" si="1461"/>
        <v>34575.42</v>
      </c>
      <c r="CF198" s="379">
        <f t="shared" si="1461"/>
        <v>33396.295399999995</v>
      </c>
      <c r="CG198" s="379">
        <f t="shared" si="1461"/>
        <v>34398.184261999995</v>
      </c>
      <c r="CH198" s="379">
        <f t="shared" si="1461"/>
        <v>41876.05040591304</v>
      </c>
      <c r="CI198" s="379">
        <f t="shared" si="1461"/>
        <v>43132.331918090444</v>
      </c>
      <c r="CJ198" s="379">
        <f t="shared" si="1461"/>
        <v>44426.301875633158</v>
      </c>
    </row>
    <row r="199" spans="1:88" x14ac:dyDescent="0.3">
      <c r="A199" s="97" t="str">
        <f>'DCS Detail'!A199</f>
        <v>Supplies</v>
      </c>
      <c r="B199" s="106"/>
      <c r="C199" s="36">
        <f t="shared" si="1452"/>
        <v>0</v>
      </c>
      <c r="D199" s="36">
        <f t="shared" si="1452"/>
        <v>0</v>
      </c>
      <c r="E199" s="36">
        <f t="shared" si="1452"/>
        <v>307.06</v>
      </c>
      <c r="F199" s="36">
        <f t="shared" si="1452"/>
        <v>918.56</v>
      </c>
      <c r="G199" s="36">
        <f t="shared" si="1452"/>
        <v>1434.52</v>
      </c>
      <c r="H199" s="36">
        <f t="shared" si="1452"/>
        <v>6645.59</v>
      </c>
      <c r="I199" s="36">
        <f t="shared" si="1452"/>
        <v>445.18</v>
      </c>
      <c r="J199" s="36">
        <f t="shared" si="1452"/>
        <v>2.8400000000000034</v>
      </c>
      <c r="K199" s="36">
        <f t="shared" si="1452"/>
        <v>445.84</v>
      </c>
      <c r="L199" s="36">
        <f t="shared" si="1452"/>
        <v>184.52999999999938</v>
      </c>
      <c r="M199" s="36">
        <f t="shared" si="1453"/>
        <v>368.35999999999973</v>
      </c>
      <c r="N199" s="36">
        <f t="shared" si="1453"/>
        <v>221.79</v>
      </c>
      <c r="O199" s="36">
        <f t="shared" si="1453"/>
        <v>3438.1</v>
      </c>
      <c r="P199" s="36">
        <f t="shared" si="1453"/>
        <v>2271.02</v>
      </c>
      <c r="Q199" s="36">
        <f t="shared" si="1453"/>
        <v>2958.87</v>
      </c>
      <c r="R199" s="36">
        <f t="shared" si="1453"/>
        <v>2092.75</v>
      </c>
      <c r="S199" s="36">
        <f t="shared" si="1453"/>
        <v>2591.71</v>
      </c>
      <c r="T199" s="36">
        <f t="shared" si="1453"/>
        <v>1561.94</v>
      </c>
      <c r="U199" s="36">
        <f t="shared" si="1453"/>
        <v>2707.09</v>
      </c>
      <c r="V199" s="36">
        <f t="shared" si="1453"/>
        <v>416.47000000000008</v>
      </c>
      <c r="W199" s="36">
        <f t="shared" si="1454"/>
        <v>8174.42</v>
      </c>
      <c r="X199" s="36">
        <f t="shared" si="1454"/>
        <v>1289.5400000000002</v>
      </c>
      <c r="Y199" s="36">
        <f t="shared" si="1454"/>
        <v>1481.1700000000003</v>
      </c>
      <c r="Z199" s="36">
        <f t="shared" si="1454"/>
        <v>207.98999999999998</v>
      </c>
      <c r="AA199" s="36">
        <f t="shared" si="1454"/>
        <v>1427.5000000000007</v>
      </c>
      <c r="AB199" s="36">
        <f t="shared" si="1454"/>
        <v>2339.1505999999999</v>
      </c>
      <c r="AC199" s="36">
        <f t="shared" si="1454"/>
        <v>3047.6360999999997</v>
      </c>
      <c r="AD199" s="36">
        <f t="shared" si="1454"/>
        <v>2155.5325000000003</v>
      </c>
      <c r="AE199" s="36">
        <f t="shared" si="1454"/>
        <v>2669.4612999999999</v>
      </c>
      <c r="AF199" s="36">
        <f t="shared" si="1454"/>
        <v>1608.7982000000002</v>
      </c>
      <c r="AG199" s="36">
        <f t="shared" si="1455"/>
        <v>2788.3026999999997</v>
      </c>
      <c r="AH199" s="36">
        <f t="shared" si="1455"/>
        <v>428.96410000000003</v>
      </c>
      <c r="AI199" s="36">
        <f t="shared" si="1455"/>
        <v>8419.6526000000013</v>
      </c>
      <c r="AJ199" s="36">
        <f t="shared" si="1455"/>
        <v>1328.2262000000001</v>
      </c>
      <c r="AK199" s="36">
        <f t="shared" si="1455"/>
        <v>1525.6051000000004</v>
      </c>
      <c r="AL199" s="36">
        <f t="shared" si="1455"/>
        <v>214.22969999999998</v>
      </c>
      <c r="AM199" s="36">
        <f t="shared" si="1455"/>
        <v>1470.3250000000007</v>
      </c>
      <c r="AN199" s="36">
        <f t="shared" si="1455"/>
        <v>2409.3251179999997</v>
      </c>
      <c r="AO199" s="36">
        <f t="shared" si="1455"/>
        <v>3287.9670255217393</v>
      </c>
      <c r="AP199" s="36">
        <f t="shared" si="1455"/>
        <v>2693.0997328260873</v>
      </c>
      <c r="AQ199" s="36">
        <f t="shared" si="1456"/>
        <v>3078.0591293913044</v>
      </c>
      <c r="AR199" s="36">
        <f t="shared" si="1456"/>
        <v>1850.476656608696</v>
      </c>
      <c r="AS199" s="36">
        <f t="shared" si="1456"/>
        <v>3303.9979679130433</v>
      </c>
      <c r="AT199" s="36">
        <f t="shared" si="1456"/>
        <v>501.37947704347835</v>
      </c>
      <c r="AU199" s="36">
        <f t="shared" si="1456"/>
        <v>9267.4442206956519</v>
      </c>
      <c r="AV199" s="36">
        <f t="shared" si="1456"/>
        <v>1504.8651901739131</v>
      </c>
      <c r="AW199" s="36">
        <f t="shared" si="1456"/>
        <v>1745.6331491739136</v>
      </c>
      <c r="AX199" s="36">
        <f t="shared" si="1456"/>
        <v>247.30011152173913</v>
      </c>
      <c r="AY199" s="36">
        <f t="shared" si="1456"/>
        <v>1704.7320999565229</v>
      </c>
      <c r="AZ199" s="36">
        <f t="shared" si="1456"/>
        <v>2933.0914480000001</v>
      </c>
      <c r="BA199" s="36">
        <f t="shared" si="1457"/>
        <v>3386.6060362873909</v>
      </c>
      <c r="BB199" s="36">
        <f t="shared" si="1457"/>
        <v>2773.8927248108698</v>
      </c>
      <c r="BC199" s="36">
        <f t="shared" si="1457"/>
        <v>3170.4009032730437</v>
      </c>
      <c r="BD199" s="36">
        <f t="shared" si="1457"/>
        <v>1905.9909563069566</v>
      </c>
      <c r="BE199" s="36">
        <f t="shared" si="1457"/>
        <v>3403.1179069504351</v>
      </c>
      <c r="BF199" s="36">
        <f t="shared" si="1457"/>
        <v>516.42086135478269</v>
      </c>
      <c r="BG199" s="36">
        <f t="shared" si="1457"/>
        <v>9545.4675473165225</v>
      </c>
      <c r="BH199" s="36">
        <f t="shared" si="1457"/>
        <v>1550.0111458791307</v>
      </c>
      <c r="BI199" s="36">
        <f t="shared" si="1457"/>
        <v>1798.0021436491306</v>
      </c>
      <c r="BJ199" s="36">
        <f t="shared" si="1457"/>
        <v>254.71911486739131</v>
      </c>
      <c r="BK199" s="36">
        <f t="shared" si="1458"/>
        <v>1755.8740629552185</v>
      </c>
      <c r="BL199" s="36">
        <f t="shared" si="1458"/>
        <v>3021.0841914400003</v>
      </c>
      <c r="BM199" s="36">
        <f t="shared" si="1458"/>
        <v>3488.2042173760133</v>
      </c>
      <c r="BN199" s="36">
        <f t="shared" si="1458"/>
        <v>2857.1095065551958</v>
      </c>
      <c r="BO199" s="36">
        <f t="shared" si="1458"/>
        <v>3265.5129303712356</v>
      </c>
      <c r="BP199" s="36">
        <f t="shared" si="1458"/>
        <v>1963.1706849961654</v>
      </c>
      <c r="BQ199" s="36">
        <f t="shared" si="1458"/>
        <v>3505.2114441589483</v>
      </c>
      <c r="BR199" s="36">
        <f t="shared" si="1458"/>
        <v>531.91348719542623</v>
      </c>
      <c r="BS199" s="36">
        <f t="shared" si="1458"/>
        <v>9831.8315737360208</v>
      </c>
      <c r="BT199" s="36">
        <f t="shared" si="1458"/>
        <v>1596.5114802555045</v>
      </c>
      <c r="BU199" s="36">
        <f t="shared" si="1458"/>
        <v>1851.9422079586045</v>
      </c>
      <c r="BV199" s="36">
        <f t="shared" si="1458"/>
        <v>262.36068831341305</v>
      </c>
      <c r="BW199" s="36">
        <f t="shared" si="1458"/>
        <v>1808.550284843875</v>
      </c>
      <c r="BX199" s="36">
        <f t="shared" si="1458"/>
        <v>3111.7167171832002</v>
      </c>
      <c r="BZ199" s="379">
        <f t="shared" si="1459"/>
        <v>1427.5000000000007</v>
      </c>
      <c r="CA199" s="379">
        <f t="shared" si="1460"/>
        <v>24909.450000000004</v>
      </c>
      <c r="CB199" s="97"/>
      <c r="CC199" s="379">
        <f t="shared" si="1461"/>
        <v>0</v>
      </c>
      <c r="CD199" s="379">
        <f t="shared" si="1461"/>
        <v>0</v>
      </c>
      <c r="CE199" s="379">
        <f t="shared" si="1461"/>
        <v>16683.39</v>
      </c>
      <c r="CF199" s="379">
        <f t="shared" si="1461"/>
        <v>27248.600600000005</v>
      </c>
      <c r="CG199" s="379">
        <f t="shared" si="1461"/>
        <v>28066.058618000006</v>
      </c>
      <c r="CH199" s="379">
        <f t="shared" si="1461"/>
        <v>32118.046208826087</v>
      </c>
      <c r="CI199" s="379">
        <f t="shared" si="1461"/>
        <v>33081.587595090867</v>
      </c>
      <c r="CJ199" s="379">
        <f t="shared" si="1461"/>
        <v>34074.035222943596</v>
      </c>
    </row>
    <row r="200" spans="1:88" x14ac:dyDescent="0.3">
      <c r="A200" s="97" t="str">
        <f>'DCS Detail'!A200</f>
        <v>Curriculum</v>
      </c>
      <c r="B200" s="106"/>
      <c r="C200" s="36">
        <f t="shared" si="1452"/>
        <v>0</v>
      </c>
      <c r="D200" s="36">
        <f t="shared" si="1452"/>
        <v>0</v>
      </c>
      <c r="E200" s="36">
        <f t="shared" si="1452"/>
        <v>-527.24</v>
      </c>
      <c r="F200" s="36">
        <f t="shared" si="1452"/>
        <v>5231.8</v>
      </c>
      <c r="G200" s="36">
        <f t="shared" si="1452"/>
        <v>39499.299999999996</v>
      </c>
      <c r="H200" s="36">
        <f t="shared" si="1452"/>
        <v>9288.8269999999993</v>
      </c>
      <c r="I200" s="36">
        <f t="shared" si="1452"/>
        <v>3610.5</v>
      </c>
      <c r="J200" s="36">
        <f t="shared" si="1452"/>
        <v>2325.3987999999999</v>
      </c>
      <c r="K200" s="36">
        <f t="shared" si="1452"/>
        <v>370</v>
      </c>
      <c r="L200" s="36">
        <f t="shared" si="1452"/>
        <v>1142.5042000000028</v>
      </c>
      <c r="M200" s="36">
        <f t="shared" si="1453"/>
        <v>2153.15</v>
      </c>
      <c r="N200" s="36">
        <f t="shared" si="1453"/>
        <v>5112.75</v>
      </c>
      <c r="O200" s="36">
        <f t="shared" si="1453"/>
        <v>3163.14</v>
      </c>
      <c r="P200" s="36">
        <f t="shared" si="1453"/>
        <v>1203.32</v>
      </c>
      <c r="Q200" s="36">
        <f t="shared" si="1453"/>
        <v>650</v>
      </c>
      <c r="R200" s="36">
        <f t="shared" si="1453"/>
        <v>12123.92</v>
      </c>
      <c r="S200" s="36">
        <f t="shared" si="1453"/>
        <v>57323.38</v>
      </c>
      <c r="T200" s="36">
        <f t="shared" si="1453"/>
        <v>11790.150000000001</v>
      </c>
      <c r="U200" s="36">
        <f t="shared" si="1453"/>
        <v>60425.399999999994</v>
      </c>
      <c r="V200" s="36">
        <f t="shared" si="1453"/>
        <v>185</v>
      </c>
      <c r="W200" s="36">
        <f t="shared" si="1454"/>
        <v>5039.6499999999996</v>
      </c>
      <c r="X200" s="36">
        <f t="shared" si="1454"/>
        <v>5233.12</v>
      </c>
      <c r="Y200" s="36">
        <f t="shared" si="1454"/>
        <v>2680.25</v>
      </c>
      <c r="Z200" s="36">
        <f t="shared" si="1454"/>
        <v>2327.5199999999995</v>
      </c>
      <c r="AA200" s="36">
        <f t="shared" si="1454"/>
        <v>7796.8600000000006</v>
      </c>
      <c r="AB200" s="36">
        <f t="shared" si="1454"/>
        <v>1239.4196000000002</v>
      </c>
      <c r="AC200" s="36">
        <f t="shared" si="1454"/>
        <v>669.5</v>
      </c>
      <c r="AD200" s="36">
        <f t="shared" si="1454"/>
        <v>12108.092900000001</v>
      </c>
      <c r="AE200" s="36">
        <f t="shared" si="1454"/>
        <v>59043.081400000003</v>
      </c>
      <c r="AF200" s="36">
        <f t="shared" si="1454"/>
        <v>12143.854500000001</v>
      </c>
      <c r="AG200" s="36">
        <f t="shared" si="1455"/>
        <v>2330.9517999999998</v>
      </c>
      <c r="AH200" s="36">
        <f t="shared" si="1455"/>
        <v>190.55</v>
      </c>
      <c r="AI200" s="36">
        <f t="shared" si="1455"/>
        <v>5190.839500000001</v>
      </c>
      <c r="AJ200" s="36">
        <f t="shared" si="1455"/>
        <v>5390.1136000000006</v>
      </c>
      <c r="AK200" s="36">
        <f t="shared" si="1455"/>
        <v>2760.6575000000003</v>
      </c>
      <c r="AL200" s="36">
        <f t="shared" si="1455"/>
        <v>2340.7883000000002</v>
      </c>
      <c r="AM200" s="36">
        <f t="shared" si="1455"/>
        <v>7990.595800000001</v>
      </c>
      <c r="AN200" s="36">
        <f t="shared" si="1455"/>
        <v>1276.6021880000003</v>
      </c>
      <c r="AO200" s="36">
        <f t="shared" si="1455"/>
        <v>689.58500000000004</v>
      </c>
      <c r="AP200" s="36">
        <f t="shared" si="1455"/>
        <v>14543.413704347829</v>
      </c>
      <c r="AQ200" s="36">
        <f t="shared" si="1456"/>
        <v>71717.367986956539</v>
      </c>
      <c r="AR200" s="36">
        <f t="shared" si="1456"/>
        <v>14572.448495260871</v>
      </c>
      <c r="AS200" s="36">
        <f t="shared" si="1456"/>
        <v>2586.7634956521742</v>
      </c>
      <c r="AT200" s="36">
        <f t="shared" si="1456"/>
        <v>196.26650000000001</v>
      </c>
      <c r="AU200" s="36">
        <f t="shared" si="1456"/>
        <v>6122.4095652173928</v>
      </c>
      <c r="AV200" s="36">
        <f t="shared" si="1456"/>
        <v>5582.3979946086974</v>
      </c>
      <c r="AW200" s="36">
        <f t="shared" si="1456"/>
        <v>3289.3856086956525</v>
      </c>
      <c r="AX200" s="36">
        <f t="shared" si="1456"/>
        <v>2688.4894304347827</v>
      </c>
      <c r="AY200" s="36">
        <f t="shared" si="1456"/>
        <v>9177.1121369565226</v>
      </c>
      <c r="AZ200" s="36">
        <f t="shared" si="1456"/>
        <v>1351.344899304348</v>
      </c>
      <c r="BA200" s="36">
        <f t="shared" si="1457"/>
        <v>710.27255000000002</v>
      </c>
      <c r="BB200" s="36">
        <f t="shared" si="1457"/>
        <v>14979.716115478266</v>
      </c>
      <c r="BC200" s="36">
        <f t="shared" si="1457"/>
        <v>73868.889026565215</v>
      </c>
      <c r="BD200" s="36">
        <f t="shared" si="1457"/>
        <v>15009.621950118701</v>
      </c>
      <c r="BE200" s="36">
        <f t="shared" si="1457"/>
        <v>2664.3664005217393</v>
      </c>
      <c r="BF200" s="36">
        <f t="shared" si="1457"/>
        <v>202.15449500000003</v>
      </c>
      <c r="BG200" s="36">
        <f t="shared" si="1457"/>
        <v>6306.0818521739138</v>
      </c>
      <c r="BH200" s="36">
        <f t="shared" si="1457"/>
        <v>5749.8699344469578</v>
      </c>
      <c r="BI200" s="36">
        <f t="shared" si="1457"/>
        <v>3388.067176956522</v>
      </c>
      <c r="BJ200" s="36">
        <f t="shared" si="1457"/>
        <v>2769.1441133478265</v>
      </c>
      <c r="BK200" s="36">
        <f t="shared" si="1458"/>
        <v>9452.4255010652178</v>
      </c>
      <c r="BL200" s="36">
        <f t="shared" si="1458"/>
        <v>1391.8852462834784</v>
      </c>
      <c r="BM200" s="36">
        <f t="shared" si="1458"/>
        <v>731.58072650000008</v>
      </c>
      <c r="BN200" s="36">
        <f t="shared" si="1458"/>
        <v>15429.107598942614</v>
      </c>
      <c r="BO200" s="36">
        <f t="shared" si="1458"/>
        <v>76084.95569736218</v>
      </c>
      <c r="BP200" s="36">
        <f t="shared" si="1458"/>
        <v>15459.91060862226</v>
      </c>
      <c r="BQ200" s="36">
        <f t="shared" si="1458"/>
        <v>2744.2973925373917</v>
      </c>
      <c r="BR200" s="36">
        <f t="shared" si="1458"/>
        <v>208.21912985000003</v>
      </c>
      <c r="BS200" s="36">
        <f t="shared" si="1458"/>
        <v>6495.2643077391313</v>
      </c>
      <c r="BT200" s="36">
        <f t="shared" si="1458"/>
        <v>5922.3660324803668</v>
      </c>
      <c r="BU200" s="36">
        <f t="shared" si="1458"/>
        <v>3489.7091922652176</v>
      </c>
      <c r="BV200" s="36">
        <f t="shared" si="1458"/>
        <v>2852.218436748261</v>
      </c>
      <c r="BW200" s="36">
        <f t="shared" si="1458"/>
        <v>9735.9982660971746</v>
      </c>
      <c r="BX200" s="36">
        <f t="shared" si="1458"/>
        <v>1433.6418036719829</v>
      </c>
      <c r="BZ200" s="379">
        <f t="shared" si="1459"/>
        <v>7796.8600000000006</v>
      </c>
      <c r="CA200" s="379">
        <f t="shared" si="1460"/>
        <v>165575.25</v>
      </c>
      <c r="CB200" s="97"/>
      <c r="CC200" s="379">
        <f t="shared" si="1461"/>
        <v>0</v>
      </c>
      <c r="CD200" s="379">
        <f t="shared" si="1461"/>
        <v>0</v>
      </c>
      <c r="CE200" s="379">
        <f t="shared" si="1461"/>
        <v>72573.45</v>
      </c>
      <c r="CF200" s="379">
        <f t="shared" si="1461"/>
        <v>166814.66959999999</v>
      </c>
      <c r="CG200" s="379">
        <f t="shared" si="1461"/>
        <v>111435.627488</v>
      </c>
      <c r="CH200" s="379">
        <f t="shared" si="1461"/>
        <v>132516.98481743483</v>
      </c>
      <c r="CI200" s="379">
        <f t="shared" si="1461"/>
        <v>136492.49436195786</v>
      </c>
      <c r="CJ200" s="379">
        <f t="shared" si="1461"/>
        <v>140587.26919281657</v>
      </c>
    </row>
    <row r="201" spans="1:88" x14ac:dyDescent="0.3">
      <c r="A201" s="97" t="str">
        <f>'DCS Detail'!A201</f>
        <v>Insurance</v>
      </c>
      <c r="B201" s="106"/>
      <c r="C201" s="36">
        <f t="shared" si="1452"/>
        <v>0</v>
      </c>
      <c r="D201" s="36">
        <f t="shared" si="1452"/>
        <v>0</v>
      </c>
      <c r="E201" s="36">
        <f t="shared" si="1452"/>
        <v>13674.65</v>
      </c>
      <c r="F201" s="36">
        <f t="shared" si="1452"/>
        <v>16784.689999999999</v>
      </c>
      <c r="G201" s="36">
        <f t="shared" si="1452"/>
        <v>17387.759999999998</v>
      </c>
      <c r="H201" s="36">
        <f t="shared" si="1452"/>
        <v>25654.61</v>
      </c>
      <c r="I201" s="36">
        <f t="shared" si="1452"/>
        <v>27075.2742</v>
      </c>
      <c r="J201" s="36">
        <f t="shared" si="1452"/>
        <v>14561.687400000003</v>
      </c>
      <c r="K201" s="36">
        <f t="shared" si="1452"/>
        <v>16073.449999999999</v>
      </c>
      <c r="L201" s="36">
        <f t="shared" si="1452"/>
        <v>14542.738399999998</v>
      </c>
      <c r="M201" s="36">
        <f t="shared" si="1453"/>
        <v>13923.570000000012</v>
      </c>
      <c r="N201" s="36">
        <f t="shared" si="1453"/>
        <v>14525.73</v>
      </c>
      <c r="O201" s="36">
        <f t="shared" si="1453"/>
        <v>13917.21</v>
      </c>
      <c r="P201" s="36">
        <f t="shared" si="1453"/>
        <v>15039.35</v>
      </c>
      <c r="Q201" s="36">
        <f t="shared" si="1453"/>
        <v>15495.14</v>
      </c>
      <c r="R201" s="36">
        <f t="shared" si="1453"/>
        <v>13845.44</v>
      </c>
      <c r="S201" s="36">
        <f t="shared" si="1453"/>
        <v>14369.27</v>
      </c>
      <c r="T201" s="36">
        <f t="shared" si="1453"/>
        <v>17146.89</v>
      </c>
      <c r="U201" s="36">
        <f t="shared" si="1453"/>
        <v>28182.99</v>
      </c>
      <c r="V201" s="36">
        <f t="shared" si="1453"/>
        <v>22379.93</v>
      </c>
      <c r="W201" s="36">
        <f t="shared" si="1454"/>
        <v>23330.61</v>
      </c>
      <c r="X201" s="36">
        <f t="shared" si="1454"/>
        <v>17700.810000000001</v>
      </c>
      <c r="Y201" s="36">
        <f t="shared" si="1454"/>
        <v>19881.84</v>
      </c>
      <c r="Z201" s="36">
        <f t="shared" si="1454"/>
        <v>17979.009999999998</v>
      </c>
      <c r="AA201" s="36">
        <f t="shared" si="1454"/>
        <v>17040.79</v>
      </c>
      <c r="AB201" s="36">
        <f t="shared" si="1454"/>
        <v>15490.530500000001</v>
      </c>
      <c r="AC201" s="36">
        <f t="shared" si="1454"/>
        <v>15959.994199999999</v>
      </c>
      <c r="AD201" s="36">
        <f t="shared" si="1454"/>
        <v>14260.8032</v>
      </c>
      <c r="AE201" s="36">
        <f t="shared" si="1454"/>
        <v>14800.348100000001</v>
      </c>
      <c r="AF201" s="36">
        <f t="shared" si="1454"/>
        <v>17661.296699999999</v>
      </c>
      <c r="AG201" s="36">
        <f t="shared" si="1455"/>
        <v>29028.4797</v>
      </c>
      <c r="AH201" s="36">
        <f t="shared" si="1455"/>
        <v>23051.3279</v>
      </c>
      <c r="AI201" s="36">
        <f t="shared" si="1455"/>
        <v>24030.528300000002</v>
      </c>
      <c r="AJ201" s="36">
        <f t="shared" si="1455"/>
        <v>18231.834300000002</v>
      </c>
      <c r="AK201" s="36">
        <f t="shared" si="1455"/>
        <v>20478.2952</v>
      </c>
      <c r="AL201" s="36">
        <f t="shared" si="1455"/>
        <v>18518.380299999997</v>
      </c>
      <c r="AM201" s="36">
        <f t="shared" si="1455"/>
        <v>17552.013700000003</v>
      </c>
      <c r="AN201" s="36">
        <f t="shared" si="1455"/>
        <v>15955.246415000001</v>
      </c>
      <c r="AO201" s="36">
        <f t="shared" si="1455"/>
        <v>19429.55815652174</v>
      </c>
      <c r="AP201" s="36">
        <f t="shared" si="1455"/>
        <v>17737.353243478261</v>
      </c>
      <c r="AQ201" s="36">
        <f t="shared" si="1456"/>
        <v>18017.815078260872</v>
      </c>
      <c r="AR201" s="36">
        <f t="shared" si="1456"/>
        <v>21500.709026086955</v>
      </c>
      <c r="AS201" s="36">
        <f t="shared" si="1456"/>
        <v>34427.489575695654</v>
      </c>
      <c r="AT201" s="36">
        <f t="shared" si="1456"/>
        <v>27150.956949608695</v>
      </c>
      <c r="AU201" s="36">
        <f t="shared" si="1456"/>
        <v>28343.027001782611</v>
      </c>
      <c r="AV201" s="36">
        <f t="shared" si="1456"/>
        <v>22195.276539130438</v>
      </c>
      <c r="AW201" s="36">
        <f t="shared" si="1456"/>
        <v>24930.098504347829</v>
      </c>
      <c r="AX201" s="36">
        <f t="shared" si="1456"/>
        <v>22544.115147826084</v>
      </c>
      <c r="AY201" s="36">
        <f t="shared" si="1456"/>
        <v>21367.66885217392</v>
      </c>
      <c r="AZ201" s="36">
        <f t="shared" si="1456"/>
        <v>19423.778244347828</v>
      </c>
      <c r="BA201" s="36">
        <f t="shared" si="1457"/>
        <v>20012.444901217394</v>
      </c>
      <c r="BB201" s="36">
        <f t="shared" si="1457"/>
        <v>18269.473840782608</v>
      </c>
      <c r="BC201" s="36">
        <f t="shared" si="1457"/>
        <v>18558.349530608699</v>
      </c>
      <c r="BD201" s="36">
        <f t="shared" si="1457"/>
        <v>22145.730296869566</v>
      </c>
      <c r="BE201" s="36">
        <f t="shared" si="1457"/>
        <v>35460.314262966524</v>
      </c>
      <c r="BF201" s="36">
        <f t="shared" si="1457"/>
        <v>27965.485658096957</v>
      </c>
      <c r="BG201" s="36">
        <f t="shared" si="1457"/>
        <v>29193.317811836088</v>
      </c>
      <c r="BH201" s="36">
        <f t="shared" si="1457"/>
        <v>22861.13483530435</v>
      </c>
      <c r="BI201" s="36">
        <f t="shared" si="1457"/>
        <v>25678.001459478262</v>
      </c>
      <c r="BJ201" s="36">
        <f t="shared" si="1457"/>
        <v>23220.438602260867</v>
      </c>
      <c r="BK201" s="36">
        <f t="shared" si="1458"/>
        <v>22008.698917739137</v>
      </c>
      <c r="BL201" s="36">
        <f t="shared" si="1458"/>
        <v>20006.491591678263</v>
      </c>
      <c r="BM201" s="36">
        <f t="shared" si="1458"/>
        <v>20612.818248253916</v>
      </c>
      <c r="BN201" s="36">
        <f t="shared" si="1458"/>
        <v>18817.558056006088</v>
      </c>
      <c r="BO201" s="36">
        <f t="shared" si="1458"/>
        <v>19115.100016526962</v>
      </c>
      <c r="BP201" s="36">
        <f t="shared" si="1458"/>
        <v>22810.102205775653</v>
      </c>
      <c r="BQ201" s="36">
        <f t="shared" si="1458"/>
        <v>36524.123690855522</v>
      </c>
      <c r="BR201" s="36">
        <f t="shared" si="1458"/>
        <v>28804.450227839869</v>
      </c>
      <c r="BS201" s="36">
        <f t="shared" si="1458"/>
        <v>30069.117346191175</v>
      </c>
      <c r="BT201" s="36">
        <f t="shared" si="1458"/>
        <v>23546.968880363482</v>
      </c>
      <c r="BU201" s="36">
        <f t="shared" si="1458"/>
        <v>26448.341503262611</v>
      </c>
      <c r="BV201" s="36">
        <f t="shared" si="1458"/>
        <v>23917.051760328693</v>
      </c>
      <c r="BW201" s="36">
        <f t="shared" si="1458"/>
        <v>22668.959885271313</v>
      </c>
      <c r="BX201" s="36">
        <f t="shared" si="1458"/>
        <v>20606.686339428612</v>
      </c>
      <c r="BZ201" s="379">
        <f t="shared" si="1459"/>
        <v>17040.79</v>
      </c>
      <c r="CA201" s="379">
        <f t="shared" si="1460"/>
        <v>207352.72000000003</v>
      </c>
      <c r="CB201" s="97"/>
      <c r="CC201" s="379">
        <f t="shared" si="1461"/>
        <v>0</v>
      </c>
      <c r="CD201" s="379">
        <f t="shared" si="1461"/>
        <v>0</v>
      </c>
      <c r="CE201" s="379">
        <f t="shared" si="1461"/>
        <v>203160.72000000003</v>
      </c>
      <c r="CF201" s="379">
        <f t="shared" si="1461"/>
        <v>222843.25050000002</v>
      </c>
      <c r="CG201" s="379">
        <f t="shared" si="1461"/>
        <v>229528.54801499998</v>
      </c>
      <c r="CH201" s="379">
        <f t="shared" si="1461"/>
        <v>277067.84631926089</v>
      </c>
      <c r="CI201" s="379">
        <f t="shared" si="1461"/>
        <v>285379.88170883874</v>
      </c>
      <c r="CJ201" s="379">
        <f t="shared" si="1461"/>
        <v>293941.27816010389</v>
      </c>
    </row>
    <row r="202" spans="1:88" x14ac:dyDescent="0.3">
      <c r="A202" s="97" t="str">
        <f>'DCS Detail'!A202</f>
        <v>Computers</v>
      </c>
      <c r="B202" s="106"/>
      <c r="C202" s="36">
        <f t="shared" si="1452"/>
        <v>0</v>
      </c>
      <c r="D202" s="36">
        <f t="shared" si="1452"/>
        <v>0</v>
      </c>
      <c r="E202" s="36">
        <f t="shared" si="1452"/>
        <v>59.16</v>
      </c>
      <c r="F202" s="36">
        <f t="shared" si="1452"/>
        <v>585</v>
      </c>
      <c r="G202" s="36">
        <f t="shared" si="1452"/>
        <v>0</v>
      </c>
      <c r="H202" s="36">
        <f t="shared" si="1452"/>
        <v>409.99</v>
      </c>
      <c r="I202" s="36">
        <f t="shared" si="1452"/>
        <v>2045.83</v>
      </c>
      <c r="J202" s="36">
        <f t="shared" si="1452"/>
        <v>-979</v>
      </c>
      <c r="K202" s="36">
        <f t="shared" si="1452"/>
        <v>0</v>
      </c>
      <c r="L202" s="36">
        <f t="shared" si="1452"/>
        <v>7145.6</v>
      </c>
      <c r="M202" s="36">
        <f t="shared" si="1453"/>
        <v>175.5</v>
      </c>
      <c r="N202" s="36">
        <f t="shared" si="1453"/>
        <v>589.66999999999996</v>
      </c>
      <c r="O202" s="36">
        <f t="shared" si="1453"/>
        <v>1358.76</v>
      </c>
      <c r="P202" s="36">
        <f t="shared" si="1453"/>
        <v>32068.05</v>
      </c>
      <c r="Q202" s="36">
        <f t="shared" si="1453"/>
        <v>776.88000000000011</v>
      </c>
      <c r="R202" s="36">
        <f t="shared" si="1453"/>
        <v>3510</v>
      </c>
      <c r="S202" s="36">
        <f t="shared" si="1453"/>
        <v>1856.31</v>
      </c>
      <c r="T202" s="36">
        <f t="shared" si="1453"/>
        <v>1451.4899999999998</v>
      </c>
      <c r="U202" s="36">
        <f t="shared" si="1453"/>
        <v>2817.36</v>
      </c>
      <c r="V202" s="36">
        <f t="shared" si="1453"/>
        <v>1713.99</v>
      </c>
      <c r="W202" s="36">
        <f t="shared" si="1454"/>
        <v>3340.42</v>
      </c>
      <c r="X202" s="36">
        <f t="shared" si="1454"/>
        <v>0</v>
      </c>
      <c r="Y202" s="36">
        <f t="shared" si="1454"/>
        <v>2139.6</v>
      </c>
      <c r="Z202" s="36">
        <f t="shared" si="1454"/>
        <v>4457.5</v>
      </c>
      <c r="AA202" s="36">
        <f t="shared" si="1454"/>
        <v>1186.68</v>
      </c>
      <c r="AB202" s="36">
        <f t="shared" si="1454"/>
        <v>0</v>
      </c>
      <c r="AC202" s="36">
        <f t="shared" si="1454"/>
        <v>800.18640000000005</v>
      </c>
      <c r="AD202" s="36">
        <f t="shared" si="1454"/>
        <v>3615.3</v>
      </c>
      <c r="AE202" s="36">
        <f t="shared" si="1454"/>
        <v>35000</v>
      </c>
      <c r="AF202" s="36">
        <f t="shared" si="1454"/>
        <v>1495.0346999999999</v>
      </c>
      <c r="AG202" s="36">
        <f t="shared" si="1455"/>
        <v>2901.8808000000004</v>
      </c>
      <c r="AH202" s="36">
        <f t="shared" si="1455"/>
        <v>1765.4097000000002</v>
      </c>
      <c r="AI202" s="36">
        <f t="shared" si="1455"/>
        <v>3440.6326000000004</v>
      </c>
      <c r="AJ202" s="36">
        <f t="shared" si="1455"/>
        <v>0</v>
      </c>
      <c r="AK202" s="36">
        <f t="shared" si="1455"/>
        <v>2203.788</v>
      </c>
      <c r="AL202" s="36">
        <f t="shared" si="1455"/>
        <v>4591.2250000000004</v>
      </c>
      <c r="AM202" s="36">
        <f t="shared" si="1455"/>
        <v>1222.2804000000001</v>
      </c>
      <c r="AN202" s="36">
        <f t="shared" si="1455"/>
        <v>0</v>
      </c>
      <c r="AO202" s="36">
        <f t="shared" si="1455"/>
        <v>863.33503721739135</v>
      </c>
      <c r="AP202" s="36">
        <f t="shared" si="1455"/>
        <v>3723.7590000000005</v>
      </c>
      <c r="AQ202" s="36">
        <f t="shared" si="1456"/>
        <v>10000</v>
      </c>
      <c r="AR202" s="36">
        <f t="shared" si="1456"/>
        <v>1782.572621347826</v>
      </c>
      <c r="AS202" s="36">
        <f t="shared" si="1456"/>
        <v>3532.7244521739135</v>
      </c>
      <c r="AT202" s="36">
        <f t="shared" si="1456"/>
        <v>2149.1944173913048</v>
      </c>
      <c r="AU202" s="36">
        <f t="shared" si="1456"/>
        <v>4188.5962086956533</v>
      </c>
      <c r="AV202" s="36">
        <f t="shared" si="1456"/>
        <v>0</v>
      </c>
      <c r="AW202" s="36">
        <f t="shared" si="1456"/>
        <v>2269.90164</v>
      </c>
      <c r="AX202" s="36">
        <f t="shared" si="1456"/>
        <v>4728.9617500000004</v>
      </c>
      <c r="AY202" s="36">
        <f t="shared" si="1456"/>
        <v>1258.9488120000001</v>
      </c>
      <c r="AZ202" s="36">
        <f t="shared" si="1456"/>
        <v>0</v>
      </c>
      <c r="BA202" s="36">
        <f t="shared" si="1457"/>
        <v>889.23508833391315</v>
      </c>
      <c r="BB202" s="36">
        <f t="shared" si="1457"/>
        <v>3835.4717700000006</v>
      </c>
      <c r="BC202" s="36">
        <f t="shared" si="1457"/>
        <v>10300</v>
      </c>
      <c r="BD202" s="36">
        <f t="shared" si="1457"/>
        <v>1836.0497999882609</v>
      </c>
      <c r="BE202" s="36">
        <f t="shared" si="1457"/>
        <v>3638.7061857391309</v>
      </c>
      <c r="BF202" s="36">
        <f t="shared" si="1457"/>
        <v>2213.6702499130438</v>
      </c>
      <c r="BG202" s="36">
        <f t="shared" si="1457"/>
        <v>4314.2540949565227</v>
      </c>
      <c r="BH202" s="36">
        <f t="shared" si="1457"/>
        <v>0</v>
      </c>
      <c r="BI202" s="36">
        <f t="shared" si="1457"/>
        <v>2337.9986892000002</v>
      </c>
      <c r="BJ202" s="36">
        <f t="shared" si="1457"/>
        <v>4870.8306025000002</v>
      </c>
      <c r="BK202" s="36">
        <f t="shared" si="1458"/>
        <v>1296.7172763600001</v>
      </c>
      <c r="BL202" s="36">
        <f t="shared" si="1458"/>
        <v>0</v>
      </c>
      <c r="BM202" s="36">
        <f t="shared" si="1458"/>
        <v>915.91214098393061</v>
      </c>
      <c r="BN202" s="36">
        <f t="shared" si="1458"/>
        <v>3950.5359231000007</v>
      </c>
      <c r="BO202" s="36">
        <f t="shared" si="1458"/>
        <v>10609</v>
      </c>
      <c r="BP202" s="36">
        <f t="shared" si="1458"/>
        <v>1891.131293987909</v>
      </c>
      <c r="BQ202" s="36">
        <f t="shared" si="1458"/>
        <v>3747.8673713113049</v>
      </c>
      <c r="BR202" s="36">
        <f t="shared" si="1458"/>
        <v>2280.0803574104352</v>
      </c>
      <c r="BS202" s="36">
        <f t="shared" si="1458"/>
        <v>4443.6817178052188</v>
      </c>
      <c r="BT202" s="36">
        <f t="shared" si="1458"/>
        <v>0</v>
      </c>
      <c r="BU202" s="36">
        <f t="shared" si="1458"/>
        <v>2408.1386498760003</v>
      </c>
      <c r="BV202" s="36">
        <f t="shared" si="1458"/>
        <v>5016.9555205750003</v>
      </c>
      <c r="BW202" s="36">
        <f t="shared" si="1458"/>
        <v>1335.6187946508003</v>
      </c>
      <c r="BX202" s="36">
        <f t="shared" si="1458"/>
        <v>0</v>
      </c>
      <c r="BZ202" s="379">
        <f t="shared" si="1459"/>
        <v>1186.68</v>
      </c>
      <c r="CA202" s="379">
        <f t="shared" si="1460"/>
        <v>23250.23</v>
      </c>
      <c r="CB202" s="97"/>
      <c r="CC202" s="379">
        <f t="shared" si="1461"/>
        <v>0</v>
      </c>
      <c r="CD202" s="379">
        <f t="shared" si="1461"/>
        <v>0</v>
      </c>
      <c r="CE202" s="379">
        <f t="shared" si="1461"/>
        <v>43458.559999999998</v>
      </c>
      <c r="CF202" s="379">
        <f t="shared" si="1461"/>
        <v>23250.23</v>
      </c>
      <c r="CG202" s="379">
        <f t="shared" si="1461"/>
        <v>57035.7376</v>
      </c>
      <c r="CH202" s="379">
        <f t="shared" si="1461"/>
        <v>34497.99393882609</v>
      </c>
      <c r="CI202" s="379">
        <f t="shared" si="1461"/>
        <v>35532.933756990875</v>
      </c>
      <c r="CJ202" s="379">
        <f t="shared" si="1461"/>
        <v>36598.921769700602</v>
      </c>
    </row>
    <row r="203" spans="1:88" x14ac:dyDescent="0.3">
      <c r="A203" s="97" t="str">
        <f>'DCS Detail'!A203</f>
        <v>Prof. Serv.</v>
      </c>
      <c r="B203" s="106"/>
      <c r="C203" s="36">
        <f t="shared" si="1452"/>
        <v>0</v>
      </c>
      <c r="D203" s="36">
        <f t="shared" si="1452"/>
        <v>0</v>
      </c>
      <c r="E203" s="36">
        <f t="shared" si="1452"/>
        <v>2275.63</v>
      </c>
      <c r="F203" s="36">
        <f t="shared" si="1452"/>
        <v>736.13</v>
      </c>
      <c r="G203" s="36">
        <f t="shared" si="1452"/>
        <v>3685.78</v>
      </c>
      <c r="H203" s="36">
        <f t="shared" si="1452"/>
        <v>17905.14</v>
      </c>
      <c r="I203" s="36">
        <f t="shared" si="1452"/>
        <v>19505.54</v>
      </c>
      <c r="J203" s="36">
        <f t="shared" si="1452"/>
        <v>3510.71</v>
      </c>
      <c r="K203" s="36">
        <f t="shared" si="1452"/>
        <v>12627.07</v>
      </c>
      <c r="L203" s="36">
        <f t="shared" si="1452"/>
        <v>10345.230000000001</v>
      </c>
      <c r="M203" s="36">
        <f t="shared" si="1453"/>
        <v>5337.68</v>
      </c>
      <c r="N203" s="36">
        <f t="shared" si="1453"/>
        <v>7947.13</v>
      </c>
      <c r="O203" s="36">
        <f t="shared" si="1453"/>
        <v>13076.6</v>
      </c>
      <c r="P203" s="36">
        <f t="shared" si="1453"/>
        <v>10794.18</v>
      </c>
      <c r="Q203" s="36">
        <f t="shared" si="1453"/>
        <v>4297.51</v>
      </c>
      <c r="R203" s="36">
        <f t="shared" si="1453"/>
        <v>5091.3500000000004</v>
      </c>
      <c r="S203" s="36">
        <f t="shared" si="1453"/>
        <v>45928.25</v>
      </c>
      <c r="T203" s="36">
        <f t="shared" si="1453"/>
        <v>13395.82</v>
      </c>
      <c r="U203" s="36">
        <f t="shared" si="1453"/>
        <v>45006.18</v>
      </c>
      <c r="V203" s="36">
        <f t="shared" si="1453"/>
        <v>16032.1</v>
      </c>
      <c r="W203" s="36">
        <f t="shared" si="1454"/>
        <v>11710.12</v>
      </c>
      <c r="X203" s="36">
        <f t="shared" si="1454"/>
        <v>20725</v>
      </c>
      <c r="Y203" s="36">
        <f t="shared" si="1454"/>
        <v>31334.880000000001</v>
      </c>
      <c r="Z203" s="36">
        <f t="shared" si="1454"/>
        <v>18611.059999999998</v>
      </c>
      <c r="AA203" s="36">
        <f t="shared" si="1454"/>
        <v>42071.69</v>
      </c>
      <c r="AB203" s="36">
        <f t="shared" si="1454"/>
        <v>17422.705999999998</v>
      </c>
      <c r="AC203" s="36">
        <f t="shared" si="1454"/>
        <v>3402.6152999999999</v>
      </c>
      <c r="AD203" s="36">
        <f t="shared" si="1454"/>
        <v>10087.530500000001</v>
      </c>
      <c r="AE203" s="36">
        <f t="shared" si="1454"/>
        <v>29230.017500000002</v>
      </c>
      <c r="AF203" s="36">
        <f t="shared" si="1454"/>
        <v>17632.764600000002</v>
      </c>
      <c r="AG203" s="36">
        <f t="shared" si="1455"/>
        <v>35418.268999999993</v>
      </c>
      <c r="AH203" s="36">
        <f t="shared" si="1455"/>
        <v>5000</v>
      </c>
      <c r="AI203" s="36">
        <f t="shared" si="1455"/>
        <v>8213.4970000000012</v>
      </c>
      <c r="AJ203" s="36">
        <f t="shared" si="1455"/>
        <v>10021.25</v>
      </c>
      <c r="AK203" s="36">
        <f t="shared" si="1455"/>
        <v>13755</v>
      </c>
      <c r="AL203" s="36">
        <f t="shared" si="1455"/>
        <v>7133.8303999999998</v>
      </c>
      <c r="AM203" s="36">
        <f t="shared" si="1455"/>
        <v>13580.4768</v>
      </c>
      <c r="AN203" s="36">
        <f t="shared" si="1455"/>
        <v>9490.2062050000004</v>
      </c>
      <c r="AO203" s="36">
        <f t="shared" si="1455"/>
        <v>3504.6937590000007</v>
      </c>
      <c r="AP203" s="36">
        <f t="shared" si="1455"/>
        <v>10390.156415000001</v>
      </c>
      <c r="AQ203" s="36">
        <f t="shared" si="1456"/>
        <v>29521.918024999999</v>
      </c>
      <c r="AR203" s="36">
        <f t="shared" si="1456"/>
        <v>18161.747538000003</v>
      </c>
      <c r="AS203" s="36">
        <f t="shared" si="1456"/>
        <v>36480.817070000005</v>
      </c>
      <c r="AT203" s="36">
        <f t="shared" si="1456"/>
        <v>5150</v>
      </c>
      <c r="AU203" s="36">
        <f t="shared" si="1456"/>
        <v>8459.9019100000005</v>
      </c>
      <c r="AV203" s="36">
        <f t="shared" si="1456"/>
        <v>10321.887500000001</v>
      </c>
      <c r="AW203" s="36">
        <f t="shared" si="1456"/>
        <v>14167.650000000001</v>
      </c>
      <c r="AX203" s="36">
        <f t="shared" si="1456"/>
        <v>7347.8453119999995</v>
      </c>
      <c r="AY203" s="36">
        <f t="shared" si="1456"/>
        <v>13987.891104000002</v>
      </c>
      <c r="AZ203" s="36">
        <f t="shared" si="1456"/>
        <v>9774.9123911499992</v>
      </c>
      <c r="BA203" s="36">
        <f t="shared" si="1457"/>
        <v>3609.8345717700008</v>
      </c>
      <c r="BB203" s="36">
        <f t="shared" si="1457"/>
        <v>10701.86110745</v>
      </c>
      <c r="BC203" s="36">
        <f t="shared" si="1457"/>
        <v>29822.575565750001</v>
      </c>
      <c r="BD203" s="36">
        <f t="shared" si="1457"/>
        <v>18706.599964140001</v>
      </c>
      <c r="BE203" s="36">
        <f t="shared" si="1457"/>
        <v>37575.241582100003</v>
      </c>
      <c r="BF203" s="36">
        <f t="shared" si="1457"/>
        <v>5304.5</v>
      </c>
      <c r="BG203" s="36">
        <f t="shared" si="1457"/>
        <v>8713.6989673000007</v>
      </c>
      <c r="BH203" s="36">
        <f t="shared" si="1457"/>
        <v>10631.544125</v>
      </c>
      <c r="BI203" s="36">
        <f t="shared" si="1457"/>
        <v>14592.6795</v>
      </c>
      <c r="BJ203" s="36">
        <f t="shared" si="1457"/>
        <v>7568.2806713600003</v>
      </c>
      <c r="BK203" s="36">
        <f t="shared" si="1458"/>
        <v>14407.52783712</v>
      </c>
      <c r="BL203" s="36">
        <f t="shared" si="1458"/>
        <v>10068.159762884501</v>
      </c>
      <c r="BM203" s="36">
        <f t="shared" si="1458"/>
        <v>3718.1296089231005</v>
      </c>
      <c r="BN203" s="36">
        <f t="shared" si="1458"/>
        <v>11022.916940673502</v>
      </c>
      <c r="BO203" s="36">
        <f t="shared" si="1458"/>
        <v>30132.252832722501</v>
      </c>
      <c r="BP203" s="36">
        <f t="shared" si="1458"/>
        <v>19267.7979630642</v>
      </c>
      <c r="BQ203" s="36">
        <f t="shared" si="1458"/>
        <v>38702.498829563003</v>
      </c>
      <c r="BR203" s="36">
        <f t="shared" si="1458"/>
        <v>5463.6350000000002</v>
      </c>
      <c r="BS203" s="36">
        <f t="shared" si="1458"/>
        <v>8975.1099363190006</v>
      </c>
      <c r="BT203" s="36">
        <f t="shared" si="1458"/>
        <v>10950.490448750001</v>
      </c>
      <c r="BU203" s="36">
        <f t="shared" si="1458"/>
        <v>15030.459885000002</v>
      </c>
      <c r="BV203" s="36">
        <f t="shared" si="1458"/>
        <v>7795.3290915008001</v>
      </c>
      <c r="BW203" s="36">
        <f t="shared" si="1458"/>
        <v>14839.753672233601</v>
      </c>
      <c r="BX203" s="36">
        <f t="shared" si="1458"/>
        <v>10370.204555771037</v>
      </c>
      <c r="BZ203" s="379">
        <f t="shared" si="1459"/>
        <v>42071.69</v>
      </c>
      <c r="CA203" s="379">
        <f t="shared" si="1460"/>
        <v>254203.96</v>
      </c>
      <c r="CB203" s="97"/>
      <c r="CC203" s="379">
        <f t="shared" si="1461"/>
        <v>0</v>
      </c>
      <c r="CD203" s="379">
        <f t="shared" si="1461"/>
        <v>0</v>
      </c>
      <c r="CE203" s="379">
        <f t="shared" si="1461"/>
        <v>107746.82</v>
      </c>
      <c r="CF203" s="379">
        <f t="shared" si="1461"/>
        <v>271626.66599999997</v>
      </c>
      <c r="CG203" s="379">
        <f t="shared" si="1461"/>
        <v>162965.45730500002</v>
      </c>
      <c r="CH203" s="379">
        <f t="shared" si="1461"/>
        <v>167269.42102414998</v>
      </c>
      <c r="CI203" s="379">
        <f t="shared" si="1461"/>
        <v>171702.50365487451</v>
      </c>
      <c r="CJ203" s="379">
        <f t="shared" si="1461"/>
        <v>176268.57876452076</v>
      </c>
    </row>
    <row r="204" spans="1:88" x14ac:dyDescent="0.3">
      <c r="A204" s="97" t="str">
        <f>'DCS Detail'!A204</f>
        <v>Cleaning Serv.</v>
      </c>
      <c r="B204" s="106"/>
      <c r="C204" s="36">
        <f t="shared" si="1452"/>
        <v>0</v>
      </c>
      <c r="D204" s="36">
        <f t="shared" si="1452"/>
        <v>0</v>
      </c>
      <c r="E204" s="36">
        <f t="shared" si="1452"/>
        <v>0</v>
      </c>
      <c r="F204" s="36">
        <f t="shared" si="1452"/>
        <v>2433.9</v>
      </c>
      <c r="G204" s="36">
        <f t="shared" si="1452"/>
        <v>0</v>
      </c>
      <c r="H204" s="36">
        <f t="shared" si="1452"/>
        <v>903.89</v>
      </c>
      <c r="I204" s="36">
        <f t="shared" si="1452"/>
        <v>244.97</v>
      </c>
      <c r="J204" s="36">
        <f t="shared" si="1452"/>
        <v>0</v>
      </c>
      <c r="K204" s="36">
        <f t="shared" si="1452"/>
        <v>1655.25</v>
      </c>
      <c r="L204" s="36">
        <f t="shared" si="1452"/>
        <v>2372.4999999999995</v>
      </c>
      <c r="M204" s="36">
        <f t="shared" si="1453"/>
        <v>2116.15</v>
      </c>
      <c r="N204" s="36">
        <f t="shared" si="1453"/>
        <v>4232.3</v>
      </c>
      <c r="O204" s="36">
        <f t="shared" si="1453"/>
        <v>0</v>
      </c>
      <c r="P204" s="36">
        <f t="shared" si="1453"/>
        <v>2116.15</v>
      </c>
      <c r="Q204" s="36">
        <f t="shared" si="1453"/>
        <v>2309.08</v>
      </c>
      <c r="R204" s="36">
        <f t="shared" si="1453"/>
        <v>2309.08</v>
      </c>
      <c r="S204" s="36">
        <f t="shared" si="1453"/>
        <v>2116.15</v>
      </c>
      <c r="T204" s="36">
        <f t="shared" si="1453"/>
        <v>2116.15</v>
      </c>
      <c r="U204" s="36">
        <f t="shared" si="1453"/>
        <v>2795</v>
      </c>
      <c r="V204" s="36">
        <f t="shared" si="1453"/>
        <v>3262.74</v>
      </c>
      <c r="W204" s="36">
        <f t="shared" si="1454"/>
        <v>5847.04</v>
      </c>
      <c r="X204" s="36">
        <f t="shared" si="1454"/>
        <v>4553.41</v>
      </c>
      <c r="Y204" s="36">
        <f t="shared" si="1454"/>
        <v>5655.8</v>
      </c>
      <c r="Z204" s="36">
        <f t="shared" si="1454"/>
        <v>1757.75</v>
      </c>
      <c r="AA204" s="36">
        <f t="shared" si="1454"/>
        <v>2816.58</v>
      </c>
      <c r="AB204" s="36">
        <f t="shared" si="1454"/>
        <v>2179.6345000000001</v>
      </c>
      <c r="AC204" s="36">
        <f t="shared" si="1454"/>
        <v>2378.3523999999998</v>
      </c>
      <c r="AD204" s="36">
        <f t="shared" si="1454"/>
        <v>2378.3523999999998</v>
      </c>
      <c r="AE204" s="36">
        <f t="shared" si="1454"/>
        <v>2179.6345000000001</v>
      </c>
      <c r="AF204" s="36">
        <f t="shared" si="1454"/>
        <v>2179.6345000000001</v>
      </c>
      <c r="AG204" s="36">
        <f t="shared" si="1455"/>
        <v>2878.85</v>
      </c>
      <c r="AH204" s="36">
        <f t="shared" si="1455"/>
        <v>3360.6222000000002</v>
      </c>
      <c r="AI204" s="36">
        <f t="shared" si="1455"/>
        <v>6022.4511999999995</v>
      </c>
      <c r="AJ204" s="36">
        <f t="shared" si="1455"/>
        <v>4690.0123000000003</v>
      </c>
      <c r="AK204" s="36">
        <f t="shared" si="1455"/>
        <v>5825.4740000000002</v>
      </c>
      <c r="AL204" s="36">
        <f t="shared" si="1455"/>
        <v>1810.4824999999998</v>
      </c>
      <c r="AM204" s="36">
        <f t="shared" si="1455"/>
        <v>2901.0774000000001</v>
      </c>
      <c r="AN204" s="36">
        <f t="shared" si="1455"/>
        <v>2245.0235350000003</v>
      </c>
      <c r="AO204" s="36">
        <f t="shared" si="1455"/>
        <v>2895.3855304347826</v>
      </c>
      <c r="AP204" s="36">
        <f t="shared" si="1455"/>
        <v>2895.3855304347826</v>
      </c>
      <c r="AQ204" s="36">
        <f t="shared" si="1456"/>
        <v>2653.4680869565223</v>
      </c>
      <c r="AR204" s="36">
        <f t="shared" si="1456"/>
        <v>2653.4680869565223</v>
      </c>
      <c r="AS204" s="36">
        <f t="shared" si="1456"/>
        <v>3504.6869565217394</v>
      </c>
      <c r="AT204" s="36">
        <f t="shared" si="1456"/>
        <v>4091.1922434782614</v>
      </c>
      <c r="AU204" s="36">
        <f t="shared" si="1456"/>
        <v>7331.6797217391304</v>
      </c>
      <c r="AV204" s="36">
        <f t="shared" si="1456"/>
        <v>5709.5801913043488</v>
      </c>
      <c r="AW204" s="36">
        <f t="shared" si="1456"/>
        <v>7091.8813913043487</v>
      </c>
      <c r="AX204" s="36">
        <f t="shared" si="1456"/>
        <v>2204.0656521739129</v>
      </c>
      <c r="AY204" s="36">
        <f t="shared" si="1456"/>
        <v>3531.7464000000004</v>
      </c>
      <c r="AZ204" s="36">
        <f t="shared" si="1456"/>
        <v>2733.0721295652179</v>
      </c>
      <c r="BA204" s="36">
        <f t="shared" si="1457"/>
        <v>2982.2470963478263</v>
      </c>
      <c r="BB204" s="36">
        <f t="shared" si="1457"/>
        <v>2982.2470963478263</v>
      </c>
      <c r="BC204" s="36">
        <f t="shared" si="1457"/>
        <v>2733.0721295652179</v>
      </c>
      <c r="BD204" s="36">
        <f t="shared" si="1457"/>
        <v>2733.0721295652179</v>
      </c>
      <c r="BE204" s="36">
        <f t="shared" si="1457"/>
        <v>3609.8275652173916</v>
      </c>
      <c r="BF204" s="36">
        <f t="shared" si="1457"/>
        <v>4213.9280107826089</v>
      </c>
      <c r="BG204" s="36">
        <f t="shared" si="1457"/>
        <v>7551.6301133913048</v>
      </c>
      <c r="BH204" s="36">
        <f t="shared" si="1457"/>
        <v>5880.8675970434788</v>
      </c>
      <c r="BI204" s="36">
        <f t="shared" si="1457"/>
        <v>7304.6378330434791</v>
      </c>
      <c r="BJ204" s="36">
        <f t="shared" si="1457"/>
        <v>2270.1876217391305</v>
      </c>
      <c r="BK204" s="36">
        <f t="shared" si="1458"/>
        <v>3637.6987920000001</v>
      </c>
      <c r="BL204" s="36">
        <f t="shared" si="1458"/>
        <v>2815.0642934521743</v>
      </c>
      <c r="BM204" s="36">
        <f t="shared" si="1458"/>
        <v>3071.7145092382611</v>
      </c>
      <c r="BN204" s="36">
        <f t="shared" si="1458"/>
        <v>3071.7145092382611</v>
      </c>
      <c r="BO204" s="36">
        <f t="shared" si="1458"/>
        <v>2815.0642934521743</v>
      </c>
      <c r="BP204" s="36">
        <f t="shared" si="1458"/>
        <v>2815.0642934521743</v>
      </c>
      <c r="BQ204" s="36">
        <f t="shared" si="1458"/>
        <v>3718.1223921739133</v>
      </c>
      <c r="BR204" s="36">
        <f t="shared" si="1458"/>
        <v>4340.345851106088</v>
      </c>
      <c r="BS204" s="36">
        <f t="shared" si="1458"/>
        <v>7778.179016793044</v>
      </c>
      <c r="BT204" s="36">
        <f t="shared" si="1458"/>
        <v>6057.2936249547838</v>
      </c>
      <c r="BU204" s="36">
        <f t="shared" si="1458"/>
        <v>7523.7769680347828</v>
      </c>
      <c r="BV204" s="36">
        <f t="shared" si="1458"/>
        <v>2338.2932503913044</v>
      </c>
      <c r="BW204" s="36">
        <f t="shared" si="1458"/>
        <v>3746.8297557600004</v>
      </c>
      <c r="BX204" s="36">
        <f t="shared" si="1458"/>
        <v>2899.5162222557396</v>
      </c>
      <c r="BZ204" s="379">
        <f t="shared" si="1459"/>
        <v>2816.58</v>
      </c>
      <c r="CA204" s="379">
        <f t="shared" si="1460"/>
        <v>35538.78</v>
      </c>
      <c r="CB204" s="97"/>
      <c r="CC204" s="379">
        <f t="shared" si="1461"/>
        <v>0</v>
      </c>
      <c r="CD204" s="379">
        <f t="shared" si="1461"/>
        <v>0</v>
      </c>
      <c r="CE204" s="379">
        <f t="shared" si="1461"/>
        <v>16075.109999999999</v>
      </c>
      <c r="CF204" s="379">
        <f t="shared" si="1461"/>
        <v>37718.414499999999</v>
      </c>
      <c r="CG204" s="379">
        <f t="shared" si="1461"/>
        <v>38849.966935000004</v>
      </c>
      <c r="CH204" s="379">
        <f t="shared" si="1461"/>
        <v>47295.611920869575</v>
      </c>
      <c r="CI204" s="379">
        <f t="shared" si="1461"/>
        <v>48714.480278495663</v>
      </c>
      <c r="CJ204" s="379">
        <f t="shared" si="1461"/>
        <v>50175.914686850534</v>
      </c>
    </row>
    <row r="205" spans="1:88" x14ac:dyDescent="0.3">
      <c r="A205" s="97" t="str">
        <f>'DCS Detail'!A205</f>
        <v>DAP Payroll</v>
      </c>
      <c r="B205" s="106"/>
      <c r="C205" s="36">
        <f t="shared" si="1452"/>
        <v>0</v>
      </c>
      <c r="D205" s="36">
        <f t="shared" si="1452"/>
        <v>0</v>
      </c>
      <c r="E205" s="36">
        <f t="shared" si="1452"/>
        <v>0</v>
      </c>
      <c r="F205" s="36">
        <f t="shared" si="1452"/>
        <v>0</v>
      </c>
      <c r="G205" s="36">
        <f t="shared" si="1452"/>
        <v>0</v>
      </c>
      <c r="H205" s="36">
        <f t="shared" si="1452"/>
        <v>0</v>
      </c>
      <c r="I205" s="36">
        <f t="shared" si="1452"/>
        <v>0</v>
      </c>
      <c r="J205" s="36">
        <f t="shared" si="1452"/>
        <v>0</v>
      </c>
      <c r="K205" s="36">
        <f t="shared" si="1452"/>
        <v>0</v>
      </c>
      <c r="L205" s="36">
        <f t="shared" si="1452"/>
        <v>0</v>
      </c>
      <c r="M205" s="36">
        <f t="shared" si="1453"/>
        <v>0</v>
      </c>
      <c r="N205" s="36">
        <f t="shared" si="1453"/>
        <v>0</v>
      </c>
      <c r="O205" s="36">
        <f t="shared" si="1453"/>
        <v>0</v>
      </c>
      <c r="P205" s="36">
        <f t="shared" si="1453"/>
        <v>0</v>
      </c>
      <c r="Q205" s="36">
        <f t="shared" si="1453"/>
        <v>0</v>
      </c>
      <c r="R205" s="36">
        <f t="shared" si="1453"/>
        <v>0</v>
      </c>
      <c r="S205" s="36">
        <f t="shared" si="1453"/>
        <v>0</v>
      </c>
      <c r="T205" s="36">
        <f t="shared" si="1453"/>
        <v>0</v>
      </c>
      <c r="U205" s="36">
        <f t="shared" si="1453"/>
        <v>0</v>
      </c>
      <c r="V205" s="36">
        <f t="shared" si="1453"/>
        <v>0</v>
      </c>
      <c r="W205" s="36">
        <f t="shared" si="1454"/>
        <v>0</v>
      </c>
      <c r="X205" s="36">
        <f t="shared" si="1454"/>
        <v>0</v>
      </c>
      <c r="Y205" s="36">
        <f t="shared" si="1454"/>
        <v>0</v>
      </c>
      <c r="Z205" s="36">
        <f t="shared" si="1454"/>
        <v>0</v>
      </c>
      <c r="AA205" s="36">
        <f t="shared" si="1454"/>
        <v>0</v>
      </c>
      <c r="AB205" s="36">
        <f t="shared" si="1454"/>
        <v>0</v>
      </c>
      <c r="AC205" s="36">
        <f t="shared" si="1454"/>
        <v>0</v>
      </c>
      <c r="AD205" s="36">
        <f t="shared" si="1454"/>
        <v>0</v>
      </c>
      <c r="AE205" s="36">
        <f t="shared" si="1454"/>
        <v>0</v>
      </c>
      <c r="AF205" s="36">
        <f t="shared" si="1454"/>
        <v>0</v>
      </c>
      <c r="AG205" s="36">
        <f t="shared" si="1455"/>
        <v>0</v>
      </c>
      <c r="AH205" s="36">
        <f t="shared" si="1455"/>
        <v>0</v>
      </c>
      <c r="AI205" s="36">
        <f t="shared" si="1455"/>
        <v>0</v>
      </c>
      <c r="AJ205" s="36">
        <f t="shared" si="1455"/>
        <v>0</v>
      </c>
      <c r="AK205" s="36">
        <f t="shared" si="1455"/>
        <v>0</v>
      </c>
      <c r="AL205" s="36">
        <f t="shared" si="1455"/>
        <v>0</v>
      </c>
      <c r="AM205" s="36">
        <f t="shared" si="1455"/>
        <v>0</v>
      </c>
      <c r="AN205" s="36">
        <f t="shared" si="1455"/>
        <v>0</v>
      </c>
      <c r="AO205" s="36">
        <f t="shared" si="1455"/>
        <v>0</v>
      </c>
      <c r="AP205" s="36">
        <f t="shared" si="1455"/>
        <v>0</v>
      </c>
      <c r="AQ205" s="36">
        <f t="shared" si="1456"/>
        <v>0</v>
      </c>
      <c r="AR205" s="36">
        <f t="shared" si="1456"/>
        <v>0</v>
      </c>
      <c r="AS205" s="36">
        <f t="shared" si="1456"/>
        <v>0</v>
      </c>
      <c r="AT205" s="36">
        <f t="shared" si="1456"/>
        <v>0</v>
      </c>
      <c r="AU205" s="36">
        <f t="shared" si="1456"/>
        <v>0</v>
      </c>
      <c r="AV205" s="36">
        <f t="shared" si="1456"/>
        <v>0</v>
      </c>
      <c r="AW205" s="36">
        <f t="shared" si="1456"/>
        <v>0</v>
      </c>
      <c r="AX205" s="36">
        <f t="shared" si="1456"/>
        <v>0</v>
      </c>
      <c r="AY205" s="36">
        <f t="shared" si="1456"/>
        <v>0</v>
      </c>
      <c r="AZ205" s="36">
        <f t="shared" si="1456"/>
        <v>0</v>
      </c>
      <c r="BA205" s="36">
        <f t="shared" si="1457"/>
        <v>0</v>
      </c>
      <c r="BB205" s="36">
        <f t="shared" si="1457"/>
        <v>0</v>
      </c>
      <c r="BC205" s="36">
        <f t="shared" si="1457"/>
        <v>0</v>
      </c>
      <c r="BD205" s="36">
        <f t="shared" si="1457"/>
        <v>0</v>
      </c>
      <c r="BE205" s="36">
        <f t="shared" si="1457"/>
        <v>0</v>
      </c>
      <c r="BF205" s="36">
        <f t="shared" si="1457"/>
        <v>0</v>
      </c>
      <c r="BG205" s="36">
        <f t="shared" si="1457"/>
        <v>0</v>
      </c>
      <c r="BH205" s="36">
        <f t="shared" si="1457"/>
        <v>0</v>
      </c>
      <c r="BI205" s="36">
        <f t="shared" si="1457"/>
        <v>0</v>
      </c>
      <c r="BJ205" s="36">
        <f t="shared" si="1457"/>
        <v>0</v>
      </c>
      <c r="BK205" s="36">
        <f t="shared" si="1458"/>
        <v>0</v>
      </c>
      <c r="BL205" s="36">
        <f t="shared" si="1458"/>
        <v>0</v>
      </c>
      <c r="BM205" s="36">
        <f t="shared" si="1458"/>
        <v>0</v>
      </c>
      <c r="BN205" s="36">
        <f t="shared" si="1458"/>
        <v>0</v>
      </c>
      <c r="BO205" s="36">
        <f t="shared" si="1458"/>
        <v>0</v>
      </c>
      <c r="BP205" s="36">
        <f t="shared" si="1458"/>
        <v>0</v>
      </c>
      <c r="BQ205" s="36">
        <f t="shared" si="1458"/>
        <v>0</v>
      </c>
      <c r="BR205" s="36">
        <f t="shared" si="1458"/>
        <v>0</v>
      </c>
      <c r="BS205" s="36">
        <f t="shared" si="1458"/>
        <v>0</v>
      </c>
      <c r="BT205" s="36">
        <f t="shared" si="1458"/>
        <v>0</v>
      </c>
      <c r="BU205" s="36">
        <f t="shared" si="1458"/>
        <v>0</v>
      </c>
      <c r="BV205" s="36">
        <f t="shared" si="1458"/>
        <v>0</v>
      </c>
      <c r="BW205" s="36">
        <f t="shared" si="1458"/>
        <v>0</v>
      </c>
      <c r="BX205" s="36">
        <f t="shared" si="1458"/>
        <v>0</v>
      </c>
      <c r="BZ205" s="379">
        <f t="shared" ref="BZ205" si="1462">SUMIF($B$252:$BY$252,1,$B205:$BY205)</f>
        <v>0</v>
      </c>
      <c r="CA205" s="379">
        <f t="shared" ref="CA205" si="1463">SUMIF($B$253:$BY$253,1,$B205:$BY205)</f>
        <v>0</v>
      </c>
      <c r="CB205" s="97"/>
      <c r="CC205" s="379">
        <f t="shared" si="1461"/>
        <v>0</v>
      </c>
      <c r="CD205" s="379">
        <f t="shared" si="1461"/>
        <v>0</v>
      </c>
      <c r="CE205" s="379">
        <f t="shared" si="1461"/>
        <v>0</v>
      </c>
      <c r="CF205" s="379">
        <f t="shared" si="1461"/>
        <v>0</v>
      </c>
      <c r="CG205" s="379">
        <f t="shared" si="1461"/>
        <v>0</v>
      </c>
      <c r="CH205" s="379">
        <f t="shared" si="1461"/>
        <v>0</v>
      </c>
      <c r="CI205" s="379">
        <f t="shared" si="1461"/>
        <v>0</v>
      </c>
      <c r="CJ205" s="379">
        <f t="shared" si="1461"/>
        <v>0</v>
      </c>
    </row>
    <row r="206" spans="1:88" x14ac:dyDescent="0.3">
      <c r="A206" s="97" t="str">
        <f>'DCS Detail'!A206</f>
        <v>Depreciation</v>
      </c>
      <c r="B206" s="106"/>
      <c r="C206" s="36">
        <f t="shared" si="1452"/>
        <v>0</v>
      </c>
      <c r="D206" s="36">
        <f t="shared" si="1452"/>
        <v>0</v>
      </c>
      <c r="E206" s="36">
        <f t="shared" si="1452"/>
        <v>221.01</v>
      </c>
      <c r="F206" s="36">
        <f t="shared" si="1452"/>
        <v>221.01</v>
      </c>
      <c r="G206" s="36">
        <f t="shared" si="1452"/>
        <v>221.01</v>
      </c>
      <c r="H206" s="36">
        <f t="shared" si="1452"/>
        <v>221.01</v>
      </c>
      <c r="I206" s="36">
        <f t="shared" si="1452"/>
        <v>221.01</v>
      </c>
      <c r="J206" s="36">
        <f t="shared" si="1452"/>
        <v>221.01</v>
      </c>
      <c r="K206" s="36">
        <f t="shared" si="1452"/>
        <v>221.01</v>
      </c>
      <c r="L206" s="36">
        <f t="shared" si="1452"/>
        <v>221.01</v>
      </c>
      <c r="M206" s="36">
        <f t="shared" si="1453"/>
        <v>7986.5400000000009</v>
      </c>
      <c r="N206" s="36">
        <f t="shared" si="1453"/>
        <v>2340.56</v>
      </c>
      <c r="O206" s="36">
        <f t="shared" si="1453"/>
        <v>2425.54</v>
      </c>
      <c r="P206" s="36">
        <f t="shared" si="1453"/>
        <v>129152.02</v>
      </c>
      <c r="Q206" s="36">
        <f t="shared" si="1453"/>
        <v>23489.360000000001</v>
      </c>
      <c r="R206" s="36">
        <f t="shared" si="1453"/>
        <v>23544.79</v>
      </c>
      <c r="S206" s="36">
        <f t="shared" si="1453"/>
        <v>23544.79</v>
      </c>
      <c r="T206" s="36">
        <f t="shared" si="1453"/>
        <v>23544.79</v>
      </c>
      <c r="U206" s="36">
        <f t="shared" si="1453"/>
        <v>23544.79</v>
      </c>
      <c r="V206" s="36">
        <f t="shared" si="1453"/>
        <v>23544.79</v>
      </c>
      <c r="W206" s="36">
        <f t="shared" si="1454"/>
        <v>23544.79</v>
      </c>
      <c r="X206" s="36">
        <f t="shared" si="1454"/>
        <v>23544.79</v>
      </c>
      <c r="Y206" s="36">
        <f t="shared" si="1454"/>
        <v>23544.79</v>
      </c>
      <c r="Z206" s="36">
        <f t="shared" si="1454"/>
        <v>23655.41</v>
      </c>
      <c r="AA206" s="36">
        <f t="shared" si="1454"/>
        <v>21528.799999999999</v>
      </c>
      <c r="AB206" s="36">
        <f t="shared" si="1454"/>
        <v>23544.79</v>
      </c>
      <c r="AC206" s="36">
        <f t="shared" si="1454"/>
        <v>25149.767142857148</v>
      </c>
      <c r="AD206" s="36">
        <f t="shared" si="1454"/>
        <v>25149.767142857148</v>
      </c>
      <c r="AE206" s="36">
        <f t="shared" si="1454"/>
        <v>25159.290952380961</v>
      </c>
      <c r="AF206" s="36">
        <f t="shared" si="1454"/>
        <v>25168.814761904767</v>
      </c>
      <c r="AG206" s="36">
        <f t="shared" si="1455"/>
        <v>25206.910000000007</v>
      </c>
      <c r="AH206" s="36">
        <f t="shared" si="1455"/>
        <v>27131.985926424648</v>
      </c>
      <c r="AI206" s="36">
        <f t="shared" si="1455"/>
        <v>29057.061852849292</v>
      </c>
      <c r="AJ206" s="36">
        <f t="shared" si="1455"/>
        <v>30982.137779273937</v>
      </c>
      <c r="AK206" s="36">
        <f t="shared" si="1455"/>
        <v>32907.213705698574</v>
      </c>
      <c r="AL206" s="36">
        <f t="shared" si="1455"/>
        <v>34832.289632123218</v>
      </c>
      <c r="AM206" s="36">
        <f t="shared" si="1455"/>
        <v>36757.365558547863</v>
      </c>
      <c r="AN206" s="36">
        <f t="shared" si="1455"/>
        <v>38682.441484972507</v>
      </c>
      <c r="AO206" s="36">
        <f t="shared" si="1455"/>
        <v>40605.749365713498</v>
      </c>
      <c r="AP206" s="36">
        <f t="shared" si="1455"/>
        <v>42529.057246454504</v>
      </c>
      <c r="AQ206" s="36">
        <f t="shared" si="1456"/>
        <v>44452.36512719551</v>
      </c>
      <c r="AR206" s="36">
        <f t="shared" si="1456"/>
        <v>46375.673007936508</v>
      </c>
      <c r="AS206" s="36">
        <f t="shared" si="1456"/>
        <v>46395.51427777778</v>
      </c>
      <c r="AT206" s="36">
        <f t="shared" si="1456"/>
        <v>46415.355547619045</v>
      </c>
      <c r="AU206" s="36">
        <f t="shared" si="1456"/>
        <v>46435.196817460317</v>
      </c>
      <c r="AV206" s="36">
        <f t="shared" si="1456"/>
        <v>46455.038087301575</v>
      </c>
      <c r="AW206" s="36">
        <f t="shared" si="1456"/>
        <v>46474.87935714284</v>
      </c>
      <c r="AX206" s="36">
        <f t="shared" si="1456"/>
        <v>46494.720626984112</v>
      </c>
      <c r="AY206" s="36">
        <f t="shared" si="1456"/>
        <v>46514.561896825377</v>
      </c>
      <c r="AZ206" s="36">
        <f t="shared" si="1456"/>
        <v>46534.403166666649</v>
      </c>
      <c r="BA206" s="36">
        <f t="shared" si="1457"/>
        <v>46554.244436507906</v>
      </c>
      <c r="BB206" s="36">
        <f t="shared" si="1457"/>
        <v>46574.085706349179</v>
      </c>
      <c r="BC206" s="36">
        <f t="shared" si="1457"/>
        <v>46593.926976190443</v>
      </c>
      <c r="BD206" s="36">
        <f t="shared" si="1457"/>
        <v>46613.768246031716</v>
      </c>
      <c r="BE206" s="36">
        <f t="shared" si="1457"/>
        <v>46633.60951587298</v>
      </c>
      <c r="BF206" s="36">
        <f t="shared" si="1457"/>
        <v>46653.450785714253</v>
      </c>
      <c r="BG206" s="36">
        <f t="shared" si="1457"/>
        <v>46673.29205555551</v>
      </c>
      <c r="BH206" s="36">
        <f t="shared" si="1457"/>
        <v>46693.133325396775</v>
      </c>
      <c r="BI206" s="36">
        <f t="shared" si="1457"/>
        <v>46712.974595238047</v>
      </c>
      <c r="BJ206" s="36">
        <f t="shared" si="1457"/>
        <v>46732.815865079312</v>
      </c>
      <c r="BK206" s="36">
        <f t="shared" si="1458"/>
        <v>46752.657134920584</v>
      </c>
      <c r="BL206" s="36">
        <f t="shared" si="1458"/>
        <v>46772.498404761842</v>
      </c>
      <c r="BM206" s="36">
        <f t="shared" si="1458"/>
        <v>46792.339674603114</v>
      </c>
      <c r="BN206" s="36">
        <f t="shared" si="1458"/>
        <v>46812.180944444379</v>
      </c>
      <c r="BO206" s="36">
        <f t="shared" si="1458"/>
        <v>46832.022214285651</v>
      </c>
      <c r="BP206" s="36">
        <f t="shared" si="1458"/>
        <v>46851.863484126916</v>
      </c>
      <c r="BQ206" s="36">
        <f t="shared" si="1458"/>
        <v>46871.704753968188</v>
      </c>
      <c r="BR206" s="36">
        <f t="shared" si="1458"/>
        <v>46891.546023809446</v>
      </c>
      <c r="BS206" s="36">
        <f t="shared" si="1458"/>
        <v>46911.387293650718</v>
      </c>
      <c r="BT206" s="36">
        <f t="shared" si="1458"/>
        <v>46931.228563491983</v>
      </c>
      <c r="BU206" s="36">
        <f t="shared" si="1458"/>
        <v>46951.069833333248</v>
      </c>
      <c r="BV206" s="36">
        <f t="shared" si="1458"/>
        <v>46970.91110317452</v>
      </c>
      <c r="BW206" s="36">
        <f t="shared" si="1458"/>
        <v>46990.752373015777</v>
      </c>
      <c r="BX206" s="36">
        <f t="shared" si="1458"/>
        <v>47010.593642857049</v>
      </c>
      <c r="BZ206" s="379">
        <f>SUMIF($B$252:$BY$252,1,$B206:$BY206)</f>
        <v>21528.799999999999</v>
      </c>
      <c r="CA206" s="379">
        <f>SUMIF($B$253:$BY$253,1,$B206:$BY206)</f>
        <v>257031.89000000004</v>
      </c>
      <c r="CB206" s="97"/>
      <c r="CC206" s="379">
        <f t="shared" si="1461"/>
        <v>0</v>
      </c>
      <c r="CD206" s="379">
        <f t="shared" si="1461"/>
        <v>0</v>
      </c>
      <c r="CE206" s="379">
        <f t="shared" si="1461"/>
        <v>143672.74</v>
      </c>
      <c r="CF206" s="379">
        <f t="shared" si="1461"/>
        <v>280576.68000000005</v>
      </c>
      <c r="CG206" s="379">
        <f t="shared" si="1461"/>
        <v>356185.04593989003</v>
      </c>
      <c r="CH206" s="379">
        <f t="shared" si="1461"/>
        <v>545682.51452507777</v>
      </c>
      <c r="CI206" s="379">
        <f t="shared" si="1461"/>
        <v>559960.45704761846</v>
      </c>
      <c r="CJ206" s="379">
        <f t="shared" si="1461"/>
        <v>562817.59990476095</v>
      </c>
    </row>
    <row r="207" spans="1:88" x14ac:dyDescent="0.3">
      <c r="A207" s="97" t="str">
        <f>'DCS Detail'!A207</f>
        <v>Interest</v>
      </c>
      <c r="B207" s="106"/>
      <c r="C207" s="36">
        <f t="shared" si="1452"/>
        <v>0</v>
      </c>
      <c r="D207" s="36">
        <f t="shared" si="1452"/>
        <v>0</v>
      </c>
      <c r="E207" s="36">
        <f t="shared" si="1452"/>
        <v>0</v>
      </c>
      <c r="F207" s="36">
        <f t="shared" si="1452"/>
        <v>0</v>
      </c>
      <c r="G207" s="36">
        <f t="shared" si="1452"/>
        <v>0</v>
      </c>
      <c r="H207" s="36">
        <f t="shared" si="1452"/>
        <v>0</v>
      </c>
      <c r="I207" s="36">
        <f t="shared" si="1452"/>
        <v>0</v>
      </c>
      <c r="J207" s="36">
        <f t="shared" si="1452"/>
        <v>0</v>
      </c>
      <c r="K207" s="36">
        <f t="shared" si="1452"/>
        <v>0</v>
      </c>
      <c r="L207" s="36">
        <f t="shared" si="1452"/>
        <v>0</v>
      </c>
      <c r="M207" s="36">
        <f t="shared" si="1453"/>
        <v>0</v>
      </c>
      <c r="N207" s="36">
        <f t="shared" si="1453"/>
        <v>0</v>
      </c>
      <c r="O207" s="36">
        <f t="shared" si="1453"/>
        <v>0</v>
      </c>
      <c r="P207" s="36">
        <f t="shared" si="1453"/>
        <v>267350</v>
      </c>
      <c r="Q207" s="36">
        <f t="shared" si="1453"/>
        <v>53924.19</v>
      </c>
      <c r="R207" s="36">
        <f t="shared" si="1453"/>
        <v>54078.66</v>
      </c>
      <c r="S207" s="36">
        <f t="shared" si="1453"/>
        <v>54234.44</v>
      </c>
      <c r="T207" s="36">
        <f t="shared" si="1453"/>
        <v>54391.57</v>
      </c>
      <c r="U207" s="36">
        <f t="shared" si="1453"/>
        <v>54550.04</v>
      </c>
      <c r="V207" s="36">
        <f t="shared" si="1453"/>
        <v>54709.88</v>
      </c>
      <c r="W207" s="36">
        <f t="shared" si="1454"/>
        <v>54871.08</v>
      </c>
      <c r="X207" s="36">
        <f t="shared" si="1454"/>
        <v>54989.11</v>
      </c>
      <c r="Y207" s="36">
        <f t="shared" si="1454"/>
        <v>55108.15</v>
      </c>
      <c r="Z207" s="36">
        <f t="shared" si="1454"/>
        <v>55228.22</v>
      </c>
      <c r="AA207" s="36">
        <f t="shared" si="1454"/>
        <v>55349.31</v>
      </c>
      <c r="AB207" s="36">
        <f t="shared" si="1454"/>
        <v>55471.45</v>
      </c>
      <c r="AC207" s="36">
        <f t="shared" si="1454"/>
        <v>50687.869999999995</v>
      </c>
      <c r="AD207" s="36">
        <f t="shared" si="1454"/>
        <v>50687.869999999995</v>
      </c>
      <c r="AE207" s="36">
        <f t="shared" si="1454"/>
        <v>50687.869999999995</v>
      </c>
      <c r="AF207" s="36">
        <f t="shared" si="1454"/>
        <v>50687.869999999995</v>
      </c>
      <c r="AG207" s="36">
        <f t="shared" si="1455"/>
        <v>50687.869999999995</v>
      </c>
      <c r="AH207" s="36">
        <f t="shared" si="1455"/>
        <v>50687.869999999995</v>
      </c>
      <c r="AI207" s="36">
        <f t="shared" si="1455"/>
        <v>50687.869999999995</v>
      </c>
      <c r="AJ207" s="36">
        <f t="shared" si="1455"/>
        <v>50687.869999999995</v>
      </c>
      <c r="AK207" s="36">
        <f t="shared" si="1455"/>
        <v>50687.869999999995</v>
      </c>
      <c r="AL207" s="36">
        <f t="shared" si="1455"/>
        <v>50687.869999999995</v>
      </c>
      <c r="AM207" s="36">
        <f t="shared" si="1455"/>
        <v>50687.869999999995</v>
      </c>
      <c r="AN207" s="36">
        <f t="shared" si="1455"/>
        <v>50687.869999999995</v>
      </c>
      <c r="AO207" s="36">
        <f t="shared" si="1455"/>
        <v>83354.672500000001</v>
      </c>
      <c r="AP207" s="36">
        <f t="shared" si="1455"/>
        <v>83354.672500000001</v>
      </c>
      <c r="AQ207" s="36">
        <f t="shared" si="1456"/>
        <v>83354.672500000001</v>
      </c>
      <c r="AR207" s="36">
        <f t="shared" si="1456"/>
        <v>83354.672500000001</v>
      </c>
      <c r="AS207" s="36">
        <f t="shared" si="1456"/>
        <v>83354.672500000001</v>
      </c>
      <c r="AT207" s="36">
        <f t="shared" si="1456"/>
        <v>83354.672500000001</v>
      </c>
      <c r="AU207" s="36">
        <f t="shared" si="1456"/>
        <v>83354.672500000001</v>
      </c>
      <c r="AV207" s="36">
        <f t="shared" si="1456"/>
        <v>83354.672500000001</v>
      </c>
      <c r="AW207" s="36">
        <f t="shared" si="1456"/>
        <v>83354.672500000001</v>
      </c>
      <c r="AX207" s="36">
        <f t="shared" si="1456"/>
        <v>83354.672500000001</v>
      </c>
      <c r="AY207" s="36">
        <f t="shared" si="1456"/>
        <v>83354.672500000001</v>
      </c>
      <c r="AZ207" s="36">
        <f t="shared" si="1456"/>
        <v>83354.672500000001</v>
      </c>
      <c r="BA207" s="36">
        <f t="shared" si="1457"/>
        <v>109145.83333333333</v>
      </c>
      <c r="BB207" s="36">
        <f t="shared" si="1457"/>
        <v>109145.83333333333</v>
      </c>
      <c r="BC207" s="36">
        <f t="shared" si="1457"/>
        <v>109145.83333333333</v>
      </c>
      <c r="BD207" s="36">
        <f t="shared" si="1457"/>
        <v>109145.83333333333</v>
      </c>
      <c r="BE207" s="36">
        <f t="shared" si="1457"/>
        <v>109145.83333333333</v>
      </c>
      <c r="BF207" s="36">
        <f t="shared" si="1457"/>
        <v>109145.83333333333</v>
      </c>
      <c r="BG207" s="36">
        <f t="shared" si="1457"/>
        <v>109145.83333333333</v>
      </c>
      <c r="BH207" s="36">
        <f t="shared" si="1457"/>
        <v>109145.83333333333</v>
      </c>
      <c r="BI207" s="36">
        <f t="shared" si="1457"/>
        <v>109145.83333333333</v>
      </c>
      <c r="BJ207" s="36">
        <f t="shared" si="1457"/>
        <v>109145.83333333333</v>
      </c>
      <c r="BK207" s="36">
        <f t="shared" si="1458"/>
        <v>109145.83333333333</v>
      </c>
      <c r="BL207" s="36">
        <f t="shared" si="1458"/>
        <v>109145.83333333333</v>
      </c>
      <c r="BM207" s="36">
        <f t="shared" si="1458"/>
        <v>108414.58333333333</v>
      </c>
      <c r="BN207" s="36">
        <f t="shared" si="1458"/>
        <v>108414.58333333333</v>
      </c>
      <c r="BO207" s="36">
        <f t="shared" si="1458"/>
        <v>108414.58333333333</v>
      </c>
      <c r="BP207" s="36">
        <f t="shared" si="1458"/>
        <v>108414.58333333333</v>
      </c>
      <c r="BQ207" s="36">
        <f t="shared" si="1458"/>
        <v>108414.58333333333</v>
      </c>
      <c r="BR207" s="36">
        <f t="shared" si="1458"/>
        <v>108414.58333333333</v>
      </c>
      <c r="BS207" s="36">
        <f t="shared" si="1458"/>
        <v>108414.58333333333</v>
      </c>
      <c r="BT207" s="36">
        <f t="shared" si="1458"/>
        <v>108414.58333333333</v>
      </c>
      <c r="BU207" s="36">
        <f t="shared" si="1458"/>
        <v>108414.58333333333</v>
      </c>
      <c r="BV207" s="36">
        <f t="shared" si="1458"/>
        <v>108414.58333333333</v>
      </c>
      <c r="BW207" s="36">
        <f t="shared" si="1458"/>
        <v>108414.58333333333</v>
      </c>
      <c r="BX207" s="36">
        <f t="shared" si="1458"/>
        <v>108414.58333333333</v>
      </c>
      <c r="BZ207" s="379">
        <f>SUMIF($B$252:$BY$252,1,$B207:$BY207)</f>
        <v>55349.31</v>
      </c>
      <c r="CA207" s="379">
        <f>SUMIF($B$253:$BY$253,1,$B207:$BY207)</f>
        <v>601434.65000000014</v>
      </c>
      <c r="CB207" s="97"/>
      <c r="CC207" s="379">
        <f t="shared" si="1461"/>
        <v>0</v>
      </c>
      <c r="CD207" s="379">
        <f t="shared" si="1461"/>
        <v>0</v>
      </c>
      <c r="CE207" s="379">
        <f t="shared" si="1461"/>
        <v>267350</v>
      </c>
      <c r="CF207" s="379">
        <f t="shared" si="1461"/>
        <v>656906.10000000009</v>
      </c>
      <c r="CG207" s="379">
        <f t="shared" si="1461"/>
        <v>608254.43999999994</v>
      </c>
      <c r="CH207" s="379">
        <f t="shared" si="1461"/>
        <v>1000256.07</v>
      </c>
      <c r="CI207" s="379">
        <f t="shared" si="1461"/>
        <v>1309750</v>
      </c>
      <c r="CJ207" s="379">
        <f t="shared" si="1461"/>
        <v>1300975</v>
      </c>
    </row>
    <row r="208" spans="1:88" x14ac:dyDescent="0.3">
      <c r="A208" s="97" t="str">
        <f>'DCS Detail'!A208</f>
        <v>Misc.</v>
      </c>
      <c r="B208" s="106"/>
      <c r="C208" s="36">
        <f t="shared" si="1452"/>
        <v>0</v>
      </c>
      <c r="D208" s="36">
        <f t="shared" si="1452"/>
        <v>0</v>
      </c>
      <c r="E208" s="36">
        <f t="shared" si="1452"/>
        <v>226.36</v>
      </c>
      <c r="F208" s="36">
        <f t="shared" si="1452"/>
        <v>19.5</v>
      </c>
      <c r="G208" s="36">
        <f t="shared" si="1452"/>
        <v>1256.4000000000001</v>
      </c>
      <c r="H208" s="36">
        <f t="shared" si="1452"/>
        <v>501.71999999999997</v>
      </c>
      <c r="I208" s="36">
        <f t="shared" si="1452"/>
        <v>254.91000000000003</v>
      </c>
      <c r="J208" s="36">
        <f t="shared" si="1452"/>
        <v>0</v>
      </c>
      <c r="K208" s="36">
        <f t="shared" si="1452"/>
        <v>1653.28</v>
      </c>
      <c r="L208" s="36">
        <f t="shared" si="1452"/>
        <v>785.84999999999945</v>
      </c>
      <c r="M208" s="36">
        <f t="shared" si="1453"/>
        <v>3088.04</v>
      </c>
      <c r="N208" s="36">
        <f t="shared" si="1453"/>
        <v>19.5</v>
      </c>
      <c r="O208" s="36">
        <f t="shared" si="1453"/>
        <v>1021.8</v>
      </c>
      <c r="P208" s="36">
        <f t="shared" si="1453"/>
        <v>39527.760000000002</v>
      </c>
      <c r="Q208" s="36">
        <f t="shared" si="1453"/>
        <v>1186.6500000000001</v>
      </c>
      <c r="R208" s="36">
        <f t="shared" si="1453"/>
        <v>721.5</v>
      </c>
      <c r="S208" s="36">
        <f t="shared" si="1453"/>
        <v>1041.1300000000001</v>
      </c>
      <c r="T208" s="36">
        <f t="shared" si="1453"/>
        <v>793.48</v>
      </c>
      <c r="U208" s="36">
        <f t="shared" si="1453"/>
        <v>835.19999999999993</v>
      </c>
      <c r="V208" s="36">
        <f t="shared" si="1453"/>
        <v>462.46</v>
      </c>
      <c r="W208" s="36">
        <f t="shared" si="1454"/>
        <v>6353</v>
      </c>
      <c r="X208" s="36">
        <f t="shared" si="1454"/>
        <v>838.3</v>
      </c>
      <c r="Y208" s="36">
        <f t="shared" si="1454"/>
        <v>1617.8600000000001</v>
      </c>
      <c r="Z208" s="36">
        <f t="shared" si="1454"/>
        <v>1256.24</v>
      </c>
      <c r="AA208" s="36">
        <f t="shared" si="1454"/>
        <v>3111.08</v>
      </c>
      <c r="AB208" s="36">
        <f t="shared" si="1454"/>
        <v>860.13239999999996</v>
      </c>
      <c r="AC208" s="36">
        <f t="shared" si="1454"/>
        <v>1222.2494999999999</v>
      </c>
      <c r="AD208" s="36">
        <f t="shared" si="1454"/>
        <v>743.1450000000001</v>
      </c>
      <c r="AE208" s="36">
        <f t="shared" si="1454"/>
        <v>1072.3639000000001</v>
      </c>
      <c r="AF208" s="36">
        <f t="shared" si="1454"/>
        <v>817.28440000000001</v>
      </c>
      <c r="AG208" s="36">
        <f t="shared" si="1455"/>
        <v>860.25599999999997</v>
      </c>
      <c r="AH208" s="36">
        <f t="shared" si="1455"/>
        <v>476.3338</v>
      </c>
      <c r="AI208" s="36">
        <f t="shared" si="1455"/>
        <v>6543.59</v>
      </c>
      <c r="AJ208" s="36">
        <f t="shared" si="1455"/>
        <v>863.44899999999996</v>
      </c>
      <c r="AK208" s="36">
        <f t="shared" si="1455"/>
        <v>1666.3958000000002</v>
      </c>
      <c r="AL208" s="36">
        <f t="shared" si="1455"/>
        <v>1293.9272000000001</v>
      </c>
      <c r="AM208" s="36">
        <f t="shared" si="1455"/>
        <v>3204.4124000000002</v>
      </c>
      <c r="AN208" s="36">
        <f t="shared" si="1455"/>
        <v>885.93637199999989</v>
      </c>
      <c r="AO208" s="36">
        <f t="shared" si="1455"/>
        <v>1258.9169850000001</v>
      </c>
      <c r="AP208" s="36">
        <f t="shared" si="1455"/>
        <v>765.4393500000001</v>
      </c>
      <c r="AQ208" s="36">
        <f t="shared" si="1456"/>
        <v>1104.5348170000002</v>
      </c>
      <c r="AR208" s="36">
        <f t="shared" si="1456"/>
        <v>841.80293200000017</v>
      </c>
      <c r="AS208" s="36">
        <f t="shared" si="1456"/>
        <v>886.06367999999998</v>
      </c>
      <c r="AT208" s="36">
        <f t="shared" si="1456"/>
        <v>490.62381400000004</v>
      </c>
      <c r="AU208" s="36">
        <f t="shared" si="1456"/>
        <v>6739.8977000000004</v>
      </c>
      <c r="AV208" s="36">
        <f t="shared" si="1456"/>
        <v>889.35247000000004</v>
      </c>
      <c r="AW208" s="36">
        <f t="shared" si="1456"/>
        <v>1716.3876740000001</v>
      </c>
      <c r="AX208" s="36">
        <f t="shared" si="1456"/>
        <v>1332.7450160000001</v>
      </c>
      <c r="AY208" s="36">
        <f t="shared" si="1456"/>
        <v>3300.5447720000002</v>
      </c>
      <c r="AZ208" s="36">
        <f t="shared" si="1456"/>
        <v>912.51446315999988</v>
      </c>
      <c r="BA208" s="36">
        <f t="shared" si="1457"/>
        <v>1296.6844945500002</v>
      </c>
      <c r="BB208" s="36">
        <f t="shared" si="1457"/>
        <v>788.40253050000024</v>
      </c>
      <c r="BC208" s="36">
        <f t="shared" si="1457"/>
        <v>1137.6708615100001</v>
      </c>
      <c r="BD208" s="36">
        <f t="shared" si="1457"/>
        <v>867.05701996000016</v>
      </c>
      <c r="BE208" s="36">
        <f t="shared" si="1457"/>
        <v>912.64559040000006</v>
      </c>
      <c r="BF208" s="36">
        <f t="shared" si="1457"/>
        <v>505.34252842000006</v>
      </c>
      <c r="BG208" s="36">
        <f t="shared" si="1457"/>
        <v>6942.0946310000008</v>
      </c>
      <c r="BH208" s="36">
        <f t="shared" si="1457"/>
        <v>916.0330441000001</v>
      </c>
      <c r="BI208" s="36">
        <f t="shared" si="1457"/>
        <v>1767.87930422</v>
      </c>
      <c r="BJ208" s="36">
        <f t="shared" si="1457"/>
        <v>1372.72736648</v>
      </c>
      <c r="BK208" s="36">
        <f t="shared" si="1458"/>
        <v>3399.5611151600001</v>
      </c>
      <c r="BL208" s="36">
        <f t="shared" si="1458"/>
        <v>939.88989705479992</v>
      </c>
      <c r="BM208" s="36">
        <f t="shared" si="1458"/>
        <v>1335.5850293865001</v>
      </c>
      <c r="BN208" s="36">
        <f t="shared" si="1458"/>
        <v>812.05460641500019</v>
      </c>
      <c r="BO208" s="36">
        <f t="shared" si="1458"/>
        <v>1171.8009873553003</v>
      </c>
      <c r="BP208" s="36">
        <f t="shared" si="1458"/>
        <v>893.0687305588001</v>
      </c>
      <c r="BQ208" s="36">
        <f t="shared" si="1458"/>
        <v>940.02495811200015</v>
      </c>
      <c r="BR208" s="36">
        <f t="shared" si="1458"/>
        <v>520.50280427260009</v>
      </c>
      <c r="BS208" s="36">
        <f t="shared" si="1458"/>
        <v>7150.3574699300016</v>
      </c>
      <c r="BT208" s="36">
        <f t="shared" si="1458"/>
        <v>943.51403542300011</v>
      </c>
      <c r="BU208" s="36">
        <f t="shared" si="1458"/>
        <v>1820.9156833466004</v>
      </c>
      <c r="BV208" s="36">
        <f t="shared" si="1458"/>
        <v>1413.9091874744001</v>
      </c>
      <c r="BW208" s="36">
        <f t="shared" si="1458"/>
        <v>3501.5479486148006</v>
      </c>
      <c r="BX208" s="36">
        <f t="shared" si="1458"/>
        <v>968.08659396644384</v>
      </c>
      <c r="BZ208" s="379">
        <f>SUMIF($B$252:$BY$252,1,$B208:$BY208)</f>
        <v>3111.08</v>
      </c>
      <c r="CA208" s="379">
        <f>SUMIF($B$253:$BY$253,1,$B208:$BY208)</f>
        <v>18216.900000000001</v>
      </c>
      <c r="CB208" s="97"/>
      <c r="CC208" s="379">
        <f t="shared" si="1461"/>
        <v>0</v>
      </c>
      <c r="CD208" s="379">
        <f t="shared" si="1461"/>
        <v>0</v>
      </c>
      <c r="CE208" s="379">
        <f t="shared" si="1461"/>
        <v>48355.12</v>
      </c>
      <c r="CF208" s="379">
        <f t="shared" si="1461"/>
        <v>19077.0324</v>
      </c>
      <c r="CG208" s="379">
        <f t="shared" si="1461"/>
        <v>19649.343372000003</v>
      </c>
      <c r="CH208" s="379">
        <f t="shared" si="1461"/>
        <v>20238.823673160005</v>
      </c>
      <c r="CI208" s="379">
        <f t="shared" si="1461"/>
        <v>20845.988383354801</v>
      </c>
      <c r="CJ208" s="379">
        <f t="shared" si="1461"/>
        <v>21471.368034855448</v>
      </c>
    </row>
    <row r="209" spans="1:88" ht="3" customHeight="1" x14ac:dyDescent="0.3">
      <c r="A209" s="97"/>
      <c r="B209" s="106"/>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Z209" s="391"/>
      <c r="CA209" s="391"/>
      <c r="CB209" s="97"/>
      <c r="CC209" s="391"/>
      <c r="CD209" s="391"/>
      <c r="CE209" s="391"/>
      <c r="CF209" s="391"/>
      <c r="CG209" s="391"/>
      <c r="CH209" s="391"/>
      <c r="CI209" s="391"/>
      <c r="CJ209" s="391"/>
    </row>
    <row r="210" spans="1:88" x14ac:dyDescent="0.3">
      <c r="A210" s="108" t="s">
        <v>116</v>
      </c>
      <c r="B210" s="106"/>
      <c r="C210" s="8">
        <f t="shared" ref="C210:AH210" si="1464">SUM(C194:C209)</f>
        <v>0</v>
      </c>
      <c r="D210" s="8">
        <f t="shared" si="1464"/>
        <v>0</v>
      </c>
      <c r="E210" s="8">
        <f t="shared" si="1464"/>
        <v>-57076.890000000007</v>
      </c>
      <c r="F210" s="8">
        <f t="shared" si="1464"/>
        <v>178584.16999999998</v>
      </c>
      <c r="G210" s="8">
        <f t="shared" si="1464"/>
        <v>276311.13000000006</v>
      </c>
      <c r="H210" s="8">
        <f t="shared" si="1464"/>
        <v>237051.87700000001</v>
      </c>
      <c r="I210" s="8">
        <f t="shared" si="1464"/>
        <v>220223.29419999995</v>
      </c>
      <c r="J210" s="8">
        <f t="shared" si="1464"/>
        <v>165549.26239999998</v>
      </c>
      <c r="K210" s="8">
        <f t="shared" si="1464"/>
        <v>223252.34400000001</v>
      </c>
      <c r="L210" s="8">
        <f t="shared" si="1464"/>
        <v>235780.3124</v>
      </c>
      <c r="M210" s="8">
        <f t="shared" si="1464"/>
        <v>234729.65999999992</v>
      </c>
      <c r="N210" s="8">
        <f t="shared" si="1464"/>
        <v>251692.28000000003</v>
      </c>
      <c r="O210" s="8">
        <f t="shared" si="1464"/>
        <v>229952.57</v>
      </c>
      <c r="P210" s="8">
        <f t="shared" si="1464"/>
        <v>540103.71</v>
      </c>
      <c r="Q210" s="8">
        <f t="shared" si="1464"/>
        <v>152601.11000000002</v>
      </c>
      <c r="R210" s="8">
        <f t="shared" si="1464"/>
        <v>297774.2</v>
      </c>
      <c r="S210" s="8">
        <f t="shared" si="1464"/>
        <v>378761.6</v>
      </c>
      <c r="T210" s="8">
        <f t="shared" si="1464"/>
        <v>293258.75</v>
      </c>
      <c r="U210" s="8">
        <f t="shared" si="1464"/>
        <v>393268.01999999996</v>
      </c>
      <c r="V210" s="8">
        <f t="shared" si="1464"/>
        <v>294395.90000000002</v>
      </c>
      <c r="W210" s="8">
        <f t="shared" si="1464"/>
        <v>302605.04000000004</v>
      </c>
      <c r="X210" s="8">
        <f t="shared" si="1464"/>
        <v>331273.84999999998</v>
      </c>
      <c r="Y210" s="8">
        <f t="shared" si="1464"/>
        <v>178872.75</v>
      </c>
      <c r="Z210" s="8">
        <f t="shared" si="1464"/>
        <v>331363.27999999991</v>
      </c>
      <c r="AA210" s="8">
        <f t="shared" si="1464"/>
        <v>331243.44</v>
      </c>
      <c r="AB210" s="8">
        <f t="shared" si="1464"/>
        <v>430006.41580142477</v>
      </c>
      <c r="AC210" s="8">
        <f t="shared" si="1464"/>
        <v>109469.58790952381</v>
      </c>
      <c r="AD210" s="8">
        <f t="shared" si="1464"/>
        <v>289854.14853319118</v>
      </c>
      <c r="AE210" s="8">
        <f t="shared" si="1464"/>
        <v>380734.36362876685</v>
      </c>
      <c r="AF210" s="8">
        <f t="shared" si="1464"/>
        <v>295323.81900887238</v>
      </c>
      <c r="AG210" s="8">
        <f t="shared" si="1464"/>
        <v>313696.25543303537</v>
      </c>
      <c r="AH210" s="8">
        <f t="shared" si="1464"/>
        <v>274611.30391524005</v>
      </c>
      <c r="AI210" s="8">
        <f t="shared" ref="AI210:AZ210" si="1465">SUM(AI194:AI209)</f>
        <v>304215.3741580635</v>
      </c>
      <c r="AJ210" s="8">
        <f t="shared" si="1465"/>
        <v>285420.26723606605</v>
      </c>
      <c r="AK210" s="8">
        <f t="shared" si="1465"/>
        <v>302238.36036249058</v>
      </c>
      <c r="AL210" s="8">
        <f t="shared" si="1465"/>
        <v>281513.54786031408</v>
      </c>
      <c r="AM210" s="8">
        <f t="shared" si="1465"/>
        <v>297854.15076080611</v>
      </c>
      <c r="AN210" s="8">
        <f t="shared" si="1465"/>
        <v>439890.35177800042</v>
      </c>
      <c r="AO210" s="8">
        <f t="shared" si="1465"/>
        <v>162996.63769238014</v>
      </c>
      <c r="AP210" s="8">
        <f t="shared" si="1465"/>
        <v>367850.90628626494</v>
      </c>
      <c r="AQ210" s="8">
        <f t="shared" si="1465"/>
        <v>444123.69540100842</v>
      </c>
      <c r="AR210" s="8">
        <f t="shared" si="1465"/>
        <v>377716.0473104199</v>
      </c>
      <c r="AS210" s="8">
        <f t="shared" si="1465"/>
        <v>395169.63109685737</v>
      </c>
      <c r="AT210" s="8">
        <f t="shared" si="1465"/>
        <v>351283.79195251979</v>
      </c>
      <c r="AU210" s="8">
        <f t="shared" si="1465"/>
        <v>382287.61298927997</v>
      </c>
      <c r="AV210" s="8">
        <f t="shared" si="1465"/>
        <v>359017.41348688753</v>
      </c>
      <c r="AW210" s="8">
        <f t="shared" si="1465"/>
        <v>376297.83563516353</v>
      </c>
      <c r="AX210" s="8">
        <f t="shared" si="1465"/>
        <v>350003.81573875318</v>
      </c>
      <c r="AY210" s="8">
        <f t="shared" si="1465"/>
        <v>365997.31439980154</v>
      </c>
      <c r="AZ210" s="8">
        <f t="shared" si="1465"/>
        <v>523641.66767467</v>
      </c>
      <c r="BA210" s="8">
        <f t="shared" ref="BA210:BX210" si="1466">SUM(BA194:BA209)</f>
        <v>195907.38007130788</v>
      </c>
      <c r="BB210" s="8">
        <f t="shared" si="1466"/>
        <v>404942.81830903114</v>
      </c>
      <c r="BC210" s="8">
        <f t="shared" si="1466"/>
        <v>480959.12461371819</v>
      </c>
      <c r="BD210" s="8">
        <f t="shared" si="1466"/>
        <v>411184.77651031606</v>
      </c>
      <c r="BE210" s="8">
        <f t="shared" si="1466"/>
        <v>429163.30202931882</v>
      </c>
      <c r="BF210" s="8">
        <f t="shared" si="1466"/>
        <v>383959.49846553995</v>
      </c>
      <c r="BG210" s="8">
        <f t="shared" si="1466"/>
        <v>415891.24199242238</v>
      </c>
      <c r="BH210" s="8">
        <f t="shared" si="1466"/>
        <v>391922.42164236499</v>
      </c>
      <c r="BI210" s="8">
        <f t="shared" si="1466"/>
        <v>409720.66121699411</v>
      </c>
      <c r="BJ210" s="8">
        <f t="shared" si="1466"/>
        <v>382637.6274232702</v>
      </c>
      <c r="BK210" s="8">
        <f t="shared" si="1466"/>
        <v>399110.58096856443</v>
      </c>
      <c r="BL210" s="8">
        <f t="shared" si="1466"/>
        <v>561483.91370735795</v>
      </c>
      <c r="BM210" s="8">
        <f t="shared" si="1466"/>
        <v>196620.44437844714</v>
      </c>
      <c r="BN210" s="8">
        <f t="shared" si="1466"/>
        <v>411926.2013000843</v>
      </c>
      <c r="BO210" s="8">
        <f t="shared" si="1466"/>
        <v>489637.46228621091</v>
      </c>
      <c r="BP210" s="8">
        <f t="shared" si="1466"/>
        <v>418354.3458498125</v>
      </c>
      <c r="BQ210" s="8">
        <f t="shared" si="1466"/>
        <v>436871.69709043665</v>
      </c>
      <c r="BR210" s="8">
        <f t="shared" si="1466"/>
        <v>390311.20011210447</v>
      </c>
      <c r="BS210" s="8">
        <f t="shared" si="1466"/>
        <v>423200.28348123131</v>
      </c>
      <c r="BT210" s="8">
        <f t="shared" si="1466"/>
        <v>398511.74518195656</v>
      </c>
      <c r="BU210" s="8">
        <f t="shared" si="1466"/>
        <v>416843.33670572925</v>
      </c>
      <c r="BV210" s="8">
        <f t="shared" si="1466"/>
        <v>388947.23435682838</v>
      </c>
      <c r="BW210" s="8">
        <f t="shared" si="1466"/>
        <v>405913.79281944991</v>
      </c>
      <c r="BX210" s="8">
        <f t="shared" si="1466"/>
        <v>573157.74421275209</v>
      </c>
      <c r="BZ210" s="379">
        <f>SUM(BZ194:BZ209)</f>
        <v>331243.44</v>
      </c>
      <c r="CA210" s="379">
        <f>SUM(CA194:CA209)</f>
        <v>3285417.94</v>
      </c>
      <c r="CB210" s="97"/>
      <c r="CC210" s="379">
        <f t="shared" ref="CC210:CJ211" si="1467">SUMIF($C$3:$BY$3,CC$3,$C210:$BY210)</f>
        <v>0</v>
      </c>
      <c r="CD210" s="379">
        <f t="shared" si="1467"/>
        <v>0</v>
      </c>
      <c r="CE210" s="379">
        <f t="shared" si="1467"/>
        <v>2736153.7199999997</v>
      </c>
      <c r="CF210" s="379">
        <f t="shared" si="1467"/>
        <v>3715424.3558014249</v>
      </c>
      <c r="CG210" s="379">
        <f t="shared" si="1467"/>
        <v>3574821.5305843707</v>
      </c>
      <c r="CH210" s="379">
        <f t="shared" si="1467"/>
        <v>4456386.3696640059</v>
      </c>
      <c r="CI210" s="379">
        <f t="shared" si="1467"/>
        <v>4866883.346950206</v>
      </c>
      <c r="CJ210" s="379">
        <f t="shared" si="1467"/>
        <v>4950295.4877750445</v>
      </c>
    </row>
    <row r="211" spans="1:88" x14ac:dyDescent="0.3">
      <c r="A211" s="109" t="s">
        <v>118</v>
      </c>
      <c r="B211" s="106"/>
      <c r="C211" s="22">
        <f t="shared" ref="C211:AH211" si="1468">C193-C210</f>
        <v>0</v>
      </c>
      <c r="D211" s="22">
        <f t="shared" si="1468"/>
        <v>0</v>
      </c>
      <c r="E211" s="22">
        <f t="shared" si="1468"/>
        <v>396963.92000000004</v>
      </c>
      <c r="F211" s="22">
        <f t="shared" si="1468"/>
        <v>214275.63</v>
      </c>
      <c r="G211" s="22">
        <f t="shared" si="1468"/>
        <v>-87342.140000000043</v>
      </c>
      <c r="H211" s="22">
        <f t="shared" si="1468"/>
        <v>259445.90299999996</v>
      </c>
      <c r="I211" s="22">
        <f t="shared" si="1468"/>
        <v>-203394.89599999995</v>
      </c>
      <c r="J211" s="22">
        <f t="shared" si="1468"/>
        <v>253590.90760000001</v>
      </c>
      <c r="K211" s="22">
        <f t="shared" si="1468"/>
        <v>-221791.9094</v>
      </c>
      <c r="L211" s="22">
        <f t="shared" si="1468"/>
        <v>26410.954799999949</v>
      </c>
      <c r="M211" s="22">
        <f t="shared" si="1468"/>
        <v>-16152.979999999923</v>
      </c>
      <c r="N211" s="22">
        <f t="shared" si="1468"/>
        <v>205653.33999999997</v>
      </c>
      <c r="O211" s="22">
        <f t="shared" si="1468"/>
        <v>-221141.37</v>
      </c>
      <c r="P211" s="22">
        <f t="shared" si="1468"/>
        <v>-231053.49999999988</v>
      </c>
      <c r="Q211" s="22">
        <f t="shared" si="1468"/>
        <v>14818.729999999981</v>
      </c>
      <c r="R211" s="22">
        <f t="shared" si="1468"/>
        <v>-71938.950000000012</v>
      </c>
      <c r="S211" s="22">
        <f t="shared" si="1468"/>
        <v>223687.03999999992</v>
      </c>
      <c r="T211" s="22">
        <f t="shared" si="1468"/>
        <v>-50673.22</v>
      </c>
      <c r="U211" s="22">
        <f t="shared" si="1468"/>
        <v>-124522.38999999996</v>
      </c>
      <c r="V211" s="22">
        <f t="shared" si="1468"/>
        <v>-75738.720000000001</v>
      </c>
      <c r="W211" s="22">
        <f t="shared" si="1468"/>
        <v>-65725.620000000054</v>
      </c>
      <c r="X211" s="22">
        <f t="shared" si="1468"/>
        <v>-109222.25</v>
      </c>
      <c r="Y211" s="22">
        <f t="shared" si="1468"/>
        <v>41924.289999999979</v>
      </c>
      <c r="Z211" s="22">
        <f t="shared" si="1468"/>
        <v>146424.33000000007</v>
      </c>
      <c r="AA211" s="22">
        <f t="shared" si="1468"/>
        <v>-96743.129999999976</v>
      </c>
      <c r="AB211" s="22">
        <f t="shared" si="1468"/>
        <v>-123483.3349680914</v>
      </c>
      <c r="AC211" s="22">
        <f t="shared" si="1468"/>
        <v>774400.40625714278</v>
      </c>
      <c r="AD211" s="22">
        <f t="shared" si="1468"/>
        <v>3348.6925609755563</v>
      </c>
      <c r="AE211" s="22">
        <f t="shared" si="1468"/>
        <v>286344.0072453164</v>
      </c>
      <c r="AF211" s="22">
        <f t="shared" si="1468"/>
        <v>-16084.947233705723</v>
      </c>
      <c r="AG211" s="22">
        <f t="shared" si="1468"/>
        <v>-22956.819113035337</v>
      </c>
      <c r="AH211" s="22">
        <f t="shared" si="1468"/>
        <v>-1145.2387164066895</v>
      </c>
      <c r="AI211" s="22">
        <f t="shared" ref="AI211:AZ211" si="1469">AI193-AI210</f>
        <v>-17823.440761396778</v>
      </c>
      <c r="AJ211" s="22">
        <f t="shared" si="1469"/>
        <v>65007.774849517329</v>
      </c>
      <c r="AK211" s="22">
        <f t="shared" si="1469"/>
        <v>31841.815556759422</v>
      </c>
      <c r="AL211" s="22">
        <f t="shared" si="1469"/>
        <v>43630.056437435967</v>
      </c>
      <c r="AM211" s="22">
        <f t="shared" si="1469"/>
        <v>44263.603036610584</v>
      </c>
      <c r="AN211" s="22">
        <f t="shared" si="1469"/>
        <v>-159286.28302458371</v>
      </c>
      <c r="AO211" s="22">
        <f t="shared" si="1469"/>
        <v>111246.64993870319</v>
      </c>
      <c r="AP211" s="22">
        <f t="shared" si="1469"/>
        <v>-7724.8263430382358</v>
      </c>
      <c r="AQ211" s="22">
        <f t="shared" si="1469"/>
        <v>289649.02391553234</v>
      </c>
      <c r="AR211" s="22">
        <f t="shared" si="1469"/>
        <v>-35074.125599096587</v>
      </c>
      <c r="AS211" s="22">
        <f t="shared" si="1469"/>
        <v>-41000.613171022327</v>
      </c>
      <c r="AT211" s="22">
        <f t="shared" si="1469"/>
        <v>-14610.247048153076</v>
      </c>
      <c r="AU211" s="22">
        <f t="shared" si="1469"/>
        <v>-32388.5128744783</v>
      </c>
      <c r="AV211" s="22">
        <f t="shared" si="1469"/>
        <v>7668.3820441649877</v>
      </c>
      <c r="AW211" s="22">
        <f t="shared" si="1469"/>
        <v>-1072.4955203618738</v>
      </c>
      <c r="AX211" s="22">
        <f t="shared" si="1469"/>
        <v>-10502.753229169</v>
      </c>
      <c r="AY211" s="22">
        <f t="shared" si="1469"/>
        <v>-8757.3172722273739</v>
      </c>
      <c r="AZ211" s="22">
        <f t="shared" si="1469"/>
        <v>-180096.05574241577</v>
      </c>
      <c r="BA211" s="22">
        <f t="shared" ref="BA211:BX211" si="1470">BA193-BA210</f>
        <v>140917.20243827632</v>
      </c>
      <c r="BB211" s="22">
        <f t="shared" si="1470"/>
        <v>-38381.067891797924</v>
      </c>
      <c r="BC211" s="22">
        <f t="shared" si="1470"/>
        <v>258363.02540309256</v>
      </c>
      <c r="BD211" s="22">
        <f t="shared" si="1470"/>
        <v>-63052.871181814116</v>
      </c>
      <c r="BE211" s="22">
        <f t="shared" si="1470"/>
        <v>-69359.997802551195</v>
      </c>
      <c r="BF211" s="22">
        <f t="shared" si="1470"/>
        <v>-41234.272825346794</v>
      </c>
      <c r="BG211" s="22">
        <f t="shared" si="1470"/>
        <v>-59174.858412841975</v>
      </c>
      <c r="BH211" s="22">
        <f t="shared" si="1470"/>
        <v>-18469.790164518985</v>
      </c>
      <c r="BI211" s="22">
        <f t="shared" si="1470"/>
        <v>-28293.054762952961</v>
      </c>
      <c r="BJ211" s="22">
        <f t="shared" si="1470"/>
        <v>-37098.2920947682</v>
      </c>
      <c r="BK211" s="22">
        <f t="shared" si="1470"/>
        <v>-35455.466616257734</v>
      </c>
      <c r="BL211" s="22">
        <f t="shared" si="1470"/>
        <v>-211880.31649128924</v>
      </c>
      <c r="BM211" s="22">
        <f t="shared" si="1470"/>
        <v>146191.2719500548</v>
      </c>
      <c r="BN211" s="22">
        <f t="shared" si="1470"/>
        <v>-40620.590040135663</v>
      </c>
      <c r="BO211" s="22">
        <f t="shared" si="1470"/>
        <v>254928.13641311409</v>
      </c>
      <c r="BP211" s="22">
        <f t="shared" si="1470"/>
        <v>-65031.246159900096</v>
      </c>
      <c r="BQ211" s="22">
        <f t="shared" si="1470"/>
        <v>-72464.225548334478</v>
      </c>
      <c r="BR211" s="22">
        <f t="shared" si="1470"/>
        <v>-43758.366508713167</v>
      </c>
      <c r="BS211" s="22">
        <f t="shared" si="1470"/>
        <v>-63190.962984014594</v>
      </c>
      <c r="BT211" s="22">
        <f t="shared" si="1470"/>
        <v>-19943.077460637433</v>
      </c>
      <c r="BU211" s="22">
        <f t="shared" si="1470"/>
        <v>-30275.719358512608</v>
      </c>
      <c r="BV211" s="22">
        <f t="shared" si="1470"/>
        <v>-38954.553474220156</v>
      </c>
      <c r="BW211" s="22">
        <f t="shared" si="1470"/>
        <v>-37504.803612739313</v>
      </c>
      <c r="BX211" s="22">
        <f t="shared" si="1470"/>
        <v>-219124.95950648253</v>
      </c>
      <c r="BZ211" s="390">
        <f>BZ193-BZ210</f>
        <v>-96743.129999999976</v>
      </c>
      <c r="CA211" s="390">
        <f>CA193-CA210</f>
        <v>-167709.88999999966</v>
      </c>
      <c r="CB211" s="97"/>
      <c r="CC211" s="390">
        <f t="shared" si="1467"/>
        <v>0</v>
      </c>
      <c r="CD211" s="390">
        <f t="shared" si="1467"/>
        <v>0</v>
      </c>
      <c r="CE211" s="390">
        <f t="shared" si="1467"/>
        <v>375463.86000000022</v>
      </c>
      <c r="CF211" s="390">
        <f t="shared" si="1467"/>
        <v>-291193.22496809147</v>
      </c>
      <c r="CG211" s="390">
        <f t="shared" si="1467"/>
        <v>1031539.6270946302</v>
      </c>
      <c r="CH211" s="390">
        <f t="shared" si="1467"/>
        <v>77337.109098437999</v>
      </c>
      <c r="CI211" s="390">
        <f t="shared" si="1467"/>
        <v>-203119.76040277025</v>
      </c>
      <c r="CJ211" s="390">
        <f t="shared" si="1467"/>
        <v>-229749.09629052115</v>
      </c>
    </row>
    <row r="212" spans="1:88" x14ac:dyDescent="0.3">
      <c r="A212" s="109"/>
      <c r="B212" s="106"/>
      <c r="C212" s="40">
        <f t="shared" ref="C212:AH212" si="1471">C211-C173</f>
        <v>0</v>
      </c>
      <c r="D212" s="40">
        <f t="shared" si="1471"/>
        <v>0</v>
      </c>
      <c r="E212" s="40">
        <f t="shared" si="1471"/>
        <v>0</v>
      </c>
      <c r="F212" s="39">
        <f t="shared" si="1471"/>
        <v>0</v>
      </c>
      <c r="G212" s="39">
        <f t="shared" si="1471"/>
        <v>0</v>
      </c>
      <c r="H212" s="39">
        <f t="shared" si="1471"/>
        <v>0</v>
      </c>
      <c r="I212" s="39">
        <f t="shared" si="1471"/>
        <v>0</v>
      </c>
      <c r="J212" s="39">
        <f t="shared" si="1471"/>
        <v>0</v>
      </c>
      <c r="K212" s="39">
        <f t="shared" si="1471"/>
        <v>0</v>
      </c>
      <c r="L212" s="39">
        <f t="shared" si="1471"/>
        <v>-8.7311491370201111E-11</v>
      </c>
      <c r="M212" s="39">
        <f t="shared" si="1471"/>
        <v>1.4551915228366852E-10</v>
      </c>
      <c r="N212" s="39">
        <f t="shared" si="1471"/>
        <v>0</v>
      </c>
      <c r="O212" s="39">
        <f t="shared" si="1471"/>
        <v>0</v>
      </c>
      <c r="P212" s="39">
        <f t="shared" si="1471"/>
        <v>0</v>
      </c>
      <c r="Q212" s="39">
        <f t="shared" si="1471"/>
        <v>-5.8207660913467407E-11</v>
      </c>
      <c r="R212" s="39">
        <f t="shared" si="1471"/>
        <v>1.1641532182693481E-10</v>
      </c>
      <c r="S212" s="39">
        <f t="shared" si="1471"/>
        <v>0</v>
      </c>
      <c r="T212" s="39">
        <f t="shared" si="1471"/>
        <v>1.1641532182693481E-10</v>
      </c>
      <c r="U212" s="39">
        <f t="shared" si="1471"/>
        <v>0</v>
      </c>
      <c r="V212" s="39">
        <f t="shared" si="1471"/>
        <v>0</v>
      </c>
      <c r="W212" s="39">
        <f t="shared" si="1471"/>
        <v>0</v>
      </c>
      <c r="X212" s="39">
        <f t="shared" si="1471"/>
        <v>0</v>
      </c>
      <c r="Y212" s="39">
        <f t="shared" si="1471"/>
        <v>0</v>
      </c>
      <c r="Z212" s="39">
        <f t="shared" si="1471"/>
        <v>0</v>
      </c>
      <c r="AA212" s="39">
        <f t="shared" si="1471"/>
        <v>0</v>
      </c>
      <c r="AB212" s="39">
        <f t="shared" si="1471"/>
        <v>0</v>
      </c>
      <c r="AC212" s="39">
        <f t="shared" si="1471"/>
        <v>0</v>
      </c>
      <c r="AD212" s="39">
        <f t="shared" si="1471"/>
        <v>0</v>
      </c>
      <c r="AE212" s="39">
        <f t="shared" si="1471"/>
        <v>0</v>
      </c>
      <c r="AF212" s="39">
        <f t="shared" si="1471"/>
        <v>0</v>
      </c>
      <c r="AG212" s="39">
        <f t="shared" si="1471"/>
        <v>-5.8207660913467407E-11</v>
      </c>
      <c r="AH212" s="39">
        <f t="shared" si="1471"/>
        <v>-5.8207660913467407E-11</v>
      </c>
      <c r="AI212" s="39">
        <f t="shared" ref="AI212:BN212" si="1472">AI211-AI173</f>
        <v>0</v>
      </c>
      <c r="AJ212" s="39">
        <f t="shared" si="1472"/>
        <v>-5.8207660913467407E-11</v>
      </c>
      <c r="AK212" s="39">
        <f t="shared" si="1472"/>
        <v>0</v>
      </c>
      <c r="AL212" s="39">
        <f t="shared" si="1472"/>
        <v>5.8207660913467407E-11</v>
      </c>
      <c r="AM212" s="39">
        <f t="shared" si="1472"/>
        <v>5.8207660913467407E-11</v>
      </c>
      <c r="AN212" s="39">
        <f t="shared" si="1472"/>
        <v>0</v>
      </c>
      <c r="AO212" s="39">
        <f t="shared" si="1472"/>
        <v>0</v>
      </c>
      <c r="AP212" s="39">
        <f t="shared" si="1472"/>
        <v>0</v>
      </c>
      <c r="AQ212" s="39">
        <f t="shared" si="1472"/>
        <v>0</v>
      </c>
      <c r="AR212" s="39">
        <f t="shared" si="1472"/>
        <v>-1.7462298274040222E-10</v>
      </c>
      <c r="AS212" s="39">
        <f t="shared" si="1472"/>
        <v>0</v>
      </c>
      <c r="AT212" s="39">
        <f t="shared" si="1472"/>
        <v>5.8207660913467407E-11</v>
      </c>
      <c r="AU212" s="39">
        <f t="shared" si="1472"/>
        <v>-5.8207660913467407E-11</v>
      </c>
      <c r="AV212" s="39">
        <f t="shared" si="1472"/>
        <v>5.8207660913467407E-11</v>
      </c>
      <c r="AW212" s="39">
        <f t="shared" si="1472"/>
        <v>0</v>
      </c>
      <c r="AX212" s="39">
        <f t="shared" si="1472"/>
        <v>5.8207660913467407E-11</v>
      </c>
      <c r="AY212" s="39">
        <f t="shared" si="1472"/>
        <v>0</v>
      </c>
      <c r="AZ212" s="39">
        <f t="shared" si="1472"/>
        <v>0</v>
      </c>
      <c r="BA212" s="39">
        <f t="shared" si="1472"/>
        <v>0</v>
      </c>
      <c r="BB212" s="39">
        <f t="shared" si="1472"/>
        <v>1.7462298274040222E-10</v>
      </c>
      <c r="BC212" s="39">
        <f t="shared" si="1472"/>
        <v>0</v>
      </c>
      <c r="BD212" s="39">
        <f t="shared" si="1472"/>
        <v>0</v>
      </c>
      <c r="BE212" s="39">
        <f t="shared" si="1472"/>
        <v>0</v>
      </c>
      <c r="BF212" s="39">
        <f t="shared" si="1472"/>
        <v>5.8207660913467407E-11</v>
      </c>
      <c r="BG212" s="39">
        <f t="shared" si="1472"/>
        <v>5.8207660913467407E-11</v>
      </c>
      <c r="BH212" s="39">
        <f t="shared" si="1472"/>
        <v>5.8207660913467407E-11</v>
      </c>
      <c r="BI212" s="39">
        <f t="shared" si="1472"/>
        <v>-5.8207660913467407E-11</v>
      </c>
      <c r="BJ212" s="39">
        <f t="shared" si="1472"/>
        <v>5.8207660913467407E-11</v>
      </c>
      <c r="BK212" s="39">
        <f t="shared" si="1472"/>
        <v>5.8207660913467407E-11</v>
      </c>
      <c r="BL212" s="39">
        <f t="shared" si="1472"/>
        <v>0</v>
      </c>
      <c r="BM212" s="39">
        <f t="shared" si="1472"/>
        <v>0</v>
      </c>
      <c r="BN212" s="39">
        <f t="shared" si="1472"/>
        <v>1.7462298274040222E-10</v>
      </c>
      <c r="BO212" s="39">
        <f t="shared" ref="BO212:BX212" si="1473">BO211-BO173</f>
        <v>0</v>
      </c>
      <c r="BP212" s="39">
        <f t="shared" si="1473"/>
        <v>-5.8207660913467407E-11</v>
      </c>
      <c r="BQ212" s="39">
        <f t="shared" si="1473"/>
        <v>0</v>
      </c>
      <c r="BR212" s="39">
        <f t="shared" si="1473"/>
        <v>0</v>
      </c>
      <c r="BS212" s="39">
        <f t="shared" si="1473"/>
        <v>1.1641532182693481E-10</v>
      </c>
      <c r="BT212" s="39">
        <f t="shared" si="1473"/>
        <v>1.1641532182693481E-10</v>
      </c>
      <c r="BU212" s="39">
        <f t="shared" si="1473"/>
        <v>-5.8207660913467407E-11</v>
      </c>
      <c r="BV212" s="39">
        <f t="shared" si="1473"/>
        <v>-1.1641532182693481E-10</v>
      </c>
      <c r="BW212" s="39">
        <f t="shared" si="1473"/>
        <v>-2.3283064365386963E-10</v>
      </c>
      <c r="BX212" s="39">
        <f t="shared" si="1473"/>
        <v>0</v>
      </c>
      <c r="BZ212" s="392">
        <f>BZ211-BZ173</f>
        <v>0</v>
      </c>
      <c r="CA212" s="392">
        <f>CA211-CA173</f>
        <v>-4.6566128730773926E-10</v>
      </c>
      <c r="CB212" s="97"/>
      <c r="CC212" s="392">
        <f t="shared" ref="CC212:CJ212" si="1474">CC211-CC173</f>
        <v>0</v>
      </c>
      <c r="CD212" s="392">
        <f t="shared" si="1474"/>
        <v>0</v>
      </c>
      <c r="CE212" s="392">
        <f t="shared" si="1474"/>
        <v>7.5669959187507629E-10</v>
      </c>
      <c r="CF212" s="392">
        <f t="shared" si="1474"/>
        <v>0</v>
      </c>
      <c r="CG212" s="392">
        <f t="shared" si="1474"/>
        <v>0</v>
      </c>
      <c r="CH212" s="392">
        <f t="shared" si="1474"/>
        <v>-1.7462298274040222E-10</v>
      </c>
      <c r="CI212" s="392">
        <f t="shared" si="1474"/>
        <v>2.9103830456733704E-10</v>
      </c>
      <c r="CJ212" s="392">
        <f t="shared" si="1474"/>
        <v>-4.0745362639427185E-10</v>
      </c>
    </row>
    <row r="213" spans="1:88" x14ac:dyDescent="0.3">
      <c r="A213" s="109" t="str">
        <f>'DCS Detail'!A213</f>
        <v>Adjusted EBITDA</v>
      </c>
      <c r="B213" s="106"/>
      <c r="C213" s="40"/>
      <c r="D213" s="40"/>
      <c r="E213" s="40"/>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Z213" s="392"/>
      <c r="CA213" s="392"/>
      <c r="CB213" s="97"/>
      <c r="CC213" s="392"/>
      <c r="CD213" s="392"/>
      <c r="CE213" s="392"/>
      <c r="CF213" s="392"/>
      <c r="CG213" s="392"/>
      <c r="CH213" s="392"/>
      <c r="CI213" s="392"/>
      <c r="CJ213" s="392"/>
    </row>
    <row r="214" spans="1:88" x14ac:dyDescent="0.3">
      <c r="A214" s="97" t="str">
        <f>'DCS Detail'!A214</f>
        <v>Net Change</v>
      </c>
      <c r="B214" s="106"/>
      <c r="C214" s="36">
        <f>C211</f>
        <v>0</v>
      </c>
      <c r="D214" s="36">
        <f t="shared" ref="D214:BO214" si="1475">D211</f>
        <v>0</v>
      </c>
      <c r="E214" s="36">
        <f t="shared" si="1475"/>
        <v>396963.92000000004</v>
      </c>
      <c r="F214" s="36">
        <f t="shared" si="1475"/>
        <v>214275.63</v>
      </c>
      <c r="G214" s="36">
        <f t="shared" si="1475"/>
        <v>-87342.140000000043</v>
      </c>
      <c r="H214" s="36">
        <f t="shared" si="1475"/>
        <v>259445.90299999996</v>
      </c>
      <c r="I214" s="36">
        <f t="shared" si="1475"/>
        <v>-203394.89599999995</v>
      </c>
      <c r="J214" s="36">
        <f t="shared" si="1475"/>
        <v>253590.90760000001</v>
      </c>
      <c r="K214" s="36">
        <f t="shared" si="1475"/>
        <v>-221791.9094</v>
      </c>
      <c r="L214" s="36">
        <f t="shared" si="1475"/>
        <v>26410.954799999949</v>
      </c>
      <c r="M214" s="36">
        <f t="shared" si="1475"/>
        <v>-16152.979999999923</v>
      </c>
      <c r="N214" s="36">
        <f t="shared" si="1475"/>
        <v>205653.33999999997</v>
      </c>
      <c r="O214" s="36">
        <f t="shared" si="1475"/>
        <v>-221141.37</v>
      </c>
      <c r="P214" s="36">
        <f t="shared" si="1475"/>
        <v>-231053.49999999988</v>
      </c>
      <c r="Q214" s="36">
        <f t="shared" si="1475"/>
        <v>14818.729999999981</v>
      </c>
      <c r="R214" s="36">
        <f t="shared" si="1475"/>
        <v>-71938.950000000012</v>
      </c>
      <c r="S214" s="36">
        <f t="shared" si="1475"/>
        <v>223687.03999999992</v>
      </c>
      <c r="T214" s="36">
        <f t="shared" si="1475"/>
        <v>-50673.22</v>
      </c>
      <c r="U214" s="36">
        <f t="shared" si="1475"/>
        <v>-124522.38999999996</v>
      </c>
      <c r="V214" s="36">
        <f t="shared" si="1475"/>
        <v>-75738.720000000001</v>
      </c>
      <c r="W214" s="36">
        <f t="shared" si="1475"/>
        <v>-65725.620000000054</v>
      </c>
      <c r="X214" s="36">
        <f t="shared" si="1475"/>
        <v>-109222.25</v>
      </c>
      <c r="Y214" s="36">
        <f t="shared" si="1475"/>
        <v>41924.289999999979</v>
      </c>
      <c r="Z214" s="36">
        <f t="shared" si="1475"/>
        <v>146424.33000000007</v>
      </c>
      <c r="AA214" s="36">
        <f t="shared" si="1475"/>
        <v>-96743.129999999976</v>
      </c>
      <c r="AB214" s="36">
        <f t="shared" si="1475"/>
        <v>-123483.3349680914</v>
      </c>
      <c r="AC214" s="36">
        <f t="shared" si="1475"/>
        <v>774400.40625714278</v>
      </c>
      <c r="AD214" s="36">
        <f t="shared" si="1475"/>
        <v>3348.6925609755563</v>
      </c>
      <c r="AE214" s="36">
        <f t="shared" si="1475"/>
        <v>286344.0072453164</v>
      </c>
      <c r="AF214" s="36">
        <f t="shared" si="1475"/>
        <v>-16084.947233705723</v>
      </c>
      <c r="AG214" s="36">
        <f t="shared" si="1475"/>
        <v>-22956.819113035337</v>
      </c>
      <c r="AH214" s="36">
        <f t="shared" si="1475"/>
        <v>-1145.2387164066895</v>
      </c>
      <c r="AI214" s="36">
        <f t="shared" si="1475"/>
        <v>-17823.440761396778</v>
      </c>
      <c r="AJ214" s="36">
        <f t="shared" si="1475"/>
        <v>65007.774849517329</v>
      </c>
      <c r="AK214" s="36">
        <f t="shared" si="1475"/>
        <v>31841.815556759422</v>
      </c>
      <c r="AL214" s="36">
        <f t="shared" si="1475"/>
        <v>43630.056437435967</v>
      </c>
      <c r="AM214" s="36">
        <f t="shared" si="1475"/>
        <v>44263.603036610584</v>
      </c>
      <c r="AN214" s="36">
        <f t="shared" si="1475"/>
        <v>-159286.28302458371</v>
      </c>
      <c r="AO214" s="36">
        <f t="shared" si="1475"/>
        <v>111246.64993870319</v>
      </c>
      <c r="AP214" s="36">
        <f t="shared" si="1475"/>
        <v>-7724.8263430382358</v>
      </c>
      <c r="AQ214" s="36">
        <f t="shared" si="1475"/>
        <v>289649.02391553234</v>
      </c>
      <c r="AR214" s="36">
        <f t="shared" si="1475"/>
        <v>-35074.125599096587</v>
      </c>
      <c r="AS214" s="36">
        <f t="shared" si="1475"/>
        <v>-41000.613171022327</v>
      </c>
      <c r="AT214" s="36">
        <f t="shared" si="1475"/>
        <v>-14610.247048153076</v>
      </c>
      <c r="AU214" s="36">
        <f t="shared" si="1475"/>
        <v>-32388.5128744783</v>
      </c>
      <c r="AV214" s="36">
        <f t="shared" si="1475"/>
        <v>7668.3820441649877</v>
      </c>
      <c r="AW214" s="36">
        <f t="shared" si="1475"/>
        <v>-1072.4955203618738</v>
      </c>
      <c r="AX214" s="36">
        <f t="shared" si="1475"/>
        <v>-10502.753229169</v>
      </c>
      <c r="AY214" s="36">
        <f t="shared" si="1475"/>
        <v>-8757.3172722273739</v>
      </c>
      <c r="AZ214" s="36">
        <f t="shared" si="1475"/>
        <v>-180096.05574241577</v>
      </c>
      <c r="BA214" s="36">
        <f t="shared" si="1475"/>
        <v>140917.20243827632</v>
      </c>
      <c r="BB214" s="36">
        <f t="shared" si="1475"/>
        <v>-38381.067891797924</v>
      </c>
      <c r="BC214" s="36">
        <f t="shared" si="1475"/>
        <v>258363.02540309256</v>
      </c>
      <c r="BD214" s="36">
        <f t="shared" si="1475"/>
        <v>-63052.871181814116</v>
      </c>
      <c r="BE214" s="36">
        <f t="shared" si="1475"/>
        <v>-69359.997802551195</v>
      </c>
      <c r="BF214" s="36">
        <f t="shared" si="1475"/>
        <v>-41234.272825346794</v>
      </c>
      <c r="BG214" s="36">
        <f t="shared" si="1475"/>
        <v>-59174.858412841975</v>
      </c>
      <c r="BH214" s="36">
        <f t="shared" si="1475"/>
        <v>-18469.790164518985</v>
      </c>
      <c r="BI214" s="36">
        <f t="shared" si="1475"/>
        <v>-28293.054762952961</v>
      </c>
      <c r="BJ214" s="36">
        <f t="shared" si="1475"/>
        <v>-37098.2920947682</v>
      </c>
      <c r="BK214" s="36">
        <f t="shared" si="1475"/>
        <v>-35455.466616257734</v>
      </c>
      <c r="BL214" s="36">
        <f t="shared" si="1475"/>
        <v>-211880.31649128924</v>
      </c>
      <c r="BM214" s="36">
        <f t="shared" si="1475"/>
        <v>146191.2719500548</v>
      </c>
      <c r="BN214" s="36">
        <f t="shared" si="1475"/>
        <v>-40620.590040135663</v>
      </c>
      <c r="BO214" s="36">
        <f t="shared" si="1475"/>
        <v>254928.13641311409</v>
      </c>
      <c r="BP214" s="36">
        <f t="shared" ref="BP214:CJ214" si="1476">BP211</f>
        <v>-65031.246159900096</v>
      </c>
      <c r="BQ214" s="36">
        <f t="shared" si="1476"/>
        <v>-72464.225548334478</v>
      </c>
      <c r="BR214" s="36">
        <f t="shared" si="1476"/>
        <v>-43758.366508713167</v>
      </c>
      <c r="BS214" s="36">
        <f t="shared" si="1476"/>
        <v>-63190.962984014594</v>
      </c>
      <c r="BT214" s="36">
        <f t="shared" si="1476"/>
        <v>-19943.077460637433</v>
      </c>
      <c r="BU214" s="36">
        <f t="shared" si="1476"/>
        <v>-30275.719358512608</v>
      </c>
      <c r="BV214" s="36">
        <f t="shared" si="1476"/>
        <v>-38954.553474220156</v>
      </c>
      <c r="BW214" s="36">
        <f t="shared" si="1476"/>
        <v>-37504.803612739313</v>
      </c>
      <c r="BX214" s="36">
        <f t="shared" si="1476"/>
        <v>-219124.95950648253</v>
      </c>
      <c r="BZ214" s="379">
        <f t="shared" si="1476"/>
        <v>-96743.129999999976</v>
      </c>
      <c r="CA214" s="379">
        <f t="shared" si="1476"/>
        <v>-167709.88999999966</v>
      </c>
      <c r="CB214" s="97"/>
      <c r="CC214" s="379">
        <f t="shared" si="1476"/>
        <v>0</v>
      </c>
      <c r="CD214" s="379">
        <f t="shared" si="1476"/>
        <v>0</v>
      </c>
      <c r="CE214" s="379">
        <f t="shared" si="1476"/>
        <v>375463.86000000022</v>
      </c>
      <c r="CF214" s="379">
        <f t="shared" si="1476"/>
        <v>-291193.22496809147</v>
      </c>
      <c r="CG214" s="379">
        <f t="shared" si="1476"/>
        <v>1031539.6270946302</v>
      </c>
      <c r="CH214" s="379">
        <f t="shared" si="1476"/>
        <v>77337.109098437999</v>
      </c>
      <c r="CI214" s="379">
        <f t="shared" si="1476"/>
        <v>-203119.76040277025</v>
      </c>
      <c r="CJ214" s="379">
        <f t="shared" si="1476"/>
        <v>-229749.09629052115</v>
      </c>
    </row>
    <row r="215" spans="1:88" x14ac:dyDescent="0.3">
      <c r="A215" s="97" t="str">
        <f>'DCS Detail'!A215</f>
        <v>Interest</v>
      </c>
      <c r="B215" s="106"/>
      <c r="C215" s="36">
        <f t="shared" ref="C215:L218" si="1477">SUMIF($B$176:$B$184,$A215,C$176:C$184)</f>
        <v>0</v>
      </c>
      <c r="D215" s="36">
        <f t="shared" si="1477"/>
        <v>0</v>
      </c>
      <c r="E215" s="36">
        <f t="shared" si="1477"/>
        <v>0</v>
      </c>
      <c r="F215" s="36">
        <f t="shared" si="1477"/>
        <v>0</v>
      </c>
      <c r="G215" s="36">
        <f t="shared" si="1477"/>
        <v>0</v>
      </c>
      <c r="H215" s="36">
        <f t="shared" si="1477"/>
        <v>0</v>
      </c>
      <c r="I215" s="36">
        <f t="shared" si="1477"/>
        <v>0</v>
      </c>
      <c r="J215" s="36">
        <f t="shared" si="1477"/>
        <v>0</v>
      </c>
      <c r="K215" s="36">
        <f t="shared" si="1477"/>
        <v>0</v>
      </c>
      <c r="L215" s="36">
        <f t="shared" si="1477"/>
        <v>0</v>
      </c>
      <c r="M215" s="36">
        <f t="shared" ref="M215:V218" si="1478">SUMIF($B$176:$B$184,$A215,M$176:M$184)</f>
        <v>0</v>
      </c>
      <c r="N215" s="36">
        <f t="shared" si="1478"/>
        <v>0</v>
      </c>
      <c r="O215" s="36">
        <f t="shared" si="1478"/>
        <v>0</v>
      </c>
      <c r="P215" s="36">
        <f t="shared" si="1478"/>
        <v>267350</v>
      </c>
      <c r="Q215" s="36">
        <f t="shared" si="1478"/>
        <v>53924.19</v>
      </c>
      <c r="R215" s="36">
        <f t="shared" si="1478"/>
        <v>54078.66</v>
      </c>
      <c r="S215" s="36">
        <f t="shared" si="1478"/>
        <v>54234.44</v>
      </c>
      <c r="T215" s="36">
        <f t="shared" si="1478"/>
        <v>54391.57</v>
      </c>
      <c r="U215" s="36">
        <f t="shared" si="1478"/>
        <v>54550.04</v>
      </c>
      <c r="V215" s="36">
        <f t="shared" si="1478"/>
        <v>54709.88</v>
      </c>
      <c r="W215" s="36">
        <f t="shared" ref="W215:AF218" si="1479">SUMIF($B$176:$B$184,$A215,W$176:W$184)</f>
        <v>54871.08</v>
      </c>
      <c r="X215" s="36">
        <f t="shared" si="1479"/>
        <v>54989.11</v>
      </c>
      <c r="Y215" s="36">
        <f t="shared" si="1479"/>
        <v>55108.15</v>
      </c>
      <c r="Z215" s="36">
        <f t="shared" si="1479"/>
        <v>55228.22</v>
      </c>
      <c r="AA215" s="36">
        <f t="shared" si="1479"/>
        <v>55349.31</v>
      </c>
      <c r="AB215" s="36">
        <f t="shared" si="1479"/>
        <v>55471.45</v>
      </c>
      <c r="AC215" s="36">
        <f t="shared" si="1479"/>
        <v>50687.869999999995</v>
      </c>
      <c r="AD215" s="36">
        <f t="shared" si="1479"/>
        <v>50687.869999999995</v>
      </c>
      <c r="AE215" s="36">
        <f t="shared" si="1479"/>
        <v>50687.869999999995</v>
      </c>
      <c r="AF215" s="36">
        <f t="shared" si="1479"/>
        <v>50687.869999999995</v>
      </c>
      <c r="AG215" s="36">
        <f t="shared" ref="AG215:AP218" si="1480">SUMIF($B$176:$B$184,$A215,AG$176:AG$184)</f>
        <v>50687.869999999995</v>
      </c>
      <c r="AH215" s="36">
        <f t="shared" si="1480"/>
        <v>50687.869999999995</v>
      </c>
      <c r="AI215" s="36">
        <f t="shared" si="1480"/>
        <v>50687.869999999995</v>
      </c>
      <c r="AJ215" s="36">
        <f t="shared" si="1480"/>
        <v>50687.869999999995</v>
      </c>
      <c r="AK215" s="36">
        <f t="shared" si="1480"/>
        <v>50687.869999999995</v>
      </c>
      <c r="AL215" s="36">
        <f t="shared" si="1480"/>
        <v>50687.869999999995</v>
      </c>
      <c r="AM215" s="36">
        <f t="shared" si="1480"/>
        <v>50687.869999999995</v>
      </c>
      <c r="AN215" s="36">
        <f t="shared" si="1480"/>
        <v>50687.869999999995</v>
      </c>
      <c r="AO215" s="36">
        <f t="shared" si="1480"/>
        <v>83354.672500000001</v>
      </c>
      <c r="AP215" s="36">
        <f t="shared" si="1480"/>
        <v>83354.672500000001</v>
      </c>
      <c r="AQ215" s="36">
        <f t="shared" ref="AQ215:AZ218" si="1481">SUMIF($B$176:$B$184,$A215,AQ$176:AQ$184)</f>
        <v>83354.672500000001</v>
      </c>
      <c r="AR215" s="36">
        <f t="shared" si="1481"/>
        <v>83354.672500000001</v>
      </c>
      <c r="AS215" s="36">
        <f t="shared" si="1481"/>
        <v>83354.672500000001</v>
      </c>
      <c r="AT215" s="36">
        <f t="shared" si="1481"/>
        <v>83354.672500000001</v>
      </c>
      <c r="AU215" s="36">
        <f t="shared" si="1481"/>
        <v>83354.672500000001</v>
      </c>
      <c r="AV215" s="36">
        <f t="shared" si="1481"/>
        <v>83354.672500000001</v>
      </c>
      <c r="AW215" s="36">
        <f t="shared" si="1481"/>
        <v>83354.672500000001</v>
      </c>
      <c r="AX215" s="36">
        <f t="shared" si="1481"/>
        <v>83354.672500000001</v>
      </c>
      <c r="AY215" s="36">
        <f t="shared" si="1481"/>
        <v>83354.672500000001</v>
      </c>
      <c r="AZ215" s="36">
        <f t="shared" si="1481"/>
        <v>83354.672500000001</v>
      </c>
      <c r="BA215" s="36">
        <f t="shared" ref="BA215:BJ218" si="1482">SUMIF($B$176:$B$184,$A215,BA$176:BA$184)</f>
        <v>109145.83333333333</v>
      </c>
      <c r="BB215" s="36">
        <f t="shared" si="1482"/>
        <v>109145.83333333333</v>
      </c>
      <c r="BC215" s="36">
        <f t="shared" si="1482"/>
        <v>109145.83333333333</v>
      </c>
      <c r="BD215" s="36">
        <f t="shared" si="1482"/>
        <v>109145.83333333333</v>
      </c>
      <c r="BE215" s="36">
        <f t="shared" si="1482"/>
        <v>109145.83333333333</v>
      </c>
      <c r="BF215" s="36">
        <f t="shared" si="1482"/>
        <v>109145.83333333333</v>
      </c>
      <c r="BG215" s="36">
        <f t="shared" si="1482"/>
        <v>109145.83333333333</v>
      </c>
      <c r="BH215" s="36">
        <f t="shared" si="1482"/>
        <v>109145.83333333333</v>
      </c>
      <c r="BI215" s="36">
        <f t="shared" si="1482"/>
        <v>109145.83333333333</v>
      </c>
      <c r="BJ215" s="36">
        <f t="shared" si="1482"/>
        <v>109145.83333333333</v>
      </c>
      <c r="BK215" s="36">
        <f t="shared" ref="BK215:BX218" si="1483">SUMIF($B$176:$B$184,$A215,BK$176:BK$184)</f>
        <v>109145.83333333333</v>
      </c>
      <c r="BL215" s="36">
        <f t="shared" si="1483"/>
        <v>109145.83333333333</v>
      </c>
      <c r="BM215" s="36">
        <f t="shared" si="1483"/>
        <v>108414.58333333333</v>
      </c>
      <c r="BN215" s="36">
        <f t="shared" si="1483"/>
        <v>108414.58333333333</v>
      </c>
      <c r="BO215" s="36">
        <f t="shared" si="1483"/>
        <v>108414.58333333333</v>
      </c>
      <c r="BP215" s="36">
        <f t="shared" si="1483"/>
        <v>108414.58333333333</v>
      </c>
      <c r="BQ215" s="36">
        <f t="shared" si="1483"/>
        <v>108414.58333333333</v>
      </c>
      <c r="BR215" s="36">
        <f t="shared" si="1483"/>
        <v>108414.58333333333</v>
      </c>
      <c r="BS215" s="36">
        <f t="shared" si="1483"/>
        <v>108414.58333333333</v>
      </c>
      <c r="BT215" s="36">
        <f t="shared" si="1483"/>
        <v>108414.58333333333</v>
      </c>
      <c r="BU215" s="36">
        <f t="shared" si="1483"/>
        <v>108414.58333333333</v>
      </c>
      <c r="BV215" s="36">
        <f t="shared" si="1483"/>
        <v>108414.58333333333</v>
      </c>
      <c r="BW215" s="36">
        <f t="shared" si="1483"/>
        <v>108414.58333333333</v>
      </c>
      <c r="BX215" s="36">
        <f t="shared" si="1483"/>
        <v>108414.58333333333</v>
      </c>
      <c r="BZ215" s="379">
        <f>SUMIF($B$252:$BY$252,1,$B215:$BY215)</f>
        <v>55349.31</v>
      </c>
      <c r="CA215" s="379">
        <f>SUMIF($B$253:$BY$253,1,$B215:$BY215)</f>
        <v>601434.65000000014</v>
      </c>
      <c r="CB215" s="97"/>
      <c r="CC215" s="379">
        <f t="shared" ref="CC215:CJ218" si="1484">SUMIF($C$3:$BY$3,CC$3,$C215:$BY215)</f>
        <v>0</v>
      </c>
      <c r="CD215" s="379">
        <f t="shared" si="1484"/>
        <v>0</v>
      </c>
      <c r="CE215" s="379">
        <f t="shared" si="1484"/>
        <v>267350</v>
      </c>
      <c r="CF215" s="379">
        <f t="shared" si="1484"/>
        <v>656906.10000000009</v>
      </c>
      <c r="CG215" s="379">
        <f t="shared" si="1484"/>
        <v>608254.43999999994</v>
      </c>
      <c r="CH215" s="379">
        <f t="shared" si="1484"/>
        <v>1000256.07</v>
      </c>
      <c r="CI215" s="379">
        <f t="shared" si="1484"/>
        <v>1309750</v>
      </c>
      <c r="CJ215" s="379">
        <f t="shared" si="1484"/>
        <v>1300975</v>
      </c>
    </row>
    <row r="216" spans="1:88" x14ac:dyDescent="0.3">
      <c r="A216" s="97" t="str">
        <f>'DCS Detail'!A216</f>
        <v>Depreciation</v>
      </c>
      <c r="B216" s="106"/>
      <c r="C216" s="36">
        <f t="shared" si="1477"/>
        <v>0</v>
      </c>
      <c r="D216" s="36">
        <f t="shared" si="1477"/>
        <v>0</v>
      </c>
      <c r="E216" s="36">
        <f t="shared" si="1477"/>
        <v>221.01</v>
      </c>
      <c r="F216" s="36">
        <f t="shared" si="1477"/>
        <v>221.01</v>
      </c>
      <c r="G216" s="36">
        <f t="shared" si="1477"/>
        <v>221.01</v>
      </c>
      <c r="H216" s="36">
        <f t="shared" si="1477"/>
        <v>221.01</v>
      </c>
      <c r="I216" s="36">
        <f t="shared" si="1477"/>
        <v>221.01</v>
      </c>
      <c r="J216" s="36">
        <f t="shared" si="1477"/>
        <v>221.01</v>
      </c>
      <c r="K216" s="36">
        <f t="shared" si="1477"/>
        <v>221.01</v>
      </c>
      <c r="L216" s="36">
        <f t="shared" si="1477"/>
        <v>221.01</v>
      </c>
      <c r="M216" s="36">
        <f t="shared" si="1478"/>
        <v>7986.5400000000009</v>
      </c>
      <c r="N216" s="36">
        <f t="shared" si="1478"/>
        <v>2340.56</v>
      </c>
      <c r="O216" s="36">
        <f t="shared" si="1478"/>
        <v>2425.54</v>
      </c>
      <c r="P216" s="36">
        <f t="shared" si="1478"/>
        <v>129152.02</v>
      </c>
      <c r="Q216" s="36">
        <f t="shared" si="1478"/>
        <v>23489.360000000001</v>
      </c>
      <c r="R216" s="36">
        <f t="shared" si="1478"/>
        <v>23544.79</v>
      </c>
      <c r="S216" s="36">
        <f t="shared" si="1478"/>
        <v>23544.79</v>
      </c>
      <c r="T216" s="36">
        <f t="shared" si="1478"/>
        <v>23544.79</v>
      </c>
      <c r="U216" s="36">
        <f t="shared" si="1478"/>
        <v>23544.79</v>
      </c>
      <c r="V216" s="36">
        <f t="shared" si="1478"/>
        <v>23544.79</v>
      </c>
      <c r="W216" s="36">
        <f t="shared" si="1479"/>
        <v>23544.79</v>
      </c>
      <c r="X216" s="36">
        <f t="shared" si="1479"/>
        <v>23544.79</v>
      </c>
      <c r="Y216" s="36">
        <f t="shared" si="1479"/>
        <v>23544.79</v>
      </c>
      <c r="Z216" s="36">
        <f t="shared" si="1479"/>
        <v>23655.41</v>
      </c>
      <c r="AA216" s="36">
        <f t="shared" si="1479"/>
        <v>21528.799999999999</v>
      </c>
      <c r="AB216" s="36">
        <f t="shared" si="1479"/>
        <v>23544.79</v>
      </c>
      <c r="AC216" s="36">
        <f t="shared" si="1479"/>
        <v>25149.767142857148</v>
      </c>
      <c r="AD216" s="36">
        <f t="shared" si="1479"/>
        <v>25149.767142857148</v>
      </c>
      <c r="AE216" s="36">
        <f t="shared" si="1479"/>
        <v>25159.290952380961</v>
      </c>
      <c r="AF216" s="36">
        <f t="shared" si="1479"/>
        <v>25168.814761904767</v>
      </c>
      <c r="AG216" s="36">
        <f t="shared" si="1480"/>
        <v>25206.910000000007</v>
      </c>
      <c r="AH216" s="36">
        <f t="shared" si="1480"/>
        <v>27131.985926424648</v>
      </c>
      <c r="AI216" s="36">
        <f t="shared" si="1480"/>
        <v>29057.061852849292</v>
      </c>
      <c r="AJ216" s="36">
        <f t="shared" si="1480"/>
        <v>30982.137779273937</v>
      </c>
      <c r="AK216" s="36">
        <f t="shared" si="1480"/>
        <v>32907.213705698574</v>
      </c>
      <c r="AL216" s="36">
        <f t="shared" si="1480"/>
        <v>34832.289632123218</v>
      </c>
      <c r="AM216" s="36">
        <f t="shared" si="1480"/>
        <v>36757.365558547863</v>
      </c>
      <c r="AN216" s="36">
        <f t="shared" si="1480"/>
        <v>38682.441484972507</v>
      </c>
      <c r="AO216" s="36">
        <f t="shared" si="1480"/>
        <v>40605.749365713498</v>
      </c>
      <c r="AP216" s="36">
        <f t="shared" si="1480"/>
        <v>42529.057246454504</v>
      </c>
      <c r="AQ216" s="36">
        <f t="shared" si="1481"/>
        <v>44452.36512719551</v>
      </c>
      <c r="AR216" s="36">
        <f t="shared" si="1481"/>
        <v>46375.673007936508</v>
      </c>
      <c r="AS216" s="36">
        <f t="shared" si="1481"/>
        <v>46395.51427777778</v>
      </c>
      <c r="AT216" s="36">
        <f t="shared" si="1481"/>
        <v>46415.355547619045</v>
      </c>
      <c r="AU216" s="36">
        <f t="shared" si="1481"/>
        <v>46435.196817460317</v>
      </c>
      <c r="AV216" s="36">
        <f t="shared" si="1481"/>
        <v>46455.038087301575</v>
      </c>
      <c r="AW216" s="36">
        <f t="shared" si="1481"/>
        <v>46474.87935714284</v>
      </c>
      <c r="AX216" s="36">
        <f t="shared" si="1481"/>
        <v>46494.720626984112</v>
      </c>
      <c r="AY216" s="36">
        <f t="shared" si="1481"/>
        <v>46514.561896825377</v>
      </c>
      <c r="AZ216" s="36">
        <f t="shared" si="1481"/>
        <v>46534.403166666649</v>
      </c>
      <c r="BA216" s="36">
        <f t="shared" si="1482"/>
        <v>46554.244436507906</v>
      </c>
      <c r="BB216" s="36">
        <f t="shared" si="1482"/>
        <v>46574.085706349179</v>
      </c>
      <c r="BC216" s="36">
        <f t="shared" si="1482"/>
        <v>46593.926976190443</v>
      </c>
      <c r="BD216" s="36">
        <f t="shared" si="1482"/>
        <v>46613.768246031716</v>
      </c>
      <c r="BE216" s="36">
        <f t="shared" si="1482"/>
        <v>46633.60951587298</v>
      </c>
      <c r="BF216" s="36">
        <f t="shared" si="1482"/>
        <v>46653.450785714253</v>
      </c>
      <c r="BG216" s="36">
        <f t="shared" si="1482"/>
        <v>46673.29205555551</v>
      </c>
      <c r="BH216" s="36">
        <f t="shared" si="1482"/>
        <v>46693.133325396775</v>
      </c>
      <c r="BI216" s="36">
        <f t="shared" si="1482"/>
        <v>46712.974595238047</v>
      </c>
      <c r="BJ216" s="36">
        <f t="shared" si="1482"/>
        <v>46732.815865079312</v>
      </c>
      <c r="BK216" s="36">
        <f t="shared" si="1483"/>
        <v>46752.657134920584</v>
      </c>
      <c r="BL216" s="36">
        <f t="shared" si="1483"/>
        <v>46772.498404761842</v>
      </c>
      <c r="BM216" s="36">
        <f t="shared" si="1483"/>
        <v>46792.339674603114</v>
      </c>
      <c r="BN216" s="36">
        <f t="shared" si="1483"/>
        <v>46812.180944444379</v>
      </c>
      <c r="BO216" s="36">
        <f t="shared" si="1483"/>
        <v>46832.022214285651</v>
      </c>
      <c r="BP216" s="36">
        <f t="shared" si="1483"/>
        <v>46851.863484126916</v>
      </c>
      <c r="BQ216" s="36">
        <f t="shared" si="1483"/>
        <v>46871.704753968188</v>
      </c>
      <c r="BR216" s="36">
        <f t="shared" si="1483"/>
        <v>46891.546023809446</v>
      </c>
      <c r="BS216" s="36">
        <f t="shared" si="1483"/>
        <v>46911.387293650718</v>
      </c>
      <c r="BT216" s="36">
        <f t="shared" si="1483"/>
        <v>46931.228563491983</v>
      </c>
      <c r="BU216" s="36">
        <f t="shared" si="1483"/>
        <v>46951.069833333248</v>
      </c>
      <c r="BV216" s="36">
        <f t="shared" si="1483"/>
        <v>46970.91110317452</v>
      </c>
      <c r="BW216" s="36">
        <f t="shared" si="1483"/>
        <v>46990.752373015777</v>
      </c>
      <c r="BX216" s="36">
        <f t="shared" si="1483"/>
        <v>47010.593642857049</v>
      </c>
      <c r="BZ216" s="379">
        <f>SUMIF($B$252:$BY$252,1,$B216:$BY216)</f>
        <v>21528.799999999999</v>
      </c>
      <c r="CA216" s="379">
        <f>SUMIF($B$253:$BY$253,1,$B216:$BY216)</f>
        <v>257031.89000000004</v>
      </c>
      <c r="CB216" s="97"/>
      <c r="CC216" s="379">
        <f t="shared" si="1484"/>
        <v>0</v>
      </c>
      <c r="CD216" s="379">
        <f t="shared" si="1484"/>
        <v>0</v>
      </c>
      <c r="CE216" s="379">
        <f t="shared" si="1484"/>
        <v>143672.74</v>
      </c>
      <c r="CF216" s="379">
        <f t="shared" si="1484"/>
        <v>280576.68000000005</v>
      </c>
      <c r="CG216" s="379">
        <f t="shared" si="1484"/>
        <v>356185.04593989003</v>
      </c>
      <c r="CH216" s="379">
        <f t="shared" si="1484"/>
        <v>545682.51452507777</v>
      </c>
      <c r="CI216" s="379">
        <f t="shared" si="1484"/>
        <v>559960.45704761846</v>
      </c>
      <c r="CJ216" s="379">
        <f t="shared" si="1484"/>
        <v>562817.59990476095</v>
      </c>
    </row>
    <row r="217" spans="1:88" x14ac:dyDescent="0.3">
      <c r="A217" s="97" t="str">
        <f>'DCS Detail'!A217</f>
        <v>Non-Operating</v>
      </c>
      <c r="B217" s="106"/>
      <c r="C217" s="36">
        <f t="shared" si="1477"/>
        <v>0</v>
      </c>
      <c r="D217" s="36">
        <f t="shared" si="1477"/>
        <v>0</v>
      </c>
      <c r="E217" s="36">
        <f t="shared" si="1477"/>
        <v>0</v>
      </c>
      <c r="F217" s="36">
        <f t="shared" si="1477"/>
        <v>0</v>
      </c>
      <c r="G217" s="36">
        <f t="shared" si="1477"/>
        <v>0</v>
      </c>
      <c r="H217" s="36">
        <f t="shared" si="1477"/>
        <v>0</v>
      </c>
      <c r="I217" s="36">
        <f t="shared" si="1477"/>
        <v>0</v>
      </c>
      <c r="J217" s="36">
        <f t="shared" si="1477"/>
        <v>-11700</v>
      </c>
      <c r="K217" s="36">
        <f t="shared" si="1477"/>
        <v>0</v>
      </c>
      <c r="L217" s="36">
        <f t="shared" si="1477"/>
        <v>0</v>
      </c>
      <c r="M217" s="36">
        <f t="shared" si="1478"/>
        <v>0</v>
      </c>
      <c r="N217" s="36">
        <f t="shared" si="1478"/>
        <v>0</v>
      </c>
      <c r="O217" s="36">
        <f t="shared" si="1478"/>
        <v>0</v>
      </c>
      <c r="P217" s="36">
        <f t="shared" si="1478"/>
        <v>38692.68</v>
      </c>
      <c r="Q217" s="36">
        <f t="shared" si="1478"/>
        <v>0</v>
      </c>
      <c r="R217" s="36">
        <f t="shared" si="1478"/>
        <v>0</v>
      </c>
      <c r="S217" s="36">
        <f t="shared" si="1478"/>
        <v>0</v>
      </c>
      <c r="T217" s="36">
        <f t="shared" si="1478"/>
        <v>0</v>
      </c>
      <c r="U217" s="36">
        <f t="shared" si="1478"/>
        <v>0</v>
      </c>
      <c r="V217" s="36">
        <f t="shared" si="1478"/>
        <v>0</v>
      </c>
      <c r="W217" s="36">
        <f t="shared" si="1479"/>
        <v>0</v>
      </c>
      <c r="X217" s="36">
        <f t="shared" si="1479"/>
        <v>0</v>
      </c>
      <c r="Y217" s="36">
        <f t="shared" si="1479"/>
        <v>0</v>
      </c>
      <c r="Z217" s="36">
        <f t="shared" si="1479"/>
        <v>0</v>
      </c>
      <c r="AA217" s="36">
        <f t="shared" si="1479"/>
        <v>0</v>
      </c>
      <c r="AB217" s="36">
        <f t="shared" si="1479"/>
        <v>0</v>
      </c>
      <c r="AC217" s="36">
        <f t="shared" si="1479"/>
        <v>-670098.30999999994</v>
      </c>
      <c r="AD217" s="36">
        <f t="shared" si="1479"/>
        <v>0</v>
      </c>
      <c r="AE217" s="36">
        <f t="shared" si="1479"/>
        <v>0</v>
      </c>
      <c r="AF217" s="36">
        <f t="shared" si="1479"/>
        <v>0</v>
      </c>
      <c r="AG217" s="36">
        <f t="shared" si="1480"/>
        <v>0</v>
      </c>
      <c r="AH217" s="36">
        <f t="shared" si="1480"/>
        <v>0</v>
      </c>
      <c r="AI217" s="36">
        <f t="shared" si="1480"/>
        <v>0</v>
      </c>
      <c r="AJ217" s="36">
        <f t="shared" si="1480"/>
        <v>0</v>
      </c>
      <c r="AK217" s="36">
        <f t="shared" si="1480"/>
        <v>0</v>
      </c>
      <c r="AL217" s="36">
        <f t="shared" si="1480"/>
        <v>0</v>
      </c>
      <c r="AM217" s="36">
        <f t="shared" si="1480"/>
        <v>0</v>
      </c>
      <c r="AN217" s="36">
        <f t="shared" si="1480"/>
        <v>0</v>
      </c>
      <c r="AO217" s="36">
        <f t="shared" si="1480"/>
        <v>0</v>
      </c>
      <c r="AP217" s="36">
        <f t="shared" si="1480"/>
        <v>0</v>
      </c>
      <c r="AQ217" s="36">
        <f t="shared" si="1481"/>
        <v>0</v>
      </c>
      <c r="AR217" s="36">
        <f t="shared" si="1481"/>
        <v>0</v>
      </c>
      <c r="AS217" s="36">
        <f t="shared" si="1481"/>
        <v>0</v>
      </c>
      <c r="AT217" s="36">
        <f t="shared" si="1481"/>
        <v>0</v>
      </c>
      <c r="AU217" s="36">
        <f t="shared" si="1481"/>
        <v>0</v>
      </c>
      <c r="AV217" s="36">
        <f t="shared" si="1481"/>
        <v>0</v>
      </c>
      <c r="AW217" s="36">
        <f t="shared" si="1481"/>
        <v>0</v>
      </c>
      <c r="AX217" s="36">
        <f t="shared" si="1481"/>
        <v>0</v>
      </c>
      <c r="AY217" s="36">
        <f t="shared" si="1481"/>
        <v>0</v>
      </c>
      <c r="AZ217" s="36">
        <f t="shared" si="1481"/>
        <v>0</v>
      </c>
      <c r="BA217" s="36">
        <f t="shared" si="1482"/>
        <v>0</v>
      </c>
      <c r="BB217" s="36">
        <f t="shared" si="1482"/>
        <v>0</v>
      </c>
      <c r="BC217" s="36">
        <f t="shared" si="1482"/>
        <v>0</v>
      </c>
      <c r="BD217" s="36">
        <f t="shared" si="1482"/>
        <v>0</v>
      </c>
      <c r="BE217" s="36">
        <f t="shared" si="1482"/>
        <v>0</v>
      </c>
      <c r="BF217" s="36">
        <f t="shared" si="1482"/>
        <v>0</v>
      </c>
      <c r="BG217" s="36">
        <f t="shared" si="1482"/>
        <v>0</v>
      </c>
      <c r="BH217" s="36">
        <f t="shared" si="1482"/>
        <v>0</v>
      </c>
      <c r="BI217" s="36">
        <f t="shared" si="1482"/>
        <v>0</v>
      </c>
      <c r="BJ217" s="36">
        <f t="shared" si="1482"/>
        <v>0</v>
      </c>
      <c r="BK217" s="36">
        <f t="shared" si="1483"/>
        <v>0</v>
      </c>
      <c r="BL217" s="36">
        <f t="shared" si="1483"/>
        <v>0</v>
      </c>
      <c r="BM217" s="36">
        <f t="shared" si="1483"/>
        <v>0</v>
      </c>
      <c r="BN217" s="36">
        <f t="shared" si="1483"/>
        <v>0</v>
      </c>
      <c r="BO217" s="36">
        <f t="shared" si="1483"/>
        <v>0</v>
      </c>
      <c r="BP217" s="36">
        <f t="shared" si="1483"/>
        <v>0</v>
      </c>
      <c r="BQ217" s="36">
        <f t="shared" si="1483"/>
        <v>0</v>
      </c>
      <c r="BR217" s="36">
        <f t="shared" si="1483"/>
        <v>0</v>
      </c>
      <c r="BS217" s="36">
        <f t="shared" si="1483"/>
        <v>0</v>
      </c>
      <c r="BT217" s="36">
        <f t="shared" si="1483"/>
        <v>0</v>
      </c>
      <c r="BU217" s="36">
        <f t="shared" si="1483"/>
        <v>0</v>
      </c>
      <c r="BV217" s="36">
        <f t="shared" si="1483"/>
        <v>0</v>
      </c>
      <c r="BW217" s="36">
        <f t="shared" si="1483"/>
        <v>0</v>
      </c>
      <c r="BX217" s="36">
        <f t="shared" si="1483"/>
        <v>0</v>
      </c>
      <c r="BZ217" s="379">
        <f>SUMIF($B$252:$BY$252,1,$B217:$BY217)</f>
        <v>0</v>
      </c>
      <c r="CA217" s="379">
        <f>SUMIF($B$253:$BY$253,1,$B217:$BY217)</f>
        <v>0</v>
      </c>
      <c r="CB217" s="97"/>
      <c r="CC217" s="379">
        <f t="shared" si="1484"/>
        <v>0</v>
      </c>
      <c r="CD217" s="379">
        <f t="shared" si="1484"/>
        <v>0</v>
      </c>
      <c r="CE217" s="379">
        <f t="shared" si="1484"/>
        <v>26992.68</v>
      </c>
      <c r="CF217" s="379">
        <f t="shared" si="1484"/>
        <v>0</v>
      </c>
      <c r="CG217" s="379">
        <f t="shared" si="1484"/>
        <v>-670098.30999999994</v>
      </c>
      <c r="CH217" s="379">
        <f t="shared" si="1484"/>
        <v>0</v>
      </c>
      <c r="CI217" s="379">
        <f t="shared" si="1484"/>
        <v>0</v>
      </c>
      <c r="CJ217" s="379">
        <f t="shared" si="1484"/>
        <v>0</v>
      </c>
    </row>
    <row r="218" spans="1:88" x14ac:dyDescent="0.3">
      <c r="A218" s="97" t="str">
        <f>'DCS Detail'!A218</f>
        <v>Non-Recurring</v>
      </c>
      <c r="B218" s="106"/>
      <c r="C218" s="36">
        <f t="shared" si="1477"/>
        <v>0</v>
      </c>
      <c r="D218" s="36">
        <f t="shared" si="1477"/>
        <v>0</v>
      </c>
      <c r="E218" s="36">
        <f t="shared" si="1477"/>
        <v>0</v>
      </c>
      <c r="F218" s="36">
        <f t="shared" si="1477"/>
        <v>0</v>
      </c>
      <c r="G218" s="36">
        <f t="shared" si="1477"/>
        <v>0</v>
      </c>
      <c r="H218" s="36">
        <f t="shared" si="1477"/>
        <v>0</v>
      </c>
      <c r="I218" s="36">
        <f t="shared" si="1477"/>
        <v>0</v>
      </c>
      <c r="J218" s="36">
        <f t="shared" si="1477"/>
        <v>0</v>
      </c>
      <c r="K218" s="36">
        <f t="shared" si="1477"/>
        <v>0</v>
      </c>
      <c r="L218" s="36">
        <f t="shared" si="1477"/>
        <v>0</v>
      </c>
      <c r="M218" s="36">
        <f t="shared" si="1478"/>
        <v>0</v>
      </c>
      <c r="N218" s="36">
        <f t="shared" si="1478"/>
        <v>0</v>
      </c>
      <c r="O218" s="36">
        <f t="shared" si="1478"/>
        <v>0</v>
      </c>
      <c r="P218" s="36">
        <f t="shared" si="1478"/>
        <v>0</v>
      </c>
      <c r="Q218" s="36">
        <f t="shared" si="1478"/>
        <v>0</v>
      </c>
      <c r="R218" s="36">
        <f t="shared" si="1478"/>
        <v>0</v>
      </c>
      <c r="S218" s="36">
        <f t="shared" si="1478"/>
        <v>0</v>
      </c>
      <c r="T218" s="36">
        <f t="shared" si="1478"/>
        <v>0</v>
      </c>
      <c r="U218" s="36">
        <f t="shared" si="1478"/>
        <v>0</v>
      </c>
      <c r="V218" s="36">
        <f t="shared" si="1478"/>
        <v>0</v>
      </c>
      <c r="W218" s="36">
        <f t="shared" si="1479"/>
        <v>0</v>
      </c>
      <c r="X218" s="36">
        <f t="shared" si="1479"/>
        <v>0</v>
      </c>
      <c r="Y218" s="36">
        <f t="shared" si="1479"/>
        <v>0</v>
      </c>
      <c r="Z218" s="36">
        <f t="shared" si="1479"/>
        <v>0</v>
      </c>
      <c r="AA218" s="36">
        <f t="shared" si="1479"/>
        <v>0</v>
      </c>
      <c r="AB218" s="36">
        <f t="shared" si="1479"/>
        <v>0</v>
      </c>
      <c r="AC218" s="36">
        <f t="shared" si="1479"/>
        <v>0</v>
      </c>
      <c r="AD218" s="36">
        <f t="shared" si="1479"/>
        <v>0</v>
      </c>
      <c r="AE218" s="36">
        <f t="shared" si="1479"/>
        <v>0</v>
      </c>
      <c r="AF218" s="36">
        <f t="shared" si="1479"/>
        <v>0</v>
      </c>
      <c r="AG218" s="36">
        <f t="shared" si="1480"/>
        <v>0</v>
      </c>
      <c r="AH218" s="36">
        <f t="shared" si="1480"/>
        <v>0</v>
      </c>
      <c r="AI218" s="36">
        <f t="shared" si="1480"/>
        <v>0</v>
      </c>
      <c r="AJ218" s="36">
        <f t="shared" si="1480"/>
        <v>0</v>
      </c>
      <c r="AK218" s="36">
        <f t="shared" si="1480"/>
        <v>0</v>
      </c>
      <c r="AL218" s="36">
        <f t="shared" si="1480"/>
        <v>0</v>
      </c>
      <c r="AM218" s="36">
        <f t="shared" si="1480"/>
        <v>0</v>
      </c>
      <c r="AN218" s="36">
        <f t="shared" si="1480"/>
        <v>0</v>
      </c>
      <c r="AO218" s="36">
        <f t="shared" si="1480"/>
        <v>0</v>
      </c>
      <c r="AP218" s="36">
        <f t="shared" si="1480"/>
        <v>0</v>
      </c>
      <c r="AQ218" s="36">
        <f t="shared" si="1481"/>
        <v>0</v>
      </c>
      <c r="AR218" s="36">
        <f t="shared" si="1481"/>
        <v>0</v>
      </c>
      <c r="AS218" s="36">
        <f t="shared" si="1481"/>
        <v>0</v>
      </c>
      <c r="AT218" s="36">
        <f t="shared" si="1481"/>
        <v>0</v>
      </c>
      <c r="AU218" s="36">
        <f t="shared" si="1481"/>
        <v>0</v>
      </c>
      <c r="AV218" s="36">
        <f t="shared" si="1481"/>
        <v>0</v>
      </c>
      <c r="AW218" s="36">
        <f t="shared" si="1481"/>
        <v>0</v>
      </c>
      <c r="AX218" s="36">
        <f t="shared" si="1481"/>
        <v>0</v>
      </c>
      <c r="AY218" s="36">
        <f t="shared" si="1481"/>
        <v>0</v>
      </c>
      <c r="AZ218" s="36">
        <f t="shared" si="1481"/>
        <v>0</v>
      </c>
      <c r="BA218" s="36">
        <f t="shared" si="1482"/>
        <v>0</v>
      </c>
      <c r="BB218" s="36">
        <f t="shared" si="1482"/>
        <v>0</v>
      </c>
      <c r="BC218" s="36">
        <f t="shared" si="1482"/>
        <v>0</v>
      </c>
      <c r="BD218" s="36">
        <f t="shared" si="1482"/>
        <v>0</v>
      </c>
      <c r="BE218" s="36">
        <f t="shared" si="1482"/>
        <v>0</v>
      </c>
      <c r="BF218" s="36">
        <f t="shared" si="1482"/>
        <v>0</v>
      </c>
      <c r="BG218" s="36">
        <f t="shared" si="1482"/>
        <v>0</v>
      </c>
      <c r="BH218" s="36">
        <f t="shared" si="1482"/>
        <v>0</v>
      </c>
      <c r="BI218" s="36">
        <f t="shared" si="1482"/>
        <v>0</v>
      </c>
      <c r="BJ218" s="36">
        <f t="shared" si="1482"/>
        <v>0</v>
      </c>
      <c r="BK218" s="36">
        <f t="shared" si="1483"/>
        <v>0</v>
      </c>
      <c r="BL218" s="36">
        <f t="shared" si="1483"/>
        <v>0</v>
      </c>
      <c r="BM218" s="36">
        <f t="shared" si="1483"/>
        <v>0</v>
      </c>
      <c r="BN218" s="36">
        <f t="shared" si="1483"/>
        <v>0</v>
      </c>
      <c r="BO218" s="36">
        <f t="shared" si="1483"/>
        <v>0</v>
      </c>
      <c r="BP218" s="36">
        <f t="shared" si="1483"/>
        <v>0</v>
      </c>
      <c r="BQ218" s="36">
        <f t="shared" si="1483"/>
        <v>0</v>
      </c>
      <c r="BR218" s="36">
        <f t="shared" si="1483"/>
        <v>0</v>
      </c>
      <c r="BS218" s="36">
        <f t="shared" si="1483"/>
        <v>0</v>
      </c>
      <c r="BT218" s="36">
        <f t="shared" si="1483"/>
        <v>0</v>
      </c>
      <c r="BU218" s="36">
        <f t="shared" si="1483"/>
        <v>0</v>
      </c>
      <c r="BV218" s="36">
        <f t="shared" si="1483"/>
        <v>0</v>
      </c>
      <c r="BW218" s="36">
        <f t="shared" si="1483"/>
        <v>0</v>
      </c>
      <c r="BX218" s="36">
        <f t="shared" si="1483"/>
        <v>0</v>
      </c>
      <c r="BZ218" s="379">
        <f>SUMIF($B$252:$BY$252,1,$B218:$BY218)</f>
        <v>0</v>
      </c>
      <c r="CA218" s="379">
        <f>SUMIF($B$253:$BY$253,1,$B218:$BY218)</f>
        <v>0</v>
      </c>
      <c r="CB218" s="97"/>
      <c r="CC218" s="379">
        <f t="shared" si="1484"/>
        <v>0</v>
      </c>
      <c r="CD218" s="379">
        <f t="shared" si="1484"/>
        <v>0</v>
      </c>
      <c r="CE218" s="379">
        <f t="shared" si="1484"/>
        <v>0</v>
      </c>
      <c r="CF218" s="379">
        <f t="shared" si="1484"/>
        <v>0</v>
      </c>
      <c r="CG218" s="379">
        <f t="shared" si="1484"/>
        <v>0</v>
      </c>
      <c r="CH218" s="379">
        <f t="shared" si="1484"/>
        <v>0</v>
      </c>
      <c r="CI218" s="379">
        <f t="shared" si="1484"/>
        <v>0</v>
      </c>
      <c r="CJ218" s="379">
        <f t="shared" si="1484"/>
        <v>0</v>
      </c>
    </row>
    <row r="219" spans="1:88" x14ac:dyDescent="0.3">
      <c r="A219" s="108" t="str">
        <f>'DCS Detail'!A219</f>
        <v>Adjusted EBITDA</v>
      </c>
      <c r="B219" s="106"/>
      <c r="C219" s="374">
        <f>SUM(C214:C218)</f>
        <v>0</v>
      </c>
      <c r="D219" s="374">
        <f t="shared" ref="D219:BO219" si="1485">SUM(D214:D218)</f>
        <v>0</v>
      </c>
      <c r="E219" s="374">
        <f t="shared" si="1485"/>
        <v>397184.93000000005</v>
      </c>
      <c r="F219" s="374">
        <f t="shared" si="1485"/>
        <v>214496.64000000001</v>
      </c>
      <c r="G219" s="374">
        <f t="shared" si="1485"/>
        <v>-87121.130000000048</v>
      </c>
      <c r="H219" s="374">
        <f t="shared" si="1485"/>
        <v>259666.91299999997</v>
      </c>
      <c r="I219" s="374">
        <f t="shared" si="1485"/>
        <v>-203173.88599999994</v>
      </c>
      <c r="J219" s="374">
        <f t="shared" si="1485"/>
        <v>242111.91760000002</v>
      </c>
      <c r="K219" s="374">
        <f t="shared" si="1485"/>
        <v>-221570.89939999999</v>
      </c>
      <c r="L219" s="374">
        <f t="shared" si="1485"/>
        <v>26631.964799999947</v>
      </c>
      <c r="M219" s="374">
        <f t="shared" si="1485"/>
        <v>-8166.4399999999223</v>
      </c>
      <c r="N219" s="374">
        <f t="shared" si="1485"/>
        <v>207993.89999999997</v>
      </c>
      <c r="O219" s="374">
        <f t="shared" si="1485"/>
        <v>-218715.83</v>
      </c>
      <c r="P219" s="374">
        <f t="shared" si="1485"/>
        <v>204141.20000000013</v>
      </c>
      <c r="Q219" s="374">
        <f t="shared" si="1485"/>
        <v>92232.279999999984</v>
      </c>
      <c r="R219" s="374">
        <f t="shared" si="1485"/>
        <v>5684.4999999999927</v>
      </c>
      <c r="S219" s="374">
        <f t="shared" si="1485"/>
        <v>301466.2699999999</v>
      </c>
      <c r="T219" s="374">
        <f t="shared" si="1485"/>
        <v>27263.14</v>
      </c>
      <c r="U219" s="374">
        <f t="shared" si="1485"/>
        <v>-46427.559999999947</v>
      </c>
      <c r="V219" s="374">
        <f t="shared" si="1485"/>
        <v>2515.9499999999971</v>
      </c>
      <c r="W219" s="374">
        <f t="shared" si="1485"/>
        <v>12690.249999999949</v>
      </c>
      <c r="X219" s="374">
        <f t="shared" si="1485"/>
        <v>-30688.35</v>
      </c>
      <c r="Y219" s="374">
        <f t="shared" si="1485"/>
        <v>120577.22999999998</v>
      </c>
      <c r="Z219" s="374">
        <f t="shared" si="1485"/>
        <v>225307.96000000008</v>
      </c>
      <c r="AA219" s="374">
        <f t="shared" si="1485"/>
        <v>-19865.019999999979</v>
      </c>
      <c r="AB219" s="374">
        <f t="shared" si="1485"/>
        <v>-44467.094968091398</v>
      </c>
      <c r="AC219" s="374">
        <f t="shared" si="1485"/>
        <v>180139.73340000003</v>
      </c>
      <c r="AD219" s="374">
        <f t="shared" si="1485"/>
        <v>79186.3297038327</v>
      </c>
      <c r="AE219" s="374">
        <f t="shared" si="1485"/>
        <v>362191.16819769738</v>
      </c>
      <c r="AF219" s="374">
        <f t="shared" si="1485"/>
        <v>59771.737528199039</v>
      </c>
      <c r="AG219" s="374">
        <f t="shared" si="1485"/>
        <v>52937.960886964662</v>
      </c>
      <c r="AH219" s="374">
        <f t="shared" si="1485"/>
        <v>76674.617210017954</v>
      </c>
      <c r="AI219" s="374">
        <f t="shared" si="1485"/>
        <v>61921.49109145251</v>
      </c>
      <c r="AJ219" s="374">
        <f t="shared" si="1485"/>
        <v>146677.78262879126</v>
      </c>
      <c r="AK219" s="374">
        <f t="shared" si="1485"/>
        <v>115436.899262458</v>
      </c>
      <c r="AL219" s="374">
        <f t="shared" si="1485"/>
        <v>129150.21606955919</v>
      </c>
      <c r="AM219" s="374">
        <f t="shared" si="1485"/>
        <v>131708.83859515845</v>
      </c>
      <c r="AN219" s="374">
        <f t="shared" si="1485"/>
        <v>-69915.971539611201</v>
      </c>
      <c r="AO219" s="374">
        <f t="shared" si="1485"/>
        <v>235207.07180441672</v>
      </c>
      <c r="AP219" s="374">
        <f t="shared" si="1485"/>
        <v>118158.90340341628</v>
      </c>
      <c r="AQ219" s="374">
        <f t="shared" si="1485"/>
        <v>417456.06154272781</v>
      </c>
      <c r="AR219" s="374">
        <f t="shared" si="1485"/>
        <v>94656.219908839921</v>
      </c>
      <c r="AS219" s="374">
        <f t="shared" si="1485"/>
        <v>88749.573606755454</v>
      </c>
      <c r="AT219" s="374">
        <f t="shared" si="1485"/>
        <v>115159.78099946596</v>
      </c>
      <c r="AU219" s="374">
        <f t="shared" si="1485"/>
        <v>97401.356442982011</v>
      </c>
      <c r="AV219" s="374">
        <f t="shared" si="1485"/>
        <v>137478.09263146657</v>
      </c>
      <c r="AW219" s="374">
        <f t="shared" si="1485"/>
        <v>128757.05633678097</v>
      </c>
      <c r="AX219" s="374">
        <f t="shared" si="1485"/>
        <v>119346.63989781511</v>
      </c>
      <c r="AY219" s="374">
        <f t="shared" si="1485"/>
        <v>121111.917124598</v>
      </c>
      <c r="AZ219" s="374">
        <f t="shared" si="1485"/>
        <v>-50206.980075749125</v>
      </c>
      <c r="BA219" s="374">
        <f t="shared" si="1485"/>
        <v>296617.28020811756</v>
      </c>
      <c r="BB219" s="374">
        <f t="shared" si="1485"/>
        <v>117338.85114788459</v>
      </c>
      <c r="BC219" s="374">
        <f t="shared" si="1485"/>
        <v>414102.78571261629</v>
      </c>
      <c r="BD219" s="374">
        <f t="shared" si="1485"/>
        <v>92706.730397550928</v>
      </c>
      <c r="BE219" s="374">
        <f t="shared" si="1485"/>
        <v>86419.445046655106</v>
      </c>
      <c r="BF219" s="374">
        <f t="shared" si="1485"/>
        <v>114565.01129370078</v>
      </c>
      <c r="BG219" s="374">
        <f t="shared" si="1485"/>
        <v>96644.266976046871</v>
      </c>
      <c r="BH219" s="374">
        <f t="shared" si="1485"/>
        <v>137369.17649421113</v>
      </c>
      <c r="BI219" s="374">
        <f t="shared" si="1485"/>
        <v>127565.75316561841</v>
      </c>
      <c r="BJ219" s="374">
        <f t="shared" si="1485"/>
        <v>118780.35710364443</v>
      </c>
      <c r="BK219" s="374">
        <f t="shared" si="1485"/>
        <v>120443.02385199617</v>
      </c>
      <c r="BL219" s="374">
        <f t="shared" si="1485"/>
        <v>-55961.984753194069</v>
      </c>
      <c r="BM219" s="374">
        <f t="shared" si="1485"/>
        <v>301398.19495799125</v>
      </c>
      <c r="BN219" s="374">
        <f t="shared" si="1485"/>
        <v>114606.17423764204</v>
      </c>
      <c r="BO219" s="374">
        <f t="shared" si="1485"/>
        <v>410174.74196073308</v>
      </c>
      <c r="BP219" s="374">
        <f t="shared" ref="BP219:CJ219" si="1486">SUM(BP214:BP218)</f>
        <v>90235.200657560141</v>
      </c>
      <c r="BQ219" s="374">
        <f t="shared" si="1486"/>
        <v>82822.062538967031</v>
      </c>
      <c r="BR219" s="374">
        <f t="shared" si="1486"/>
        <v>111547.76284842961</v>
      </c>
      <c r="BS219" s="374">
        <f t="shared" si="1486"/>
        <v>92135.00764296946</v>
      </c>
      <c r="BT219" s="374">
        <f t="shared" si="1486"/>
        <v>135402.73443618789</v>
      </c>
      <c r="BU219" s="374">
        <f t="shared" si="1486"/>
        <v>125089.93380815396</v>
      </c>
      <c r="BV219" s="374">
        <f t="shared" si="1486"/>
        <v>116430.94096228768</v>
      </c>
      <c r="BW219" s="374">
        <f t="shared" si="1486"/>
        <v>117900.5320936098</v>
      </c>
      <c r="BX219" s="374">
        <f t="shared" si="1486"/>
        <v>-63699.782530292148</v>
      </c>
      <c r="BZ219" s="393">
        <f t="shared" si="1486"/>
        <v>-19865.019999999979</v>
      </c>
      <c r="CA219" s="393">
        <f t="shared" si="1486"/>
        <v>690756.65000000049</v>
      </c>
      <c r="CB219" s="97"/>
      <c r="CC219" s="393">
        <f t="shared" si="1486"/>
        <v>0</v>
      </c>
      <c r="CD219" s="393">
        <f t="shared" si="1486"/>
        <v>0</v>
      </c>
      <c r="CE219" s="393">
        <f t="shared" si="1486"/>
        <v>813479.28000000026</v>
      </c>
      <c r="CF219" s="393">
        <f t="shared" si="1486"/>
        <v>646289.55503190868</v>
      </c>
      <c r="CG219" s="393">
        <f t="shared" si="1486"/>
        <v>1325880.8030345202</v>
      </c>
      <c r="CH219" s="393">
        <f t="shared" si="1486"/>
        <v>1623275.6936235158</v>
      </c>
      <c r="CI219" s="393">
        <f t="shared" si="1486"/>
        <v>1666590.6966448482</v>
      </c>
      <c r="CJ219" s="393">
        <f t="shared" si="1486"/>
        <v>1634043.5036142399</v>
      </c>
    </row>
    <row r="220" spans="1:88" x14ac:dyDescent="0.3">
      <c r="A220" s="109"/>
      <c r="B220" s="106"/>
      <c r="C220" s="40">
        <f>C183-C219</f>
        <v>0</v>
      </c>
      <c r="D220" s="40">
        <f t="shared" ref="D220:BO220" si="1487">D183-D219</f>
        <v>0</v>
      </c>
      <c r="E220" s="40">
        <f t="shared" si="1487"/>
        <v>0</v>
      </c>
      <c r="F220" s="40">
        <f t="shared" si="1487"/>
        <v>0</v>
      </c>
      <c r="G220" s="40">
        <f t="shared" si="1487"/>
        <v>0</v>
      </c>
      <c r="H220" s="40">
        <f t="shared" si="1487"/>
        <v>0</v>
      </c>
      <c r="I220" s="40">
        <f t="shared" si="1487"/>
        <v>0</v>
      </c>
      <c r="J220" s="40">
        <f t="shared" si="1487"/>
        <v>0</v>
      </c>
      <c r="K220" s="40">
        <f t="shared" si="1487"/>
        <v>0</v>
      </c>
      <c r="L220" s="40">
        <f t="shared" si="1487"/>
        <v>8.7311491370201111E-11</v>
      </c>
      <c r="M220" s="40">
        <f t="shared" si="1487"/>
        <v>-1.4551915228366852E-10</v>
      </c>
      <c r="N220" s="40">
        <f t="shared" si="1487"/>
        <v>0</v>
      </c>
      <c r="O220" s="40">
        <f t="shared" si="1487"/>
        <v>0</v>
      </c>
      <c r="P220" s="40">
        <f t="shared" si="1487"/>
        <v>0</v>
      </c>
      <c r="Q220" s="40">
        <f t="shared" si="1487"/>
        <v>0</v>
      </c>
      <c r="R220" s="40">
        <f t="shared" si="1487"/>
        <v>-1.1641532182693481E-10</v>
      </c>
      <c r="S220" s="40">
        <f t="shared" si="1487"/>
        <v>0</v>
      </c>
      <c r="T220" s="40">
        <f t="shared" si="1487"/>
        <v>-1.1641532182693481E-10</v>
      </c>
      <c r="U220" s="40">
        <f t="shared" si="1487"/>
        <v>5.8207660913467407E-11</v>
      </c>
      <c r="V220" s="40">
        <f t="shared" si="1487"/>
        <v>-2.9103830456733704E-11</v>
      </c>
      <c r="W220" s="40">
        <f t="shared" si="1487"/>
        <v>0</v>
      </c>
      <c r="X220" s="40">
        <f t="shared" si="1487"/>
        <v>8.7311491370201111E-11</v>
      </c>
      <c r="Y220" s="40">
        <f t="shared" si="1487"/>
        <v>0</v>
      </c>
      <c r="Z220" s="40">
        <f t="shared" si="1487"/>
        <v>0</v>
      </c>
      <c r="AA220" s="40">
        <f t="shared" si="1487"/>
        <v>5.8207660913467407E-11</v>
      </c>
      <c r="AB220" s="40">
        <f t="shared" si="1487"/>
        <v>0</v>
      </c>
      <c r="AC220" s="40">
        <f t="shared" si="1487"/>
        <v>0</v>
      </c>
      <c r="AD220" s="40">
        <f t="shared" si="1487"/>
        <v>0</v>
      </c>
      <c r="AE220" s="40">
        <f t="shared" si="1487"/>
        <v>0</v>
      </c>
      <c r="AF220" s="40">
        <f t="shared" si="1487"/>
        <v>0</v>
      </c>
      <c r="AG220" s="40">
        <f t="shared" si="1487"/>
        <v>5.8207660913467407E-11</v>
      </c>
      <c r="AH220" s="40">
        <f t="shared" si="1487"/>
        <v>0</v>
      </c>
      <c r="AI220" s="40">
        <f t="shared" si="1487"/>
        <v>0</v>
      </c>
      <c r="AJ220" s="40">
        <f t="shared" si="1487"/>
        <v>0</v>
      </c>
      <c r="AK220" s="40">
        <f t="shared" si="1487"/>
        <v>0</v>
      </c>
      <c r="AL220" s="40">
        <f t="shared" si="1487"/>
        <v>0</v>
      </c>
      <c r="AM220" s="40">
        <f t="shared" si="1487"/>
        <v>0</v>
      </c>
      <c r="AN220" s="40">
        <f t="shared" si="1487"/>
        <v>0</v>
      </c>
      <c r="AO220" s="40">
        <f t="shared" si="1487"/>
        <v>0</v>
      </c>
      <c r="AP220" s="40">
        <f t="shared" si="1487"/>
        <v>0</v>
      </c>
      <c r="AQ220" s="40">
        <f t="shared" si="1487"/>
        <v>0</v>
      </c>
      <c r="AR220" s="40">
        <f t="shared" si="1487"/>
        <v>1.7462298274040222E-10</v>
      </c>
      <c r="AS220" s="40">
        <f t="shared" si="1487"/>
        <v>0</v>
      </c>
      <c r="AT220" s="40">
        <f t="shared" si="1487"/>
        <v>0</v>
      </c>
      <c r="AU220" s="40">
        <f t="shared" si="1487"/>
        <v>0</v>
      </c>
      <c r="AV220" s="40">
        <f t="shared" si="1487"/>
        <v>0</v>
      </c>
      <c r="AW220" s="40">
        <f t="shared" si="1487"/>
        <v>0</v>
      </c>
      <c r="AX220" s="40">
        <f t="shared" si="1487"/>
        <v>0</v>
      </c>
      <c r="AY220" s="40">
        <f t="shared" si="1487"/>
        <v>0</v>
      </c>
      <c r="AZ220" s="40">
        <f t="shared" si="1487"/>
        <v>1.7462298274040222E-10</v>
      </c>
      <c r="BA220" s="40">
        <f t="shared" si="1487"/>
        <v>0</v>
      </c>
      <c r="BB220" s="40">
        <f t="shared" si="1487"/>
        <v>-1.7462298274040222E-10</v>
      </c>
      <c r="BC220" s="40">
        <f t="shared" si="1487"/>
        <v>0</v>
      </c>
      <c r="BD220" s="40">
        <f t="shared" si="1487"/>
        <v>0</v>
      </c>
      <c r="BE220" s="40">
        <f t="shared" si="1487"/>
        <v>0</v>
      </c>
      <c r="BF220" s="40">
        <f t="shared" si="1487"/>
        <v>0</v>
      </c>
      <c r="BG220" s="40">
        <f t="shared" si="1487"/>
        <v>0</v>
      </c>
      <c r="BH220" s="40">
        <f t="shared" si="1487"/>
        <v>0</v>
      </c>
      <c r="BI220" s="40">
        <f t="shared" si="1487"/>
        <v>0</v>
      </c>
      <c r="BJ220" s="40">
        <f t="shared" si="1487"/>
        <v>0</v>
      </c>
      <c r="BK220" s="40">
        <f t="shared" si="1487"/>
        <v>0</v>
      </c>
      <c r="BL220" s="40">
        <f t="shared" si="1487"/>
        <v>1.1641532182693481E-10</v>
      </c>
      <c r="BM220" s="40">
        <f t="shared" si="1487"/>
        <v>0</v>
      </c>
      <c r="BN220" s="40">
        <f t="shared" si="1487"/>
        <v>-1.7462298274040222E-10</v>
      </c>
      <c r="BO220" s="40">
        <f t="shared" si="1487"/>
        <v>0</v>
      </c>
      <c r="BP220" s="40">
        <f t="shared" ref="BP220:BX220" si="1488">BP183-BP219</f>
        <v>0</v>
      </c>
      <c r="BQ220" s="40">
        <f t="shared" si="1488"/>
        <v>0</v>
      </c>
      <c r="BR220" s="40">
        <f t="shared" si="1488"/>
        <v>0</v>
      </c>
      <c r="BS220" s="40">
        <f t="shared" si="1488"/>
        <v>-1.1641532182693481E-10</v>
      </c>
      <c r="BT220" s="40">
        <f t="shared" si="1488"/>
        <v>0</v>
      </c>
      <c r="BU220" s="40">
        <f t="shared" si="1488"/>
        <v>0</v>
      </c>
      <c r="BV220" s="40">
        <f t="shared" si="1488"/>
        <v>1.1641532182693481E-10</v>
      </c>
      <c r="BW220" s="40">
        <f t="shared" si="1488"/>
        <v>2.3283064365386963E-10</v>
      </c>
      <c r="BX220" s="40">
        <f t="shared" si="1488"/>
        <v>1.7462298274040222E-10</v>
      </c>
      <c r="BZ220" s="394">
        <f t="shared" ref="BZ220" si="1489">BZ183-BZ219</f>
        <v>5.8207660913467407E-11</v>
      </c>
      <c r="CA220" s="394">
        <f t="shared" ref="CA220" si="1490">CA183-CA219</f>
        <v>0</v>
      </c>
      <c r="CB220" s="97"/>
      <c r="CC220" s="394">
        <f t="shared" ref="CC220" si="1491">CC183-CC219</f>
        <v>0</v>
      </c>
      <c r="CD220" s="394">
        <f t="shared" ref="CD220" si="1492">CD183-CD219</f>
        <v>0</v>
      </c>
      <c r="CE220" s="394">
        <f t="shared" ref="CE220" si="1493">CE183-CE219</f>
        <v>0</v>
      </c>
      <c r="CF220" s="394">
        <f t="shared" ref="CF220" si="1494">CF183-CF219</f>
        <v>0</v>
      </c>
      <c r="CG220" s="394">
        <f t="shared" ref="CG220" si="1495">CG183-CG219</f>
        <v>0</v>
      </c>
      <c r="CH220" s="394">
        <f t="shared" ref="CH220" si="1496">CH183-CH219</f>
        <v>0</v>
      </c>
      <c r="CI220" s="394">
        <f t="shared" ref="CI220" si="1497">CI183-CI219</f>
        <v>0</v>
      </c>
      <c r="CJ220" s="394">
        <f t="shared" ref="CJ220" si="1498">CJ183-CJ219</f>
        <v>0</v>
      </c>
    </row>
    <row r="221" spans="1:88" x14ac:dyDescent="0.3">
      <c r="A221" s="23" t="s">
        <v>308</v>
      </c>
      <c r="B221" s="87"/>
      <c r="C221" s="87"/>
      <c r="D221" s="87"/>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89"/>
      <c r="AN221" s="89"/>
      <c r="AO221" s="89"/>
      <c r="AP221" s="89"/>
      <c r="AQ221" s="89"/>
      <c r="AR221" s="89"/>
      <c r="AS221" s="89"/>
      <c r="AT221" s="89"/>
      <c r="AU221" s="89"/>
      <c r="AV221" s="89"/>
      <c r="AW221" s="89"/>
      <c r="AX221" s="89"/>
      <c r="AY221" s="89"/>
      <c r="AZ221" s="89"/>
      <c r="BA221" s="89"/>
      <c r="BB221" s="89"/>
      <c r="BC221" s="89"/>
      <c r="BD221" s="89"/>
      <c r="BE221" s="89"/>
      <c r="BF221" s="89"/>
      <c r="BG221" s="89"/>
      <c r="BH221" s="89"/>
      <c r="BI221" s="89"/>
      <c r="BJ221" s="89"/>
      <c r="BK221" s="89"/>
      <c r="BL221" s="89"/>
      <c r="BM221" s="89"/>
      <c r="BN221" s="89"/>
      <c r="BO221" s="89"/>
      <c r="BP221" s="89"/>
      <c r="BQ221" s="89"/>
      <c r="BR221" s="89"/>
      <c r="BS221" s="89"/>
      <c r="BT221" s="89"/>
      <c r="BU221" s="89"/>
      <c r="BV221" s="89"/>
      <c r="BW221" s="89"/>
      <c r="BX221" s="89"/>
      <c r="BY221" s="88"/>
      <c r="BZ221" s="395"/>
      <c r="CA221" s="395"/>
      <c r="CB221" s="97"/>
      <c r="CC221" s="97"/>
      <c r="CD221" s="97"/>
      <c r="CE221" s="97"/>
      <c r="CF221" s="97"/>
      <c r="CG221" s="97"/>
      <c r="CH221" s="97"/>
      <c r="CI221" s="97"/>
      <c r="CJ221" s="97"/>
    </row>
    <row r="222" spans="1:88" x14ac:dyDescent="0.3">
      <c r="A222" s="97" t="str">
        <f>'DCS Detail'!A222</f>
        <v>Building Capacity</v>
      </c>
      <c r="B222" s="106"/>
      <c r="C222" s="106"/>
      <c r="D222" s="106"/>
      <c r="E222" s="98">
        <f>24*14</f>
        <v>336</v>
      </c>
      <c r="F222" s="99">
        <f t="shared" ref="F222:G224" si="1499">E222</f>
        <v>336</v>
      </c>
      <c r="G222" s="99">
        <f t="shared" si="1499"/>
        <v>336</v>
      </c>
      <c r="H222" s="99">
        <f t="shared" ref="H222:P222" si="1500">G222</f>
        <v>336</v>
      </c>
      <c r="I222" s="99">
        <f t="shared" si="1500"/>
        <v>336</v>
      </c>
      <c r="J222" s="99">
        <f t="shared" si="1500"/>
        <v>336</v>
      </c>
      <c r="K222" s="99">
        <f t="shared" si="1500"/>
        <v>336</v>
      </c>
      <c r="L222" s="99">
        <f t="shared" si="1500"/>
        <v>336</v>
      </c>
      <c r="M222" s="99">
        <f t="shared" si="1500"/>
        <v>336</v>
      </c>
      <c r="N222" s="99">
        <f t="shared" si="1500"/>
        <v>336</v>
      </c>
      <c r="O222" s="99">
        <f t="shared" si="1500"/>
        <v>336</v>
      </c>
      <c r="P222" s="99">
        <f t="shared" si="1500"/>
        <v>336</v>
      </c>
      <c r="Q222" s="98">
        <v>392</v>
      </c>
      <c r="R222" s="98">
        <v>448</v>
      </c>
      <c r="S222" s="98">
        <v>448</v>
      </c>
      <c r="T222" s="98">
        <v>448</v>
      </c>
      <c r="U222" s="98">
        <v>448</v>
      </c>
      <c r="V222" s="98">
        <v>448</v>
      </c>
      <c r="W222" s="98">
        <v>448</v>
      </c>
      <c r="X222" s="98">
        <v>448</v>
      </c>
      <c r="Y222" s="98">
        <v>448</v>
      </c>
      <c r="Z222" s="98">
        <v>448</v>
      </c>
      <c r="AA222" s="98">
        <v>448</v>
      </c>
      <c r="AB222" s="98">
        <v>448</v>
      </c>
      <c r="AC222" s="98">
        <v>448</v>
      </c>
      <c r="AD222" s="99">
        <f t="shared" ref="AD222:AD224" si="1501">AC222</f>
        <v>448</v>
      </c>
      <c r="AE222" s="99">
        <f t="shared" ref="AE222:AE224" si="1502">AD222</f>
        <v>448</v>
      </c>
      <c r="AF222" s="99">
        <f t="shared" ref="AF222:AF224" si="1503">AE222</f>
        <v>448</v>
      </c>
      <c r="AG222" s="99">
        <f t="shared" ref="AG222:AG224" si="1504">AF222</f>
        <v>448</v>
      </c>
      <c r="AH222" s="99">
        <f t="shared" ref="AH222:AH224" si="1505">AG222</f>
        <v>448</v>
      </c>
      <c r="AI222" s="99">
        <f t="shared" ref="AI222:AI224" si="1506">AH222</f>
        <v>448</v>
      </c>
      <c r="AJ222" s="99">
        <f t="shared" ref="AJ222:AJ224" si="1507">AI222</f>
        <v>448</v>
      </c>
      <c r="AK222" s="99">
        <f t="shared" ref="AK222:AK224" si="1508">AJ222</f>
        <v>448</v>
      </c>
      <c r="AL222" s="99">
        <f t="shared" ref="AL222:AL224" si="1509">AK222</f>
        <v>448</v>
      </c>
      <c r="AM222" s="99">
        <f t="shared" ref="AM222:AM224" si="1510">AL222</f>
        <v>448</v>
      </c>
      <c r="AN222" s="99">
        <f t="shared" ref="AN222:AN224" si="1511">AM222</f>
        <v>448</v>
      </c>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Z222" s="379">
        <f t="shared" ref="BZ222:CA229" si="1512">SUMIF($B$252:$BY$252,1,$B222:$BY222)</f>
        <v>448</v>
      </c>
      <c r="CA222" s="379">
        <f t="shared" si="1512"/>
        <v>448</v>
      </c>
      <c r="CB222" s="97"/>
      <c r="CC222" s="97"/>
      <c r="CD222" s="97"/>
      <c r="CE222" s="97"/>
      <c r="CF222" s="97"/>
      <c r="CG222" s="97"/>
      <c r="CH222" s="97"/>
      <c r="CI222" s="97"/>
      <c r="CJ222" s="97"/>
    </row>
    <row r="223" spans="1:88" x14ac:dyDescent="0.3">
      <c r="A223" s="97" t="str">
        <f>'DCS Detail'!A223</f>
        <v>Enrollees</v>
      </c>
      <c r="B223" s="106"/>
      <c r="C223" s="106"/>
      <c r="D223" s="106"/>
      <c r="E223" s="98">
        <v>310</v>
      </c>
      <c r="F223" s="99">
        <f t="shared" si="1499"/>
        <v>310</v>
      </c>
      <c r="G223" s="99">
        <f t="shared" si="1499"/>
        <v>310</v>
      </c>
      <c r="H223" s="99">
        <f t="shared" ref="H223:P223" si="1513">G223</f>
        <v>310</v>
      </c>
      <c r="I223" s="99">
        <f t="shared" si="1513"/>
        <v>310</v>
      </c>
      <c r="J223" s="99">
        <f t="shared" si="1513"/>
        <v>310</v>
      </c>
      <c r="K223" s="99">
        <f t="shared" si="1513"/>
        <v>310</v>
      </c>
      <c r="L223" s="99">
        <f t="shared" si="1513"/>
        <v>310</v>
      </c>
      <c r="M223" s="99">
        <f t="shared" si="1513"/>
        <v>310</v>
      </c>
      <c r="N223" s="99">
        <f t="shared" si="1513"/>
        <v>310</v>
      </c>
      <c r="O223" s="99">
        <f t="shared" si="1513"/>
        <v>310</v>
      </c>
      <c r="P223" s="99">
        <f t="shared" si="1513"/>
        <v>310</v>
      </c>
      <c r="Q223" s="98">
        <v>310</v>
      </c>
      <c r="R223" s="98">
        <v>384</v>
      </c>
      <c r="S223" s="98">
        <v>384</v>
      </c>
      <c r="T223" s="98">
        <v>384</v>
      </c>
      <c r="U223" s="98">
        <v>384</v>
      </c>
      <c r="V223" s="98">
        <v>384</v>
      </c>
      <c r="W223" s="98">
        <v>384</v>
      </c>
      <c r="X223" s="98">
        <v>384</v>
      </c>
      <c r="Y223" s="98">
        <v>384</v>
      </c>
      <c r="Z223" s="98">
        <v>384</v>
      </c>
      <c r="AA223" s="98">
        <v>384</v>
      </c>
      <c r="AB223" s="98">
        <v>384</v>
      </c>
      <c r="AC223" s="98">
        <v>384</v>
      </c>
      <c r="AD223" s="99">
        <f t="shared" si="1501"/>
        <v>384</v>
      </c>
      <c r="AE223" s="99">
        <f t="shared" si="1502"/>
        <v>384</v>
      </c>
      <c r="AF223" s="99">
        <f t="shared" si="1503"/>
        <v>384</v>
      </c>
      <c r="AG223" s="99">
        <f t="shared" si="1504"/>
        <v>384</v>
      </c>
      <c r="AH223" s="99">
        <f t="shared" si="1505"/>
        <v>384</v>
      </c>
      <c r="AI223" s="99">
        <f t="shared" si="1506"/>
        <v>384</v>
      </c>
      <c r="AJ223" s="99">
        <f t="shared" si="1507"/>
        <v>384</v>
      </c>
      <c r="AK223" s="99">
        <f t="shared" si="1508"/>
        <v>384</v>
      </c>
      <c r="AL223" s="99">
        <f t="shared" si="1509"/>
        <v>384</v>
      </c>
      <c r="AM223" s="99">
        <f t="shared" si="1510"/>
        <v>384</v>
      </c>
      <c r="AN223" s="99">
        <f t="shared" si="1511"/>
        <v>384</v>
      </c>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Z223" s="379">
        <f t="shared" si="1512"/>
        <v>384</v>
      </c>
      <c r="CA223" s="379">
        <f t="shared" si="1512"/>
        <v>384</v>
      </c>
      <c r="CB223" s="97"/>
      <c r="CC223" s="97"/>
      <c r="CD223" s="97"/>
      <c r="CE223" s="97"/>
      <c r="CF223" s="97"/>
      <c r="CG223" s="97"/>
      <c r="CH223" s="97"/>
      <c r="CI223" s="97"/>
      <c r="CJ223" s="97"/>
    </row>
    <row r="224" spans="1:88" x14ac:dyDescent="0.3">
      <c r="A224" s="97" t="str">
        <f>'DCS Detail'!A224</f>
        <v>Staff</v>
      </c>
      <c r="B224" s="106"/>
      <c r="C224" s="106"/>
      <c r="D224" s="106"/>
      <c r="E224" s="98">
        <v>28</v>
      </c>
      <c r="F224" s="99">
        <f t="shared" si="1499"/>
        <v>28</v>
      </c>
      <c r="G224" s="99">
        <f t="shared" si="1499"/>
        <v>28</v>
      </c>
      <c r="H224" s="99">
        <f t="shared" ref="H224:P224" si="1514">G224</f>
        <v>28</v>
      </c>
      <c r="I224" s="99">
        <f t="shared" si="1514"/>
        <v>28</v>
      </c>
      <c r="J224" s="99">
        <f t="shared" si="1514"/>
        <v>28</v>
      </c>
      <c r="K224" s="99">
        <f t="shared" si="1514"/>
        <v>28</v>
      </c>
      <c r="L224" s="99">
        <f t="shared" si="1514"/>
        <v>28</v>
      </c>
      <c r="M224" s="99">
        <f t="shared" si="1514"/>
        <v>28</v>
      </c>
      <c r="N224" s="99">
        <f t="shared" si="1514"/>
        <v>28</v>
      </c>
      <c r="O224" s="99">
        <f t="shared" si="1514"/>
        <v>28</v>
      </c>
      <c r="P224" s="99">
        <f t="shared" si="1514"/>
        <v>28</v>
      </c>
      <c r="Q224" s="98">
        <v>28</v>
      </c>
      <c r="R224" s="98">
        <v>30</v>
      </c>
      <c r="S224" s="98">
        <v>30</v>
      </c>
      <c r="T224" s="98">
        <v>30</v>
      </c>
      <c r="U224" s="98">
        <v>30</v>
      </c>
      <c r="V224" s="98">
        <v>30</v>
      </c>
      <c r="W224" s="98">
        <v>30</v>
      </c>
      <c r="X224" s="98">
        <v>30</v>
      </c>
      <c r="Y224" s="98">
        <v>30</v>
      </c>
      <c r="Z224" s="98">
        <v>30</v>
      </c>
      <c r="AA224" s="98">
        <v>30</v>
      </c>
      <c r="AB224" s="98">
        <v>30</v>
      </c>
      <c r="AC224" s="98">
        <v>30</v>
      </c>
      <c r="AD224" s="99">
        <f t="shared" si="1501"/>
        <v>30</v>
      </c>
      <c r="AE224" s="99">
        <f t="shared" si="1502"/>
        <v>30</v>
      </c>
      <c r="AF224" s="99">
        <f t="shared" si="1503"/>
        <v>30</v>
      </c>
      <c r="AG224" s="99">
        <f t="shared" si="1504"/>
        <v>30</v>
      </c>
      <c r="AH224" s="99">
        <f t="shared" si="1505"/>
        <v>30</v>
      </c>
      <c r="AI224" s="99">
        <f t="shared" si="1506"/>
        <v>30</v>
      </c>
      <c r="AJ224" s="99">
        <f t="shared" si="1507"/>
        <v>30</v>
      </c>
      <c r="AK224" s="99">
        <f t="shared" si="1508"/>
        <v>30</v>
      </c>
      <c r="AL224" s="99">
        <f t="shared" si="1509"/>
        <v>30</v>
      </c>
      <c r="AM224" s="99">
        <f t="shared" si="1510"/>
        <v>30</v>
      </c>
      <c r="AN224" s="99">
        <f t="shared" si="1511"/>
        <v>30</v>
      </c>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Z224" s="379">
        <f t="shared" si="1512"/>
        <v>30</v>
      </c>
      <c r="CA224" s="379">
        <f>AVERAGEIF($B$253:$BY$253,1,$B224:$BY224)</f>
        <v>29.818181818181817</v>
      </c>
      <c r="CB224" s="97"/>
      <c r="CC224" s="97"/>
      <c r="CD224" s="97"/>
      <c r="CE224" s="97"/>
      <c r="CF224" s="97"/>
      <c r="CG224" s="97"/>
      <c r="CH224" s="97"/>
      <c r="CI224" s="97"/>
      <c r="CJ224" s="97"/>
    </row>
    <row r="225" spans="1:88" x14ac:dyDescent="0.3">
      <c r="A225" s="97" t="str">
        <f>'DCS Detail'!A225</f>
        <v>DAP</v>
      </c>
      <c r="B225" s="106"/>
      <c r="C225" s="106"/>
      <c r="D225" s="106"/>
      <c r="E225" s="37">
        <v>0</v>
      </c>
      <c r="F225" s="37">
        <v>0</v>
      </c>
      <c r="G225" s="37">
        <v>0</v>
      </c>
      <c r="H225" s="37">
        <v>0</v>
      </c>
      <c r="I225" s="37">
        <v>0</v>
      </c>
      <c r="J225" s="37">
        <v>0</v>
      </c>
      <c r="K225" s="37">
        <v>0</v>
      </c>
      <c r="L225" s="37">
        <v>0</v>
      </c>
      <c r="M225" s="37">
        <v>0</v>
      </c>
      <c r="N225" s="37">
        <v>0</v>
      </c>
      <c r="O225" s="37">
        <v>0</v>
      </c>
      <c r="P225" s="37">
        <v>0</v>
      </c>
      <c r="Q225" s="37">
        <v>0</v>
      </c>
      <c r="R225" s="37">
        <v>494</v>
      </c>
      <c r="S225" s="37">
        <v>2265</v>
      </c>
      <c r="T225" s="37">
        <v>2300.7200000000003</v>
      </c>
      <c r="U225" s="37">
        <v>1485</v>
      </c>
      <c r="V225" s="37">
        <v>1179.24</v>
      </c>
      <c r="W225" s="37">
        <v>1420</v>
      </c>
      <c r="X225" s="37">
        <v>3054</v>
      </c>
      <c r="Y225" s="37">
        <v>1263.4228571428571</v>
      </c>
      <c r="Z225" s="37">
        <v>1263.4228571428571</v>
      </c>
      <c r="AA225" s="37">
        <v>1263.4228571428571</v>
      </c>
      <c r="AB225" s="37">
        <v>0</v>
      </c>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Z225" s="379">
        <f t="shared" si="1512"/>
        <v>1263.4228571428571</v>
      </c>
      <c r="CA225" s="379">
        <f>SUMIF($B$253:$BY$253,1,$B225:$BY225)</f>
        <v>15988.228571428572</v>
      </c>
      <c r="CB225" s="97"/>
      <c r="CC225" s="97"/>
      <c r="CD225" s="97"/>
      <c r="CE225" s="97"/>
      <c r="CF225" s="97"/>
      <c r="CG225" s="97"/>
      <c r="CH225" s="97"/>
      <c r="CI225" s="97"/>
      <c r="CJ225" s="97"/>
    </row>
    <row r="226" spans="1:88" x14ac:dyDescent="0.3">
      <c r="A226" s="97" t="str">
        <f>'DCS Detail'!A226</f>
        <v>DSA</v>
      </c>
      <c r="B226" s="106"/>
      <c r="C226" s="106"/>
      <c r="D226" s="106"/>
      <c r="E226" s="37">
        <v>213000</v>
      </c>
      <c r="F226" s="37">
        <v>213000</v>
      </c>
      <c r="G226" s="37">
        <v>213000</v>
      </c>
      <c r="H226" s="37">
        <v>213000</v>
      </c>
      <c r="I226" s="37">
        <v>213000</v>
      </c>
      <c r="J226" s="37">
        <v>213000</v>
      </c>
      <c r="K226" s="37">
        <v>213000</v>
      </c>
      <c r="L226" s="37">
        <v>213000</v>
      </c>
      <c r="M226" s="37">
        <v>213000</v>
      </c>
      <c r="N226" s="37">
        <v>213000</v>
      </c>
      <c r="O226" s="37">
        <v>213000</v>
      </c>
      <c r="P226" s="37">
        <v>213000</v>
      </c>
      <c r="Q226" s="37">
        <v>207328</v>
      </c>
      <c r="R226" s="37">
        <v>254144</v>
      </c>
      <c r="S226" s="37">
        <v>254144</v>
      </c>
      <c r="T226" s="37">
        <v>254144</v>
      </c>
      <c r="U226" s="37">
        <v>254144</v>
      </c>
      <c r="V226" s="37">
        <v>254144</v>
      </c>
      <c r="W226" s="37">
        <v>254144</v>
      </c>
      <c r="X226" s="37">
        <v>254144</v>
      </c>
      <c r="Y226" s="37">
        <v>254144</v>
      </c>
      <c r="Z226" s="37">
        <v>254144</v>
      </c>
      <c r="AA226" s="37">
        <v>254144</v>
      </c>
      <c r="AB226" s="37">
        <v>254144</v>
      </c>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Z226" s="379">
        <f t="shared" si="1512"/>
        <v>254144</v>
      </c>
      <c r="CA226" s="379">
        <f>SUMIF($B$253:$BY$253,1,$B226:$BY226)</f>
        <v>2748768</v>
      </c>
      <c r="CB226" s="97"/>
      <c r="CC226" s="97"/>
      <c r="CD226" s="97"/>
      <c r="CE226" s="97"/>
      <c r="CF226" s="97"/>
      <c r="CG226" s="97"/>
      <c r="CH226" s="97"/>
      <c r="CI226" s="97"/>
      <c r="CJ226" s="97"/>
    </row>
    <row r="227" spans="1:88" x14ac:dyDescent="0.3">
      <c r="A227" s="97" t="str">
        <f>'DCS Detail'!A227</f>
        <v>Special Educ.</v>
      </c>
      <c r="B227" s="106"/>
      <c r="C227" s="106"/>
      <c r="D227" s="106"/>
      <c r="E227" s="37">
        <v>5557.1608333333324</v>
      </c>
      <c r="F227" s="37">
        <v>5557.1608333333324</v>
      </c>
      <c r="G227" s="37">
        <v>5557.1608333333324</v>
      </c>
      <c r="H227" s="37">
        <v>5557.1608333333324</v>
      </c>
      <c r="I227" s="37">
        <v>5557.1608333333324</v>
      </c>
      <c r="J227" s="37">
        <v>5557.1608333333324</v>
      </c>
      <c r="K227" s="37">
        <v>5557.1608333333324</v>
      </c>
      <c r="L227" s="37">
        <v>5557.1608333333324</v>
      </c>
      <c r="M227" s="37">
        <v>5557.1608333333324</v>
      </c>
      <c r="N227" s="37">
        <v>5557.1608333333324</v>
      </c>
      <c r="O227" s="37">
        <v>5557.1608333333324</v>
      </c>
      <c r="P227" s="37">
        <v>5557.1608333333324</v>
      </c>
      <c r="Q227" s="37">
        <v>0</v>
      </c>
      <c r="R227" s="37">
        <v>0</v>
      </c>
      <c r="S227" s="37">
        <v>14699.895600000002</v>
      </c>
      <c r="T227" s="37">
        <v>0</v>
      </c>
      <c r="U227" s="37">
        <v>15114.5982</v>
      </c>
      <c r="V227" s="37">
        <v>0</v>
      </c>
      <c r="W227" s="37">
        <v>0</v>
      </c>
      <c r="X227" s="37">
        <v>15114.606199999995</v>
      </c>
      <c r="Y227" s="37">
        <v>0</v>
      </c>
      <c r="Z227" s="37">
        <v>0</v>
      </c>
      <c r="AA227" s="37">
        <v>15114.606199999995</v>
      </c>
      <c r="AB227" s="37">
        <v>0</v>
      </c>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Z227" s="379">
        <f t="shared" si="1512"/>
        <v>15114.606199999995</v>
      </c>
      <c r="CA227" s="379">
        <f>SUMIF($B$253:$BY$253,1,$B227:$BY227)</f>
        <v>60043.706199999993</v>
      </c>
      <c r="CB227" s="97"/>
      <c r="CC227" s="97"/>
      <c r="CD227" s="97"/>
      <c r="CE227" s="97"/>
      <c r="CF227" s="97"/>
      <c r="CG227" s="97"/>
      <c r="CH227" s="97"/>
      <c r="CI227" s="97"/>
      <c r="CJ227" s="97"/>
    </row>
    <row r="228" spans="1:88" x14ac:dyDescent="0.3">
      <c r="A228" s="97" t="str">
        <f>'DCS Detail'!A228</f>
        <v>Grants</v>
      </c>
      <c r="B228" s="106"/>
      <c r="C228" s="106"/>
      <c r="D228" s="106"/>
      <c r="E228" s="37">
        <v>4726.0566666666664</v>
      </c>
      <c r="F228" s="37">
        <v>4726.0566666666664</v>
      </c>
      <c r="G228" s="37">
        <v>4726.0566666666664</v>
      </c>
      <c r="H228" s="37">
        <v>4726.0566666666664</v>
      </c>
      <c r="I228" s="37">
        <v>4726.0566666666664</v>
      </c>
      <c r="J228" s="37">
        <v>4726.0566666666664</v>
      </c>
      <c r="K228" s="37">
        <v>4726.0566666666664</v>
      </c>
      <c r="L228" s="37">
        <v>4726.0566666666664</v>
      </c>
      <c r="M228" s="37">
        <v>4726.0566666666664</v>
      </c>
      <c r="N228" s="37">
        <v>4726.0566666666664</v>
      </c>
      <c r="O228" s="37">
        <v>4726.0566666666664</v>
      </c>
      <c r="P228" s="37">
        <v>4726.0566666666664</v>
      </c>
      <c r="Q228" s="37">
        <v>0</v>
      </c>
      <c r="R228" s="37">
        <v>390034</v>
      </c>
      <c r="S228" s="37">
        <v>2000</v>
      </c>
      <c r="T228" s="37">
        <v>11345.28</v>
      </c>
      <c r="U228" s="37">
        <v>0</v>
      </c>
      <c r="V228" s="37">
        <v>0</v>
      </c>
      <c r="W228" s="37">
        <v>0</v>
      </c>
      <c r="X228" s="37">
        <v>10959.790909090922</v>
      </c>
      <c r="Y228" s="37">
        <v>0</v>
      </c>
      <c r="Z228" s="37">
        <v>0</v>
      </c>
      <c r="AA228" s="37">
        <v>8584.2100000000009</v>
      </c>
      <c r="AB228" s="37">
        <v>0</v>
      </c>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Z228" s="379">
        <f t="shared" si="1512"/>
        <v>8584.2100000000009</v>
      </c>
      <c r="CA228" s="379">
        <f>SUMIF($B$253:$BY$253,1,$B228:$BY228)</f>
        <v>422923.28090909094</v>
      </c>
      <c r="CB228" s="97"/>
      <c r="CC228" s="97"/>
      <c r="CD228" s="97"/>
      <c r="CE228" s="97"/>
      <c r="CF228" s="97"/>
      <c r="CG228" s="97"/>
      <c r="CH228" s="97"/>
      <c r="CI228" s="97"/>
      <c r="CJ228" s="97"/>
    </row>
    <row r="229" spans="1:88" x14ac:dyDescent="0.3">
      <c r="A229" s="97" t="str">
        <f>'DCS Detail'!A229</f>
        <v>Other</v>
      </c>
      <c r="B229" s="106"/>
      <c r="C229" s="106"/>
      <c r="D229" s="106"/>
      <c r="E229" s="37">
        <v>0</v>
      </c>
      <c r="F229" s="37">
        <v>0</v>
      </c>
      <c r="G229" s="37">
        <v>0</v>
      </c>
      <c r="H229" s="37">
        <v>0</v>
      </c>
      <c r="I229" s="37">
        <v>0</v>
      </c>
      <c r="J229" s="37">
        <v>0</v>
      </c>
      <c r="K229" s="37">
        <v>0</v>
      </c>
      <c r="L229" s="37">
        <v>0</v>
      </c>
      <c r="M229" s="37">
        <v>0</v>
      </c>
      <c r="N229" s="37">
        <v>0</v>
      </c>
      <c r="O229" s="37">
        <v>0</v>
      </c>
      <c r="P229" s="37">
        <v>0</v>
      </c>
      <c r="Q229" s="37">
        <v>43.13</v>
      </c>
      <c r="R229" s="37">
        <v>2331.7999999999997</v>
      </c>
      <c r="S229" s="37">
        <v>1074.95</v>
      </c>
      <c r="T229" s="37">
        <v>139.61000000000001</v>
      </c>
      <c r="U229" s="37">
        <v>228.8</v>
      </c>
      <c r="V229" s="37">
        <v>95.91</v>
      </c>
      <c r="W229" s="37">
        <v>40.434600000000003</v>
      </c>
      <c r="X229" s="37">
        <v>117.07540000000007</v>
      </c>
      <c r="Y229" s="37">
        <v>200.21946428571428</v>
      </c>
      <c r="Z229" s="37">
        <v>210.21946428571428</v>
      </c>
      <c r="AA229" s="37">
        <v>190.21946428571428</v>
      </c>
      <c r="AB229" s="37">
        <v>190.21946428571428</v>
      </c>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Z229" s="379">
        <f t="shared" si="1512"/>
        <v>190.21946428571428</v>
      </c>
      <c r="CA229" s="379">
        <f>SUMIF($B$253:$BY$253,1,$B229:$BY229)</f>
        <v>4672.3683928571427</v>
      </c>
      <c r="CB229" s="97"/>
      <c r="CC229" s="97"/>
      <c r="CD229" s="97"/>
      <c r="CE229" s="97"/>
      <c r="CF229" s="97"/>
      <c r="CG229" s="97"/>
      <c r="CH229" s="97"/>
      <c r="CI229" s="97"/>
      <c r="CJ229" s="97"/>
    </row>
    <row r="230" spans="1:88" ht="3" customHeight="1" x14ac:dyDescent="0.3">
      <c r="A230" s="97"/>
      <c r="B230" s="106"/>
      <c r="C230" s="106"/>
      <c r="D230" s="106"/>
      <c r="E230" s="19"/>
      <c r="F230" s="19"/>
      <c r="G230" s="19"/>
      <c r="H230" s="19"/>
      <c r="I230" s="19"/>
      <c r="J230" s="19"/>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Z230" s="391"/>
      <c r="CA230" s="391"/>
      <c r="CB230" s="97"/>
      <c r="CC230" s="97"/>
      <c r="CD230" s="97"/>
      <c r="CE230" s="97"/>
      <c r="CF230" s="97"/>
      <c r="CG230" s="97"/>
      <c r="CH230" s="97"/>
      <c r="CI230" s="97"/>
      <c r="CJ230" s="97"/>
    </row>
    <row r="231" spans="1:88" x14ac:dyDescent="0.3">
      <c r="A231" s="108" t="s">
        <v>16</v>
      </c>
      <c r="B231" s="106"/>
      <c r="C231" s="106"/>
      <c r="D231" s="106"/>
      <c r="E231" s="8">
        <f>SUM(E225:E230)</f>
        <v>223283.2175</v>
      </c>
      <c r="F231" s="8">
        <f t="shared" ref="F231" si="1515">SUM(F225:F230)</f>
        <v>223283.2175</v>
      </c>
      <c r="G231" s="8">
        <f t="shared" ref="G231" si="1516">SUM(G225:G230)</f>
        <v>223283.2175</v>
      </c>
      <c r="H231" s="8">
        <f t="shared" ref="H231" si="1517">SUM(H225:H230)</f>
        <v>223283.2175</v>
      </c>
      <c r="I231" s="8">
        <f t="shared" ref="I231" si="1518">SUM(I225:I230)</f>
        <v>223283.2175</v>
      </c>
      <c r="J231" s="8">
        <f t="shared" ref="J231" si="1519">SUM(J225:J230)</f>
        <v>223283.2175</v>
      </c>
      <c r="K231" s="8">
        <f t="shared" ref="K231" si="1520">SUM(K225:K230)</f>
        <v>223283.2175</v>
      </c>
      <c r="L231" s="8">
        <f t="shared" ref="L231" si="1521">SUM(L225:L230)</f>
        <v>223283.2175</v>
      </c>
      <c r="M231" s="8">
        <f t="shared" ref="M231" si="1522">SUM(M225:M230)</f>
        <v>223283.2175</v>
      </c>
      <c r="N231" s="8">
        <f t="shared" ref="N231" si="1523">SUM(N225:N230)</f>
        <v>223283.2175</v>
      </c>
      <c r="O231" s="8">
        <f t="shared" ref="O231" si="1524">SUM(O225:O230)</f>
        <v>223283.2175</v>
      </c>
      <c r="P231" s="8">
        <f t="shared" ref="P231:CA231" si="1525">SUM(P225:P230)</f>
        <v>223283.2175</v>
      </c>
      <c r="Q231" s="8">
        <f t="shared" ref="Q231:AB231" si="1526">SUM(Q225:Q230)</f>
        <v>207371.13</v>
      </c>
      <c r="R231" s="8">
        <f t="shared" si="1526"/>
        <v>647003.80000000005</v>
      </c>
      <c r="S231" s="8">
        <f t="shared" si="1526"/>
        <v>274183.8456</v>
      </c>
      <c r="T231" s="8">
        <f t="shared" si="1526"/>
        <v>267929.61</v>
      </c>
      <c r="U231" s="8">
        <f t="shared" si="1526"/>
        <v>270972.3982</v>
      </c>
      <c r="V231" s="8">
        <f t="shared" si="1526"/>
        <v>255419.15</v>
      </c>
      <c r="W231" s="8">
        <f t="shared" si="1526"/>
        <v>255604.43460000001</v>
      </c>
      <c r="X231" s="8">
        <f t="shared" si="1526"/>
        <v>283389.47250909085</v>
      </c>
      <c r="Y231" s="8">
        <f t="shared" si="1526"/>
        <v>255607.64232142858</v>
      </c>
      <c r="Z231" s="8">
        <f t="shared" si="1526"/>
        <v>255617.64232142858</v>
      </c>
      <c r="AA231" s="8">
        <f t="shared" si="1526"/>
        <v>279296.45852142858</v>
      </c>
      <c r="AB231" s="8">
        <f t="shared" si="1526"/>
        <v>254334.21946428571</v>
      </c>
      <c r="AC231" s="8">
        <f t="shared" ref="AC231:AN231" si="1527">SUM(AC225:AC230)</f>
        <v>0</v>
      </c>
      <c r="AD231" s="8">
        <f t="shared" si="1527"/>
        <v>0</v>
      </c>
      <c r="AE231" s="8">
        <f t="shared" si="1527"/>
        <v>0</v>
      </c>
      <c r="AF231" s="8">
        <f t="shared" si="1527"/>
        <v>0</v>
      </c>
      <c r="AG231" s="8">
        <f t="shared" si="1527"/>
        <v>0</v>
      </c>
      <c r="AH231" s="8">
        <f t="shared" si="1527"/>
        <v>0</v>
      </c>
      <c r="AI231" s="8">
        <f t="shared" si="1527"/>
        <v>0</v>
      </c>
      <c r="AJ231" s="8">
        <f t="shared" si="1527"/>
        <v>0</v>
      </c>
      <c r="AK231" s="8">
        <f t="shared" si="1527"/>
        <v>0</v>
      </c>
      <c r="AL231" s="8">
        <f t="shared" si="1527"/>
        <v>0</v>
      </c>
      <c r="AM231" s="8">
        <f t="shared" si="1527"/>
        <v>0</v>
      </c>
      <c r="AN231" s="8">
        <f t="shared" si="1527"/>
        <v>0</v>
      </c>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Z231" s="379">
        <f t="shared" si="1525"/>
        <v>279296.45852142858</v>
      </c>
      <c r="CA231" s="379">
        <f t="shared" si="1525"/>
        <v>3252395.5840733764</v>
      </c>
      <c r="CB231" s="97"/>
      <c r="CC231" s="97"/>
      <c r="CD231" s="97"/>
      <c r="CE231" s="97"/>
      <c r="CF231" s="97"/>
      <c r="CG231" s="97"/>
      <c r="CH231" s="97"/>
      <c r="CI231" s="97"/>
      <c r="CJ231" s="97"/>
    </row>
    <row r="232" spans="1:88" x14ac:dyDescent="0.3">
      <c r="A232" s="97" t="str">
        <f>'DCS Detail'!A232</f>
        <v>Salaries</v>
      </c>
      <c r="B232" s="106"/>
      <c r="C232" s="106"/>
      <c r="D232" s="106"/>
      <c r="E232" s="37">
        <v>101599.64</v>
      </c>
      <c r="F232" s="37">
        <v>101599.64</v>
      </c>
      <c r="G232" s="37">
        <v>101599.64</v>
      </c>
      <c r="H232" s="37">
        <v>101599.64</v>
      </c>
      <c r="I232" s="37">
        <v>101599.64</v>
      </c>
      <c r="J232" s="37">
        <v>101599.64</v>
      </c>
      <c r="K232" s="37">
        <v>101599.64</v>
      </c>
      <c r="L232" s="37">
        <v>101599.64</v>
      </c>
      <c r="M232" s="37">
        <v>101599.64</v>
      </c>
      <c r="N232" s="37">
        <v>101599.64</v>
      </c>
      <c r="O232" s="37">
        <v>101599.64</v>
      </c>
      <c r="P232" s="37">
        <v>101599.64</v>
      </c>
      <c r="Q232" s="37">
        <v>0</v>
      </c>
      <c r="R232" s="37">
        <v>115485.66316666665</v>
      </c>
      <c r="S232" s="37">
        <v>115485.66316666665</v>
      </c>
      <c r="T232" s="37">
        <v>115485.66316666665</v>
      </c>
      <c r="U232" s="37">
        <v>115485.66316666665</v>
      </c>
      <c r="V232" s="37">
        <v>118371.66316666665</v>
      </c>
      <c r="W232" s="37">
        <v>115485.66316666665</v>
      </c>
      <c r="X232" s="37">
        <v>115485.66316666665</v>
      </c>
      <c r="Y232" s="37">
        <v>115485.66316666665</v>
      </c>
      <c r="Z232" s="37">
        <v>115485.66316666665</v>
      </c>
      <c r="AA232" s="37">
        <v>115485.66316666665</v>
      </c>
      <c r="AB232" s="37">
        <v>229411.3263333333</v>
      </c>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Z232" s="379">
        <f t="shared" ref="BZ232:BZ246" si="1528">SUMIF($B$252:$BY$252,1,$B232:$BY232)</f>
        <v>115485.66316666665</v>
      </c>
      <c r="CA232" s="379">
        <f t="shared" ref="CA232:CA246" si="1529">SUMIF($B$253:$BY$253,1,$B232:$BY232)</f>
        <v>1157742.6316666666</v>
      </c>
      <c r="CB232" s="97"/>
      <c r="CC232" s="97"/>
      <c r="CD232" s="97"/>
      <c r="CE232" s="97"/>
      <c r="CF232" s="97"/>
      <c r="CG232" s="97"/>
      <c r="CH232" s="97"/>
      <c r="CI232" s="97"/>
      <c r="CJ232" s="97"/>
    </row>
    <row r="233" spans="1:88" x14ac:dyDescent="0.3">
      <c r="A233" s="97" t="str">
        <f>'DCS Detail'!A233</f>
        <v>Benefits</v>
      </c>
      <c r="B233" s="106"/>
      <c r="C233" s="106"/>
      <c r="D233" s="106"/>
      <c r="E233" s="37">
        <v>22626.05</v>
      </c>
      <c r="F233" s="37">
        <v>22626.05</v>
      </c>
      <c r="G233" s="37">
        <v>22626.05</v>
      </c>
      <c r="H233" s="37">
        <v>22626.05</v>
      </c>
      <c r="I233" s="37">
        <v>22626.05</v>
      </c>
      <c r="J233" s="37">
        <v>22626.05</v>
      </c>
      <c r="K233" s="37">
        <v>22626.05</v>
      </c>
      <c r="L233" s="37">
        <v>22626.05</v>
      </c>
      <c r="M233" s="37">
        <v>22626.05</v>
      </c>
      <c r="N233" s="37">
        <v>22626.05</v>
      </c>
      <c r="O233" s="37">
        <v>22626.05</v>
      </c>
      <c r="P233" s="37">
        <v>22626.05</v>
      </c>
      <c r="Q233" s="37">
        <v>1402.5303999999999</v>
      </c>
      <c r="R233" s="37">
        <v>36339.775866666656</v>
      </c>
      <c r="S233" s="37">
        <v>36553.938566666649</v>
      </c>
      <c r="T233" s="37">
        <v>39773.095366666654</v>
      </c>
      <c r="U233" s="37">
        <v>35738.375366666653</v>
      </c>
      <c r="V233" s="37">
        <v>35675.925366666655</v>
      </c>
      <c r="W233" s="37">
        <v>36497.625366666653</v>
      </c>
      <c r="X233" s="37">
        <v>40543.845366666654</v>
      </c>
      <c r="Y233" s="37">
        <v>36824.511449999984</v>
      </c>
      <c r="Z233" s="37">
        <v>36824.511449999984</v>
      </c>
      <c r="AA233" s="37">
        <v>36824.511449999984</v>
      </c>
      <c r="AB233" s="37">
        <v>70467.936616666673</v>
      </c>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Z233" s="379">
        <f t="shared" si="1528"/>
        <v>36824.511449999984</v>
      </c>
      <c r="CA233" s="379">
        <f t="shared" si="1529"/>
        <v>372998.64601666655</v>
      </c>
      <c r="CB233" s="97"/>
      <c r="CC233" s="97"/>
      <c r="CD233" s="97"/>
      <c r="CE233" s="97"/>
      <c r="CF233" s="97"/>
      <c r="CG233" s="97"/>
      <c r="CH233" s="97"/>
      <c r="CI233" s="97"/>
      <c r="CJ233" s="97"/>
    </row>
    <row r="234" spans="1:88" x14ac:dyDescent="0.3">
      <c r="A234" s="97" t="str">
        <f>'DCS Detail'!A234</f>
        <v>Lease</v>
      </c>
      <c r="B234" s="106"/>
      <c r="C234" s="106"/>
      <c r="D234" s="106"/>
      <c r="E234" s="37">
        <v>25704.5</v>
      </c>
      <c r="F234" s="37">
        <v>25704.5</v>
      </c>
      <c r="G234" s="37">
        <v>25704.5</v>
      </c>
      <c r="H234" s="37">
        <v>25704.5</v>
      </c>
      <c r="I234" s="37">
        <v>25704.5</v>
      </c>
      <c r="J234" s="37">
        <v>25704.5</v>
      </c>
      <c r="K234" s="37">
        <v>25704.5</v>
      </c>
      <c r="L234" s="37">
        <v>25704.5</v>
      </c>
      <c r="M234" s="37">
        <v>25704.5</v>
      </c>
      <c r="N234" s="37">
        <v>25704.5</v>
      </c>
      <c r="O234" s="37">
        <v>25704.5</v>
      </c>
      <c r="P234" s="37">
        <v>25704.5</v>
      </c>
      <c r="Q234" s="37">
        <v>52937.22</v>
      </c>
      <c r="R234" s="37">
        <v>52937.22</v>
      </c>
      <c r="S234" s="37">
        <v>52937.22</v>
      </c>
      <c r="T234" s="37">
        <v>52937.22</v>
      </c>
      <c r="U234" s="37">
        <v>52937.22</v>
      </c>
      <c r="V234" s="37">
        <v>52937.22</v>
      </c>
      <c r="W234" s="37">
        <v>52937.22</v>
      </c>
      <c r="X234" s="37">
        <v>52937.22</v>
      </c>
      <c r="Y234" s="37">
        <v>52937.22</v>
      </c>
      <c r="Z234" s="37">
        <v>52937.22</v>
      </c>
      <c r="AA234" s="37">
        <v>52937.22</v>
      </c>
      <c r="AB234" s="37">
        <v>52937.22</v>
      </c>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Z234" s="379">
        <f t="shared" si="1528"/>
        <v>52937.22</v>
      </c>
      <c r="CA234" s="379">
        <f t="shared" si="1529"/>
        <v>582309.41999999981</v>
      </c>
      <c r="CB234" s="97"/>
      <c r="CC234" s="97"/>
      <c r="CD234" s="97"/>
      <c r="CE234" s="97"/>
      <c r="CF234" s="97"/>
      <c r="CG234" s="97"/>
      <c r="CH234" s="97"/>
      <c r="CI234" s="97"/>
      <c r="CJ234" s="97"/>
    </row>
    <row r="235" spans="1:88" x14ac:dyDescent="0.3">
      <c r="A235" s="97" t="str">
        <f>'DCS Detail'!A235</f>
        <v>Utilities</v>
      </c>
      <c r="B235" s="106"/>
      <c r="C235" s="106"/>
      <c r="D235" s="106"/>
      <c r="E235" s="37">
        <v>6500</v>
      </c>
      <c r="F235" s="37">
        <v>6500</v>
      </c>
      <c r="G235" s="37">
        <v>6500</v>
      </c>
      <c r="H235" s="37">
        <v>6500</v>
      </c>
      <c r="I235" s="37">
        <v>6500</v>
      </c>
      <c r="J235" s="37">
        <v>6500</v>
      </c>
      <c r="K235" s="37">
        <v>6500</v>
      </c>
      <c r="L235" s="37">
        <v>6500</v>
      </c>
      <c r="M235" s="37">
        <v>6500</v>
      </c>
      <c r="N235" s="37">
        <v>6500</v>
      </c>
      <c r="O235" s="37">
        <v>6500</v>
      </c>
      <c r="P235" s="37">
        <v>6500</v>
      </c>
      <c r="Q235" s="37">
        <v>2725.0195000000003</v>
      </c>
      <c r="R235" s="37">
        <v>4432.3887000000004</v>
      </c>
      <c r="S235" s="37">
        <v>6797.2584000000006</v>
      </c>
      <c r="T235" s="37">
        <v>9867.1630999999998</v>
      </c>
      <c r="U235" s="37">
        <v>1811.0799000000002</v>
      </c>
      <c r="V235" s="37">
        <v>6552.2214000000004</v>
      </c>
      <c r="W235" s="37">
        <v>3093.0797000000002</v>
      </c>
      <c r="X235" s="37">
        <v>2163.576799999998</v>
      </c>
      <c r="Y235" s="37">
        <v>4531.0046766666665</v>
      </c>
      <c r="Z235" s="37">
        <v>4531.0046766666665</v>
      </c>
      <c r="AA235" s="37">
        <v>5303.5046766666665</v>
      </c>
      <c r="AB235" s="37">
        <v>4519.6932166666666</v>
      </c>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Z235" s="379">
        <f t="shared" si="1528"/>
        <v>5303.5046766666665</v>
      </c>
      <c r="CA235" s="379">
        <f t="shared" si="1529"/>
        <v>51807.30152999999</v>
      </c>
      <c r="CB235" s="97"/>
      <c r="CC235" s="97"/>
      <c r="CD235" s="97"/>
      <c r="CE235" s="97"/>
      <c r="CF235" s="97"/>
      <c r="CG235" s="97"/>
      <c r="CH235" s="97"/>
      <c r="CI235" s="97"/>
      <c r="CJ235" s="97"/>
    </row>
    <row r="236" spans="1:88" x14ac:dyDescent="0.3">
      <c r="A236" s="97" t="str">
        <f>'DCS Detail'!A236</f>
        <v>Repairs/Maint</v>
      </c>
      <c r="B236" s="106"/>
      <c r="C236" s="106"/>
      <c r="D236" s="106"/>
      <c r="E236" s="37">
        <v>9146</v>
      </c>
      <c r="F236" s="37">
        <v>9146</v>
      </c>
      <c r="G236" s="37">
        <v>9146</v>
      </c>
      <c r="H236" s="37">
        <v>9146</v>
      </c>
      <c r="I236" s="37">
        <v>9146</v>
      </c>
      <c r="J236" s="37">
        <v>9146</v>
      </c>
      <c r="K236" s="37">
        <v>9146</v>
      </c>
      <c r="L236" s="37">
        <v>9146</v>
      </c>
      <c r="M236" s="37">
        <v>9146</v>
      </c>
      <c r="N236" s="37">
        <v>9146</v>
      </c>
      <c r="O236" s="37">
        <v>9146</v>
      </c>
      <c r="P236" s="37">
        <v>9146</v>
      </c>
      <c r="Q236" s="37">
        <v>3393.85</v>
      </c>
      <c r="R236" s="37">
        <v>7612.6887999999999</v>
      </c>
      <c r="S236" s="37">
        <v>5024.34</v>
      </c>
      <c r="T236" s="37">
        <v>2221.1950000000002</v>
      </c>
      <c r="U236" s="37">
        <v>4765.0581000000002</v>
      </c>
      <c r="V236" s="37">
        <v>1704.135</v>
      </c>
      <c r="W236" s="37">
        <v>627.27</v>
      </c>
      <c r="X236" s="37">
        <v>1199.95</v>
      </c>
      <c r="Y236" s="37">
        <v>2590.3246833333337</v>
      </c>
      <c r="Z236" s="37">
        <v>2590.3246833333337</v>
      </c>
      <c r="AA236" s="37">
        <v>2590.3246833333337</v>
      </c>
      <c r="AB236" s="37">
        <v>2590.3246833333337</v>
      </c>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Z236" s="379">
        <f t="shared" si="1528"/>
        <v>2590.3246833333337</v>
      </c>
      <c r="CA236" s="379">
        <f t="shared" si="1529"/>
        <v>34319.460950000001</v>
      </c>
      <c r="CB236" s="97"/>
      <c r="CC236" s="97"/>
      <c r="CD236" s="97"/>
      <c r="CE236" s="97"/>
      <c r="CF236" s="97"/>
      <c r="CG236" s="97"/>
      <c r="CH236" s="97"/>
      <c r="CI236" s="97"/>
      <c r="CJ236" s="97"/>
    </row>
    <row r="237" spans="1:88" x14ac:dyDescent="0.3">
      <c r="A237" s="97" t="str">
        <f>'DCS Detail'!A237</f>
        <v>Supplies</v>
      </c>
      <c r="B237" s="106"/>
      <c r="C237" s="106"/>
      <c r="D237" s="106"/>
      <c r="E237" s="37">
        <v>114.44</v>
      </c>
      <c r="F237" s="37">
        <v>114.44</v>
      </c>
      <c r="G237" s="37">
        <v>114.44</v>
      </c>
      <c r="H237" s="37">
        <v>114.44</v>
      </c>
      <c r="I237" s="37">
        <v>114.44</v>
      </c>
      <c r="J237" s="37">
        <v>114.44</v>
      </c>
      <c r="K237" s="37">
        <v>114.44</v>
      </c>
      <c r="L237" s="37">
        <v>114.44</v>
      </c>
      <c r="M237" s="37">
        <v>114.44</v>
      </c>
      <c r="N237" s="37">
        <v>114.44</v>
      </c>
      <c r="O237" s="37">
        <v>114.44</v>
      </c>
      <c r="P237" s="37">
        <v>114.44</v>
      </c>
      <c r="Q237" s="37">
        <v>316.27179999999998</v>
      </c>
      <c r="R237" s="37">
        <v>946.11680000000001</v>
      </c>
      <c r="S237" s="37">
        <v>1477.5556000000001</v>
      </c>
      <c r="T237" s="37">
        <v>6844.9577000000008</v>
      </c>
      <c r="U237" s="37">
        <v>458.53539999999998</v>
      </c>
      <c r="V237" s="37">
        <v>2.9252000000000038</v>
      </c>
      <c r="W237" s="37">
        <v>459.21519999999998</v>
      </c>
      <c r="X237" s="37">
        <v>190.06589999999937</v>
      </c>
      <c r="Y237" s="37">
        <v>1823.0004333333334</v>
      </c>
      <c r="Z237" s="37">
        <v>1823.0004333333334</v>
      </c>
      <c r="AA237" s="37">
        <v>1823.0004333333334</v>
      </c>
      <c r="AB237" s="37">
        <v>1674.0229500000003</v>
      </c>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Z237" s="379">
        <f t="shared" si="1528"/>
        <v>1823.0004333333334</v>
      </c>
      <c r="CA237" s="379">
        <f t="shared" si="1529"/>
        <v>16164.644899999999</v>
      </c>
      <c r="CB237" s="97"/>
      <c r="CC237" s="97"/>
      <c r="CD237" s="97"/>
      <c r="CE237" s="97"/>
      <c r="CF237" s="97"/>
      <c r="CG237" s="97"/>
      <c r="CH237" s="97"/>
      <c r="CI237" s="97"/>
      <c r="CJ237" s="97"/>
    </row>
    <row r="238" spans="1:88" x14ac:dyDescent="0.3">
      <c r="A238" s="97" t="str">
        <f>'DCS Detail'!A238</f>
        <v>Curriculum</v>
      </c>
      <c r="B238" s="106"/>
      <c r="C238" s="106"/>
      <c r="D238" s="106"/>
      <c r="E238" s="37">
        <v>3465.5833333333335</v>
      </c>
      <c r="F238" s="37">
        <v>3465.5833333333335</v>
      </c>
      <c r="G238" s="37">
        <v>3465.5833333333335</v>
      </c>
      <c r="H238" s="37">
        <v>3465.5833333333335</v>
      </c>
      <c r="I238" s="37">
        <v>3465.5833333333335</v>
      </c>
      <c r="J238" s="37">
        <v>3465.5833333333335</v>
      </c>
      <c r="K238" s="37">
        <v>3465.5833333333335</v>
      </c>
      <c r="L238" s="37">
        <v>3465.5833333333335</v>
      </c>
      <c r="M238" s="37">
        <v>3465.5833333333335</v>
      </c>
      <c r="N238" s="37">
        <v>3465.5833333333335</v>
      </c>
      <c r="O238" s="37">
        <v>3465.5833333333335</v>
      </c>
      <c r="P238" s="37">
        <v>3465.5833333333335</v>
      </c>
      <c r="Q238" s="37">
        <v>860.05000000000007</v>
      </c>
      <c r="R238" s="37">
        <v>5388.7540000000008</v>
      </c>
      <c r="S238" s="37">
        <v>40684.278999999995</v>
      </c>
      <c r="T238" s="37">
        <v>9567.4918099999995</v>
      </c>
      <c r="U238" s="37">
        <v>3718.8149999999996</v>
      </c>
      <c r="V238" s="37">
        <v>2395.1607640000002</v>
      </c>
      <c r="W238" s="37">
        <v>381.1</v>
      </c>
      <c r="X238" s="37">
        <v>1176.7793260000028</v>
      </c>
      <c r="Y238" s="37">
        <v>1779.1042857142859</v>
      </c>
      <c r="Z238" s="37">
        <v>1779.1042857142859</v>
      </c>
      <c r="AA238" s="37">
        <v>1779.1042857142859</v>
      </c>
      <c r="AB238" s="37">
        <v>1779.1042857142859</v>
      </c>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Z238" s="379">
        <f t="shared" si="1528"/>
        <v>1779.1042857142859</v>
      </c>
      <c r="CA238" s="379">
        <f t="shared" si="1529"/>
        <v>69509.742757142871</v>
      </c>
      <c r="CB238" s="97"/>
      <c r="CC238" s="97"/>
      <c r="CD238" s="97"/>
      <c r="CE238" s="97"/>
      <c r="CF238" s="97"/>
      <c r="CG238" s="97"/>
      <c r="CH238" s="97"/>
      <c r="CI238" s="97"/>
      <c r="CJ238" s="97"/>
    </row>
    <row r="239" spans="1:88" x14ac:dyDescent="0.3">
      <c r="A239" s="97" t="str">
        <f>'DCS Detail'!A239</f>
        <v>Insurance</v>
      </c>
      <c r="B239" s="106"/>
      <c r="C239" s="106"/>
      <c r="D239" s="106"/>
      <c r="E239" s="37">
        <v>3146</v>
      </c>
      <c r="F239" s="37">
        <v>3146</v>
      </c>
      <c r="G239" s="37">
        <v>3146</v>
      </c>
      <c r="H239" s="37">
        <v>3146</v>
      </c>
      <c r="I239" s="37">
        <v>3146</v>
      </c>
      <c r="J239" s="37">
        <v>3146</v>
      </c>
      <c r="K239" s="37">
        <v>3146</v>
      </c>
      <c r="L239" s="37">
        <v>3146</v>
      </c>
      <c r="M239" s="37">
        <v>3146</v>
      </c>
      <c r="N239" s="37">
        <v>3146</v>
      </c>
      <c r="O239" s="37">
        <v>3146</v>
      </c>
      <c r="P239" s="37">
        <v>3146</v>
      </c>
      <c r="Q239" s="37">
        <v>19792.3976</v>
      </c>
      <c r="R239" s="37">
        <v>19792.3976</v>
      </c>
      <c r="S239" s="37">
        <v>19792.3976</v>
      </c>
      <c r="T239" s="37">
        <v>19792.3976</v>
      </c>
      <c r="U239" s="37">
        <v>19792.3976</v>
      </c>
      <c r="V239" s="37">
        <v>19792.3976</v>
      </c>
      <c r="W239" s="37">
        <v>19792.3976</v>
      </c>
      <c r="X239" s="37">
        <v>19792.3976</v>
      </c>
      <c r="Y239" s="37">
        <v>19792.3976</v>
      </c>
      <c r="Z239" s="37">
        <v>19792.3976</v>
      </c>
      <c r="AA239" s="37">
        <v>19792.3976</v>
      </c>
      <c r="AB239" s="37">
        <v>19792.3976</v>
      </c>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Z239" s="379">
        <f t="shared" si="1528"/>
        <v>19792.3976</v>
      </c>
      <c r="CA239" s="379">
        <f t="shared" si="1529"/>
        <v>217716.37359999999</v>
      </c>
      <c r="CB239" s="97"/>
      <c r="CC239" s="97"/>
      <c r="CD239" s="97"/>
      <c r="CE239" s="97"/>
      <c r="CF239" s="97"/>
      <c r="CG239" s="97"/>
      <c r="CH239" s="97"/>
      <c r="CI239" s="97"/>
      <c r="CJ239" s="97"/>
    </row>
    <row r="240" spans="1:88" x14ac:dyDescent="0.3">
      <c r="A240" s="97" t="str">
        <f>'DCS Detail'!A240</f>
        <v>Computers</v>
      </c>
      <c r="B240" s="106"/>
      <c r="C240" s="106"/>
      <c r="D240" s="106"/>
      <c r="E240" s="37">
        <v>214.72</v>
      </c>
      <c r="F240" s="37">
        <v>214.72</v>
      </c>
      <c r="G240" s="37">
        <v>214.72</v>
      </c>
      <c r="H240" s="37">
        <v>214.72</v>
      </c>
      <c r="I240" s="37">
        <v>214.72</v>
      </c>
      <c r="J240" s="37">
        <v>214.72</v>
      </c>
      <c r="K240" s="37">
        <v>214.72</v>
      </c>
      <c r="L240" s="37">
        <v>214.72</v>
      </c>
      <c r="M240" s="37">
        <v>214.72</v>
      </c>
      <c r="N240" s="37">
        <v>214.72</v>
      </c>
      <c r="O240" s="37">
        <v>214.72</v>
      </c>
      <c r="P240" s="37">
        <v>214.72</v>
      </c>
      <c r="Q240" s="37">
        <v>60.934799999999996</v>
      </c>
      <c r="R240" s="37">
        <v>602.55000000000007</v>
      </c>
      <c r="S240" s="37">
        <v>0</v>
      </c>
      <c r="T240" s="37">
        <v>0</v>
      </c>
      <c r="U240" s="37">
        <v>2107.2049000000002</v>
      </c>
      <c r="V240" s="37">
        <v>0</v>
      </c>
      <c r="W240" s="37">
        <v>0</v>
      </c>
      <c r="X240" s="37">
        <v>7523.12</v>
      </c>
      <c r="Y240" s="37">
        <v>451.62581666666665</v>
      </c>
      <c r="Z240" s="37">
        <v>451.62581666666665</v>
      </c>
      <c r="AA240" s="37">
        <v>451.62581666666665</v>
      </c>
      <c r="AB240" s="37">
        <v>451.62581666666665</v>
      </c>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Z240" s="379">
        <f t="shared" si="1528"/>
        <v>451.62581666666665</v>
      </c>
      <c r="CA240" s="379">
        <f t="shared" si="1529"/>
        <v>11648.68715</v>
      </c>
      <c r="CB240" s="97"/>
      <c r="CC240" s="97"/>
      <c r="CD240" s="97"/>
      <c r="CE240" s="97"/>
      <c r="CF240" s="97"/>
      <c r="CG240" s="97"/>
      <c r="CH240" s="97"/>
      <c r="CI240" s="97"/>
      <c r="CJ240" s="97"/>
    </row>
    <row r="241" spans="1:88" x14ac:dyDescent="0.3">
      <c r="A241" s="97" t="str">
        <f>'DCS Detail'!A241</f>
        <v>Prof. Serv.</v>
      </c>
      <c r="B241" s="106"/>
      <c r="C241" s="106"/>
      <c r="D241" s="106"/>
      <c r="E241" s="37">
        <v>3250</v>
      </c>
      <c r="F241" s="37">
        <v>3250</v>
      </c>
      <c r="G241" s="37">
        <v>3250</v>
      </c>
      <c r="H241" s="37">
        <v>3250</v>
      </c>
      <c r="I241" s="37">
        <v>3250</v>
      </c>
      <c r="J241" s="37">
        <v>3250</v>
      </c>
      <c r="K241" s="37">
        <v>3250</v>
      </c>
      <c r="L241" s="37">
        <v>3250</v>
      </c>
      <c r="M241" s="37">
        <v>3250</v>
      </c>
      <c r="N241" s="37">
        <v>3250</v>
      </c>
      <c r="O241" s="37">
        <v>3250</v>
      </c>
      <c r="P241" s="37">
        <v>3250</v>
      </c>
      <c r="Q241" s="37">
        <v>5055.3739000000005</v>
      </c>
      <c r="R241" s="37">
        <v>758.21389999999997</v>
      </c>
      <c r="S241" s="37">
        <v>3771.3445000000002</v>
      </c>
      <c r="T241" s="37">
        <v>18442.2942</v>
      </c>
      <c r="U241" s="37">
        <v>19947.501199999999</v>
      </c>
      <c r="V241" s="37">
        <v>3573.4724000000006</v>
      </c>
      <c r="W241" s="37">
        <v>12844.860699999999</v>
      </c>
      <c r="X241" s="37">
        <v>10564.154400000001</v>
      </c>
      <c r="Y241" s="37">
        <v>10646.406950000001</v>
      </c>
      <c r="Z241" s="37">
        <v>10646.406950000001</v>
      </c>
      <c r="AA241" s="37">
        <v>10646.406950000001</v>
      </c>
      <c r="AB241" s="37">
        <v>10646.406950000001</v>
      </c>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Z241" s="379">
        <f t="shared" si="1528"/>
        <v>10646.406950000001</v>
      </c>
      <c r="CA241" s="379">
        <f t="shared" si="1529"/>
        <v>106896.43605000002</v>
      </c>
      <c r="CB241" s="97"/>
      <c r="CC241" s="97"/>
      <c r="CD241" s="97"/>
      <c r="CE241" s="97"/>
      <c r="CF241" s="97"/>
      <c r="CG241" s="97"/>
      <c r="CH241" s="97"/>
      <c r="CI241" s="97"/>
      <c r="CJ241" s="97"/>
    </row>
    <row r="242" spans="1:88" x14ac:dyDescent="0.3">
      <c r="A242" s="97" t="str">
        <f>'DCS Detail'!A242</f>
        <v>Cleaning Serv.</v>
      </c>
      <c r="B242" s="106"/>
      <c r="C242" s="106"/>
      <c r="D242" s="106"/>
      <c r="E242" s="37">
        <v>2000</v>
      </c>
      <c r="F242" s="37">
        <v>2000</v>
      </c>
      <c r="G242" s="37">
        <v>2000</v>
      </c>
      <c r="H242" s="37">
        <v>2000</v>
      </c>
      <c r="I242" s="37">
        <v>2000</v>
      </c>
      <c r="J242" s="37">
        <v>2000</v>
      </c>
      <c r="K242" s="37">
        <v>2000</v>
      </c>
      <c r="L242" s="37">
        <v>2000</v>
      </c>
      <c r="M242" s="37">
        <v>2000</v>
      </c>
      <c r="N242" s="37">
        <v>2000</v>
      </c>
      <c r="O242" s="37">
        <v>2000</v>
      </c>
      <c r="P242" s="37">
        <v>2000</v>
      </c>
      <c r="Q242" s="37">
        <v>0</v>
      </c>
      <c r="R242" s="37">
        <v>2506.9170000000004</v>
      </c>
      <c r="S242" s="37">
        <v>0</v>
      </c>
      <c r="T242" s="37">
        <v>931.00670000000002</v>
      </c>
      <c r="U242" s="37">
        <v>252.31909999999999</v>
      </c>
      <c r="V242" s="37">
        <v>0</v>
      </c>
      <c r="W242" s="37">
        <v>1704.9075</v>
      </c>
      <c r="X242" s="37">
        <v>2443.6749999999997</v>
      </c>
      <c r="Y242" s="37">
        <v>1128.5705095238095</v>
      </c>
      <c r="Z242" s="37">
        <v>1128.5705095238095</v>
      </c>
      <c r="AA242" s="37">
        <v>1128.5705095238095</v>
      </c>
      <c r="AB242" s="37">
        <v>1128.5705095238095</v>
      </c>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Z242" s="379">
        <f t="shared" si="1528"/>
        <v>1128.5705095238095</v>
      </c>
      <c r="CA242" s="379">
        <f t="shared" si="1529"/>
        <v>11224.53682857143</v>
      </c>
      <c r="CB242" s="97"/>
      <c r="CC242" s="97"/>
      <c r="CD242" s="97"/>
      <c r="CE242" s="97"/>
      <c r="CF242" s="97"/>
      <c r="CG242" s="97"/>
      <c r="CH242" s="97"/>
      <c r="CI242" s="97"/>
      <c r="CJ242" s="97"/>
    </row>
    <row r="243" spans="1:88" x14ac:dyDescent="0.3">
      <c r="A243" s="97" t="str">
        <f>'DCS Detail'!A243</f>
        <v>DAP Payroll</v>
      </c>
      <c r="B243" s="106"/>
      <c r="C243" s="106"/>
      <c r="D243" s="106"/>
      <c r="E243" s="37">
        <v>1496</v>
      </c>
      <c r="F243" s="37">
        <v>1496</v>
      </c>
      <c r="G243" s="37">
        <v>1496</v>
      </c>
      <c r="H243" s="37">
        <v>1496</v>
      </c>
      <c r="I243" s="37">
        <v>1496</v>
      </c>
      <c r="J243" s="37">
        <v>1496</v>
      </c>
      <c r="K243" s="37">
        <v>1496</v>
      </c>
      <c r="L243" s="37">
        <v>1496</v>
      </c>
      <c r="M243" s="37">
        <v>1496</v>
      </c>
      <c r="N243" s="37">
        <v>1496</v>
      </c>
      <c r="O243" s="37">
        <v>1496</v>
      </c>
      <c r="P243" s="37">
        <v>1496</v>
      </c>
      <c r="Q243" s="37">
        <v>0</v>
      </c>
      <c r="R243" s="37">
        <v>0</v>
      </c>
      <c r="S243" s="37">
        <v>0</v>
      </c>
      <c r="T243" s="37">
        <v>0</v>
      </c>
      <c r="U243" s="37">
        <v>0</v>
      </c>
      <c r="V243" s="37">
        <v>0</v>
      </c>
      <c r="W243" s="37">
        <v>0</v>
      </c>
      <c r="X243" s="37">
        <v>0</v>
      </c>
      <c r="Y243" s="37">
        <v>0</v>
      </c>
      <c r="Z243" s="37">
        <v>0</v>
      </c>
      <c r="AA243" s="37">
        <v>0</v>
      </c>
      <c r="AB243" s="37">
        <v>0</v>
      </c>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Z243" s="379">
        <f t="shared" si="1528"/>
        <v>0</v>
      </c>
      <c r="CA243" s="379">
        <f t="shared" si="1529"/>
        <v>0</v>
      </c>
      <c r="CB243" s="97"/>
      <c r="CC243" s="97"/>
      <c r="CD243" s="97"/>
      <c r="CE243" s="97"/>
      <c r="CF243" s="97"/>
      <c r="CG243" s="97"/>
      <c r="CH243" s="97"/>
      <c r="CI243" s="97"/>
      <c r="CJ243" s="97"/>
    </row>
    <row r="244" spans="1:88" x14ac:dyDescent="0.3">
      <c r="A244" s="97" t="str">
        <f>'DCS Detail'!A244</f>
        <v>Depreciation</v>
      </c>
      <c r="B244" s="106"/>
      <c r="C244" s="106"/>
      <c r="D244" s="106"/>
      <c r="E244" s="37"/>
      <c r="F244" s="37"/>
      <c r="G244" s="37"/>
      <c r="H244" s="37"/>
      <c r="I244" s="37"/>
      <c r="J244" s="37"/>
      <c r="K244" s="37"/>
      <c r="L244" s="37"/>
      <c r="M244" s="37"/>
      <c r="N244" s="37"/>
      <c r="O244" s="37"/>
      <c r="P244" s="37"/>
      <c r="Q244" s="37">
        <v>221.01</v>
      </c>
      <c r="R244" s="37">
        <v>221.01</v>
      </c>
      <c r="S244" s="37">
        <v>221.01</v>
      </c>
      <c r="T244" s="37">
        <v>221.01</v>
      </c>
      <c r="U244" s="37">
        <v>221.01</v>
      </c>
      <c r="V244" s="37">
        <v>221.01</v>
      </c>
      <c r="W244" s="37">
        <v>221.01</v>
      </c>
      <c r="X244" s="37">
        <v>221.01</v>
      </c>
      <c r="Y244" s="37">
        <v>221.01</v>
      </c>
      <c r="Z244" s="37">
        <v>221.01</v>
      </c>
      <c r="AA244" s="37">
        <v>221.01</v>
      </c>
      <c r="AB244" s="37">
        <v>221.01</v>
      </c>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Z244" s="379">
        <f t="shared" si="1528"/>
        <v>221.01</v>
      </c>
      <c r="CA244" s="379">
        <f t="shared" si="1529"/>
        <v>2431.1099999999997</v>
      </c>
      <c r="CB244" s="97"/>
      <c r="CC244" s="97"/>
      <c r="CD244" s="97"/>
      <c r="CE244" s="97"/>
      <c r="CF244" s="97"/>
      <c r="CG244" s="97"/>
      <c r="CH244" s="97"/>
      <c r="CI244" s="97"/>
      <c r="CJ244" s="97"/>
    </row>
    <row r="245" spans="1:88" x14ac:dyDescent="0.3">
      <c r="A245" s="97" t="str">
        <f>'DCS Detail'!A245</f>
        <v>Interest</v>
      </c>
      <c r="B245" s="106"/>
      <c r="C245" s="106"/>
      <c r="D245" s="106"/>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Z245" s="379">
        <f t="shared" si="1528"/>
        <v>0</v>
      </c>
      <c r="CA245" s="379">
        <f t="shared" si="1529"/>
        <v>0</v>
      </c>
      <c r="CB245" s="97"/>
      <c r="CC245" s="97"/>
      <c r="CD245" s="97"/>
      <c r="CE245" s="97"/>
      <c r="CF245" s="97"/>
      <c r="CG245" s="97"/>
      <c r="CH245" s="97"/>
      <c r="CI245" s="97"/>
      <c r="CJ245" s="97"/>
    </row>
    <row r="246" spans="1:88" x14ac:dyDescent="0.3">
      <c r="A246" s="97" t="str">
        <f>'DCS Detail'!A246</f>
        <v>Misc.</v>
      </c>
      <c r="B246" s="106"/>
      <c r="C246" s="106"/>
      <c r="D246" s="106"/>
      <c r="E246" s="37">
        <v>1612</v>
      </c>
      <c r="F246" s="37">
        <v>1612</v>
      </c>
      <c r="G246" s="37">
        <v>1612</v>
      </c>
      <c r="H246" s="37">
        <v>1612</v>
      </c>
      <c r="I246" s="37">
        <v>1612</v>
      </c>
      <c r="J246" s="37">
        <v>1612</v>
      </c>
      <c r="K246" s="37">
        <v>1612</v>
      </c>
      <c r="L246" s="37">
        <v>1612</v>
      </c>
      <c r="M246" s="37">
        <v>1612</v>
      </c>
      <c r="N246" s="37">
        <v>1612</v>
      </c>
      <c r="O246" s="37">
        <v>1612</v>
      </c>
      <c r="P246" s="37">
        <v>1612</v>
      </c>
      <c r="Q246" s="37">
        <v>227.11</v>
      </c>
      <c r="R246" s="37">
        <v>3920.085</v>
      </c>
      <c r="S246" s="37">
        <v>5158.1540999999997</v>
      </c>
      <c r="T246" s="37">
        <v>4403.5844999999999</v>
      </c>
      <c r="U246" s="37">
        <v>4156.5677999999998</v>
      </c>
      <c r="V246" s="37">
        <v>3900</v>
      </c>
      <c r="W246" s="37">
        <v>5553.8649999999998</v>
      </c>
      <c r="X246" s="37">
        <v>4686.9923999999992</v>
      </c>
      <c r="Y246" s="37">
        <v>4643.1939666666667</v>
      </c>
      <c r="Z246" s="37">
        <v>4643.1939666666667</v>
      </c>
      <c r="AA246" s="37">
        <v>4643.1939666666667</v>
      </c>
      <c r="AB246" s="37">
        <v>40.077300000000001</v>
      </c>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Z246" s="379">
        <f t="shared" si="1528"/>
        <v>4643.1939666666667</v>
      </c>
      <c r="CA246" s="379">
        <f t="shared" si="1529"/>
        <v>45935.940699999999</v>
      </c>
      <c r="CB246" s="97"/>
      <c r="CC246" s="97"/>
      <c r="CD246" s="97"/>
      <c r="CE246" s="97"/>
      <c r="CF246" s="97"/>
      <c r="CG246" s="97"/>
      <c r="CH246" s="97"/>
      <c r="CI246" s="97"/>
      <c r="CJ246" s="97"/>
    </row>
    <row r="247" spans="1:88" ht="3" customHeight="1" x14ac:dyDescent="0.3">
      <c r="A247" s="97"/>
      <c r="B247" s="106"/>
      <c r="C247" s="106"/>
      <c r="D247" s="106"/>
      <c r="E247" s="19"/>
      <c r="F247" s="19"/>
      <c r="G247" s="19"/>
      <c r="H247" s="19"/>
      <c r="I247" s="19"/>
      <c r="J247" s="19"/>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Z247" s="391"/>
      <c r="CA247" s="391"/>
      <c r="CB247" s="97"/>
      <c r="CC247" s="97"/>
      <c r="CD247" s="97"/>
      <c r="CE247" s="97"/>
      <c r="CF247" s="97"/>
      <c r="CG247" s="97"/>
      <c r="CH247" s="97"/>
      <c r="CI247" s="97"/>
      <c r="CJ247" s="97"/>
    </row>
    <row r="248" spans="1:88" x14ac:dyDescent="0.3">
      <c r="A248" s="108" t="s">
        <v>116</v>
      </c>
      <c r="B248" s="106"/>
      <c r="C248" s="106"/>
      <c r="D248" s="106"/>
      <c r="E248" s="8">
        <f t="shared" ref="E248:P248" si="1530">SUM(E232:E247)</f>
        <v>180874.93333333335</v>
      </c>
      <c r="F248" s="8">
        <f t="shared" si="1530"/>
        <v>180874.93333333335</v>
      </c>
      <c r="G248" s="8">
        <f t="shared" si="1530"/>
        <v>180874.93333333335</v>
      </c>
      <c r="H248" s="8">
        <f t="shared" si="1530"/>
        <v>180874.93333333335</v>
      </c>
      <c r="I248" s="8">
        <f t="shared" si="1530"/>
        <v>180874.93333333335</v>
      </c>
      <c r="J248" s="8">
        <f t="shared" si="1530"/>
        <v>180874.93333333335</v>
      </c>
      <c r="K248" s="8">
        <f t="shared" si="1530"/>
        <v>180874.93333333335</v>
      </c>
      <c r="L248" s="8">
        <f t="shared" si="1530"/>
        <v>180874.93333333335</v>
      </c>
      <c r="M248" s="8">
        <f t="shared" si="1530"/>
        <v>180874.93333333335</v>
      </c>
      <c r="N248" s="8">
        <f t="shared" si="1530"/>
        <v>180874.93333333335</v>
      </c>
      <c r="O248" s="8">
        <f t="shared" si="1530"/>
        <v>180874.93333333335</v>
      </c>
      <c r="P248" s="8">
        <f t="shared" si="1530"/>
        <v>180874.93333333335</v>
      </c>
      <c r="Q248" s="8">
        <f t="shared" ref="Q248:AB248" si="1531">SUM(Q232:Q247)</f>
        <v>86991.768000000011</v>
      </c>
      <c r="R248" s="8">
        <f t="shared" si="1531"/>
        <v>250943.78083333327</v>
      </c>
      <c r="S248" s="8">
        <f t="shared" si="1531"/>
        <v>287903.16093333333</v>
      </c>
      <c r="T248" s="8">
        <f t="shared" si="1531"/>
        <v>280487.07914333337</v>
      </c>
      <c r="U248" s="8">
        <f t="shared" si="1531"/>
        <v>261391.74753333331</v>
      </c>
      <c r="V248" s="8">
        <f t="shared" si="1531"/>
        <v>245126.13089733332</v>
      </c>
      <c r="W248" s="8">
        <f t="shared" si="1531"/>
        <v>249598.2142333333</v>
      </c>
      <c r="X248" s="8">
        <f t="shared" si="1531"/>
        <v>258928.44995933329</v>
      </c>
      <c r="Y248" s="8">
        <f t="shared" si="1531"/>
        <v>252854.03353857141</v>
      </c>
      <c r="Z248" s="8">
        <f t="shared" si="1531"/>
        <v>252854.03353857141</v>
      </c>
      <c r="AA248" s="8">
        <f t="shared" si="1531"/>
        <v>253626.53353857141</v>
      </c>
      <c r="AB248" s="8">
        <f t="shared" si="1531"/>
        <v>395659.71626190474</v>
      </c>
      <c r="AC248" s="8">
        <f t="shared" ref="AC248:AN248" si="1532">SUM(AC232:AC247)</f>
        <v>0</v>
      </c>
      <c r="AD248" s="8">
        <f t="shared" si="1532"/>
        <v>0</v>
      </c>
      <c r="AE248" s="8">
        <f t="shared" si="1532"/>
        <v>0</v>
      </c>
      <c r="AF248" s="8">
        <f t="shared" si="1532"/>
        <v>0</v>
      </c>
      <c r="AG248" s="8">
        <f t="shared" si="1532"/>
        <v>0</v>
      </c>
      <c r="AH248" s="8">
        <f t="shared" si="1532"/>
        <v>0</v>
      </c>
      <c r="AI248" s="8">
        <f t="shared" si="1532"/>
        <v>0</v>
      </c>
      <c r="AJ248" s="8">
        <f t="shared" si="1532"/>
        <v>0</v>
      </c>
      <c r="AK248" s="8">
        <f t="shared" si="1532"/>
        <v>0</v>
      </c>
      <c r="AL248" s="8">
        <f t="shared" si="1532"/>
        <v>0</v>
      </c>
      <c r="AM248" s="8">
        <f t="shared" si="1532"/>
        <v>0</v>
      </c>
      <c r="AN248" s="8">
        <f t="shared" si="1532"/>
        <v>0</v>
      </c>
      <c r="AO248" s="8">
        <f t="shared" ref="AO248:AZ248" si="1533">SUM(AO232:AO247)</f>
        <v>0</v>
      </c>
      <c r="AP248" s="8">
        <f t="shared" si="1533"/>
        <v>0</v>
      </c>
      <c r="AQ248" s="8">
        <f t="shared" si="1533"/>
        <v>0</v>
      </c>
      <c r="AR248" s="8">
        <f t="shared" si="1533"/>
        <v>0</v>
      </c>
      <c r="AS248" s="8">
        <f t="shared" si="1533"/>
        <v>0</v>
      </c>
      <c r="AT248" s="8">
        <f t="shared" si="1533"/>
        <v>0</v>
      </c>
      <c r="AU248" s="8">
        <f t="shared" si="1533"/>
        <v>0</v>
      </c>
      <c r="AV248" s="8">
        <f t="shared" si="1533"/>
        <v>0</v>
      </c>
      <c r="AW248" s="8">
        <f t="shared" si="1533"/>
        <v>0</v>
      </c>
      <c r="AX248" s="8">
        <f t="shared" si="1533"/>
        <v>0</v>
      </c>
      <c r="AY248" s="8">
        <f t="shared" si="1533"/>
        <v>0</v>
      </c>
      <c r="AZ248" s="8">
        <f t="shared" si="1533"/>
        <v>0</v>
      </c>
      <c r="BA248" s="8">
        <f t="shared" ref="BA248:BX248" si="1534">SUM(BA232:BA247)</f>
        <v>0</v>
      </c>
      <c r="BB248" s="8">
        <f t="shared" si="1534"/>
        <v>0</v>
      </c>
      <c r="BC248" s="8">
        <f t="shared" si="1534"/>
        <v>0</v>
      </c>
      <c r="BD248" s="8">
        <f t="shared" si="1534"/>
        <v>0</v>
      </c>
      <c r="BE248" s="8">
        <f t="shared" si="1534"/>
        <v>0</v>
      </c>
      <c r="BF248" s="8">
        <f t="shared" si="1534"/>
        <v>0</v>
      </c>
      <c r="BG248" s="8">
        <f t="shared" si="1534"/>
        <v>0</v>
      </c>
      <c r="BH248" s="8">
        <f t="shared" si="1534"/>
        <v>0</v>
      </c>
      <c r="BI248" s="8">
        <f t="shared" si="1534"/>
        <v>0</v>
      </c>
      <c r="BJ248" s="8">
        <f t="shared" si="1534"/>
        <v>0</v>
      </c>
      <c r="BK248" s="8">
        <f t="shared" si="1534"/>
        <v>0</v>
      </c>
      <c r="BL248" s="8">
        <f t="shared" si="1534"/>
        <v>0</v>
      </c>
      <c r="BM248" s="8">
        <f t="shared" si="1534"/>
        <v>0</v>
      </c>
      <c r="BN248" s="8">
        <f t="shared" si="1534"/>
        <v>0</v>
      </c>
      <c r="BO248" s="8">
        <f t="shared" si="1534"/>
        <v>0</v>
      </c>
      <c r="BP248" s="8">
        <f t="shared" si="1534"/>
        <v>0</v>
      </c>
      <c r="BQ248" s="8">
        <f t="shared" si="1534"/>
        <v>0</v>
      </c>
      <c r="BR248" s="8">
        <f t="shared" si="1534"/>
        <v>0</v>
      </c>
      <c r="BS248" s="8">
        <f t="shared" si="1534"/>
        <v>0</v>
      </c>
      <c r="BT248" s="8">
        <f t="shared" si="1534"/>
        <v>0</v>
      </c>
      <c r="BU248" s="8">
        <f t="shared" si="1534"/>
        <v>0</v>
      </c>
      <c r="BV248" s="8">
        <f t="shared" si="1534"/>
        <v>0</v>
      </c>
      <c r="BW248" s="8">
        <f t="shared" si="1534"/>
        <v>0</v>
      </c>
      <c r="BX248" s="8">
        <f t="shared" si="1534"/>
        <v>0</v>
      </c>
      <c r="BZ248" s="379">
        <f>SUM(BZ232:BZ247)</f>
        <v>253626.53353857141</v>
      </c>
      <c r="CA248" s="379">
        <f>SUM(CA232:CA247)</f>
        <v>2680704.932149048</v>
      </c>
      <c r="CB248" s="97"/>
      <c r="CC248" s="97"/>
      <c r="CD248" s="97"/>
      <c r="CE248" s="97"/>
      <c r="CF248" s="97"/>
      <c r="CG248" s="97"/>
      <c r="CH248" s="97"/>
      <c r="CI248" s="97"/>
      <c r="CJ248" s="97"/>
    </row>
    <row r="249" spans="1:88" x14ac:dyDescent="0.3">
      <c r="A249" s="109" t="s">
        <v>118</v>
      </c>
      <c r="B249" s="106"/>
      <c r="C249" s="106"/>
      <c r="D249" s="106"/>
      <c r="E249" s="22">
        <f t="shared" ref="E249:P249" si="1535">E231-E248</f>
        <v>42408.28416666665</v>
      </c>
      <c r="F249" s="22">
        <f t="shared" si="1535"/>
        <v>42408.28416666665</v>
      </c>
      <c r="G249" s="22">
        <f t="shared" si="1535"/>
        <v>42408.28416666665</v>
      </c>
      <c r="H249" s="22">
        <f t="shared" si="1535"/>
        <v>42408.28416666665</v>
      </c>
      <c r="I249" s="22">
        <f t="shared" si="1535"/>
        <v>42408.28416666665</v>
      </c>
      <c r="J249" s="22">
        <f t="shared" si="1535"/>
        <v>42408.28416666665</v>
      </c>
      <c r="K249" s="22">
        <f t="shared" si="1535"/>
        <v>42408.28416666665</v>
      </c>
      <c r="L249" s="22">
        <f t="shared" si="1535"/>
        <v>42408.28416666665</v>
      </c>
      <c r="M249" s="22">
        <f t="shared" si="1535"/>
        <v>42408.28416666665</v>
      </c>
      <c r="N249" s="22">
        <f t="shared" si="1535"/>
        <v>42408.28416666665</v>
      </c>
      <c r="O249" s="22">
        <f t="shared" si="1535"/>
        <v>42408.28416666665</v>
      </c>
      <c r="P249" s="22">
        <f t="shared" si="1535"/>
        <v>42408.28416666665</v>
      </c>
      <c r="Q249" s="22">
        <f t="shared" ref="Q249:AB249" si="1536">Q231-Q248</f>
        <v>120379.36199999999</v>
      </c>
      <c r="R249" s="22">
        <f t="shared" si="1536"/>
        <v>396060.01916666678</v>
      </c>
      <c r="S249" s="22">
        <f t="shared" si="1536"/>
        <v>-13719.315333333332</v>
      </c>
      <c r="T249" s="22">
        <f t="shared" si="1536"/>
        <v>-12557.469143333379</v>
      </c>
      <c r="U249" s="22">
        <f t="shared" si="1536"/>
        <v>9580.6506666666828</v>
      </c>
      <c r="V249" s="22">
        <f t="shared" si="1536"/>
        <v>10293.019102666673</v>
      </c>
      <c r="W249" s="22">
        <f t="shared" si="1536"/>
        <v>6006.2203666667046</v>
      </c>
      <c r="X249" s="22">
        <f t="shared" si="1536"/>
        <v>24461.022549757559</v>
      </c>
      <c r="Y249" s="22">
        <f t="shared" si="1536"/>
        <v>2753.6087828571617</v>
      </c>
      <c r="Z249" s="22">
        <f t="shared" si="1536"/>
        <v>2763.6087828571617</v>
      </c>
      <c r="AA249" s="22">
        <f t="shared" si="1536"/>
        <v>25669.924982857163</v>
      </c>
      <c r="AB249" s="22">
        <f t="shared" si="1536"/>
        <v>-141325.49679761904</v>
      </c>
      <c r="AC249" s="22">
        <f t="shared" ref="AC249:AN249" si="1537">AC231-AC248</f>
        <v>0</v>
      </c>
      <c r="AD249" s="22">
        <f t="shared" si="1537"/>
        <v>0</v>
      </c>
      <c r="AE249" s="22">
        <f t="shared" si="1537"/>
        <v>0</v>
      </c>
      <c r="AF249" s="22">
        <f t="shared" si="1537"/>
        <v>0</v>
      </c>
      <c r="AG249" s="22">
        <f t="shared" si="1537"/>
        <v>0</v>
      </c>
      <c r="AH249" s="22">
        <f t="shared" si="1537"/>
        <v>0</v>
      </c>
      <c r="AI249" s="22">
        <f t="shared" si="1537"/>
        <v>0</v>
      </c>
      <c r="AJ249" s="22">
        <f t="shared" si="1537"/>
        <v>0</v>
      </c>
      <c r="AK249" s="22">
        <f t="shared" si="1537"/>
        <v>0</v>
      </c>
      <c r="AL249" s="22">
        <f t="shared" si="1537"/>
        <v>0</v>
      </c>
      <c r="AM249" s="22">
        <f t="shared" si="1537"/>
        <v>0</v>
      </c>
      <c r="AN249" s="22">
        <f t="shared" si="1537"/>
        <v>0</v>
      </c>
      <c r="AO249" s="22">
        <f t="shared" ref="AO249:AZ249" si="1538">AO231-AO248</f>
        <v>0</v>
      </c>
      <c r="AP249" s="22">
        <f t="shared" si="1538"/>
        <v>0</v>
      </c>
      <c r="AQ249" s="22">
        <f t="shared" si="1538"/>
        <v>0</v>
      </c>
      <c r="AR249" s="22">
        <f t="shared" si="1538"/>
        <v>0</v>
      </c>
      <c r="AS249" s="22">
        <f t="shared" si="1538"/>
        <v>0</v>
      </c>
      <c r="AT249" s="22">
        <f t="shared" si="1538"/>
        <v>0</v>
      </c>
      <c r="AU249" s="22">
        <f t="shared" si="1538"/>
        <v>0</v>
      </c>
      <c r="AV249" s="22">
        <f t="shared" si="1538"/>
        <v>0</v>
      </c>
      <c r="AW249" s="22">
        <f t="shared" si="1538"/>
        <v>0</v>
      </c>
      <c r="AX249" s="22">
        <f t="shared" si="1538"/>
        <v>0</v>
      </c>
      <c r="AY249" s="22">
        <f t="shared" si="1538"/>
        <v>0</v>
      </c>
      <c r="AZ249" s="22">
        <f t="shared" si="1538"/>
        <v>0</v>
      </c>
      <c r="BA249" s="22">
        <f t="shared" ref="BA249:BX249" si="1539">BA231-BA248</f>
        <v>0</v>
      </c>
      <c r="BB249" s="22">
        <f t="shared" si="1539"/>
        <v>0</v>
      </c>
      <c r="BC249" s="22">
        <f t="shared" si="1539"/>
        <v>0</v>
      </c>
      <c r="BD249" s="22">
        <f t="shared" si="1539"/>
        <v>0</v>
      </c>
      <c r="BE249" s="22">
        <f t="shared" si="1539"/>
        <v>0</v>
      </c>
      <c r="BF249" s="22">
        <f t="shared" si="1539"/>
        <v>0</v>
      </c>
      <c r="BG249" s="22">
        <f t="shared" si="1539"/>
        <v>0</v>
      </c>
      <c r="BH249" s="22">
        <f t="shared" si="1539"/>
        <v>0</v>
      </c>
      <c r="BI249" s="22">
        <f t="shared" si="1539"/>
        <v>0</v>
      </c>
      <c r="BJ249" s="22">
        <f t="shared" si="1539"/>
        <v>0</v>
      </c>
      <c r="BK249" s="22">
        <f t="shared" si="1539"/>
        <v>0</v>
      </c>
      <c r="BL249" s="22">
        <f t="shared" si="1539"/>
        <v>0</v>
      </c>
      <c r="BM249" s="22">
        <f t="shared" si="1539"/>
        <v>0</v>
      </c>
      <c r="BN249" s="22">
        <f t="shared" si="1539"/>
        <v>0</v>
      </c>
      <c r="BO249" s="22">
        <f t="shared" si="1539"/>
        <v>0</v>
      </c>
      <c r="BP249" s="22">
        <f t="shared" si="1539"/>
        <v>0</v>
      </c>
      <c r="BQ249" s="22">
        <f t="shared" si="1539"/>
        <v>0</v>
      </c>
      <c r="BR249" s="22">
        <f t="shared" si="1539"/>
        <v>0</v>
      </c>
      <c r="BS249" s="22">
        <f t="shared" si="1539"/>
        <v>0</v>
      </c>
      <c r="BT249" s="22">
        <f t="shared" si="1539"/>
        <v>0</v>
      </c>
      <c r="BU249" s="22">
        <f t="shared" si="1539"/>
        <v>0</v>
      </c>
      <c r="BV249" s="22">
        <f t="shared" si="1539"/>
        <v>0</v>
      </c>
      <c r="BW249" s="22">
        <f t="shared" si="1539"/>
        <v>0</v>
      </c>
      <c r="BX249" s="22">
        <f t="shared" si="1539"/>
        <v>0</v>
      </c>
      <c r="BZ249" s="390">
        <f>BZ231-BZ248</f>
        <v>25669.924982857163</v>
      </c>
      <c r="CA249" s="390">
        <f>CA231-CA248</f>
        <v>571690.65192432841</v>
      </c>
      <c r="CB249" s="97"/>
      <c r="CC249" s="97"/>
      <c r="CD249" s="97"/>
      <c r="CE249" s="97"/>
      <c r="CF249" s="97"/>
      <c r="CG249" s="97"/>
      <c r="CH249" s="97"/>
      <c r="CI249" s="97"/>
      <c r="CJ249" s="97"/>
    </row>
    <row r="250" spans="1:88" x14ac:dyDescent="0.3">
      <c r="A250" s="1"/>
      <c r="B250" s="10"/>
      <c r="C250" s="10"/>
      <c r="D250" s="10"/>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Z250" s="97"/>
      <c r="CA250" s="97"/>
      <c r="CB250" s="97"/>
      <c r="CC250" s="97"/>
      <c r="CD250" s="97"/>
      <c r="CE250" s="97"/>
      <c r="CF250" s="97"/>
      <c r="CG250" s="97"/>
      <c r="CH250" s="97"/>
      <c r="CI250" s="97"/>
      <c r="CJ250" s="97"/>
    </row>
    <row r="251" spans="1:88" x14ac:dyDescent="0.3">
      <c r="A251" s="20" t="s">
        <v>152</v>
      </c>
      <c r="B251" s="32">
        <f>'DCS Detail'!B251</f>
        <v>2</v>
      </c>
      <c r="C251" s="6">
        <f>B251+1</f>
        <v>3</v>
      </c>
      <c r="D251" s="6">
        <f t="shared" ref="D251:BO251" si="1540">C251+1</f>
        <v>4</v>
      </c>
      <c r="E251" s="6">
        <f t="shared" si="1540"/>
        <v>5</v>
      </c>
      <c r="F251" s="6">
        <f t="shared" si="1540"/>
        <v>6</v>
      </c>
      <c r="G251" s="6">
        <f t="shared" si="1540"/>
        <v>7</v>
      </c>
      <c r="H251" s="6">
        <f t="shared" si="1540"/>
        <v>8</v>
      </c>
      <c r="I251" s="6">
        <f t="shared" si="1540"/>
        <v>9</v>
      </c>
      <c r="J251" s="6">
        <f t="shared" si="1540"/>
        <v>10</v>
      </c>
      <c r="K251" s="6">
        <f t="shared" si="1540"/>
        <v>11</v>
      </c>
      <c r="L251" s="6">
        <f t="shared" si="1540"/>
        <v>12</v>
      </c>
      <c r="M251" s="6">
        <f t="shared" si="1540"/>
        <v>13</v>
      </c>
      <c r="N251" s="6">
        <f t="shared" si="1540"/>
        <v>14</v>
      </c>
      <c r="O251" s="6">
        <f t="shared" si="1540"/>
        <v>15</v>
      </c>
      <c r="P251" s="6">
        <f t="shared" si="1540"/>
        <v>16</v>
      </c>
      <c r="Q251" s="6">
        <f t="shared" si="1540"/>
        <v>17</v>
      </c>
      <c r="R251" s="6">
        <f t="shared" si="1540"/>
        <v>18</v>
      </c>
      <c r="S251" s="6">
        <f t="shared" si="1540"/>
        <v>19</v>
      </c>
      <c r="T251" s="6">
        <f t="shared" si="1540"/>
        <v>20</v>
      </c>
      <c r="U251" s="6">
        <f t="shared" si="1540"/>
        <v>21</v>
      </c>
      <c r="V251" s="6">
        <f t="shared" si="1540"/>
        <v>22</v>
      </c>
      <c r="W251" s="6">
        <f t="shared" si="1540"/>
        <v>23</v>
      </c>
      <c r="X251" s="6">
        <f t="shared" si="1540"/>
        <v>24</v>
      </c>
      <c r="Y251" s="6">
        <f t="shared" si="1540"/>
        <v>25</v>
      </c>
      <c r="Z251" s="6">
        <f t="shared" si="1540"/>
        <v>26</v>
      </c>
      <c r="AA251" s="6">
        <f t="shared" si="1540"/>
        <v>27</v>
      </c>
      <c r="AB251" s="6">
        <f t="shared" si="1540"/>
        <v>28</v>
      </c>
      <c r="AC251" s="6">
        <f t="shared" si="1540"/>
        <v>29</v>
      </c>
      <c r="AD251" s="6">
        <f t="shared" si="1540"/>
        <v>30</v>
      </c>
      <c r="AE251" s="6">
        <f t="shared" si="1540"/>
        <v>31</v>
      </c>
      <c r="AF251" s="6">
        <f t="shared" si="1540"/>
        <v>32</v>
      </c>
      <c r="AG251" s="6">
        <f t="shared" si="1540"/>
        <v>33</v>
      </c>
      <c r="AH251" s="6">
        <f t="shared" si="1540"/>
        <v>34</v>
      </c>
      <c r="AI251" s="6">
        <f t="shared" si="1540"/>
        <v>35</v>
      </c>
      <c r="AJ251" s="6">
        <f t="shared" si="1540"/>
        <v>36</v>
      </c>
      <c r="AK251" s="6">
        <f t="shared" si="1540"/>
        <v>37</v>
      </c>
      <c r="AL251" s="6">
        <f t="shared" si="1540"/>
        <v>38</v>
      </c>
      <c r="AM251" s="6">
        <f t="shared" si="1540"/>
        <v>39</v>
      </c>
      <c r="AN251" s="6">
        <f t="shared" si="1540"/>
        <v>40</v>
      </c>
      <c r="AO251" s="6">
        <f t="shared" si="1540"/>
        <v>41</v>
      </c>
      <c r="AP251" s="6">
        <f t="shared" si="1540"/>
        <v>42</v>
      </c>
      <c r="AQ251" s="6">
        <f t="shared" si="1540"/>
        <v>43</v>
      </c>
      <c r="AR251" s="6">
        <f t="shared" si="1540"/>
        <v>44</v>
      </c>
      <c r="AS251" s="6">
        <f t="shared" si="1540"/>
        <v>45</v>
      </c>
      <c r="AT251" s="6">
        <f t="shared" si="1540"/>
        <v>46</v>
      </c>
      <c r="AU251" s="6">
        <f t="shared" si="1540"/>
        <v>47</v>
      </c>
      <c r="AV251" s="6">
        <f t="shared" si="1540"/>
        <v>48</v>
      </c>
      <c r="AW251" s="6">
        <f t="shared" si="1540"/>
        <v>49</v>
      </c>
      <c r="AX251" s="6">
        <f t="shared" si="1540"/>
        <v>50</v>
      </c>
      <c r="AY251" s="6">
        <f t="shared" si="1540"/>
        <v>51</v>
      </c>
      <c r="AZ251" s="6">
        <f t="shared" si="1540"/>
        <v>52</v>
      </c>
      <c r="BA251" s="6">
        <f t="shared" si="1540"/>
        <v>53</v>
      </c>
      <c r="BB251" s="6">
        <f t="shared" si="1540"/>
        <v>54</v>
      </c>
      <c r="BC251" s="6">
        <f t="shared" si="1540"/>
        <v>55</v>
      </c>
      <c r="BD251" s="6">
        <f t="shared" si="1540"/>
        <v>56</v>
      </c>
      <c r="BE251" s="6">
        <f t="shared" si="1540"/>
        <v>57</v>
      </c>
      <c r="BF251" s="6">
        <f t="shared" si="1540"/>
        <v>58</v>
      </c>
      <c r="BG251" s="6">
        <f t="shared" si="1540"/>
        <v>59</v>
      </c>
      <c r="BH251" s="6">
        <f t="shared" si="1540"/>
        <v>60</v>
      </c>
      <c r="BI251" s="6">
        <f t="shared" si="1540"/>
        <v>61</v>
      </c>
      <c r="BJ251" s="6">
        <f t="shared" si="1540"/>
        <v>62</v>
      </c>
      <c r="BK251" s="6">
        <f t="shared" si="1540"/>
        <v>63</v>
      </c>
      <c r="BL251" s="6">
        <f t="shared" si="1540"/>
        <v>64</v>
      </c>
      <c r="BM251" s="6">
        <f t="shared" si="1540"/>
        <v>65</v>
      </c>
      <c r="BN251" s="6">
        <f t="shared" si="1540"/>
        <v>66</v>
      </c>
      <c r="BO251" s="6">
        <f t="shared" si="1540"/>
        <v>67</v>
      </c>
      <c r="BP251" s="6">
        <f t="shared" ref="BP251:CJ251" si="1541">BO251+1</f>
        <v>68</v>
      </c>
      <c r="BQ251" s="6">
        <f t="shared" si="1541"/>
        <v>69</v>
      </c>
      <c r="BR251" s="6">
        <f t="shared" si="1541"/>
        <v>70</v>
      </c>
      <c r="BS251" s="6">
        <f t="shared" si="1541"/>
        <v>71</v>
      </c>
      <c r="BT251" s="6">
        <f t="shared" si="1541"/>
        <v>72</v>
      </c>
      <c r="BU251" s="6">
        <f t="shared" si="1541"/>
        <v>73</v>
      </c>
      <c r="BV251" s="6">
        <f t="shared" si="1541"/>
        <v>74</v>
      </c>
      <c r="BW251" s="6">
        <f t="shared" si="1541"/>
        <v>75</v>
      </c>
      <c r="BX251" s="6">
        <f t="shared" si="1541"/>
        <v>76</v>
      </c>
      <c r="BY251" s="6">
        <f t="shared" si="1541"/>
        <v>77</v>
      </c>
      <c r="BZ251" s="6">
        <f t="shared" si="1541"/>
        <v>78</v>
      </c>
      <c r="CA251" s="6">
        <f t="shared" si="1541"/>
        <v>79</v>
      </c>
      <c r="CB251" s="6">
        <f t="shared" si="1541"/>
        <v>80</v>
      </c>
      <c r="CC251" s="6">
        <f t="shared" si="1541"/>
        <v>81</v>
      </c>
      <c r="CD251" s="6">
        <f t="shared" si="1541"/>
        <v>82</v>
      </c>
      <c r="CE251" s="6">
        <f t="shared" si="1541"/>
        <v>83</v>
      </c>
      <c r="CF251" s="6">
        <f t="shared" si="1541"/>
        <v>84</v>
      </c>
      <c r="CG251" s="6">
        <f t="shared" si="1541"/>
        <v>85</v>
      </c>
      <c r="CH251" s="6">
        <f t="shared" si="1541"/>
        <v>86</v>
      </c>
      <c r="CI251" s="6">
        <f t="shared" si="1541"/>
        <v>87</v>
      </c>
      <c r="CJ251" s="6">
        <f t="shared" si="1541"/>
        <v>88</v>
      </c>
    </row>
    <row r="252" spans="1:88" x14ac:dyDescent="0.3">
      <c r="A252" t="s">
        <v>121</v>
      </c>
      <c r="B252" s="10"/>
      <c r="C252" s="6"/>
      <c r="D252" s="6"/>
      <c r="E252" s="6">
        <f>IF(E$4=Support!$A$17,1,0)</f>
        <v>0</v>
      </c>
      <c r="F252" s="6">
        <f>IF(F$4=Support!$A$17,1,0)</f>
        <v>0</v>
      </c>
      <c r="G252" s="6">
        <f>IF(G$4=Support!$A$17,1,0)</f>
        <v>0</v>
      </c>
      <c r="H252" s="6">
        <f>IF(H$4=Support!$A$17,1,0)</f>
        <v>0</v>
      </c>
      <c r="I252" s="6">
        <f>IF(I$4=Support!$A$17,1,0)</f>
        <v>0</v>
      </c>
      <c r="J252" s="6">
        <f>IF(J$4=Support!$A$17,1,0)</f>
        <v>0</v>
      </c>
      <c r="K252" s="6">
        <f>IF(K$4=Support!$A$17,1,0)</f>
        <v>0</v>
      </c>
      <c r="L252" s="6">
        <f>IF(L$4=Support!$A$17,1,0)</f>
        <v>0</v>
      </c>
      <c r="M252" s="6">
        <f>IF(M$4=Support!$A$17,1,0)</f>
        <v>0</v>
      </c>
      <c r="N252" s="6">
        <f>IF(N$4=Support!$A$17,1,0)</f>
        <v>0</v>
      </c>
      <c r="O252" s="6">
        <f>IF(O$4=Support!$A$17,1,0)</f>
        <v>0</v>
      </c>
      <c r="P252" s="6">
        <f>IF(P$4=Support!$A$17,1,0)</f>
        <v>0</v>
      </c>
      <c r="Q252" s="6">
        <f>IF(Q$4=Support!$A$17,1,0)</f>
        <v>0</v>
      </c>
      <c r="R252" s="6">
        <f>IF(R$4=Support!$A$17,1,0)</f>
        <v>0</v>
      </c>
      <c r="S252" s="6">
        <f>IF(S$4=Support!$A$17,1,0)</f>
        <v>0</v>
      </c>
      <c r="T252" s="6">
        <f>IF(T$4=Support!$A$17,1,0)</f>
        <v>0</v>
      </c>
      <c r="U252" s="6">
        <f>IF(U$4=Support!$A$17,1,0)</f>
        <v>0</v>
      </c>
      <c r="V252" s="6">
        <f>IF(V$4=Support!$A$17,1,0)</f>
        <v>0</v>
      </c>
      <c r="W252" s="6">
        <f>IF(W$4=Support!$A$17,1,0)</f>
        <v>0</v>
      </c>
      <c r="X252" s="6">
        <f>IF(X$4=Support!$A$17,1,0)</f>
        <v>0</v>
      </c>
      <c r="Y252" s="6">
        <f>IF(Y$4=Support!$A$17,1,0)</f>
        <v>0</v>
      </c>
      <c r="Z252" s="6">
        <f>IF(Z$4=Support!$A$17,1,0)</f>
        <v>0</v>
      </c>
      <c r="AA252" s="6">
        <f>IF(AA$4=Support!$A$17,1,0)</f>
        <v>1</v>
      </c>
      <c r="AB252" s="6">
        <f>IF(AB$4=Support!$A$17,1,0)</f>
        <v>0</v>
      </c>
      <c r="AC252" s="6">
        <f>IF(AC$4=Support!$A$17,1,0)</f>
        <v>0</v>
      </c>
      <c r="AD252" s="6">
        <f>IF(AD$4=Support!$A$17,1,0)</f>
        <v>0</v>
      </c>
      <c r="AE252" s="6">
        <f>IF(AE$4=Support!$A$17,1,0)</f>
        <v>0</v>
      </c>
      <c r="AF252" s="6">
        <f>IF(AF$4=Support!$A$17,1,0)</f>
        <v>0</v>
      </c>
      <c r="AG252" s="6">
        <f>IF(AG$4=Support!$A$17,1,0)</f>
        <v>0</v>
      </c>
      <c r="AH252" s="6">
        <f>IF(AH$4=Support!$A$17,1,0)</f>
        <v>0</v>
      </c>
      <c r="AI252" s="6">
        <f>IF(AI$4=Support!$A$17,1,0)</f>
        <v>0</v>
      </c>
      <c r="AJ252" s="6">
        <f>IF(AJ$4=Support!$A$17,1,0)</f>
        <v>0</v>
      </c>
      <c r="AK252" s="6">
        <f>IF(AK$4=Support!$A$17,1,0)</f>
        <v>0</v>
      </c>
      <c r="AL252" s="6">
        <f>IF(AL$4=Support!$A$17,1,0)</f>
        <v>0</v>
      </c>
      <c r="AM252" s="6">
        <f>IF(AM$4=Support!$A$17,1,0)</f>
        <v>0</v>
      </c>
      <c r="AN252" s="6">
        <f>IF(AN$4=Support!$A$17,1,0)</f>
        <v>0</v>
      </c>
      <c r="AO252" s="6">
        <f>IF(AO$4=Support!$A$17,1,0)</f>
        <v>0</v>
      </c>
      <c r="AP252" s="6">
        <f>IF(AP$4=Support!$A$17,1,0)</f>
        <v>0</v>
      </c>
      <c r="AQ252" s="6">
        <f>IF(AQ$4=Support!$A$17,1,0)</f>
        <v>0</v>
      </c>
      <c r="AR252" s="6">
        <f>IF(AR$4=Support!$A$17,1,0)</f>
        <v>0</v>
      </c>
      <c r="AS252" s="6">
        <f>IF(AS$4=Support!$A$17,1,0)</f>
        <v>0</v>
      </c>
      <c r="AT252" s="6">
        <f>IF(AT$4=Support!$A$17,1,0)</f>
        <v>0</v>
      </c>
      <c r="AU252" s="6">
        <f>IF(AU$4=Support!$A$17,1,0)</f>
        <v>0</v>
      </c>
      <c r="AV252" s="6">
        <f>IF(AV$4=Support!$A$17,1,0)</f>
        <v>0</v>
      </c>
      <c r="AW252" s="6">
        <f>IF(AW$4=Support!$A$17,1,0)</f>
        <v>0</v>
      </c>
      <c r="AX252" s="6">
        <f>IF(AX$4=Support!$A$17,1,0)</f>
        <v>0</v>
      </c>
      <c r="AY252" s="6">
        <f>IF(AY$4=Support!$A$17,1,0)</f>
        <v>0</v>
      </c>
      <c r="AZ252" s="6">
        <f>IF(AZ$4=Support!$A$17,1,0)</f>
        <v>0</v>
      </c>
      <c r="BA252" s="6">
        <f>IF(BA$4=Support!$A$17,1,0)</f>
        <v>0</v>
      </c>
      <c r="BB252" s="6">
        <f>IF(BB$4=Support!$A$17,1,0)</f>
        <v>0</v>
      </c>
      <c r="BC252" s="6">
        <f>IF(BC$4=Support!$A$17,1,0)</f>
        <v>0</v>
      </c>
      <c r="BD252" s="6">
        <f>IF(BD$4=Support!$A$17,1,0)</f>
        <v>0</v>
      </c>
      <c r="BE252" s="6">
        <f>IF(BE$4=Support!$A$17,1,0)</f>
        <v>0</v>
      </c>
      <c r="BF252" s="6">
        <f>IF(BF$4=Support!$A$17,1,0)</f>
        <v>0</v>
      </c>
      <c r="BG252" s="6">
        <f>IF(BG$4=Support!$A$17,1,0)</f>
        <v>0</v>
      </c>
      <c r="BH252" s="6">
        <f>IF(BH$4=Support!$A$17,1,0)</f>
        <v>0</v>
      </c>
      <c r="BI252" s="6">
        <f>IF(BI$4=Support!$A$17,1,0)</f>
        <v>0</v>
      </c>
      <c r="BJ252" s="6">
        <f>IF(BJ$4=Support!$A$17,1,0)</f>
        <v>0</v>
      </c>
      <c r="BK252" s="6">
        <f>IF(BK$4=Support!$A$17,1,0)</f>
        <v>0</v>
      </c>
      <c r="BL252" s="6">
        <f>IF(BL$4=Support!$A$17,1,0)</f>
        <v>0</v>
      </c>
      <c r="BM252" s="6">
        <f>IF(BM$4=Support!$A$17,1,0)</f>
        <v>0</v>
      </c>
      <c r="BN252" s="6">
        <f>IF(BN$4=Support!$A$17,1,0)</f>
        <v>0</v>
      </c>
      <c r="BO252" s="6">
        <f>IF(BO$4=Support!$A$17,1,0)</f>
        <v>0</v>
      </c>
      <c r="BP252" s="6">
        <f>IF(BP$4=Support!$A$17,1,0)</f>
        <v>0</v>
      </c>
      <c r="BQ252" s="6">
        <f>IF(BQ$4=Support!$A$17,1,0)</f>
        <v>0</v>
      </c>
      <c r="BR252" s="6">
        <f>IF(BR$4=Support!$A$17,1,0)</f>
        <v>0</v>
      </c>
      <c r="BS252" s="6">
        <f>IF(BS$4=Support!$A$17,1,0)</f>
        <v>0</v>
      </c>
      <c r="BT252" s="6">
        <f>IF(BT$4=Support!$A$17,1,0)</f>
        <v>0</v>
      </c>
      <c r="BU252" s="6">
        <f>IF(BU$4=Support!$A$17,1,0)</f>
        <v>0</v>
      </c>
      <c r="BV252" s="6">
        <f>IF(BV$4=Support!$A$17,1,0)</f>
        <v>0</v>
      </c>
      <c r="BW252" s="6">
        <f>IF(BW$4=Support!$A$17,1,0)</f>
        <v>0</v>
      </c>
      <c r="BX252" s="6">
        <f>IF(BX$4=Support!$A$17,1,0)</f>
        <v>0</v>
      </c>
    </row>
    <row r="253" spans="1:88" x14ac:dyDescent="0.3">
      <c r="A253" t="s">
        <v>153</v>
      </c>
      <c r="B253" s="10"/>
      <c r="C253" s="6"/>
      <c r="D253" s="6"/>
      <c r="E253" s="6">
        <v>0</v>
      </c>
      <c r="F253" s="6">
        <v>0</v>
      </c>
      <c r="G253" s="6">
        <v>0</v>
      </c>
      <c r="H253" s="6">
        <v>0</v>
      </c>
      <c r="I253" s="6">
        <v>0</v>
      </c>
      <c r="J253" s="6">
        <v>0</v>
      </c>
      <c r="K253" s="6">
        <v>0</v>
      </c>
      <c r="L253" s="6">
        <v>0</v>
      </c>
      <c r="M253" s="6">
        <v>0</v>
      </c>
      <c r="N253" s="6">
        <v>0</v>
      </c>
      <c r="O253" s="6">
        <v>0</v>
      </c>
      <c r="P253" s="6">
        <v>0</v>
      </c>
      <c r="Q253" s="6">
        <f>IF(Q4&lt;=Support!$A$17,1,0)</f>
        <v>1</v>
      </c>
      <c r="R253" s="6">
        <f>IF(R4&lt;=Support!$A$17,1,0)</f>
        <v>1</v>
      </c>
      <c r="S253" s="6">
        <f>IF(S4&lt;=Support!$A$17,1,0)</f>
        <v>1</v>
      </c>
      <c r="T253" s="6">
        <f>IF(T4&lt;=Support!$A$17,1,0)</f>
        <v>1</v>
      </c>
      <c r="U253" s="6">
        <f>IF(U4&lt;=Support!$A$17,1,0)</f>
        <v>1</v>
      </c>
      <c r="V253" s="6">
        <f>IF(V4&lt;=Support!$A$17,1,0)</f>
        <v>1</v>
      </c>
      <c r="W253" s="6">
        <f>IF(W4&lt;=Support!$A$17,1,0)</f>
        <v>1</v>
      </c>
      <c r="X253" s="6">
        <f>IF(X4&lt;=Support!$A$17,1,0)</f>
        <v>1</v>
      </c>
      <c r="Y253" s="6">
        <f>IF(Y4&lt;=Support!$A$17,1,0)</f>
        <v>1</v>
      </c>
      <c r="Z253" s="6">
        <f>IF(Z4&lt;=Support!$A$17,1,0)</f>
        <v>1</v>
      </c>
      <c r="AA253" s="6">
        <f>IF(AA4&lt;=Support!$A$17,1,0)</f>
        <v>1</v>
      </c>
      <c r="AB253" s="6">
        <f>IF(AB4&lt;=Support!$A$17,1,0)</f>
        <v>0</v>
      </c>
      <c r="AC253" s="6">
        <f>IF(AC4&lt;=Support!$A$17,1,0)</f>
        <v>0</v>
      </c>
      <c r="AD253" s="6">
        <f>IF(AD4&lt;=Support!$A$17,1,0)</f>
        <v>0</v>
      </c>
      <c r="AE253" s="6">
        <f>IF(AE4&lt;=Support!$A$17,1,0)</f>
        <v>0</v>
      </c>
      <c r="AF253" s="6">
        <f>IF(AF4&lt;=Support!$A$17,1,0)</f>
        <v>0</v>
      </c>
      <c r="AG253" s="6">
        <f>IF(AG4&lt;=Support!$A$17,1,0)</f>
        <v>0</v>
      </c>
      <c r="AH253" s="6">
        <f>IF(AH4&lt;=Support!$A$17,1,0)</f>
        <v>0</v>
      </c>
      <c r="AI253" s="6">
        <f>IF(AI4&lt;=Support!$A$17,1,0)</f>
        <v>0</v>
      </c>
      <c r="AJ253" s="6">
        <f>IF(AJ4&lt;=Support!$A$17,1,0)</f>
        <v>0</v>
      </c>
      <c r="AK253" s="6">
        <f>IF(AK4&lt;=Support!$A$17,1,0)</f>
        <v>0</v>
      </c>
      <c r="AL253" s="6">
        <f>IF(AL4&lt;=Support!$A$17,1,0)</f>
        <v>0</v>
      </c>
      <c r="AM253" s="6">
        <f>IF(AM4&lt;=Support!$A$17,1,0)</f>
        <v>0</v>
      </c>
      <c r="AN253" s="6">
        <f>IF(AN4&lt;=Support!$A$17,1,0)</f>
        <v>0</v>
      </c>
      <c r="AO253" s="6">
        <f>IF(AO4&lt;=Support!$A$17,1,0)</f>
        <v>0</v>
      </c>
      <c r="AP253" s="6">
        <f>IF(AP4&lt;=Support!$A$17,1,0)</f>
        <v>0</v>
      </c>
      <c r="AQ253" s="6">
        <f>IF(AQ4&lt;=Support!$A$17,1,0)</f>
        <v>0</v>
      </c>
      <c r="AR253" s="6">
        <f>IF(AR4&lt;=Support!$A$17,1,0)</f>
        <v>0</v>
      </c>
      <c r="AS253" s="6">
        <f>IF(AS4&lt;=Support!$A$17,1,0)</f>
        <v>0</v>
      </c>
      <c r="AT253" s="6">
        <f>IF(AT4&lt;=Support!$A$17,1,0)</f>
        <v>0</v>
      </c>
      <c r="AU253" s="6">
        <f>IF(AU4&lt;=Support!$A$17,1,0)</f>
        <v>0</v>
      </c>
      <c r="AV253" s="6">
        <f>IF(AV4&lt;=Support!$A$17,1,0)</f>
        <v>0</v>
      </c>
      <c r="AW253" s="6">
        <f>IF(AW4&lt;=Support!$A$17,1,0)</f>
        <v>0</v>
      </c>
      <c r="AX253" s="6">
        <f>IF(AX4&lt;=Support!$A$17,1,0)</f>
        <v>0</v>
      </c>
      <c r="AY253" s="6">
        <f>IF(AY4&lt;=Support!$A$17,1,0)</f>
        <v>0</v>
      </c>
      <c r="AZ253" s="6">
        <f>IF(AZ4&lt;=Support!$A$17,1,0)</f>
        <v>0</v>
      </c>
      <c r="BA253" s="6">
        <f>IF(BA4&lt;=Support!$A$17,1,0)</f>
        <v>0</v>
      </c>
      <c r="BB253" s="6">
        <f>IF(BB4&lt;=Support!$A$17,1,0)</f>
        <v>0</v>
      </c>
      <c r="BC253" s="6">
        <f>IF(BC4&lt;=Support!$A$17,1,0)</f>
        <v>0</v>
      </c>
      <c r="BD253" s="6">
        <f>IF(BD4&lt;=Support!$A$17,1,0)</f>
        <v>0</v>
      </c>
      <c r="BE253" s="6">
        <f>IF(BE4&lt;=Support!$A$17,1,0)</f>
        <v>0</v>
      </c>
      <c r="BF253" s="6">
        <f>IF(BF4&lt;=Support!$A$17,1,0)</f>
        <v>0</v>
      </c>
      <c r="BG253" s="6">
        <f>IF(BG4&lt;=Support!$A$17,1,0)</f>
        <v>0</v>
      </c>
      <c r="BH253" s="6">
        <f>IF(BH4&lt;=Support!$A$17,1,0)</f>
        <v>0</v>
      </c>
      <c r="BI253" s="6">
        <f>IF(BI4&lt;=Support!$A$17,1,0)</f>
        <v>0</v>
      </c>
      <c r="BJ253" s="6">
        <f>IF(BJ4&lt;=Support!$A$17,1,0)</f>
        <v>0</v>
      </c>
      <c r="BK253" s="6">
        <f>IF(BK4&lt;=Support!$A$17,1,0)</f>
        <v>0</v>
      </c>
      <c r="BL253" s="6">
        <f>IF(BL4&lt;=Support!$A$17,1,0)</f>
        <v>0</v>
      </c>
      <c r="BM253" s="6">
        <f>IF(BM4&lt;=Support!$A$17,1,0)</f>
        <v>0</v>
      </c>
      <c r="BN253" s="6">
        <f>IF(BN4&lt;=Support!$A$17,1,0)</f>
        <v>0</v>
      </c>
      <c r="BO253" s="6">
        <f>IF(BO4&lt;=Support!$A$17,1,0)</f>
        <v>0</v>
      </c>
      <c r="BP253" s="6">
        <f>IF(BP4&lt;=Support!$A$17,1,0)</f>
        <v>0</v>
      </c>
      <c r="BQ253" s="6">
        <f>IF(BQ4&lt;=Support!$A$17,1,0)</f>
        <v>0</v>
      </c>
      <c r="BR253" s="6">
        <f>IF(BR4&lt;=Support!$A$17,1,0)</f>
        <v>0</v>
      </c>
      <c r="BS253" s="6">
        <f>IF(BS4&lt;=Support!$A$17,1,0)</f>
        <v>0</v>
      </c>
      <c r="BT253" s="6">
        <f>IF(BT4&lt;=Support!$A$17,1,0)</f>
        <v>0</v>
      </c>
      <c r="BU253" s="6">
        <f>IF(BU4&lt;=Support!$A$17,1,0)</f>
        <v>0</v>
      </c>
      <c r="BV253" s="6">
        <f>IF(BV4&lt;=Support!$A$17,1,0)</f>
        <v>0</v>
      </c>
      <c r="BW253" s="6">
        <f>IF(BW4&lt;=Support!$A$17,1,0)</f>
        <v>0</v>
      </c>
      <c r="BX253" s="6">
        <f>IF(BX4&lt;=Support!$A$17,1,0)</f>
        <v>0</v>
      </c>
    </row>
    <row r="254" spans="1:88" x14ac:dyDescent="0.3">
      <c r="B254" s="10"/>
    </row>
    <row r="255" spans="1:88" x14ac:dyDescent="0.3">
      <c r="B255" s="10"/>
      <c r="F255" s="13"/>
      <c r="G255" s="13"/>
      <c r="H255" s="13"/>
      <c r="I255" s="13"/>
      <c r="J255" s="13"/>
    </row>
    <row r="256" spans="1:88" x14ac:dyDescent="0.3">
      <c r="A256" t="s">
        <v>319</v>
      </c>
      <c r="B256" s="10"/>
      <c r="C256" s="10"/>
      <c r="D256" s="10"/>
      <c r="F256" s="13"/>
      <c r="G256" s="13"/>
      <c r="H256" s="13"/>
      <c r="I256" s="13"/>
      <c r="J256" s="13"/>
      <c r="O256" s="13"/>
      <c r="P256" s="13">
        <f t="shared" ref="P256:AU256" si="1542">IF(MONTH(P4)=6,SUM(P57:P67,P87:P92,P115:P120,P144:P154)-SUM(O57:O67,O87:O92,O115:O120,O144:O154),0)</f>
        <v>190438.21000000005</v>
      </c>
      <c r="Q256" s="13">
        <f t="shared" si="1542"/>
        <v>0</v>
      </c>
      <c r="R256" s="13">
        <f t="shared" si="1542"/>
        <v>0</v>
      </c>
      <c r="S256" s="13">
        <f t="shared" si="1542"/>
        <v>0</v>
      </c>
      <c r="T256" s="13">
        <f t="shared" si="1542"/>
        <v>0</v>
      </c>
      <c r="U256" s="13">
        <f t="shared" si="1542"/>
        <v>0</v>
      </c>
      <c r="V256" s="13">
        <f t="shared" si="1542"/>
        <v>0</v>
      </c>
      <c r="W256" s="13">
        <f t="shared" si="1542"/>
        <v>0</v>
      </c>
      <c r="X256" s="13">
        <f t="shared" si="1542"/>
        <v>0</v>
      </c>
      <c r="Y256" s="13">
        <f t="shared" si="1542"/>
        <v>0</v>
      </c>
      <c r="Z256" s="13">
        <f t="shared" si="1542"/>
        <v>0</v>
      </c>
      <c r="AA256" s="13">
        <f t="shared" si="1542"/>
        <v>0</v>
      </c>
      <c r="AB256" s="13">
        <f t="shared" si="1542"/>
        <v>129040.47373475798</v>
      </c>
      <c r="AC256" s="13">
        <f t="shared" si="1542"/>
        <v>0</v>
      </c>
      <c r="AD256" s="13">
        <f t="shared" si="1542"/>
        <v>0</v>
      </c>
      <c r="AE256" s="13">
        <f t="shared" si="1542"/>
        <v>0</v>
      </c>
      <c r="AF256" s="13">
        <f t="shared" si="1542"/>
        <v>0</v>
      </c>
      <c r="AG256" s="13">
        <f t="shared" si="1542"/>
        <v>0</v>
      </c>
      <c r="AH256" s="13">
        <f t="shared" si="1542"/>
        <v>0</v>
      </c>
      <c r="AI256" s="13">
        <f t="shared" si="1542"/>
        <v>0</v>
      </c>
      <c r="AJ256" s="13">
        <f t="shared" si="1542"/>
        <v>0</v>
      </c>
      <c r="AK256" s="13">
        <f t="shared" si="1542"/>
        <v>0</v>
      </c>
      <c r="AL256" s="13">
        <f t="shared" si="1542"/>
        <v>0</v>
      </c>
      <c r="AM256" s="13">
        <f t="shared" si="1542"/>
        <v>0</v>
      </c>
      <c r="AN256" s="13">
        <f t="shared" si="1542"/>
        <v>152160.86893710302</v>
      </c>
      <c r="AO256" s="13">
        <f t="shared" si="1542"/>
        <v>0</v>
      </c>
      <c r="AP256" s="13">
        <f t="shared" si="1542"/>
        <v>0</v>
      </c>
      <c r="AQ256" s="13">
        <f t="shared" si="1542"/>
        <v>0</v>
      </c>
      <c r="AR256" s="13">
        <f t="shared" si="1542"/>
        <v>0</v>
      </c>
      <c r="AS256" s="13">
        <f t="shared" si="1542"/>
        <v>0</v>
      </c>
      <c r="AT256" s="13">
        <f t="shared" si="1542"/>
        <v>0</v>
      </c>
      <c r="AU256" s="13">
        <f t="shared" si="1542"/>
        <v>0</v>
      </c>
      <c r="AV256" s="13">
        <f t="shared" ref="AV256:BX256" si="1543">IF(MONTH(AV4)=6,SUM(AV57:AV67,AV87:AV92,AV115:AV120,AV144:AV154)-SUM(AU57:AU67,AU87:AU92,AU115:AU120,AU144:AU154),0)</f>
        <v>0</v>
      </c>
      <c r="AW256" s="13">
        <f t="shared" si="1543"/>
        <v>0</v>
      </c>
      <c r="AX256" s="13">
        <f t="shared" si="1543"/>
        <v>0</v>
      </c>
      <c r="AY256" s="13">
        <f t="shared" si="1543"/>
        <v>0</v>
      </c>
      <c r="AZ256" s="13">
        <f t="shared" si="1543"/>
        <v>170015.89903348137</v>
      </c>
      <c r="BA256" s="13">
        <f t="shared" si="1543"/>
        <v>0</v>
      </c>
      <c r="BB256" s="13">
        <f t="shared" si="1543"/>
        <v>0</v>
      </c>
      <c r="BC256" s="13">
        <f t="shared" si="1543"/>
        <v>0</v>
      </c>
      <c r="BD256" s="13">
        <f t="shared" si="1543"/>
        <v>0</v>
      </c>
      <c r="BE256" s="13">
        <f t="shared" si="1543"/>
        <v>0</v>
      </c>
      <c r="BF256" s="13">
        <f t="shared" si="1543"/>
        <v>0</v>
      </c>
      <c r="BG256" s="13">
        <f t="shared" si="1543"/>
        <v>0</v>
      </c>
      <c r="BH256" s="13">
        <f t="shared" si="1543"/>
        <v>0</v>
      </c>
      <c r="BI256" s="13">
        <f t="shared" si="1543"/>
        <v>0</v>
      </c>
      <c r="BJ256" s="13">
        <f t="shared" si="1543"/>
        <v>0</v>
      </c>
      <c r="BK256" s="13">
        <f t="shared" si="1543"/>
        <v>0</v>
      </c>
      <c r="BL256" s="13">
        <f t="shared" si="1543"/>
        <v>175116.62010825999</v>
      </c>
      <c r="BM256" s="13">
        <f t="shared" si="1543"/>
        <v>0</v>
      </c>
      <c r="BN256" s="13">
        <f t="shared" si="1543"/>
        <v>0</v>
      </c>
      <c r="BO256" s="13">
        <f t="shared" si="1543"/>
        <v>0</v>
      </c>
      <c r="BP256" s="13">
        <f t="shared" si="1543"/>
        <v>0</v>
      </c>
      <c r="BQ256" s="13">
        <f t="shared" si="1543"/>
        <v>0</v>
      </c>
      <c r="BR256" s="13">
        <f t="shared" si="1543"/>
        <v>0</v>
      </c>
      <c r="BS256" s="13">
        <f t="shared" si="1543"/>
        <v>0</v>
      </c>
      <c r="BT256" s="13">
        <f t="shared" si="1543"/>
        <v>0</v>
      </c>
      <c r="BU256" s="13">
        <f t="shared" si="1543"/>
        <v>0</v>
      </c>
      <c r="BV256" s="13">
        <f t="shared" si="1543"/>
        <v>0</v>
      </c>
      <c r="BW256" s="13">
        <f t="shared" si="1543"/>
        <v>0</v>
      </c>
      <c r="BX256" s="13">
        <f t="shared" si="1543"/>
        <v>180370.13262194811</v>
      </c>
    </row>
    <row r="257" spans="1:79" x14ac:dyDescent="0.3">
      <c r="B257" s="6"/>
      <c r="C257" s="6"/>
      <c r="D257" s="6"/>
      <c r="F257" s="13"/>
      <c r="G257" s="13"/>
      <c r="H257" s="13"/>
      <c r="I257" s="13"/>
      <c r="J257" s="13"/>
      <c r="Q257" s="113"/>
    </row>
    <row r="258" spans="1:79" x14ac:dyDescent="0.3">
      <c r="A258" s="23" t="s">
        <v>371</v>
      </c>
      <c r="B258" s="87"/>
      <c r="C258" s="87"/>
      <c r="D258" s="87"/>
      <c r="E258" s="90"/>
      <c r="F258" s="90"/>
      <c r="G258" s="90"/>
      <c r="H258" s="90"/>
      <c r="I258" s="90"/>
      <c r="J258" s="88"/>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c r="BM258" s="90"/>
      <c r="BN258" s="90"/>
      <c r="BO258" s="90"/>
      <c r="BP258" s="90"/>
      <c r="BQ258" s="90"/>
      <c r="BR258" s="90"/>
      <c r="BS258" s="90"/>
      <c r="BT258" s="90"/>
      <c r="BU258" s="90"/>
      <c r="BV258" s="90"/>
      <c r="BW258" s="90"/>
      <c r="BX258" s="90"/>
      <c r="BY258" s="91"/>
      <c r="BZ258" s="91"/>
      <c r="CA258" s="91"/>
    </row>
    <row r="259" spans="1:79" x14ac:dyDescent="0.3">
      <c r="A259" s="1" t="s">
        <v>370</v>
      </c>
      <c r="B259" s="6"/>
      <c r="C259" s="6"/>
      <c r="D259" s="6"/>
      <c r="E259" s="52">
        <f t="shared" ref="E259:X259" si="1544">E45/E19*12</f>
        <v>14076.730909090911</v>
      </c>
      <c r="F259" s="52">
        <f t="shared" si="1544"/>
        <v>0</v>
      </c>
      <c r="G259" s="52">
        <f t="shared" si="1544"/>
        <v>5979.7927221238942</v>
      </c>
      <c r="H259" s="52">
        <f t="shared" si="1544"/>
        <v>17036.900117647056</v>
      </c>
      <c r="I259" s="52">
        <f t="shared" si="1544"/>
        <v>0</v>
      </c>
      <c r="J259" s="52">
        <f t="shared" si="1544"/>
        <v>14576.686744186047</v>
      </c>
      <c r="K259" s="52">
        <f t="shared" si="1544"/>
        <v>0</v>
      </c>
      <c r="L259" s="52">
        <f t="shared" si="1544"/>
        <v>8279.3199624633417</v>
      </c>
      <c r="M259" s="52">
        <f t="shared" si="1544"/>
        <v>7628.9221238938044</v>
      </c>
      <c r="N259" s="52">
        <f t="shared" si="1544"/>
        <v>16203.595014836796</v>
      </c>
      <c r="O259" s="52">
        <f t="shared" si="1544"/>
        <v>122.07750000000001</v>
      </c>
      <c r="P259" s="52">
        <f t="shared" si="1544"/>
        <v>9690.670357142857</v>
      </c>
      <c r="Q259" s="52">
        <f t="shared" si="1544"/>
        <v>5919.4810714285722</v>
      </c>
      <c r="R259" s="52">
        <f t="shared" si="1544"/>
        <v>6921.4073333333345</v>
      </c>
      <c r="S259" s="52">
        <f t="shared" si="1544"/>
        <v>6946.1799442896936</v>
      </c>
      <c r="T259" s="52">
        <f t="shared" si="1544"/>
        <v>6777.1223728813557</v>
      </c>
      <c r="U259" s="52">
        <f t="shared" si="1544"/>
        <v>8564.2817142857148</v>
      </c>
      <c r="V259" s="52">
        <f t="shared" si="1544"/>
        <v>7453.2875862068959</v>
      </c>
      <c r="W259" s="52">
        <f t="shared" si="1544"/>
        <v>7410.6973714285714</v>
      </c>
      <c r="X259" s="52">
        <f t="shared" si="1544"/>
        <v>6755.7970285714291</v>
      </c>
      <c r="Y259" s="132">
        <v>7260.13</v>
      </c>
      <c r="Z259" s="402">
        <f>Y259*(1+Z260)</f>
        <v>7260.13</v>
      </c>
      <c r="AA259" s="402">
        <f>Z259*(1+AA260)</f>
        <v>7260.13</v>
      </c>
      <c r="AB259" s="402">
        <f>AA259*(1+AB260)</f>
        <v>7260.13</v>
      </c>
      <c r="AC259" s="402">
        <f>AB259*(1+AC260)</f>
        <v>7260.13</v>
      </c>
      <c r="AD259" s="402">
        <f>AC259*(1+AD260)</f>
        <v>7356.6897290000006</v>
      </c>
      <c r="AE259" s="402">
        <f t="shared" ref="AE259:BX259" si="1545">AD259*(1+AE260)</f>
        <v>7356.6897290000006</v>
      </c>
      <c r="AF259" s="402">
        <f t="shared" si="1545"/>
        <v>7356.6897290000006</v>
      </c>
      <c r="AG259" s="402">
        <f t="shared" si="1545"/>
        <v>7356.6897290000006</v>
      </c>
      <c r="AH259" s="402">
        <f t="shared" si="1545"/>
        <v>7356.6897290000006</v>
      </c>
      <c r="AI259" s="402">
        <f t="shared" si="1545"/>
        <v>7356.6897290000006</v>
      </c>
      <c r="AJ259" s="402">
        <f t="shared" si="1545"/>
        <v>7356.6897290000006</v>
      </c>
      <c r="AK259" s="402">
        <f t="shared" si="1545"/>
        <v>7356.6897290000006</v>
      </c>
      <c r="AL259" s="402">
        <f t="shared" si="1545"/>
        <v>7356.6897290000006</v>
      </c>
      <c r="AM259" s="402">
        <f t="shared" si="1545"/>
        <v>7356.6897290000006</v>
      </c>
      <c r="AN259" s="402">
        <f t="shared" si="1545"/>
        <v>7356.6897290000006</v>
      </c>
      <c r="AO259" s="402">
        <f t="shared" si="1545"/>
        <v>7356.6897290000006</v>
      </c>
      <c r="AP259" s="402">
        <f t="shared" si="1545"/>
        <v>7577.3904208700005</v>
      </c>
      <c r="AQ259" s="402">
        <f t="shared" si="1545"/>
        <v>7577.3904208700005</v>
      </c>
      <c r="AR259" s="402">
        <f t="shared" si="1545"/>
        <v>7577.3904208700005</v>
      </c>
      <c r="AS259" s="402">
        <f t="shared" si="1545"/>
        <v>7577.3904208700005</v>
      </c>
      <c r="AT259" s="402">
        <f t="shared" si="1545"/>
        <v>7577.3904208700005</v>
      </c>
      <c r="AU259" s="402">
        <f t="shared" si="1545"/>
        <v>7577.3904208700005</v>
      </c>
      <c r="AV259" s="402">
        <f t="shared" si="1545"/>
        <v>7577.3904208700005</v>
      </c>
      <c r="AW259" s="402">
        <f t="shared" si="1545"/>
        <v>7577.3904208700005</v>
      </c>
      <c r="AX259" s="402">
        <f t="shared" si="1545"/>
        <v>7577.3904208700005</v>
      </c>
      <c r="AY259" s="402">
        <f t="shared" si="1545"/>
        <v>7577.3904208700005</v>
      </c>
      <c r="AZ259" s="402">
        <f t="shared" si="1545"/>
        <v>7577.3904208700005</v>
      </c>
      <c r="BA259" s="402">
        <f t="shared" si="1545"/>
        <v>7577.3904208700005</v>
      </c>
      <c r="BB259" s="402">
        <f t="shared" si="1545"/>
        <v>7709.9947532352262</v>
      </c>
      <c r="BC259" s="402">
        <f t="shared" si="1545"/>
        <v>7709.9947532352262</v>
      </c>
      <c r="BD259" s="402">
        <f t="shared" si="1545"/>
        <v>7709.9947532352262</v>
      </c>
      <c r="BE259" s="402">
        <f t="shared" si="1545"/>
        <v>7709.9947532352262</v>
      </c>
      <c r="BF259" s="402">
        <f t="shared" si="1545"/>
        <v>7709.9947532352262</v>
      </c>
      <c r="BG259" s="402">
        <f t="shared" si="1545"/>
        <v>7709.9947532352262</v>
      </c>
      <c r="BH259" s="402">
        <f t="shared" si="1545"/>
        <v>7709.9947532352262</v>
      </c>
      <c r="BI259" s="402">
        <f t="shared" si="1545"/>
        <v>7709.9947532352262</v>
      </c>
      <c r="BJ259" s="402">
        <f t="shared" si="1545"/>
        <v>7709.9947532352262</v>
      </c>
      <c r="BK259" s="402">
        <f t="shared" si="1545"/>
        <v>7709.9947532352262</v>
      </c>
      <c r="BL259" s="402">
        <f t="shared" si="1545"/>
        <v>7709.9947532352262</v>
      </c>
      <c r="BM259" s="402">
        <f t="shared" si="1545"/>
        <v>7709.9947532352262</v>
      </c>
      <c r="BN259" s="402">
        <f t="shared" si="1545"/>
        <v>7806.3696876506665</v>
      </c>
      <c r="BO259" s="402">
        <f t="shared" si="1545"/>
        <v>7806.3696876506665</v>
      </c>
      <c r="BP259" s="402">
        <f t="shared" si="1545"/>
        <v>7806.3696876506665</v>
      </c>
      <c r="BQ259" s="402">
        <f t="shared" si="1545"/>
        <v>7806.3696876506665</v>
      </c>
      <c r="BR259" s="402">
        <f t="shared" si="1545"/>
        <v>7806.3696876506665</v>
      </c>
      <c r="BS259" s="402">
        <f t="shared" si="1545"/>
        <v>7806.3696876506665</v>
      </c>
      <c r="BT259" s="402">
        <f t="shared" si="1545"/>
        <v>7806.3696876506665</v>
      </c>
      <c r="BU259" s="402">
        <f t="shared" si="1545"/>
        <v>7806.3696876506665</v>
      </c>
      <c r="BV259" s="402">
        <f t="shared" si="1545"/>
        <v>7806.3696876506665</v>
      </c>
      <c r="BW259" s="402">
        <f t="shared" si="1545"/>
        <v>7806.3696876506665</v>
      </c>
      <c r="BX259" s="402">
        <f t="shared" si="1545"/>
        <v>7806.3696876506665</v>
      </c>
    </row>
    <row r="260" spans="1:79" x14ac:dyDescent="0.3">
      <c r="A260" s="1" t="s">
        <v>405</v>
      </c>
      <c r="B260" s="6"/>
      <c r="C260" s="6"/>
      <c r="D260" s="6"/>
      <c r="E260" s="52"/>
      <c r="F260" s="52"/>
      <c r="G260" s="52"/>
      <c r="H260" s="52"/>
      <c r="I260" s="52"/>
      <c r="J260" s="52"/>
      <c r="K260" s="52"/>
      <c r="L260" s="52"/>
      <c r="M260" s="52"/>
      <c r="N260" s="52"/>
      <c r="O260" s="52"/>
      <c r="P260" s="52"/>
      <c r="Q260" s="52"/>
      <c r="R260" s="52"/>
      <c r="S260" s="52"/>
      <c r="T260" s="52"/>
      <c r="U260" s="52"/>
      <c r="V260" s="52"/>
      <c r="W260" s="52"/>
      <c r="X260" s="52"/>
      <c r="Y260" s="400">
        <v>0</v>
      </c>
      <c r="Z260" s="400">
        <v>0</v>
      </c>
      <c r="AA260" s="400">
        <v>0</v>
      </c>
      <c r="AB260" s="400">
        <v>0</v>
      </c>
      <c r="AC260" s="400">
        <v>0</v>
      </c>
      <c r="AD260" s="403">
        <v>1.3299999999999999E-2</v>
      </c>
      <c r="AE260" s="403">
        <v>0</v>
      </c>
      <c r="AF260" s="403">
        <v>0</v>
      </c>
      <c r="AG260" s="403">
        <v>0</v>
      </c>
      <c r="AH260" s="403">
        <v>0</v>
      </c>
      <c r="AI260" s="403">
        <v>0</v>
      </c>
      <c r="AJ260" s="403">
        <v>0</v>
      </c>
      <c r="AK260" s="403">
        <v>0</v>
      </c>
      <c r="AL260" s="403">
        <v>0</v>
      </c>
      <c r="AM260" s="403">
        <v>0</v>
      </c>
      <c r="AN260" s="403">
        <v>0</v>
      </c>
      <c r="AO260" s="403">
        <v>0</v>
      </c>
      <c r="AP260" s="403">
        <v>0.03</v>
      </c>
      <c r="AQ260" s="403">
        <v>0</v>
      </c>
      <c r="AR260" s="403">
        <v>0</v>
      </c>
      <c r="AS260" s="403">
        <v>0</v>
      </c>
      <c r="AT260" s="403">
        <v>0</v>
      </c>
      <c r="AU260" s="403">
        <v>0</v>
      </c>
      <c r="AV260" s="403">
        <v>0</v>
      </c>
      <c r="AW260" s="403">
        <v>0</v>
      </c>
      <c r="AX260" s="403">
        <v>0</v>
      </c>
      <c r="AY260" s="403">
        <v>0</v>
      </c>
      <c r="AZ260" s="403">
        <v>0</v>
      </c>
      <c r="BA260" s="403">
        <v>0</v>
      </c>
      <c r="BB260" s="403">
        <v>1.7500000000000002E-2</v>
      </c>
      <c r="BC260" s="403">
        <v>0</v>
      </c>
      <c r="BD260" s="403">
        <v>0</v>
      </c>
      <c r="BE260" s="403">
        <v>0</v>
      </c>
      <c r="BF260" s="403">
        <v>0</v>
      </c>
      <c r="BG260" s="403">
        <v>0</v>
      </c>
      <c r="BH260" s="403">
        <v>0</v>
      </c>
      <c r="BI260" s="403">
        <v>0</v>
      </c>
      <c r="BJ260" s="403">
        <v>0</v>
      </c>
      <c r="BK260" s="403">
        <v>0</v>
      </c>
      <c r="BL260" s="403">
        <v>0</v>
      </c>
      <c r="BM260" s="403">
        <v>0</v>
      </c>
      <c r="BN260" s="403">
        <v>1.2500000000000001E-2</v>
      </c>
      <c r="BO260" s="403">
        <v>0</v>
      </c>
      <c r="BP260" s="403">
        <v>0</v>
      </c>
      <c r="BQ260" s="403">
        <v>0</v>
      </c>
      <c r="BR260" s="403">
        <v>0</v>
      </c>
      <c r="BS260" s="403">
        <v>0</v>
      </c>
      <c r="BT260" s="403">
        <v>0</v>
      </c>
      <c r="BU260" s="403">
        <v>0</v>
      </c>
      <c r="BV260" s="403">
        <v>0</v>
      </c>
      <c r="BW260" s="403">
        <v>0</v>
      </c>
      <c r="BX260" s="403">
        <v>0</v>
      </c>
    </row>
    <row r="261" spans="1:79" x14ac:dyDescent="0.3">
      <c r="A261" s="1" t="s">
        <v>408</v>
      </c>
      <c r="B261" s="6"/>
      <c r="C261" s="6"/>
      <c r="D261" s="6"/>
      <c r="E261" s="52"/>
      <c r="F261" s="52"/>
      <c r="G261" s="52"/>
      <c r="H261" s="52"/>
      <c r="I261" s="52"/>
      <c r="J261" s="52"/>
      <c r="K261" s="52"/>
      <c r="L261" s="52"/>
      <c r="M261" s="52"/>
      <c r="N261" s="52"/>
      <c r="O261" s="52"/>
      <c r="P261" s="52"/>
      <c r="Q261" s="52"/>
      <c r="R261" s="52"/>
      <c r="S261" s="52"/>
      <c r="T261" s="52"/>
      <c r="U261" s="52"/>
      <c r="V261" s="52"/>
      <c r="W261" s="52"/>
      <c r="X261" s="52"/>
      <c r="Y261" s="400">
        <v>0</v>
      </c>
      <c r="Z261" s="400">
        <v>0</v>
      </c>
      <c r="AA261" s="400">
        <v>0</v>
      </c>
      <c r="AB261" s="400">
        <v>0</v>
      </c>
      <c r="AC261" s="400">
        <v>0</v>
      </c>
      <c r="AD261" s="403">
        <v>1.3299999999999999E-2</v>
      </c>
      <c r="AE261" s="403">
        <v>1.3299999999999999E-2</v>
      </c>
      <c r="AF261" s="403">
        <v>1.3299999999999999E-2</v>
      </c>
      <c r="AG261" s="403">
        <v>1.3299999999999999E-2</v>
      </c>
      <c r="AH261" s="403">
        <v>1.3299999999999999E-2</v>
      </c>
      <c r="AI261" s="403">
        <v>1.3299999999999999E-2</v>
      </c>
      <c r="AJ261" s="403">
        <v>1.3299999999999999E-2</v>
      </c>
      <c r="AK261" s="403">
        <v>1.3299999999999999E-2</v>
      </c>
      <c r="AL261" s="403">
        <v>1.3299999999999999E-2</v>
      </c>
      <c r="AM261" s="403">
        <v>1.3299999999999999E-2</v>
      </c>
      <c r="AN261" s="403">
        <v>1.3299999999999999E-2</v>
      </c>
      <c r="AO261" s="403">
        <v>1.3299999999999999E-2</v>
      </c>
      <c r="AP261" s="403">
        <v>0.03</v>
      </c>
      <c r="AQ261" s="403">
        <v>0.03</v>
      </c>
      <c r="AR261" s="403">
        <v>0.03</v>
      </c>
      <c r="AS261" s="403">
        <v>0.03</v>
      </c>
      <c r="AT261" s="403">
        <v>0.03</v>
      </c>
      <c r="AU261" s="403">
        <v>0.03</v>
      </c>
      <c r="AV261" s="403">
        <v>0.03</v>
      </c>
      <c r="AW261" s="403">
        <v>0.03</v>
      </c>
      <c r="AX261" s="403">
        <v>0.03</v>
      </c>
      <c r="AY261" s="403">
        <v>0.03</v>
      </c>
      <c r="AZ261" s="403">
        <v>0.03</v>
      </c>
      <c r="BA261" s="403">
        <v>0.03</v>
      </c>
      <c r="BB261" s="403">
        <v>1.7500000000000002E-2</v>
      </c>
      <c r="BC261" s="403">
        <v>1.7500000000000002E-2</v>
      </c>
      <c r="BD261" s="403">
        <v>1.7500000000000002E-2</v>
      </c>
      <c r="BE261" s="403">
        <v>1.7500000000000002E-2</v>
      </c>
      <c r="BF261" s="403">
        <v>1.7500000000000002E-2</v>
      </c>
      <c r="BG261" s="403">
        <v>1.7500000000000002E-2</v>
      </c>
      <c r="BH261" s="403">
        <v>1.7500000000000002E-2</v>
      </c>
      <c r="BI261" s="403">
        <v>1.7500000000000002E-2</v>
      </c>
      <c r="BJ261" s="403">
        <v>1.7500000000000002E-2</v>
      </c>
      <c r="BK261" s="403">
        <v>1.7500000000000002E-2</v>
      </c>
      <c r="BL261" s="403">
        <v>1.7500000000000002E-2</v>
      </c>
      <c r="BM261" s="403">
        <v>1.7500000000000002E-2</v>
      </c>
      <c r="BN261" s="403">
        <v>1.2500000000000001E-2</v>
      </c>
      <c r="BO261" s="403">
        <v>1.2500000000000001E-2</v>
      </c>
      <c r="BP261" s="403">
        <v>1.2500000000000001E-2</v>
      </c>
      <c r="BQ261" s="403">
        <v>1.2500000000000001E-2</v>
      </c>
      <c r="BR261" s="403">
        <v>1.2500000000000001E-2</v>
      </c>
      <c r="BS261" s="403">
        <v>1.2500000000000001E-2</v>
      </c>
      <c r="BT261" s="403">
        <v>1.2500000000000001E-2</v>
      </c>
      <c r="BU261" s="403">
        <v>1.2500000000000001E-2</v>
      </c>
      <c r="BV261" s="403">
        <v>1.2500000000000001E-2</v>
      </c>
      <c r="BW261" s="403">
        <v>1.2500000000000001E-2</v>
      </c>
      <c r="BX261" s="403">
        <v>1.2500000000000001E-2</v>
      </c>
    </row>
    <row r="262" spans="1:79" x14ac:dyDescent="0.3">
      <c r="A262" s="1" t="s">
        <v>404</v>
      </c>
      <c r="B262" s="6"/>
      <c r="C262" s="6"/>
      <c r="D262" s="6"/>
      <c r="E262" s="52"/>
      <c r="F262" s="52"/>
      <c r="G262" s="52"/>
      <c r="H262" s="52"/>
      <c r="I262" s="52"/>
      <c r="J262" s="52"/>
      <c r="K262" s="52"/>
      <c r="L262" s="52"/>
      <c r="M262" s="52"/>
      <c r="N262" s="52"/>
      <c r="O262" s="52"/>
      <c r="P262" s="52"/>
      <c r="Q262" s="52"/>
      <c r="R262" s="52"/>
      <c r="S262" s="52"/>
      <c r="T262" s="52"/>
      <c r="U262" s="52"/>
      <c r="V262" s="52"/>
      <c r="W262" s="52"/>
      <c r="X262" s="400">
        <v>0</v>
      </c>
      <c r="Y262" s="400">
        <v>0</v>
      </c>
      <c r="Z262" s="400">
        <v>0</v>
      </c>
      <c r="AA262" s="400">
        <v>0</v>
      </c>
      <c r="AB262" s="400">
        <v>0</v>
      </c>
      <c r="AC262" s="400">
        <f>5/3-1</f>
        <v>0.66666666666666674</v>
      </c>
      <c r="AD262" s="400">
        <f t="shared" ref="AD262:AN262" si="1546">5/3-1</f>
        <v>0.66666666666666674</v>
      </c>
      <c r="AE262" s="400">
        <f t="shared" si="1546"/>
        <v>0.66666666666666674</v>
      </c>
      <c r="AF262" s="400">
        <f t="shared" si="1546"/>
        <v>0.66666666666666674</v>
      </c>
      <c r="AG262" s="400">
        <f t="shared" si="1546"/>
        <v>0.66666666666666674</v>
      </c>
      <c r="AH262" s="400">
        <f t="shared" si="1546"/>
        <v>0.66666666666666674</v>
      </c>
      <c r="AI262" s="400">
        <f t="shared" si="1546"/>
        <v>0.66666666666666674</v>
      </c>
      <c r="AJ262" s="400">
        <f t="shared" si="1546"/>
        <v>0.66666666666666674</v>
      </c>
      <c r="AK262" s="400">
        <f t="shared" si="1546"/>
        <v>0.66666666666666674</v>
      </c>
      <c r="AL262" s="400">
        <f t="shared" si="1546"/>
        <v>0.66666666666666674</v>
      </c>
      <c r="AM262" s="400">
        <f t="shared" si="1546"/>
        <v>0.66666666666666674</v>
      </c>
      <c r="AN262" s="400">
        <f t="shared" si="1546"/>
        <v>0.66666666666666674</v>
      </c>
      <c r="AO262" s="400">
        <f>6/5-1</f>
        <v>0.19999999999999996</v>
      </c>
      <c r="AP262" s="400">
        <f t="shared" ref="AP262:AZ262" si="1547">6/5-1</f>
        <v>0.19999999999999996</v>
      </c>
      <c r="AQ262" s="400">
        <f t="shared" si="1547"/>
        <v>0.19999999999999996</v>
      </c>
      <c r="AR262" s="400">
        <f t="shared" si="1547"/>
        <v>0.19999999999999996</v>
      </c>
      <c r="AS262" s="400">
        <f t="shared" si="1547"/>
        <v>0.19999999999999996</v>
      </c>
      <c r="AT262" s="400">
        <f t="shared" si="1547"/>
        <v>0.19999999999999996</v>
      </c>
      <c r="AU262" s="400">
        <f t="shared" si="1547"/>
        <v>0.19999999999999996</v>
      </c>
      <c r="AV262" s="400">
        <f t="shared" si="1547"/>
        <v>0.19999999999999996</v>
      </c>
      <c r="AW262" s="400">
        <f t="shared" si="1547"/>
        <v>0.19999999999999996</v>
      </c>
      <c r="AX262" s="400">
        <f t="shared" si="1547"/>
        <v>0.19999999999999996</v>
      </c>
      <c r="AY262" s="400">
        <f t="shared" si="1547"/>
        <v>0.19999999999999996</v>
      </c>
      <c r="AZ262" s="400">
        <f t="shared" si="1547"/>
        <v>0.19999999999999996</v>
      </c>
      <c r="BA262" s="400">
        <v>0.05</v>
      </c>
      <c r="BB262" s="400">
        <v>0.05</v>
      </c>
      <c r="BC262" s="400">
        <v>0.05</v>
      </c>
      <c r="BD262" s="400">
        <v>0.05</v>
      </c>
      <c r="BE262" s="400">
        <v>0.05</v>
      </c>
      <c r="BF262" s="400">
        <v>0.05</v>
      </c>
      <c r="BG262" s="400">
        <v>0.05</v>
      </c>
      <c r="BH262" s="400">
        <v>0.05</v>
      </c>
      <c r="BI262" s="400">
        <v>0.05</v>
      </c>
      <c r="BJ262" s="400">
        <v>0.05</v>
      </c>
      <c r="BK262" s="400">
        <v>0.05</v>
      </c>
      <c r="BL262" s="400">
        <v>0.05</v>
      </c>
      <c r="BM262" s="400">
        <v>0.05</v>
      </c>
      <c r="BN262" s="400">
        <v>0.05</v>
      </c>
      <c r="BO262" s="400">
        <v>0.05</v>
      </c>
      <c r="BP262" s="400">
        <v>0.05</v>
      </c>
      <c r="BQ262" s="400">
        <v>0.05</v>
      </c>
      <c r="BR262" s="400">
        <v>0.05</v>
      </c>
      <c r="BS262" s="400">
        <v>0.05</v>
      </c>
      <c r="BT262" s="400">
        <v>0.05</v>
      </c>
      <c r="BU262" s="400">
        <v>0.05</v>
      </c>
      <c r="BV262" s="400">
        <v>0.05</v>
      </c>
      <c r="BW262" s="400">
        <v>0.05</v>
      </c>
      <c r="BX262" s="400">
        <v>0.05</v>
      </c>
    </row>
    <row r="263" spans="1:79" x14ac:dyDescent="0.3">
      <c r="A263" s="1" t="s">
        <v>373</v>
      </c>
      <c r="B263" s="6"/>
      <c r="C263" s="6"/>
      <c r="D263" s="6"/>
      <c r="F263" s="13"/>
      <c r="G263" s="13"/>
      <c r="H263" s="13"/>
      <c r="I263" s="13"/>
      <c r="J263" s="13"/>
      <c r="P263" s="114" t="s">
        <v>320</v>
      </c>
      <c r="Q263" s="116">
        <v>0.03</v>
      </c>
      <c r="R263" s="400">
        <v>0.03</v>
      </c>
      <c r="S263" s="400">
        <v>0.03</v>
      </c>
      <c r="T263" s="400">
        <v>0.03</v>
      </c>
      <c r="U263" s="400">
        <v>0.03</v>
      </c>
      <c r="V263" s="400">
        <v>0.03</v>
      </c>
      <c r="W263" s="400">
        <v>0.03</v>
      </c>
      <c r="X263" s="400">
        <v>0.03</v>
      </c>
      <c r="Y263" s="400">
        <v>0.03</v>
      </c>
      <c r="Z263" s="400">
        <v>0.03</v>
      </c>
      <c r="AA263" s="400">
        <v>0.03</v>
      </c>
      <c r="AB263" s="400">
        <v>0.03</v>
      </c>
      <c r="AC263" s="400">
        <v>0.03</v>
      </c>
      <c r="AD263" s="400">
        <v>0.03</v>
      </c>
      <c r="AE263" s="400">
        <v>0.03</v>
      </c>
      <c r="AF263" s="400">
        <v>0.03</v>
      </c>
      <c r="AG263" s="400">
        <v>0.03</v>
      </c>
      <c r="AH263" s="400">
        <v>0.03</v>
      </c>
      <c r="AI263" s="400">
        <v>0.03</v>
      </c>
      <c r="AJ263" s="400">
        <v>0.03</v>
      </c>
      <c r="AK263" s="400">
        <v>0.03</v>
      </c>
      <c r="AL263" s="400">
        <v>0.03</v>
      </c>
      <c r="AM263" s="400">
        <v>0.03</v>
      </c>
      <c r="AN263" s="400">
        <v>0.03</v>
      </c>
      <c r="AO263" s="400">
        <v>0.03</v>
      </c>
      <c r="AP263" s="400">
        <v>0.03</v>
      </c>
      <c r="AQ263" s="400">
        <v>0.03</v>
      </c>
      <c r="AR263" s="400">
        <v>0.03</v>
      </c>
      <c r="AS263" s="400">
        <v>0.03</v>
      </c>
      <c r="AT263" s="400">
        <v>0.03</v>
      </c>
      <c r="AU263" s="400">
        <v>0.03</v>
      </c>
      <c r="AV263" s="400">
        <v>0.03</v>
      </c>
      <c r="AW263" s="400">
        <v>0.03</v>
      </c>
      <c r="AX263" s="400">
        <v>0.03</v>
      </c>
      <c r="AY263" s="400">
        <v>0.03</v>
      </c>
      <c r="AZ263" s="400">
        <v>0.03</v>
      </c>
      <c r="BA263" s="400">
        <v>0.03</v>
      </c>
      <c r="BB263" s="400">
        <v>0.03</v>
      </c>
      <c r="BC263" s="400">
        <v>0.03</v>
      </c>
      <c r="BD263" s="400">
        <v>0.03</v>
      </c>
      <c r="BE263" s="400">
        <v>0.03</v>
      </c>
      <c r="BF263" s="400">
        <v>0.03</v>
      </c>
      <c r="BG263" s="400">
        <v>0.03</v>
      </c>
      <c r="BH263" s="400">
        <v>0.03</v>
      </c>
      <c r="BI263" s="400">
        <v>0.03</v>
      </c>
      <c r="BJ263" s="400">
        <v>0.03</v>
      </c>
      <c r="BK263" s="400">
        <v>0.03</v>
      </c>
      <c r="BL263" s="400">
        <v>0.03</v>
      </c>
      <c r="BM263" s="400">
        <v>0.03</v>
      </c>
      <c r="BN263" s="400">
        <v>0.03</v>
      </c>
      <c r="BO263" s="400">
        <v>0.03</v>
      </c>
      <c r="BP263" s="400">
        <v>0.03</v>
      </c>
      <c r="BQ263" s="400">
        <v>0.03</v>
      </c>
      <c r="BR263" s="400">
        <v>0.03</v>
      </c>
      <c r="BS263" s="400">
        <v>0.03</v>
      </c>
      <c r="BT263" s="400">
        <v>0.03</v>
      </c>
      <c r="BU263" s="400">
        <v>0.03</v>
      </c>
      <c r="BV263" s="400">
        <v>0.03</v>
      </c>
      <c r="BW263" s="400">
        <v>0.03</v>
      </c>
      <c r="BX263" s="400">
        <v>0.03</v>
      </c>
    </row>
    <row r="264" spans="1:79" x14ac:dyDescent="0.3">
      <c r="A264" s="109" t="s">
        <v>372</v>
      </c>
      <c r="B264" s="32"/>
      <c r="C264" s="32"/>
      <c r="D264" s="32"/>
      <c r="E264" s="101"/>
      <c r="F264" s="101"/>
      <c r="G264" s="101"/>
      <c r="H264" s="101"/>
      <c r="I264" s="101"/>
      <c r="J264" s="101"/>
      <c r="K264" s="101"/>
      <c r="L264" s="101"/>
      <c r="M264" s="101"/>
      <c r="N264" s="101"/>
      <c r="O264" s="101"/>
      <c r="P264" s="101"/>
      <c r="Q264" s="100">
        <f>SUM(Q265:Q270)</f>
        <v>0</v>
      </c>
      <c r="R264" s="100">
        <f t="shared" ref="R264:AB264" si="1548">SUM(R265:R270)</f>
        <v>35.799999999999997</v>
      </c>
      <c r="S264" s="100">
        <f t="shared" si="1548"/>
        <v>35.799999999999997</v>
      </c>
      <c r="T264" s="100">
        <f t="shared" si="1548"/>
        <v>35.799999999999997</v>
      </c>
      <c r="U264" s="100">
        <f t="shared" si="1548"/>
        <v>35.799999999999997</v>
      </c>
      <c r="V264" s="100">
        <f t="shared" si="1548"/>
        <v>35.799999999999997</v>
      </c>
      <c r="W264" s="100">
        <f t="shared" si="1548"/>
        <v>35.799999999999997</v>
      </c>
      <c r="X264" s="100">
        <f t="shared" si="1548"/>
        <v>35.799999999999997</v>
      </c>
      <c r="Y264" s="100">
        <f t="shared" si="1548"/>
        <v>35.799999999999997</v>
      </c>
      <c r="Z264" s="100">
        <f t="shared" si="1548"/>
        <v>35.799999999999997</v>
      </c>
      <c r="AA264" s="100">
        <f t="shared" si="1548"/>
        <v>35.799999999999997</v>
      </c>
      <c r="AB264" s="100">
        <f t="shared" si="1548"/>
        <v>35.799999999999997</v>
      </c>
      <c r="AC264" s="100">
        <f>SUM(AC265:AC270)</f>
        <v>35.799999999999997</v>
      </c>
      <c r="AD264" s="100">
        <f t="shared" ref="AD264:AZ264" si="1549">SUM(AD265:AD270)</f>
        <v>36.299999999999997</v>
      </c>
      <c r="AE264" s="100">
        <f t="shared" si="1549"/>
        <v>36.299999999999997</v>
      </c>
      <c r="AF264" s="100">
        <f t="shared" si="1549"/>
        <v>36.299999999999997</v>
      </c>
      <c r="AG264" s="100">
        <f t="shared" si="1549"/>
        <v>36.299999999999997</v>
      </c>
      <c r="AH264" s="100">
        <f t="shared" si="1549"/>
        <v>36.299999999999997</v>
      </c>
      <c r="AI264" s="100">
        <f t="shared" si="1549"/>
        <v>36.299999999999997</v>
      </c>
      <c r="AJ264" s="100">
        <f t="shared" si="1549"/>
        <v>36.299999999999997</v>
      </c>
      <c r="AK264" s="100">
        <f t="shared" si="1549"/>
        <v>36.299999999999997</v>
      </c>
      <c r="AL264" s="100">
        <f t="shared" si="1549"/>
        <v>36.299999999999997</v>
      </c>
      <c r="AM264" s="100">
        <f t="shared" si="1549"/>
        <v>36.299999999999997</v>
      </c>
      <c r="AN264" s="100">
        <f t="shared" si="1549"/>
        <v>36.299999999999997</v>
      </c>
      <c r="AO264" s="100">
        <f t="shared" si="1549"/>
        <v>36.299999999999997</v>
      </c>
      <c r="AP264" s="100">
        <f t="shared" si="1549"/>
        <v>39.6</v>
      </c>
      <c r="AQ264" s="100">
        <f t="shared" si="1549"/>
        <v>39.6</v>
      </c>
      <c r="AR264" s="100">
        <f t="shared" si="1549"/>
        <v>39.6</v>
      </c>
      <c r="AS264" s="100">
        <f t="shared" si="1549"/>
        <v>39.6</v>
      </c>
      <c r="AT264" s="100">
        <f t="shared" si="1549"/>
        <v>39.6</v>
      </c>
      <c r="AU264" s="100">
        <f t="shared" si="1549"/>
        <v>39.6</v>
      </c>
      <c r="AV264" s="100">
        <f t="shared" si="1549"/>
        <v>39.6</v>
      </c>
      <c r="AW264" s="100">
        <f t="shared" si="1549"/>
        <v>39.6</v>
      </c>
      <c r="AX264" s="100">
        <f t="shared" si="1549"/>
        <v>39.6</v>
      </c>
      <c r="AY264" s="100">
        <f t="shared" si="1549"/>
        <v>39.6</v>
      </c>
      <c r="AZ264" s="100">
        <f t="shared" si="1549"/>
        <v>39.6</v>
      </c>
      <c r="BA264" s="100">
        <f t="shared" ref="BA264" si="1550">SUM(BA265:BA270)</f>
        <v>39.6</v>
      </c>
      <c r="BB264" s="100">
        <f t="shared" ref="BB264" si="1551">SUM(BB265:BB270)</f>
        <v>39.6</v>
      </c>
      <c r="BC264" s="100">
        <f t="shared" ref="BC264" si="1552">SUM(BC265:BC270)</f>
        <v>39.6</v>
      </c>
      <c r="BD264" s="100">
        <f t="shared" ref="BD264" si="1553">SUM(BD265:BD270)</f>
        <v>39.6</v>
      </c>
      <c r="BE264" s="100">
        <f t="shared" ref="BE264" si="1554">SUM(BE265:BE270)</f>
        <v>39.6</v>
      </c>
      <c r="BF264" s="100">
        <f t="shared" ref="BF264" si="1555">SUM(BF265:BF270)</f>
        <v>39.6</v>
      </c>
      <c r="BG264" s="100">
        <f t="shared" ref="BG264" si="1556">SUM(BG265:BG270)</f>
        <v>39.6</v>
      </c>
      <c r="BH264" s="100">
        <f t="shared" ref="BH264" si="1557">SUM(BH265:BH270)</f>
        <v>39.6</v>
      </c>
      <c r="BI264" s="100">
        <f t="shared" ref="BI264" si="1558">SUM(BI265:BI270)</f>
        <v>39.6</v>
      </c>
      <c r="BJ264" s="100">
        <f t="shared" ref="BJ264" si="1559">SUM(BJ265:BJ270)</f>
        <v>39.6</v>
      </c>
      <c r="BK264" s="100">
        <f t="shared" ref="BK264" si="1560">SUM(BK265:BK270)</f>
        <v>39.6</v>
      </c>
      <c r="BL264" s="100">
        <f t="shared" ref="BL264" si="1561">SUM(BL265:BL270)</f>
        <v>39.6</v>
      </c>
      <c r="BM264" s="100">
        <f t="shared" ref="BM264" si="1562">SUM(BM265:BM270)</f>
        <v>39.6</v>
      </c>
      <c r="BN264" s="100">
        <f t="shared" ref="BN264" si="1563">SUM(BN265:BN270)</f>
        <v>39.6</v>
      </c>
      <c r="BO264" s="100">
        <f t="shared" ref="BO264" si="1564">SUM(BO265:BO270)</f>
        <v>39.6</v>
      </c>
      <c r="BP264" s="100">
        <f t="shared" ref="BP264" si="1565">SUM(BP265:BP270)</f>
        <v>39.6</v>
      </c>
      <c r="BQ264" s="100">
        <f t="shared" ref="BQ264" si="1566">SUM(BQ265:BQ270)</f>
        <v>39.6</v>
      </c>
      <c r="BR264" s="100">
        <f t="shared" ref="BR264" si="1567">SUM(BR265:BR270)</f>
        <v>39.6</v>
      </c>
      <c r="BS264" s="100">
        <f t="shared" ref="BS264" si="1568">SUM(BS265:BS270)</f>
        <v>39.6</v>
      </c>
      <c r="BT264" s="100">
        <f t="shared" ref="BT264" si="1569">SUM(BT265:BT270)</f>
        <v>39.6</v>
      </c>
      <c r="BU264" s="100">
        <f t="shared" ref="BU264" si="1570">SUM(BU265:BU270)</f>
        <v>39.6</v>
      </c>
      <c r="BV264" s="100">
        <f t="shared" ref="BV264" si="1571">SUM(BV265:BV270)</f>
        <v>39.6</v>
      </c>
      <c r="BW264" s="100">
        <f t="shared" ref="BW264" si="1572">SUM(BW265:BW270)</f>
        <v>39.6</v>
      </c>
      <c r="BX264" s="100">
        <f t="shared" ref="BX264" si="1573">SUM(BX265:BX270)</f>
        <v>39.6</v>
      </c>
      <c r="BY264" s="27"/>
      <c r="BZ264" s="8"/>
      <c r="CA264" s="8"/>
    </row>
    <row r="265" spans="1:79" x14ac:dyDescent="0.3">
      <c r="A265" s="133" t="s">
        <v>376</v>
      </c>
      <c r="B265" s="32"/>
      <c r="C265" s="32"/>
      <c r="D265" s="32"/>
      <c r="E265" s="28"/>
      <c r="F265" s="28"/>
      <c r="G265" s="28"/>
      <c r="H265" s="28"/>
      <c r="I265" s="28"/>
      <c r="J265" s="28"/>
      <c r="K265" s="28"/>
      <c r="L265" s="28"/>
      <c r="M265" s="28"/>
      <c r="N265" s="28"/>
      <c r="O265" s="28"/>
      <c r="P265" s="28"/>
      <c r="Q265" s="28">
        <v>0</v>
      </c>
      <c r="R265" s="28">
        <f t="shared" ref="R265:X265" si="1574">21+0.5</f>
        <v>21.5</v>
      </c>
      <c r="S265" s="28">
        <f t="shared" si="1574"/>
        <v>21.5</v>
      </c>
      <c r="T265" s="28">
        <f t="shared" si="1574"/>
        <v>21.5</v>
      </c>
      <c r="U265" s="28">
        <f t="shared" si="1574"/>
        <v>21.5</v>
      </c>
      <c r="V265" s="28">
        <f t="shared" si="1574"/>
        <v>21.5</v>
      </c>
      <c r="W265" s="28">
        <f t="shared" si="1574"/>
        <v>21.5</v>
      </c>
      <c r="X265" s="28">
        <f t="shared" si="1574"/>
        <v>21.5</v>
      </c>
      <c r="Y265" s="136">
        <f t="shared" ref="Y265:AO265" si="1575">X265</f>
        <v>21.5</v>
      </c>
      <c r="Z265" s="136">
        <f t="shared" si="1575"/>
        <v>21.5</v>
      </c>
      <c r="AA265" s="136">
        <f t="shared" si="1575"/>
        <v>21.5</v>
      </c>
      <c r="AB265" s="136">
        <f t="shared" si="1575"/>
        <v>21.5</v>
      </c>
      <c r="AC265" s="136">
        <f t="shared" si="1575"/>
        <v>21.5</v>
      </c>
      <c r="AD265" s="136">
        <f t="shared" si="1575"/>
        <v>21.5</v>
      </c>
      <c r="AE265" s="136">
        <f t="shared" si="1575"/>
        <v>21.5</v>
      </c>
      <c r="AF265" s="136">
        <f t="shared" si="1575"/>
        <v>21.5</v>
      </c>
      <c r="AG265" s="136">
        <f t="shared" si="1575"/>
        <v>21.5</v>
      </c>
      <c r="AH265" s="136">
        <f t="shared" si="1575"/>
        <v>21.5</v>
      </c>
      <c r="AI265" s="136">
        <f t="shared" si="1575"/>
        <v>21.5</v>
      </c>
      <c r="AJ265" s="136">
        <f t="shared" si="1575"/>
        <v>21.5</v>
      </c>
      <c r="AK265" s="136">
        <f t="shared" si="1575"/>
        <v>21.5</v>
      </c>
      <c r="AL265" s="136">
        <f t="shared" si="1575"/>
        <v>21.5</v>
      </c>
      <c r="AM265" s="136">
        <f t="shared" si="1575"/>
        <v>21.5</v>
      </c>
      <c r="AN265" s="136">
        <f t="shared" si="1575"/>
        <v>21.5</v>
      </c>
      <c r="AO265" s="136">
        <f t="shared" si="1575"/>
        <v>21.5</v>
      </c>
      <c r="AP265" s="28">
        <v>23</v>
      </c>
      <c r="AQ265" s="136">
        <f t="shared" ref="AQ265:AZ265" si="1576">AP265</f>
        <v>23</v>
      </c>
      <c r="AR265" s="136">
        <f t="shared" si="1576"/>
        <v>23</v>
      </c>
      <c r="AS265" s="136">
        <f t="shared" si="1576"/>
        <v>23</v>
      </c>
      <c r="AT265" s="136">
        <f t="shared" si="1576"/>
        <v>23</v>
      </c>
      <c r="AU265" s="136">
        <f t="shared" si="1576"/>
        <v>23</v>
      </c>
      <c r="AV265" s="136">
        <f t="shared" si="1576"/>
        <v>23</v>
      </c>
      <c r="AW265" s="136">
        <f t="shared" si="1576"/>
        <v>23</v>
      </c>
      <c r="AX265" s="136">
        <f t="shared" si="1576"/>
        <v>23</v>
      </c>
      <c r="AY265" s="136">
        <f t="shared" si="1576"/>
        <v>23</v>
      </c>
      <c r="AZ265" s="136">
        <f t="shared" si="1576"/>
        <v>23</v>
      </c>
      <c r="BA265" s="136">
        <f t="shared" ref="BA265:BX265" si="1577">AZ265</f>
        <v>23</v>
      </c>
      <c r="BB265" s="136">
        <f t="shared" si="1577"/>
        <v>23</v>
      </c>
      <c r="BC265" s="136">
        <f t="shared" si="1577"/>
        <v>23</v>
      </c>
      <c r="BD265" s="136">
        <f t="shared" si="1577"/>
        <v>23</v>
      </c>
      <c r="BE265" s="136">
        <f t="shared" si="1577"/>
        <v>23</v>
      </c>
      <c r="BF265" s="136">
        <f t="shared" si="1577"/>
        <v>23</v>
      </c>
      <c r="BG265" s="136">
        <f t="shared" si="1577"/>
        <v>23</v>
      </c>
      <c r="BH265" s="136">
        <f t="shared" si="1577"/>
        <v>23</v>
      </c>
      <c r="BI265" s="136">
        <f t="shared" si="1577"/>
        <v>23</v>
      </c>
      <c r="BJ265" s="136">
        <f t="shared" si="1577"/>
        <v>23</v>
      </c>
      <c r="BK265" s="136">
        <f t="shared" si="1577"/>
        <v>23</v>
      </c>
      <c r="BL265" s="136">
        <f t="shared" si="1577"/>
        <v>23</v>
      </c>
      <c r="BM265" s="136">
        <f t="shared" si="1577"/>
        <v>23</v>
      </c>
      <c r="BN265" s="136">
        <f t="shared" si="1577"/>
        <v>23</v>
      </c>
      <c r="BO265" s="136">
        <f t="shared" si="1577"/>
        <v>23</v>
      </c>
      <c r="BP265" s="136">
        <f t="shared" si="1577"/>
        <v>23</v>
      </c>
      <c r="BQ265" s="136">
        <f t="shared" si="1577"/>
        <v>23</v>
      </c>
      <c r="BR265" s="136">
        <f t="shared" si="1577"/>
        <v>23</v>
      </c>
      <c r="BS265" s="136">
        <f t="shared" si="1577"/>
        <v>23</v>
      </c>
      <c r="BT265" s="136">
        <f t="shared" si="1577"/>
        <v>23</v>
      </c>
      <c r="BU265" s="136">
        <f t="shared" si="1577"/>
        <v>23</v>
      </c>
      <c r="BV265" s="136">
        <f t="shared" si="1577"/>
        <v>23</v>
      </c>
      <c r="BW265" s="136">
        <f t="shared" si="1577"/>
        <v>23</v>
      </c>
      <c r="BX265" s="136">
        <f t="shared" si="1577"/>
        <v>23</v>
      </c>
      <c r="BY265" s="27"/>
      <c r="BZ265" s="27"/>
      <c r="CA265" s="27"/>
    </row>
    <row r="266" spans="1:79" x14ac:dyDescent="0.3">
      <c r="A266" s="133" t="s">
        <v>377</v>
      </c>
      <c r="B266" s="32"/>
      <c r="C266" s="32"/>
      <c r="D266" s="32"/>
      <c r="E266" s="28"/>
      <c r="F266" s="28"/>
      <c r="G266" s="28"/>
      <c r="H266" s="28"/>
      <c r="I266" s="28"/>
      <c r="J266" s="28"/>
      <c r="K266" s="28"/>
      <c r="L266" s="28"/>
      <c r="M266" s="28"/>
      <c r="N266" s="28"/>
      <c r="O266" s="28"/>
      <c r="P266" s="28"/>
      <c r="Q266" s="28">
        <v>0</v>
      </c>
      <c r="R266" s="135">
        <f t="shared" ref="R266:X266" si="1578">R265*0.2</f>
        <v>4.3</v>
      </c>
      <c r="S266" s="135">
        <f t="shared" si="1578"/>
        <v>4.3</v>
      </c>
      <c r="T266" s="135">
        <f t="shared" si="1578"/>
        <v>4.3</v>
      </c>
      <c r="U266" s="135">
        <f t="shared" si="1578"/>
        <v>4.3</v>
      </c>
      <c r="V266" s="135">
        <f t="shared" si="1578"/>
        <v>4.3</v>
      </c>
      <c r="W266" s="135">
        <f t="shared" si="1578"/>
        <v>4.3</v>
      </c>
      <c r="X266" s="135">
        <f t="shared" si="1578"/>
        <v>4.3</v>
      </c>
      <c r="Y266" s="135">
        <f t="shared" ref="Y266:AZ266" si="1579">Y265*0.2</f>
        <v>4.3</v>
      </c>
      <c r="Z266" s="135">
        <f t="shared" si="1579"/>
        <v>4.3</v>
      </c>
      <c r="AA266" s="135">
        <f t="shared" si="1579"/>
        <v>4.3</v>
      </c>
      <c r="AB266" s="135">
        <f t="shared" si="1579"/>
        <v>4.3</v>
      </c>
      <c r="AC266" s="135">
        <f t="shared" si="1579"/>
        <v>4.3</v>
      </c>
      <c r="AD266" s="135">
        <f t="shared" si="1579"/>
        <v>4.3</v>
      </c>
      <c r="AE266" s="135">
        <f t="shared" si="1579"/>
        <v>4.3</v>
      </c>
      <c r="AF266" s="135">
        <f t="shared" si="1579"/>
        <v>4.3</v>
      </c>
      <c r="AG266" s="135">
        <f t="shared" si="1579"/>
        <v>4.3</v>
      </c>
      <c r="AH266" s="135">
        <f t="shared" si="1579"/>
        <v>4.3</v>
      </c>
      <c r="AI266" s="135">
        <f t="shared" si="1579"/>
        <v>4.3</v>
      </c>
      <c r="AJ266" s="135">
        <f t="shared" si="1579"/>
        <v>4.3</v>
      </c>
      <c r="AK266" s="135">
        <f t="shared" si="1579"/>
        <v>4.3</v>
      </c>
      <c r="AL266" s="135">
        <f t="shared" si="1579"/>
        <v>4.3</v>
      </c>
      <c r="AM266" s="135">
        <f t="shared" si="1579"/>
        <v>4.3</v>
      </c>
      <c r="AN266" s="135">
        <f t="shared" si="1579"/>
        <v>4.3</v>
      </c>
      <c r="AO266" s="135">
        <f t="shared" si="1579"/>
        <v>4.3</v>
      </c>
      <c r="AP266" s="135">
        <f t="shared" si="1579"/>
        <v>4.6000000000000005</v>
      </c>
      <c r="AQ266" s="135">
        <f t="shared" si="1579"/>
        <v>4.6000000000000005</v>
      </c>
      <c r="AR266" s="135">
        <f t="shared" si="1579"/>
        <v>4.6000000000000005</v>
      </c>
      <c r="AS266" s="135">
        <f t="shared" si="1579"/>
        <v>4.6000000000000005</v>
      </c>
      <c r="AT266" s="135">
        <f t="shared" si="1579"/>
        <v>4.6000000000000005</v>
      </c>
      <c r="AU266" s="135">
        <f t="shared" si="1579"/>
        <v>4.6000000000000005</v>
      </c>
      <c r="AV266" s="135">
        <f t="shared" si="1579"/>
        <v>4.6000000000000005</v>
      </c>
      <c r="AW266" s="135">
        <f t="shared" si="1579"/>
        <v>4.6000000000000005</v>
      </c>
      <c r="AX266" s="135">
        <f t="shared" si="1579"/>
        <v>4.6000000000000005</v>
      </c>
      <c r="AY266" s="135">
        <f t="shared" si="1579"/>
        <v>4.6000000000000005</v>
      </c>
      <c r="AZ266" s="135">
        <f t="shared" si="1579"/>
        <v>4.6000000000000005</v>
      </c>
      <c r="BA266" s="135">
        <f t="shared" ref="BA266" si="1580">BA265*0.2</f>
        <v>4.6000000000000005</v>
      </c>
      <c r="BB266" s="135">
        <f t="shared" ref="BB266" si="1581">BB265*0.2</f>
        <v>4.6000000000000005</v>
      </c>
      <c r="BC266" s="135">
        <f t="shared" ref="BC266" si="1582">BC265*0.2</f>
        <v>4.6000000000000005</v>
      </c>
      <c r="BD266" s="135">
        <f t="shared" ref="BD266" si="1583">BD265*0.2</f>
        <v>4.6000000000000005</v>
      </c>
      <c r="BE266" s="135">
        <f t="shared" ref="BE266" si="1584">BE265*0.2</f>
        <v>4.6000000000000005</v>
      </c>
      <c r="BF266" s="135">
        <f t="shared" ref="BF266" si="1585">BF265*0.2</f>
        <v>4.6000000000000005</v>
      </c>
      <c r="BG266" s="135">
        <f t="shared" ref="BG266" si="1586">BG265*0.2</f>
        <v>4.6000000000000005</v>
      </c>
      <c r="BH266" s="135">
        <f t="shared" ref="BH266" si="1587">BH265*0.2</f>
        <v>4.6000000000000005</v>
      </c>
      <c r="BI266" s="135">
        <f t="shared" ref="BI266" si="1588">BI265*0.2</f>
        <v>4.6000000000000005</v>
      </c>
      <c r="BJ266" s="135">
        <f t="shared" ref="BJ266" si="1589">BJ265*0.2</f>
        <v>4.6000000000000005</v>
      </c>
      <c r="BK266" s="135">
        <f t="shared" ref="BK266" si="1590">BK265*0.2</f>
        <v>4.6000000000000005</v>
      </c>
      <c r="BL266" s="135">
        <f t="shared" ref="BL266" si="1591">BL265*0.2</f>
        <v>4.6000000000000005</v>
      </c>
      <c r="BM266" s="135">
        <f t="shared" ref="BM266" si="1592">BM265*0.2</f>
        <v>4.6000000000000005</v>
      </c>
      <c r="BN266" s="135">
        <f t="shared" ref="BN266" si="1593">BN265*0.2</f>
        <v>4.6000000000000005</v>
      </c>
      <c r="BO266" s="135">
        <f t="shared" ref="BO266" si="1594">BO265*0.2</f>
        <v>4.6000000000000005</v>
      </c>
      <c r="BP266" s="135">
        <f t="shared" ref="BP266" si="1595">BP265*0.2</f>
        <v>4.6000000000000005</v>
      </c>
      <c r="BQ266" s="135">
        <f t="shared" ref="BQ266" si="1596">BQ265*0.2</f>
        <v>4.6000000000000005</v>
      </c>
      <c r="BR266" s="135">
        <f t="shared" ref="BR266" si="1597">BR265*0.2</f>
        <v>4.6000000000000005</v>
      </c>
      <c r="BS266" s="135">
        <f t="shared" ref="BS266" si="1598">BS265*0.2</f>
        <v>4.6000000000000005</v>
      </c>
      <c r="BT266" s="135">
        <f t="shared" ref="BT266" si="1599">BT265*0.2</f>
        <v>4.6000000000000005</v>
      </c>
      <c r="BU266" s="135">
        <f t="shared" ref="BU266" si="1600">BU265*0.2</f>
        <v>4.6000000000000005</v>
      </c>
      <c r="BV266" s="135">
        <f t="shared" ref="BV266" si="1601">BV265*0.2</f>
        <v>4.6000000000000005</v>
      </c>
      <c r="BW266" s="135">
        <f t="shared" ref="BW266" si="1602">BW265*0.2</f>
        <v>4.6000000000000005</v>
      </c>
      <c r="BX266" s="135">
        <f t="shared" ref="BX266" si="1603">BX265*0.2</f>
        <v>4.6000000000000005</v>
      </c>
      <c r="BY266" s="27"/>
      <c r="BZ266" s="27"/>
      <c r="CA266" s="27"/>
    </row>
    <row r="267" spans="1:79" x14ac:dyDescent="0.3">
      <c r="A267" s="133" t="s">
        <v>380</v>
      </c>
      <c r="B267" s="32"/>
      <c r="C267" s="32"/>
      <c r="D267" s="32"/>
      <c r="Q267" s="28">
        <v>0</v>
      </c>
      <c r="R267" s="28">
        <v>6</v>
      </c>
      <c r="S267" s="28">
        <v>6</v>
      </c>
      <c r="T267" s="28">
        <v>6</v>
      </c>
      <c r="U267" s="28">
        <v>6</v>
      </c>
      <c r="V267" s="28">
        <v>6</v>
      </c>
      <c r="W267" s="28">
        <f>4+2</f>
        <v>6</v>
      </c>
      <c r="X267" s="28">
        <f>4+2</f>
        <v>6</v>
      </c>
      <c r="Y267" s="136">
        <f t="shared" ref="Y267:AO267" si="1604">X267</f>
        <v>6</v>
      </c>
      <c r="Z267" s="136">
        <f t="shared" si="1604"/>
        <v>6</v>
      </c>
      <c r="AA267" s="136">
        <f t="shared" si="1604"/>
        <v>6</v>
      </c>
      <c r="AB267" s="136">
        <f t="shared" si="1604"/>
        <v>6</v>
      </c>
      <c r="AC267" s="136">
        <f t="shared" si="1604"/>
        <v>6</v>
      </c>
      <c r="AD267" s="28">
        <v>5.5</v>
      </c>
      <c r="AE267" s="136">
        <f t="shared" si="1604"/>
        <v>5.5</v>
      </c>
      <c r="AF267" s="136">
        <f t="shared" si="1604"/>
        <v>5.5</v>
      </c>
      <c r="AG267" s="136">
        <f t="shared" si="1604"/>
        <v>5.5</v>
      </c>
      <c r="AH267" s="136">
        <f t="shared" si="1604"/>
        <v>5.5</v>
      </c>
      <c r="AI267" s="136">
        <f t="shared" si="1604"/>
        <v>5.5</v>
      </c>
      <c r="AJ267" s="136">
        <f t="shared" si="1604"/>
        <v>5.5</v>
      </c>
      <c r="AK267" s="136">
        <f t="shared" si="1604"/>
        <v>5.5</v>
      </c>
      <c r="AL267" s="136">
        <f t="shared" si="1604"/>
        <v>5.5</v>
      </c>
      <c r="AM267" s="136">
        <f t="shared" si="1604"/>
        <v>5.5</v>
      </c>
      <c r="AN267" s="136">
        <f t="shared" si="1604"/>
        <v>5.5</v>
      </c>
      <c r="AO267" s="136">
        <f t="shared" si="1604"/>
        <v>5.5</v>
      </c>
      <c r="AP267" s="28">
        <v>7</v>
      </c>
      <c r="AQ267" s="136">
        <f t="shared" ref="AQ267:AZ267" si="1605">AP267</f>
        <v>7</v>
      </c>
      <c r="AR267" s="136">
        <f t="shared" si="1605"/>
        <v>7</v>
      </c>
      <c r="AS267" s="136">
        <f t="shared" si="1605"/>
        <v>7</v>
      </c>
      <c r="AT267" s="136">
        <f t="shared" si="1605"/>
        <v>7</v>
      </c>
      <c r="AU267" s="136">
        <f t="shared" si="1605"/>
        <v>7</v>
      </c>
      <c r="AV267" s="136">
        <f t="shared" si="1605"/>
        <v>7</v>
      </c>
      <c r="AW267" s="136">
        <f t="shared" si="1605"/>
        <v>7</v>
      </c>
      <c r="AX267" s="136">
        <f t="shared" si="1605"/>
        <v>7</v>
      </c>
      <c r="AY267" s="136">
        <f t="shared" si="1605"/>
        <v>7</v>
      </c>
      <c r="AZ267" s="136">
        <f t="shared" si="1605"/>
        <v>7</v>
      </c>
      <c r="BA267" s="136">
        <f t="shared" ref="BA267:BX267" si="1606">AZ267</f>
        <v>7</v>
      </c>
      <c r="BB267" s="136">
        <f t="shared" si="1606"/>
        <v>7</v>
      </c>
      <c r="BC267" s="136">
        <f t="shared" si="1606"/>
        <v>7</v>
      </c>
      <c r="BD267" s="136">
        <f t="shared" si="1606"/>
        <v>7</v>
      </c>
      <c r="BE267" s="136">
        <f t="shared" si="1606"/>
        <v>7</v>
      </c>
      <c r="BF267" s="136">
        <f t="shared" si="1606"/>
        <v>7</v>
      </c>
      <c r="BG267" s="136">
        <f t="shared" si="1606"/>
        <v>7</v>
      </c>
      <c r="BH267" s="136">
        <f t="shared" si="1606"/>
        <v>7</v>
      </c>
      <c r="BI267" s="136">
        <f t="shared" si="1606"/>
        <v>7</v>
      </c>
      <c r="BJ267" s="136">
        <f t="shared" si="1606"/>
        <v>7</v>
      </c>
      <c r="BK267" s="136">
        <f t="shared" si="1606"/>
        <v>7</v>
      </c>
      <c r="BL267" s="136">
        <f t="shared" si="1606"/>
        <v>7</v>
      </c>
      <c r="BM267" s="136">
        <f t="shared" si="1606"/>
        <v>7</v>
      </c>
      <c r="BN267" s="136">
        <f t="shared" si="1606"/>
        <v>7</v>
      </c>
      <c r="BO267" s="136">
        <f t="shared" si="1606"/>
        <v>7</v>
      </c>
      <c r="BP267" s="136">
        <f t="shared" si="1606"/>
        <v>7</v>
      </c>
      <c r="BQ267" s="136">
        <f t="shared" si="1606"/>
        <v>7</v>
      </c>
      <c r="BR267" s="136">
        <f t="shared" si="1606"/>
        <v>7</v>
      </c>
      <c r="BS267" s="136">
        <f t="shared" si="1606"/>
        <v>7</v>
      </c>
      <c r="BT267" s="136">
        <f t="shared" si="1606"/>
        <v>7</v>
      </c>
      <c r="BU267" s="136">
        <f t="shared" si="1606"/>
        <v>7</v>
      </c>
      <c r="BV267" s="136">
        <f t="shared" si="1606"/>
        <v>7</v>
      </c>
      <c r="BW267" s="136">
        <f t="shared" si="1606"/>
        <v>7</v>
      </c>
      <c r="BX267" s="136">
        <f t="shared" si="1606"/>
        <v>7</v>
      </c>
    </row>
    <row r="268" spans="1:79" x14ac:dyDescent="0.3">
      <c r="A268" s="133" t="s">
        <v>374</v>
      </c>
      <c r="B268" s="6"/>
      <c r="C268" s="6"/>
      <c r="D268" s="6"/>
      <c r="F268" s="13"/>
      <c r="G268" s="13"/>
      <c r="H268" s="13"/>
      <c r="I268" s="13"/>
      <c r="J268" s="13"/>
      <c r="Q268" s="28">
        <v>0</v>
      </c>
      <c r="R268" s="28">
        <v>2</v>
      </c>
      <c r="S268" s="28">
        <v>2</v>
      </c>
      <c r="T268" s="28">
        <v>2</v>
      </c>
      <c r="U268" s="28">
        <v>2</v>
      </c>
      <c r="V268" s="28">
        <v>2</v>
      </c>
      <c r="W268" s="28">
        <v>2</v>
      </c>
      <c r="X268" s="28">
        <v>2</v>
      </c>
      <c r="Y268" s="136">
        <f t="shared" ref="Y268:AO268" si="1607">X268</f>
        <v>2</v>
      </c>
      <c r="Z268" s="136">
        <f t="shared" si="1607"/>
        <v>2</v>
      </c>
      <c r="AA268" s="136">
        <f t="shared" si="1607"/>
        <v>2</v>
      </c>
      <c r="AB268" s="136">
        <f t="shared" si="1607"/>
        <v>2</v>
      </c>
      <c r="AC268" s="136">
        <f t="shared" si="1607"/>
        <v>2</v>
      </c>
      <c r="AD268" s="136">
        <f t="shared" si="1607"/>
        <v>2</v>
      </c>
      <c r="AE268" s="136">
        <f t="shared" si="1607"/>
        <v>2</v>
      </c>
      <c r="AF268" s="136">
        <f t="shared" si="1607"/>
        <v>2</v>
      </c>
      <c r="AG268" s="136">
        <f t="shared" si="1607"/>
        <v>2</v>
      </c>
      <c r="AH268" s="136">
        <f t="shared" si="1607"/>
        <v>2</v>
      </c>
      <c r="AI268" s="136">
        <f t="shared" si="1607"/>
        <v>2</v>
      </c>
      <c r="AJ268" s="136">
        <f t="shared" si="1607"/>
        <v>2</v>
      </c>
      <c r="AK268" s="136">
        <f t="shared" si="1607"/>
        <v>2</v>
      </c>
      <c r="AL268" s="136">
        <f t="shared" si="1607"/>
        <v>2</v>
      </c>
      <c r="AM268" s="136">
        <f t="shared" si="1607"/>
        <v>2</v>
      </c>
      <c r="AN268" s="136">
        <f t="shared" si="1607"/>
        <v>2</v>
      </c>
      <c r="AO268" s="136">
        <f t="shared" si="1607"/>
        <v>2</v>
      </c>
      <c r="AP268" s="136">
        <f t="shared" ref="AP268:AZ268" si="1608">AO268</f>
        <v>2</v>
      </c>
      <c r="AQ268" s="136">
        <f t="shared" si="1608"/>
        <v>2</v>
      </c>
      <c r="AR268" s="136">
        <f t="shared" si="1608"/>
        <v>2</v>
      </c>
      <c r="AS268" s="136">
        <f t="shared" si="1608"/>
        <v>2</v>
      </c>
      <c r="AT268" s="136">
        <f t="shared" si="1608"/>
        <v>2</v>
      </c>
      <c r="AU268" s="136">
        <f t="shared" si="1608"/>
        <v>2</v>
      </c>
      <c r="AV268" s="136">
        <f t="shared" si="1608"/>
        <v>2</v>
      </c>
      <c r="AW268" s="136">
        <f t="shared" si="1608"/>
        <v>2</v>
      </c>
      <c r="AX268" s="136">
        <f t="shared" si="1608"/>
        <v>2</v>
      </c>
      <c r="AY268" s="136">
        <f t="shared" si="1608"/>
        <v>2</v>
      </c>
      <c r="AZ268" s="136">
        <f t="shared" si="1608"/>
        <v>2</v>
      </c>
      <c r="BA268" s="136">
        <f t="shared" ref="BA268:BX268" si="1609">AZ268</f>
        <v>2</v>
      </c>
      <c r="BB268" s="136">
        <f t="shared" si="1609"/>
        <v>2</v>
      </c>
      <c r="BC268" s="136">
        <f t="shared" si="1609"/>
        <v>2</v>
      </c>
      <c r="BD268" s="136">
        <f t="shared" si="1609"/>
        <v>2</v>
      </c>
      <c r="BE268" s="136">
        <f t="shared" si="1609"/>
        <v>2</v>
      </c>
      <c r="BF268" s="136">
        <f t="shared" si="1609"/>
        <v>2</v>
      </c>
      <c r="BG268" s="136">
        <f t="shared" si="1609"/>
        <v>2</v>
      </c>
      <c r="BH268" s="136">
        <f t="shared" si="1609"/>
        <v>2</v>
      </c>
      <c r="BI268" s="136">
        <f t="shared" si="1609"/>
        <v>2</v>
      </c>
      <c r="BJ268" s="136">
        <f t="shared" si="1609"/>
        <v>2</v>
      </c>
      <c r="BK268" s="136">
        <f t="shared" si="1609"/>
        <v>2</v>
      </c>
      <c r="BL268" s="136">
        <f t="shared" si="1609"/>
        <v>2</v>
      </c>
      <c r="BM268" s="136">
        <f t="shared" si="1609"/>
        <v>2</v>
      </c>
      <c r="BN268" s="136">
        <f t="shared" si="1609"/>
        <v>2</v>
      </c>
      <c r="BO268" s="136">
        <f t="shared" si="1609"/>
        <v>2</v>
      </c>
      <c r="BP268" s="136">
        <f t="shared" si="1609"/>
        <v>2</v>
      </c>
      <c r="BQ268" s="136">
        <f t="shared" si="1609"/>
        <v>2</v>
      </c>
      <c r="BR268" s="136">
        <f t="shared" si="1609"/>
        <v>2</v>
      </c>
      <c r="BS268" s="136">
        <f t="shared" si="1609"/>
        <v>2</v>
      </c>
      <c r="BT268" s="136">
        <f t="shared" si="1609"/>
        <v>2</v>
      </c>
      <c r="BU268" s="136">
        <f t="shared" si="1609"/>
        <v>2</v>
      </c>
      <c r="BV268" s="136">
        <f t="shared" si="1609"/>
        <v>2</v>
      </c>
      <c r="BW268" s="136">
        <f t="shared" si="1609"/>
        <v>2</v>
      </c>
      <c r="BX268" s="136">
        <f t="shared" si="1609"/>
        <v>2</v>
      </c>
    </row>
    <row r="269" spans="1:79" x14ac:dyDescent="0.3">
      <c r="A269" s="133" t="s">
        <v>378</v>
      </c>
      <c r="B269" s="6"/>
      <c r="C269" s="6"/>
      <c r="D269" s="6"/>
      <c r="Q269" s="28">
        <v>0</v>
      </c>
      <c r="R269" s="28">
        <v>1</v>
      </c>
      <c r="S269" s="28">
        <v>1</v>
      </c>
      <c r="T269" s="28">
        <v>1</v>
      </c>
      <c r="U269" s="28">
        <v>1</v>
      </c>
      <c r="V269" s="28">
        <v>1</v>
      </c>
      <c r="W269" s="28">
        <v>1</v>
      </c>
      <c r="X269" s="28">
        <v>1</v>
      </c>
      <c r="Y269" s="136">
        <f t="shared" ref="Y269:AO269" si="1610">X269</f>
        <v>1</v>
      </c>
      <c r="Z269" s="136">
        <f t="shared" si="1610"/>
        <v>1</v>
      </c>
      <c r="AA269" s="136">
        <f t="shared" si="1610"/>
        <v>1</v>
      </c>
      <c r="AB269" s="136">
        <f t="shared" si="1610"/>
        <v>1</v>
      </c>
      <c r="AC269" s="136">
        <f t="shared" si="1610"/>
        <v>1</v>
      </c>
      <c r="AD269" s="28">
        <v>2</v>
      </c>
      <c r="AE269" s="136">
        <f t="shared" si="1610"/>
        <v>2</v>
      </c>
      <c r="AF269" s="136">
        <f t="shared" si="1610"/>
        <v>2</v>
      </c>
      <c r="AG269" s="136">
        <f t="shared" si="1610"/>
        <v>2</v>
      </c>
      <c r="AH269" s="136">
        <f t="shared" si="1610"/>
        <v>2</v>
      </c>
      <c r="AI269" s="136">
        <f t="shared" si="1610"/>
        <v>2</v>
      </c>
      <c r="AJ269" s="136">
        <f t="shared" si="1610"/>
        <v>2</v>
      </c>
      <c r="AK269" s="136">
        <f t="shared" si="1610"/>
        <v>2</v>
      </c>
      <c r="AL269" s="136">
        <f t="shared" si="1610"/>
        <v>2</v>
      </c>
      <c r="AM269" s="136">
        <f t="shared" si="1610"/>
        <v>2</v>
      </c>
      <c r="AN269" s="136">
        <f t="shared" si="1610"/>
        <v>2</v>
      </c>
      <c r="AO269" s="136">
        <f t="shared" si="1610"/>
        <v>2</v>
      </c>
      <c r="AP269" s="28">
        <v>2</v>
      </c>
      <c r="AQ269" s="136">
        <f t="shared" ref="AQ269:AZ269" si="1611">AP269</f>
        <v>2</v>
      </c>
      <c r="AR269" s="136">
        <f t="shared" si="1611"/>
        <v>2</v>
      </c>
      <c r="AS269" s="136">
        <f t="shared" si="1611"/>
        <v>2</v>
      </c>
      <c r="AT269" s="136">
        <f t="shared" si="1611"/>
        <v>2</v>
      </c>
      <c r="AU269" s="136">
        <f t="shared" si="1611"/>
        <v>2</v>
      </c>
      <c r="AV269" s="136">
        <f t="shared" si="1611"/>
        <v>2</v>
      </c>
      <c r="AW269" s="136">
        <f t="shared" si="1611"/>
        <v>2</v>
      </c>
      <c r="AX269" s="136">
        <f t="shared" si="1611"/>
        <v>2</v>
      </c>
      <c r="AY269" s="136">
        <f t="shared" si="1611"/>
        <v>2</v>
      </c>
      <c r="AZ269" s="136">
        <f t="shared" si="1611"/>
        <v>2</v>
      </c>
      <c r="BA269" s="136">
        <f t="shared" ref="BA269:BX269" si="1612">AZ269</f>
        <v>2</v>
      </c>
      <c r="BB269" s="136">
        <f t="shared" si="1612"/>
        <v>2</v>
      </c>
      <c r="BC269" s="136">
        <f t="shared" si="1612"/>
        <v>2</v>
      </c>
      <c r="BD269" s="136">
        <f t="shared" si="1612"/>
        <v>2</v>
      </c>
      <c r="BE269" s="136">
        <f t="shared" si="1612"/>
        <v>2</v>
      </c>
      <c r="BF269" s="136">
        <f t="shared" si="1612"/>
        <v>2</v>
      </c>
      <c r="BG269" s="136">
        <f t="shared" si="1612"/>
        <v>2</v>
      </c>
      <c r="BH269" s="136">
        <f t="shared" si="1612"/>
        <v>2</v>
      </c>
      <c r="BI269" s="136">
        <f t="shared" si="1612"/>
        <v>2</v>
      </c>
      <c r="BJ269" s="136">
        <f t="shared" si="1612"/>
        <v>2</v>
      </c>
      <c r="BK269" s="136">
        <f t="shared" si="1612"/>
        <v>2</v>
      </c>
      <c r="BL269" s="136">
        <f t="shared" si="1612"/>
        <v>2</v>
      </c>
      <c r="BM269" s="136">
        <f t="shared" si="1612"/>
        <v>2</v>
      </c>
      <c r="BN269" s="136">
        <f t="shared" si="1612"/>
        <v>2</v>
      </c>
      <c r="BO269" s="136">
        <f t="shared" si="1612"/>
        <v>2</v>
      </c>
      <c r="BP269" s="136">
        <f t="shared" si="1612"/>
        <v>2</v>
      </c>
      <c r="BQ269" s="136">
        <f t="shared" si="1612"/>
        <v>2</v>
      </c>
      <c r="BR269" s="136">
        <f t="shared" si="1612"/>
        <v>2</v>
      </c>
      <c r="BS269" s="136">
        <f t="shared" si="1612"/>
        <v>2</v>
      </c>
      <c r="BT269" s="136">
        <f t="shared" si="1612"/>
        <v>2</v>
      </c>
      <c r="BU269" s="136">
        <f t="shared" si="1612"/>
        <v>2</v>
      </c>
      <c r="BV269" s="136">
        <f t="shared" si="1612"/>
        <v>2</v>
      </c>
      <c r="BW269" s="136">
        <f t="shared" si="1612"/>
        <v>2</v>
      </c>
      <c r="BX269" s="136">
        <f t="shared" si="1612"/>
        <v>2</v>
      </c>
    </row>
    <row r="270" spans="1:79" x14ac:dyDescent="0.3">
      <c r="A270" s="133" t="s">
        <v>379</v>
      </c>
      <c r="B270" s="6"/>
      <c r="C270" s="6"/>
      <c r="D270" s="6"/>
      <c r="Q270" s="28">
        <v>0</v>
      </c>
      <c r="R270" s="28">
        <v>1</v>
      </c>
      <c r="S270" s="28">
        <v>1</v>
      </c>
      <c r="T270" s="28">
        <v>1</v>
      </c>
      <c r="U270" s="28">
        <v>1</v>
      </c>
      <c r="V270" s="28">
        <v>1</v>
      </c>
      <c r="W270" s="28">
        <v>1</v>
      </c>
      <c r="X270" s="28">
        <v>1</v>
      </c>
      <c r="Y270" s="136">
        <f t="shared" ref="Y270:AP270" si="1613">X270</f>
        <v>1</v>
      </c>
      <c r="Z270" s="136">
        <f t="shared" si="1613"/>
        <v>1</v>
      </c>
      <c r="AA270" s="136">
        <f t="shared" si="1613"/>
        <v>1</v>
      </c>
      <c r="AB270" s="136">
        <f t="shared" si="1613"/>
        <v>1</v>
      </c>
      <c r="AC270" s="136">
        <f t="shared" si="1613"/>
        <v>1</v>
      </c>
      <c r="AD270" s="136">
        <f t="shared" si="1613"/>
        <v>1</v>
      </c>
      <c r="AE270" s="136">
        <f t="shared" si="1613"/>
        <v>1</v>
      </c>
      <c r="AF270" s="136">
        <f t="shared" si="1613"/>
        <v>1</v>
      </c>
      <c r="AG270" s="136">
        <f t="shared" si="1613"/>
        <v>1</v>
      </c>
      <c r="AH270" s="136">
        <f t="shared" si="1613"/>
        <v>1</v>
      </c>
      <c r="AI270" s="136">
        <f t="shared" si="1613"/>
        <v>1</v>
      </c>
      <c r="AJ270" s="136">
        <f t="shared" si="1613"/>
        <v>1</v>
      </c>
      <c r="AK270" s="136">
        <f t="shared" si="1613"/>
        <v>1</v>
      </c>
      <c r="AL270" s="136">
        <f t="shared" si="1613"/>
        <v>1</v>
      </c>
      <c r="AM270" s="136">
        <f t="shared" si="1613"/>
        <v>1</v>
      </c>
      <c r="AN270" s="136">
        <f t="shared" si="1613"/>
        <v>1</v>
      </c>
      <c r="AO270" s="136">
        <f t="shared" si="1613"/>
        <v>1</v>
      </c>
      <c r="AP270" s="136">
        <f t="shared" si="1613"/>
        <v>1</v>
      </c>
      <c r="AQ270" s="136">
        <f t="shared" ref="AQ270:AZ270" si="1614">AP270</f>
        <v>1</v>
      </c>
      <c r="AR270" s="136">
        <f t="shared" si="1614"/>
        <v>1</v>
      </c>
      <c r="AS270" s="136">
        <f t="shared" si="1614"/>
        <v>1</v>
      </c>
      <c r="AT270" s="136">
        <f t="shared" si="1614"/>
        <v>1</v>
      </c>
      <c r="AU270" s="136">
        <f t="shared" si="1614"/>
        <v>1</v>
      </c>
      <c r="AV270" s="136">
        <f t="shared" si="1614"/>
        <v>1</v>
      </c>
      <c r="AW270" s="136">
        <f t="shared" si="1614"/>
        <v>1</v>
      </c>
      <c r="AX270" s="136">
        <f t="shared" si="1614"/>
        <v>1</v>
      </c>
      <c r="AY270" s="136">
        <f t="shared" si="1614"/>
        <v>1</v>
      </c>
      <c r="AZ270" s="136">
        <f t="shared" si="1614"/>
        <v>1</v>
      </c>
      <c r="BA270" s="136">
        <f t="shared" ref="BA270:BX270" si="1615">AZ270</f>
        <v>1</v>
      </c>
      <c r="BB270" s="136">
        <f t="shared" si="1615"/>
        <v>1</v>
      </c>
      <c r="BC270" s="136">
        <f t="shared" si="1615"/>
        <v>1</v>
      </c>
      <c r="BD270" s="136">
        <f t="shared" si="1615"/>
        <v>1</v>
      </c>
      <c r="BE270" s="136">
        <f t="shared" si="1615"/>
        <v>1</v>
      </c>
      <c r="BF270" s="136">
        <f t="shared" si="1615"/>
        <v>1</v>
      </c>
      <c r="BG270" s="136">
        <f t="shared" si="1615"/>
        <v>1</v>
      </c>
      <c r="BH270" s="136">
        <f t="shared" si="1615"/>
        <v>1</v>
      </c>
      <c r="BI270" s="136">
        <f t="shared" si="1615"/>
        <v>1</v>
      </c>
      <c r="BJ270" s="136">
        <f t="shared" si="1615"/>
        <v>1</v>
      </c>
      <c r="BK270" s="136">
        <f t="shared" si="1615"/>
        <v>1</v>
      </c>
      <c r="BL270" s="136">
        <f t="shared" si="1615"/>
        <v>1</v>
      </c>
      <c r="BM270" s="136">
        <f t="shared" si="1615"/>
        <v>1</v>
      </c>
      <c r="BN270" s="136">
        <f t="shared" si="1615"/>
        <v>1</v>
      </c>
      <c r="BO270" s="136">
        <f t="shared" si="1615"/>
        <v>1</v>
      </c>
      <c r="BP270" s="136">
        <f t="shared" si="1615"/>
        <v>1</v>
      </c>
      <c r="BQ270" s="136">
        <f t="shared" si="1615"/>
        <v>1</v>
      </c>
      <c r="BR270" s="136">
        <f t="shared" si="1615"/>
        <v>1</v>
      </c>
      <c r="BS270" s="136">
        <f t="shared" si="1615"/>
        <v>1</v>
      </c>
      <c r="BT270" s="136">
        <f t="shared" si="1615"/>
        <v>1</v>
      </c>
      <c r="BU270" s="136">
        <f t="shared" si="1615"/>
        <v>1</v>
      </c>
      <c r="BV270" s="136">
        <f t="shared" si="1615"/>
        <v>1</v>
      </c>
      <c r="BW270" s="136">
        <f t="shared" si="1615"/>
        <v>1</v>
      </c>
      <c r="BX270" s="136">
        <f t="shared" si="1615"/>
        <v>1</v>
      </c>
    </row>
    <row r="271" spans="1:79" x14ac:dyDescent="0.3">
      <c r="A271" s="109" t="s">
        <v>375</v>
      </c>
      <c r="B271" s="6"/>
      <c r="C271" s="6"/>
      <c r="D271" s="6"/>
    </row>
    <row r="272" spans="1:79" x14ac:dyDescent="0.3">
      <c r="A272" s="133" t="s">
        <v>376</v>
      </c>
      <c r="Q272" s="52"/>
      <c r="R272" s="52">
        <f t="shared" ref="R272:X273" si="1616">R57/R265</f>
        <v>3457.8874418604651</v>
      </c>
      <c r="S272" s="52">
        <f t="shared" si="1616"/>
        <v>3395.2776744186049</v>
      </c>
      <c r="T272" s="52">
        <f t="shared" si="1616"/>
        <v>3213.9465116279071</v>
      </c>
      <c r="U272" s="52">
        <f t="shared" si="1616"/>
        <v>3189.9013953488375</v>
      </c>
      <c r="V272" s="52">
        <f t="shared" si="1616"/>
        <v>3545.3767441860468</v>
      </c>
      <c r="W272" s="52">
        <f t="shared" si="1616"/>
        <v>3265.5469767441859</v>
      </c>
      <c r="X272" s="52">
        <f t="shared" si="1616"/>
        <v>3315.1674418604653</v>
      </c>
      <c r="Y272" s="134">
        <f>IF(MONTH(Y$4)=6,AVERAGE($V272:$X272)*2,IF(MONTH(Y$4)=7,0,AVERAGE($V272:$X272)))</f>
        <v>3375.3637209302324</v>
      </c>
      <c r="Z272" s="134">
        <f t="shared" ref="Z272:AN277" si="1617">IF(MONTH(Z$4)=6,AVERAGE($V272:$X272)*2,IF(MONTH(Z$4)=7,0,AVERAGE($V272:$X272)))</f>
        <v>3375.3637209302324</v>
      </c>
      <c r="AA272" s="134">
        <f t="shared" si="1617"/>
        <v>3375.3637209302324</v>
      </c>
      <c r="AB272" s="134">
        <f t="shared" si="1617"/>
        <v>6750.7274418604648</v>
      </c>
      <c r="AC272" s="134">
        <f t="shared" si="1617"/>
        <v>0</v>
      </c>
      <c r="AD272" s="134">
        <f t="shared" si="1617"/>
        <v>3375.3637209302324</v>
      </c>
      <c r="AE272" s="134">
        <f t="shared" si="1617"/>
        <v>3375.3637209302324</v>
      </c>
      <c r="AF272" s="134">
        <f t="shared" si="1617"/>
        <v>3375.3637209302324</v>
      </c>
      <c r="AG272" s="134">
        <f t="shared" si="1617"/>
        <v>3375.3637209302324</v>
      </c>
      <c r="AH272" s="134">
        <f t="shared" si="1617"/>
        <v>3375.3637209302324</v>
      </c>
      <c r="AI272" s="134">
        <f t="shared" si="1617"/>
        <v>3375.3637209302324</v>
      </c>
      <c r="AJ272" s="134">
        <f t="shared" si="1617"/>
        <v>3375.3637209302324</v>
      </c>
      <c r="AK272" s="134">
        <f t="shared" si="1617"/>
        <v>3375.3637209302324</v>
      </c>
      <c r="AL272" s="134">
        <f t="shared" si="1617"/>
        <v>3375.3637209302324</v>
      </c>
      <c r="AM272" s="134">
        <f t="shared" si="1617"/>
        <v>3375.3637209302324</v>
      </c>
      <c r="AN272" s="134">
        <f t="shared" si="1617"/>
        <v>6750.7274418604648</v>
      </c>
      <c r="AO272" s="150">
        <f t="shared" ref="AO272:AZ277" si="1618">IF(MONTH(AO$4)=6,AVERAGE($V272:$X272)*2,IF(MONTH(AO$4)=7,0,AVERAGE($V272:$X272)))*(1+AO$263)</f>
        <v>0</v>
      </c>
      <c r="AP272" s="150">
        <f t="shared" si="1618"/>
        <v>3476.6246325581396</v>
      </c>
      <c r="AQ272" s="150">
        <f t="shared" si="1618"/>
        <v>3476.6246325581396</v>
      </c>
      <c r="AR272" s="150">
        <f t="shared" si="1618"/>
        <v>3476.6246325581396</v>
      </c>
      <c r="AS272" s="150">
        <f t="shared" si="1618"/>
        <v>3476.6246325581396</v>
      </c>
      <c r="AT272" s="150">
        <f t="shared" si="1618"/>
        <v>3476.6246325581396</v>
      </c>
      <c r="AU272" s="150">
        <f t="shared" si="1618"/>
        <v>3476.6246325581396</v>
      </c>
      <c r="AV272" s="150">
        <f t="shared" si="1618"/>
        <v>3476.6246325581396</v>
      </c>
      <c r="AW272" s="150">
        <f t="shared" si="1618"/>
        <v>3476.6246325581396</v>
      </c>
      <c r="AX272" s="150">
        <f t="shared" si="1618"/>
        <v>3476.6246325581396</v>
      </c>
      <c r="AY272" s="150">
        <f t="shared" si="1618"/>
        <v>3476.6246325581396</v>
      </c>
      <c r="AZ272" s="150">
        <f t="shared" si="1618"/>
        <v>6953.2492651162793</v>
      </c>
      <c r="BA272" s="375">
        <f>AO272*(1+BA$263)</f>
        <v>0</v>
      </c>
      <c r="BB272" s="375">
        <f t="shared" ref="BB272:BB277" si="1619">AP272*(1+BB$263)</f>
        <v>3580.9233715348837</v>
      </c>
      <c r="BC272" s="375">
        <f t="shared" ref="BC272:BC277" si="1620">AQ272*(1+BC$263)</f>
        <v>3580.9233715348837</v>
      </c>
      <c r="BD272" s="375">
        <f t="shared" ref="BD272:BD277" si="1621">AR272*(1+BD$263)</f>
        <v>3580.9233715348837</v>
      </c>
      <c r="BE272" s="375">
        <f t="shared" ref="BE272:BE277" si="1622">AS272*(1+BE$263)</f>
        <v>3580.9233715348837</v>
      </c>
      <c r="BF272" s="375">
        <f t="shared" ref="BF272:BF277" si="1623">AT272*(1+BF$263)</f>
        <v>3580.9233715348837</v>
      </c>
      <c r="BG272" s="375">
        <f t="shared" ref="BG272:BG277" si="1624">AU272*(1+BG$263)</f>
        <v>3580.9233715348837</v>
      </c>
      <c r="BH272" s="375">
        <f t="shared" ref="BH272:BH277" si="1625">AV272*(1+BH$263)</f>
        <v>3580.9233715348837</v>
      </c>
      <c r="BI272" s="375">
        <f t="shared" ref="BI272:BI277" si="1626">AW272*(1+BI$263)</f>
        <v>3580.9233715348837</v>
      </c>
      <c r="BJ272" s="375">
        <f t="shared" ref="BJ272:BJ277" si="1627">AX272*(1+BJ$263)</f>
        <v>3580.9233715348837</v>
      </c>
      <c r="BK272" s="375">
        <f t="shared" ref="BK272:BK277" si="1628">AY272*(1+BK$263)</f>
        <v>3580.9233715348837</v>
      </c>
      <c r="BL272" s="375">
        <f t="shared" ref="BL272:BL277" si="1629">AZ272*(1+BL$263)</f>
        <v>7161.8467430697674</v>
      </c>
      <c r="BM272" s="375">
        <f t="shared" ref="BM272:BM277" si="1630">BA272*(1+BM$263)</f>
        <v>0</v>
      </c>
      <c r="BN272" s="375">
        <f t="shared" ref="BN272:BN277" si="1631">BB272*(1+BN$263)</f>
        <v>3688.3510726809304</v>
      </c>
      <c r="BO272" s="375">
        <f t="shared" ref="BO272:BO277" si="1632">BC272*(1+BO$263)</f>
        <v>3688.3510726809304</v>
      </c>
      <c r="BP272" s="375">
        <f t="shared" ref="BP272:BP277" si="1633">BD272*(1+BP$263)</f>
        <v>3688.3510726809304</v>
      </c>
      <c r="BQ272" s="375">
        <f t="shared" ref="BQ272:BQ277" si="1634">BE272*(1+BQ$263)</f>
        <v>3688.3510726809304</v>
      </c>
      <c r="BR272" s="375">
        <f t="shared" ref="BR272:BR277" si="1635">BF272*(1+BR$263)</f>
        <v>3688.3510726809304</v>
      </c>
      <c r="BS272" s="375">
        <f t="shared" ref="BS272:BS277" si="1636">BG272*(1+BS$263)</f>
        <v>3688.3510726809304</v>
      </c>
      <c r="BT272" s="375">
        <f t="shared" ref="BT272:BT277" si="1637">BH272*(1+BT$263)</f>
        <v>3688.3510726809304</v>
      </c>
      <c r="BU272" s="375">
        <f t="shared" ref="BU272:BU277" si="1638">BI272*(1+BU$263)</f>
        <v>3688.3510726809304</v>
      </c>
      <c r="BV272" s="375">
        <f t="shared" ref="BV272:BV277" si="1639">BJ272*(1+BV$263)</f>
        <v>3688.3510726809304</v>
      </c>
      <c r="BW272" s="375">
        <f t="shared" ref="BW272:BW277" si="1640">BK272*(1+BW$263)</f>
        <v>3688.3510726809304</v>
      </c>
      <c r="BX272" s="375">
        <f t="shared" ref="BX272:BX277" si="1641">BL272*(1+BX$263)</f>
        <v>7376.7021453618609</v>
      </c>
    </row>
    <row r="273" spans="1:77" x14ac:dyDescent="0.3">
      <c r="A273" s="133" t="s">
        <v>377</v>
      </c>
      <c r="Q273" s="52"/>
      <c r="R273" s="52">
        <f t="shared" si="1616"/>
        <v>868.15116279069775</v>
      </c>
      <c r="S273" s="52">
        <f t="shared" si="1616"/>
        <v>1093.8139534883721</v>
      </c>
      <c r="T273" s="52">
        <f t="shared" si="1616"/>
        <v>1305.8209302325581</v>
      </c>
      <c r="U273" s="52">
        <f t="shared" si="1616"/>
        <v>1316.0232558139535</v>
      </c>
      <c r="V273" s="52">
        <f t="shared" si="1616"/>
        <v>1852.7790697674418</v>
      </c>
      <c r="W273" s="52">
        <f t="shared" si="1616"/>
        <v>1710.786046511628</v>
      </c>
      <c r="X273" s="52">
        <f t="shared" si="1616"/>
        <v>1770.6465116279071</v>
      </c>
      <c r="Y273" s="134">
        <f t="shared" ref="Y273:AN277" si="1642">IF(MONTH(Y$4)=6,AVERAGE($V273:$X273)*2,IF(MONTH(Y$4)=7,0,AVERAGE($V273:$X273)))</f>
        <v>1778.070542635659</v>
      </c>
      <c r="Z273" s="134">
        <f t="shared" si="1642"/>
        <v>1778.070542635659</v>
      </c>
      <c r="AA273" s="134">
        <f t="shared" si="1642"/>
        <v>1778.070542635659</v>
      </c>
      <c r="AB273" s="134">
        <f t="shared" si="1642"/>
        <v>3556.1410852713179</v>
      </c>
      <c r="AC273" s="134">
        <f t="shared" si="1642"/>
        <v>0</v>
      </c>
      <c r="AD273" s="134">
        <f t="shared" si="1642"/>
        <v>1778.070542635659</v>
      </c>
      <c r="AE273" s="134">
        <f t="shared" si="1642"/>
        <v>1778.070542635659</v>
      </c>
      <c r="AF273" s="134">
        <f t="shared" si="1642"/>
        <v>1778.070542635659</v>
      </c>
      <c r="AG273" s="134">
        <f t="shared" si="1642"/>
        <v>1778.070542635659</v>
      </c>
      <c r="AH273" s="134">
        <f t="shared" si="1642"/>
        <v>1778.070542635659</v>
      </c>
      <c r="AI273" s="134">
        <f t="shared" si="1642"/>
        <v>1778.070542635659</v>
      </c>
      <c r="AJ273" s="134">
        <f t="shared" si="1642"/>
        <v>1778.070542635659</v>
      </c>
      <c r="AK273" s="134">
        <f t="shared" si="1642"/>
        <v>1778.070542635659</v>
      </c>
      <c r="AL273" s="134">
        <f t="shared" si="1642"/>
        <v>1778.070542635659</v>
      </c>
      <c r="AM273" s="134">
        <f t="shared" si="1642"/>
        <v>1778.070542635659</v>
      </c>
      <c r="AN273" s="134">
        <f t="shared" si="1642"/>
        <v>3556.1410852713179</v>
      </c>
      <c r="AO273" s="150">
        <f t="shared" si="1618"/>
        <v>0</v>
      </c>
      <c r="AP273" s="150">
        <f t="shared" si="1618"/>
        <v>1831.4126589147288</v>
      </c>
      <c r="AQ273" s="150">
        <f t="shared" si="1618"/>
        <v>1831.4126589147288</v>
      </c>
      <c r="AR273" s="150">
        <f t="shared" si="1618"/>
        <v>1831.4126589147288</v>
      </c>
      <c r="AS273" s="150">
        <f t="shared" si="1618"/>
        <v>1831.4126589147288</v>
      </c>
      <c r="AT273" s="150">
        <f t="shared" si="1618"/>
        <v>1831.4126589147288</v>
      </c>
      <c r="AU273" s="150">
        <f t="shared" si="1618"/>
        <v>1831.4126589147288</v>
      </c>
      <c r="AV273" s="150">
        <f t="shared" si="1618"/>
        <v>1831.4126589147288</v>
      </c>
      <c r="AW273" s="150">
        <f t="shared" si="1618"/>
        <v>1831.4126589147288</v>
      </c>
      <c r="AX273" s="150">
        <f t="shared" si="1618"/>
        <v>1831.4126589147288</v>
      </c>
      <c r="AY273" s="150">
        <f t="shared" si="1618"/>
        <v>1831.4126589147288</v>
      </c>
      <c r="AZ273" s="150">
        <f t="shared" si="1618"/>
        <v>3662.8253178294576</v>
      </c>
      <c r="BA273" s="375">
        <f t="shared" ref="BA273:BA277" si="1643">AO273*(1+BA$263)</f>
        <v>0</v>
      </c>
      <c r="BB273" s="375">
        <f t="shared" si="1619"/>
        <v>1886.3550386821707</v>
      </c>
      <c r="BC273" s="375">
        <f t="shared" si="1620"/>
        <v>1886.3550386821707</v>
      </c>
      <c r="BD273" s="375">
        <f t="shared" si="1621"/>
        <v>1886.3550386821707</v>
      </c>
      <c r="BE273" s="375">
        <f t="shared" si="1622"/>
        <v>1886.3550386821707</v>
      </c>
      <c r="BF273" s="375">
        <f t="shared" si="1623"/>
        <v>1886.3550386821707</v>
      </c>
      <c r="BG273" s="375">
        <f t="shared" si="1624"/>
        <v>1886.3550386821707</v>
      </c>
      <c r="BH273" s="375">
        <f t="shared" si="1625"/>
        <v>1886.3550386821707</v>
      </c>
      <c r="BI273" s="375">
        <f t="shared" si="1626"/>
        <v>1886.3550386821707</v>
      </c>
      <c r="BJ273" s="375">
        <f t="shared" si="1627"/>
        <v>1886.3550386821707</v>
      </c>
      <c r="BK273" s="375">
        <f t="shared" si="1628"/>
        <v>1886.3550386821707</v>
      </c>
      <c r="BL273" s="375">
        <f t="shared" si="1629"/>
        <v>3772.7100773643415</v>
      </c>
      <c r="BM273" s="375">
        <f t="shared" si="1630"/>
        <v>0</v>
      </c>
      <c r="BN273" s="375">
        <f t="shared" si="1631"/>
        <v>1942.9456898426358</v>
      </c>
      <c r="BO273" s="375">
        <f t="shared" si="1632"/>
        <v>1942.9456898426358</v>
      </c>
      <c r="BP273" s="375">
        <f t="shared" si="1633"/>
        <v>1942.9456898426358</v>
      </c>
      <c r="BQ273" s="375">
        <f t="shared" si="1634"/>
        <v>1942.9456898426358</v>
      </c>
      <c r="BR273" s="375">
        <f t="shared" si="1635"/>
        <v>1942.9456898426358</v>
      </c>
      <c r="BS273" s="375">
        <f t="shared" si="1636"/>
        <v>1942.9456898426358</v>
      </c>
      <c r="BT273" s="375">
        <f t="shared" si="1637"/>
        <v>1942.9456898426358</v>
      </c>
      <c r="BU273" s="375">
        <f t="shared" si="1638"/>
        <v>1942.9456898426358</v>
      </c>
      <c r="BV273" s="375">
        <f t="shared" si="1639"/>
        <v>1942.9456898426358</v>
      </c>
      <c r="BW273" s="375">
        <f t="shared" si="1640"/>
        <v>1942.9456898426358</v>
      </c>
      <c r="BX273" s="375">
        <f t="shared" si="1641"/>
        <v>3885.8913796852717</v>
      </c>
    </row>
    <row r="274" spans="1:77" x14ac:dyDescent="0.3">
      <c r="A274" s="133" t="s">
        <v>380</v>
      </c>
      <c r="Q274" s="52"/>
      <c r="R274" s="52">
        <f t="shared" ref="R274:X274" si="1644">R87/R267</f>
        <v>3243.4366666666665</v>
      </c>
      <c r="S274" s="52">
        <f t="shared" si="1644"/>
        <v>4169.0733333333328</v>
      </c>
      <c r="T274" s="52">
        <f t="shared" si="1644"/>
        <v>3893.2750000000001</v>
      </c>
      <c r="U274" s="52">
        <f t="shared" si="1644"/>
        <v>3993.5149999999999</v>
      </c>
      <c r="V274" s="52">
        <f t="shared" si="1644"/>
        <v>3658.603333333333</v>
      </c>
      <c r="W274" s="52">
        <f t="shared" si="1644"/>
        <v>3286.3799999999997</v>
      </c>
      <c r="X274" s="52">
        <f t="shared" si="1644"/>
        <v>4085.3933333333334</v>
      </c>
      <c r="Y274" s="134">
        <f t="shared" si="1642"/>
        <v>3676.7922222222223</v>
      </c>
      <c r="Z274" s="134">
        <f t="shared" si="1617"/>
        <v>3676.7922222222223</v>
      </c>
      <c r="AA274" s="134">
        <f t="shared" si="1617"/>
        <v>3676.7922222222223</v>
      </c>
      <c r="AB274" s="134">
        <f t="shared" si="1617"/>
        <v>7353.5844444444447</v>
      </c>
      <c r="AC274" s="134">
        <f t="shared" si="1617"/>
        <v>0</v>
      </c>
      <c r="AD274" s="134">
        <f t="shared" si="1617"/>
        <v>3676.7922222222223</v>
      </c>
      <c r="AE274" s="134">
        <f t="shared" si="1617"/>
        <v>3676.7922222222223</v>
      </c>
      <c r="AF274" s="134">
        <f t="shared" si="1617"/>
        <v>3676.7922222222223</v>
      </c>
      <c r="AG274" s="134">
        <f t="shared" si="1617"/>
        <v>3676.7922222222223</v>
      </c>
      <c r="AH274" s="134">
        <f t="shared" si="1617"/>
        <v>3676.7922222222223</v>
      </c>
      <c r="AI274" s="134">
        <f t="shared" si="1617"/>
        <v>3676.7922222222223</v>
      </c>
      <c r="AJ274" s="134">
        <f t="shared" si="1617"/>
        <v>3676.7922222222223</v>
      </c>
      <c r="AK274" s="134">
        <f t="shared" si="1617"/>
        <v>3676.7922222222223</v>
      </c>
      <c r="AL274" s="134">
        <f t="shared" si="1617"/>
        <v>3676.7922222222223</v>
      </c>
      <c r="AM274" s="134">
        <f t="shared" si="1617"/>
        <v>3676.7922222222223</v>
      </c>
      <c r="AN274" s="134">
        <f t="shared" si="1617"/>
        <v>7353.5844444444447</v>
      </c>
      <c r="AO274" s="150">
        <f t="shared" si="1618"/>
        <v>0</v>
      </c>
      <c r="AP274" s="150">
        <f t="shared" si="1618"/>
        <v>3787.0959888888892</v>
      </c>
      <c r="AQ274" s="150">
        <f t="shared" si="1618"/>
        <v>3787.0959888888892</v>
      </c>
      <c r="AR274" s="150">
        <f t="shared" si="1618"/>
        <v>3787.0959888888892</v>
      </c>
      <c r="AS274" s="150">
        <f t="shared" si="1618"/>
        <v>3787.0959888888892</v>
      </c>
      <c r="AT274" s="150">
        <f t="shared" si="1618"/>
        <v>3787.0959888888892</v>
      </c>
      <c r="AU274" s="150">
        <f t="shared" si="1618"/>
        <v>3787.0959888888892</v>
      </c>
      <c r="AV274" s="150">
        <f t="shared" si="1618"/>
        <v>3787.0959888888892</v>
      </c>
      <c r="AW274" s="150">
        <f t="shared" si="1618"/>
        <v>3787.0959888888892</v>
      </c>
      <c r="AX274" s="150">
        <f t="shared" si="1618"/>
        <v>3787.0959888888892</v>
      </c>
      <c r="AY274" s="150">
        <f t="shared" si="1618"/>
        <v>3787.0959888888892</v>
      </c>
      <c r="AZ274" s="150">
        <f t="shared" si="1618"/>
        <v>7574.1919777777784</v>
      </c>
      <c r="BA274" s="375">
        <f t="shared" si="1643"/>
        <v>0</v>
      </c>
      <c r="BB274" s="375">
        <f t="shared" si="1619"/>
        <v>3900.7088685555559</v>
      </c>
      <c r="BC274" s="375">
        <f t="shared" si="1620"/>
        <v>3900.7088685555559</v>
      </c>
      <c r="BD274" s="375">
        <f t="shared" si="1621"/>
        <v>3900.7088685555559</v>
      </c>
      <c r="BE274" s="375">
        <f t="shared" si="1622"/>
        <v>3900.7088685555559</v>
      </c>
      <c r="BF274" s="375">
        <f t="shared" si="1623"/>
        <v>3900.7088685555559</v>
      </c>
      <c r="BG274" s="375">
        <f t="shared" si="1624"/>
        <v>3900.7088685555559</v>
      </c>
      <c r="BH274" s="375">
        <f t="shared" si="1625"/>
        <v>3900.7088685555559</v>
      </c>
      <c r="BI274" s="375">
        <f t="shared" si="1626"/>
        <v>3900.7088685555559</v>
      </c>
      <c r="BJ274" s="375">
        <f t="shared" si="1627"/>
        <v>3900.7088685555559</v>
      </c>
      <c r="BK274" s="375">
        <f t="shared" si="1628"/>
        <v>3900.7088685555559</v>
      </c>
      <c r="BL274" s="375">
        <f t="shared" si="1629"/>
        <v>7801.4177371111118</v>
      </c>
      <c r="BM274" s="375">
        <f t="shared" si="1630"/>
        <v>0</v>
      </c>
      <c r="BN274" s="375">
        <f t="shared" si="1631"/>
        <v>4017.7301346122226</v>
      </c>
      <c r="BO274" s="375">
        <f t="shared" si="1632"/>
        <v>4017.7301346122226</v>
      </c>
      <c r="BP274" s="375">
        <f t="shared" si="1633"/>
        <v>4017.7301346122226</v>
      </c>
      <c r="BQ274" s="375">
        <f t="shared" si="1634"/>
        <v>4017.7301346122226</v>
      </c>
      <c r="BR274" s="375">
        <f t="shared" si="1635"/>
        <v>4017.7301346122226</v>
      </c>
      <c r="BS274" s="375">
        <f t="shared" si="1636"/>
        <v>4017.7301346122226</v>
      </c>
      <c r="BT274" s="375">
        <f t="shared" si="1637"/>
        <v>4017.7301346122226</v>
      </c>
      <c r="BU274" s="375">
        <f t="shared" si="1638"/>
        <v>4017.7301346122226</v>
      </c>
      <c r="BV274" s="375">
        <f t="shared" si="1639"/>
        <v>4017.7301346122226</v>
      </c>
      <c r="BW274" s="375">
        <f t="shared" si="1640"/>
        <v>4017.7301346122226</v>
      </c>
      <c r="BX274" s="375">
        <f t="shared" si="1641"/>
        <v>8035.4602692244453</v>
      </c>
    </row>
    <row r="275" spans="1:77" x14ac:dyDescent="0.3">
      <c r="A275" s="133" t="s">
        <v>374</v>
      </c>
      <c r="Q275" s="52"/>
      <c r="R275" s="52">
        <f t="shared" ref="R275:X275" si="1645">R115/R268</f>
        <v>7312.93</v>
      </c>
      <c r="S275" s="52">
        <f t="shared" si="1645"/>
        <v>7324.63</v>
      </c>
      <c r="T275" s="52">
        <f t="shared" si="1645"/>
        <v>7312.93</v>
      </c>
      <c r="U275" s="52">
        <f t="shared" si="1645"/>
        <v>7312.93</v>
      </c>
      <c r="V275" s="52">
        <f t="shared" si="1645"/>
        <v>7390.93</v>
      </c>
      <c r="W275" s="52">
        <f t="shared" si="1645"/>
        <v>7312.93</v>
      </c>
      <c r="X275" s="52">
        <f t="shared" si="1645"/>
        <v>7312.93</v>
      </c>
      <c r="Y275" s="134">
        <f t="shared" si="1642"/>
        <v>7338.93</v>
      </c>
      <c r="Z275" s="134">
        <f t="shared" si="1617"/>
        <v>7338.93</v>
      </c>
      <c r="AA275" s="134">
        <f t="shared" si="1617"/>
        <v>7338.93</v>
      </c>
      <c r="AB275" s="134">
        <f t="shared" si="1617"/>
        <v>14677.86</v>
      </c>
      <c r="AC275" s="134">
        <f t="shared" si="1617"/>
        <v>0</v>
      </c>
      <c r="AD275" s="134">
        <f t="shared" si="1617"/>
        <v>7338.93</v>
      </c>
      <c r="AE275" s="134">
        <f t="shared" si="1617"/>
        <v>7338.93</v>
      </c>
      <c r="AF275" s="134">
        <f t="shared" si="1617"/>
        <v>7338.93</v>
      </c>
      <c r="AG275" s="134">
        <f t="shared" si="1617"/>
        <v>7338.93</v>
      </c>
      <c r="AH275" s="134">
        <f t="shared" si="1617"/>
        <v>7338.93</v>
      </c>
      <c r="AI275" s="134">
        <f t="shared" si="1617"/>
        <v>7338.93</v>
      </c>
      <c r="AJ275" s="134">
        <f t="shared" si="1617"/>
        <v>7338.93</v>
      </c>
      <c r="AK275" s="134">
        <f t="shared" si="1617"/>
        <v>7338.93</v>
      </c>
      <c r="AL275" s="134">
        <f t="shared" si="1617"/>
        <v>7338.93</v>
      </c>
      <c r="AM275" s="134">
        <f t="shared" si="1617"/>
        <v>7338.93</v>
      </c>
      <c r="AN275" s="134">
        <f t="shared" si="1617"/>
        <v>14677.86</v>
      </c>
      <c r="AO275" s="150">
        <f t="shared" si="1618"/>
        <v>0</v>
      </c>
      <c r="AP275" s="150">
        <f t="shared" si="1618"/>
        <v>7559.0979000000007</v>
      </c>
      <c r="AQ275" s="150">
        <f t="shared" si="1618"/>
        <v>7559.0979000000007</v>
      </c>
      <c r="AR275" s="150">
        <f t="shared" si="1618"/>
        <v>7559.0979000000007</v>
      </c>
      <c r="AS275" s="150">
        <f t="shared" si="1618"/>
        <v>7559.0979000000007</v>
      </c>
      <c r="AT275" s="150">
        <f t="shared" si="1618"/>
        <v>7559.0979000000007</v>
      </c>
      <c r="AU275" s="150">
        <f t="shared" si="1618"/>
        <v>7559.0979000000007</v>
      </c>
      <c r="AV275" s="150">
        <f t="shared" si="1618"/>
        <v>7559.0979000000007</v>
      </c>
      <c r="AW275" s="150">
        <f t="shared" si="1618"/>
        <v>7559.0979000000007</v>
      </c>
      <c r="AX275" s="150">
        <f t="shared" si="1618"/>
        <v>7559.0979000000007</v>
      </c>
      <c r="AY275" s="150">
        <f t="shared" si="1618"/>
        <v>7559.0979000000007</v>
      </c>
      <c r="AZ275" s="150">
        <f t="shared" si="1618"/>
        <v>15118.195800000001</v>
      </c>
      <c r="BA275" s="375">
        <f t="shared" si="1643"/>
        <v>0</v>
      </c>
      <c r="BB275" s="375">
        <f t="shared" si="1619"/>
        <v>7785.8708370000013</v>
      </c>
      <c r="BC275" s="375">
        <f t="shared" si="1620"/>
        <v>7785.8708370000013</v>
      </c>
      <c r="BD275" s="375">
        <f t="shared" si="1621"/>
        <v>7785.8708370000013</v>
      </c>
      <c r="BE275" s="375">
        <f t="shared" si="1622"/>
        <v>7785.8708370000013</v>
      </c>
      <c r="BF275" s="375">
        <f t="shared" si="1623"/>
        <v>7785.8708370000013</v>
      </c>
      <c r="BG275" s="375">
        <f t="shared" si="1624"/>
        <v>7785.8708370000013</v>
      </c>
      <c r="BH275" s="375">
        <f t="shared" si="1625"/>
        <v>7785.8708370000013</v>
      </c>
      <c r="BI275" s="375">
        <f t="shared" si="1626"/>
        <v>7785.8708370000013</v>
      </c>
      <c r="BJ275" s="375">
        <f t="shared" si="1627"/>
        <v>7785.8708370000013</v>
      </c>
      <c r="BK275" s="375">
        <f t="shared" si="1628"/>
        <v>7785.8708370000013</v>
      </c>
      <c r="BL275" s="375">
        <f t="shared" si="1629"/>
        <v>15571.741674000003</v>
      </c>
      <c r="BM275" s="375">
        <f t="shared" si="1630"/>
        <v>0</v>
      </c>
      <c r="BN275" s="375">
        <f t="shared" si="1631"/>
        <v>8019.4469621100016</v>
      </c>
      <c r="BO275" s="375">
        <f t="shared" si="1632"/>
        <v>8019.4469621100016</v>
      </c>
      <c r="BP275" s="375">
        <f t="shared" si="1633"/>
        <v>8019.4469621100016</v>
      </c>
      <c r="BQ275" s="375">
        <f t="shared" si="1634"/>
        <v>8019.4469621100016</v>
      </c>
      <c r="BR275" s="375">
        <f t="shared" si="1635"/>
        <v>8019.4469621100016</v>
      </c>
      <c r="BS275" s="375">
        <f t="shared" si="1636"/>
        <v>8019.4469621100016</v>
      </c>
      <c r="BT275" s="375">
        <f t="shared" si="1637"/>
        <v>8019.4469621100016</v>
      </c>
      <c r="BU275" s="375">
        <f t="shared" si="1638"/>
        <v>8019.4469621100016</v>
      </c>
      <c r="BV275" s="375">
        <f t="shared" si="1639"/>
        <v>8019.4469621100016</v>
      </c>
      <c r="BW275" s="375">
        <f t="shared" si="1640"/>
        <v>8019.4469621100016</v>
      </c>
      <c r="BX275" s="375">
        <f t="shared" si="1641"/>
        <v>16038.893924220003</v>
      </c>
    </row>
    <row r="276" spans="1:77" x14ac:dyDescent="0.3">
      <c r="A276" s="133" t="s">
        <v>378</v>
      </c>
      <c r="Q276" s="52"/>
      <c r="R276" s="52">
        <f t="shared" ref="R276:X277" si="1646">R144/R269</f>
        <v>3881.16</v>
      </c>
      <c r="S276" s="52">
        <f t="shared" si="1646"/>
        <v>3904.56</v>
      </c>
      <c r="T276" s="52">
        <f t="shared" si="1646"/>
        <v>3881.16</v>
      </c>
      <c r="U276" s="52">
        <f t="shared" si="1646"/>
        <v>3881.16</v>
      </c>
      <c r="V276" s="52">
        <f t="shared" si="1646"/>
        <v>3900.66</v>
      </c>
      <c r="W276" s="52">
        <f t="shared" si="1646"/>
        <v>3881.16</v>
      </c>
      <c r="X276" s="52">
        <f t="shared" si="1646"/>
        <v>3881.16</v>
      </c>
      <c r="Y276" s="134">
        <f t="shared" si="1642"/>
        <v>3887.66</v>
      </c>
      <c r="Z276" s="134">
        <f t="shared" si="1617"/>
        <v>3887.66</v>
      </c>
      <c r="AA276" s="134">
        <f t="shared" si="1617"/>
        <v>3887.66</v>
      </c>
      <c r="AB276" s="134">
        <f t="shared" si="1617"/>
        <v>7775.32</v>
      </c>
      <c r="AC276" s="134">
        <f t="shared" si="1617"/>
        <v>0</v>
      </c>
      <c r="AD276" s="134">
        <f t="shared" si="1617"/>
        <v>3887.66</v>
      </c>
      <c r="AE276" s="134">
        <f t="shared" si="1617"/>
        <v>3887.66</v>
      </c>
      <c r="AF276" s="134">
        <f t="shared" si="1617"/>
        <v>3887.66</v>
      </c>
      <c r="AG276" s="134">
        <f t="shared" si="1617"/>
        <v>3887.66</v>
      </c>
      <c r="AH276" s="134">
        <f t="shared" si="1617"/>
        <v>3887.66</v>
      </c>
      <c r="AI276" s="134">
        <f t="shared" si="1617"/>
        <v>3887.66</v>
      </c>
      <c r="AJ276" s="134">
        <f t="shared" si="1617"/>
        <v>3887.66</v>
      </c>
      <c r="AK276" s="134">
        <f t="shared" si="1617"/>
        <v>3887.66</v>
      </c>
      <c r="AL276" s="134">
        <f t="shared" si="1617"/>
        <v>3887.66</v>
      </c>
      <c r="AM276" s="134">
        <f t="shared" si="1617"/>
        <v>3887.66</v>
      </c>
      <c r="AN276" s="134">
        <f t="shared" si="1617"/>
        <v>7775.32</v>
      </c>
      <c r="AO276" s="150">
        <f t="shared" si="1618"/>
        <v>0</v>
      </c>
      <c r="AP276" s="150">
        <f t="shared" si="1618"/>
        <v>4004.2898</v>
      </c>
      <c r="AQ276" s="150">
        <f t="shared" si="1618"/>
        <v>4004.2898</v>
      </c>
      <c r="AR276" s="150">
        <f t="shared" si="1618"/>
        <v>4004.2898</v>
      </c>
      <c r="AS276" s="150">
        <f t="shared" si="1618"/>
        <v>4004.2898</v>
      </c>
      <c r="AT276" s="150">
        <f t="shared" si="1618"/>
        <v>4004.2898</v>
      </c>
      <c r="AU276" s="150">
        <f t="shared" si="1618"/>
        <v>4004.2898</v>
      </c>
      <c r="AV276" s="150">
        <f t="shared" si="1618"/>
        <v>4004.2898</v>
      </c>
      <c r="AW276" s="150">
        <f t="shared" si="1618"/>
        <v>4004.2898</v>
      </c>
      <c r="AX276" s="150">
        <f t="shared" si="1618"/>
        <v>4004.2898</v>
      </c>
      <c r="AY276" s="150">
        <f t="shared" si="1618"/>
        <v>4004.2898</v>
      </c>
      <c r="AZ276" s="150">
        <f t="shared" si="1618"/>
        <v>8008.5796</v>
      </c>
      <c r="BA276" s="375">
        <f t="shared" si="1643"/>
        <v>0</v>
      </c>
      <c r="BB276" s="375">
        <f t="shared" si="1619"/>
        <v>4124.4184940000005</v>
      </c>
      <c r="BC276" s="375">
        <f t="shared" si="1620"/>
        <v>4124.4184940000005</v>
      </c>
      <c r="BD276" s="375">
        <f t="shared" si="1621"/>
        <v>4124.4184940000005</v>
      </c>
      <c r="BE276" s="375">
        <f t="shared" si="1622"/>
        <v>4124.4184940000005</v>
      </c>
      <c r="BF276" s="375">
        <f t="shared" si="1623"/>
        <v>4124.4184940000005</v>
      </c>
      <c r="BG276" s="375">
        <f t="shared" si="1624"/>
        <v>4124.4184940000005</v>
      </c>
      <c r="BH276" s="375">
        <f t="shared" si="1625"/>
        <v>4124.4184940000005</v>
      </c>
      <c r="BI276" s="375">
        <f t="shared" si="1626"/>
        <v>4124.4184940000005</v>
      </c>
      <c r="BJ276" s="375">
        <f t="shared" si="1627"/>
        <v>4124.4184940000005</v>
      </c>
      <c r="BK276" s="375">
        <f t="shared" si="1628"/>
        <v>4124.4184940000005</v>
      </c>
      <c r="BL276" s="375">
        <f t="shared" si="1629"/>
        <v>8248.8369880000009</v>
      </c>
      <c r="BM276" s="375">
        <f t="shared" si="1630"/>
        <v>0</v>
      </c>
      <c r="BN276" s="375">
        <f t="shared" si="1631"/>
        <v>4248.1510488200001</v>
      </c>
      <c r="BO276" s="375">
        <f t="shared" si="1632"/>
        <v>4248.1510488200001</v>
      </c>
      <c r="BP276" s="375">
        <f t="shared" si="1633"/>
        <v>4248.1510488200001</v>
      </c>
      <c r="BQ276" s="375">
        <f t="shared" si="1634"/>
        <v>4248.1510488200001</v>
      </c>
      <c r="BR276" s="375">
        <f t="shared" si="1635"/>
        <v>4248.1510488200001</v>
      </c>
      <c r="BS276" s="375">
        <f t="shared" si="1636"/>
        <v>4248.1510488200001</v>
      </c>
      <c r="BT276" s="375">
        <f t="shared" si="1637"/>
        <v>4248.1510488200001</v>
      </c>
      <c r="BU276" s="375">
        <f t="shared" si="1638"/>
        <v>4248.1510488200001</v>
      </c>
      <c r="BV276" s="375">
        <f t="shared" si="1639"/>
        <v>4248.1510488200001</v>
      </c>
      <c r="BW276" s="375">
        <f t="shared" si="1640"/>
        <v>4248.1510488200001</v>
      </c>
      <c r="BX276" s="375">
        <f t="shared" si="1641"/>
        <v>8496.3020976400003</v>
      </c>
    </row>
    <row r="277" spans="1:77" x14ac:dyDescent="0.3">
      <c r="A277" s="133" t="s">
        <v>379</v>
      </c>
      <c r="Q277" s="52"/>
      <c r="R277" s="52">
        <f t="shared" si="1646"/>
        <v>1858.94</v>
      </c>
      <c r="S277" s="52">
        <f t="shared" si="1646"/>
        <v>1882.34</v>
      </c>
      <c r="T277" s="52">
        <f t="shared" si="1646"/>
        <v>1858.94</v>
      </c>
      <c r="U277" s="52">
        <f t="shared" si="1646"/>
        <v>1858.94</v>
      </c>
      <c r="V277" s="52">
        <f t="shared" si="1646"/>
        <v>2237.2399999999998</v>
      </c>
      <c r="W277" s="52">
        <f t="shared" si="1646"/>
        <v>2092.94</v>
      </c>
      <c r="X277" s="52">
        <f t="shared" si="1646"/>
        <v>2325.4499999999998</v>
      </c>
      <c r="Y277" s="134">
        <f t="shared" si="1642"/>
        <v>2218.5433333333335</v>
      </c>
      <c r="Z277" s="134">
        <f t="shared" si="1617"/>
        <v>2218.5433333333335</v>
      </c>
      <c r="AA277" s="134">
        <f t="shared" si="1617"/>
        <v>2218.5433333333335</v>
      </c>
      <c r="AB277" s="134">
        <f t="shared" si="1617"/>
        <v>4437.086666666667</v>
      </c>
      <c r="AC277" s="134">
        <f t="shared" si="1617"/>
        <v>0</v>
      </c>
      <c r="AD277" s="134">
        <f t="shared" si="1617"/>
        <v>2218.5433333333335</v>
      </c>
      <c r="AE277" s="134">
        <f t="shared" si="1617"/>
        <v>2218.5433333333335</v>
      </c>
      <c r="AF277" s="134">
        <f t="shared" si="1617"/>
        <v>2218.5433333333335</v>
      </c>
      <c r="AG277" s="134">
        <f t="shared" si="1617"/>
        <v>2218.5433333333335</v>
      </c>
      <c r="AH277" s="134">
        <f t="shared" si="1617"/>
        <v>2218.5433333333335</v>
      </c>
      <c r="AI277" s="134">
        <f t="shared" si="1617"/>
        <v>2218.5433333333335</v>
      </c>
      <c r="AJ277" s="134">
        <f t="shared" si="1617"/>
        <v>2218.5433333333335</v>
      </c>
      <c r="AK277" s="134">
        <f t="shared" si="1617"/>
        <v>2218.5433333333335</v>
      </c>
      <c r="AL277" s="134">
        <f t="shared" si="1617"/>
        <v>2218.5433333333335</v>
      </c>
      <c r="AM277" s="134">
        <f t="shared" si="1617"/>
        <v>2218.5433333333335</v>
      </c>
      <c r="AN277" s="134">
        <f t="shared" si="1617"/>
        <v>4437.086666666667</v>
      </c>
      <c r="AO277" s="150">
        <f t="shared" si="1618"/>
        <v>0</v>
      </c>
      <c r="AP277" s="150">
        <f t="shared" si="1618"/>
        <v>2285.0996333333337</v>
      </c>
      <c r="AQ277" s="150">
        <f t="shared" si="1618"/>
        <v>2285.0996333333337</v>
      </c>
      <c r="AR277" s="150">
        <f t="shared" si="1618"/>
        <v>2285.0996333333337</v>
      </c>
      <c r="AS277" s="150">
        <f t="shared" si="1618"/>
        <v>2285.0996333333337</v>
      </c>
      <c r="AT277" s="150">
        <f t="shared" si="1618"/>
        <v>2285.0996333333337</v>
      </c>
      <c r="AU277" s="150">
        <f t="shared" si="1618"/>
        <v>2285.0996333333337</v>
      </c>
      <c r="AV277" s="150">
        <f t="shared" si="1618"/>
        <v>2285.0996333333337</v>
      </c>
      <c r="AW277" s="150">
        <f t="shared" si="1618"/>
        <v>2285.0996333333337</v>
      </c>
      <c r="AX277" s="150">
        <f t="shared" si="1618"/>
        <v>2285.0996333333337</v>
      </c>
      <c r="AY277" s="150">
        <f t="shared" si="1618"/>
        <v>2285.0996333333337</v>
      </c>
      <c r="AZ277" s="150">
        <f t="shared" si="1618"/>
        <v>4570.1992666666674</v>
      </c>
      <c r="BA277" s="375">
        <f t="shared" si="1643"/>
        <v>0</v>
      </c>
      <c r="BB277" s="375">
        <f t="shared" si="1619"/>
        <v>2353.652622333334</v>
      </c>
      <c r="BC277" s="375">
        <f t="shared" si="1620"/>
        <v>2353.652622333334</v>
      </c>
      <c r="BD277" s="375">
        <f t="shared" si="1621"/>
        <v>2353.652622333334</v>
      </c>
      <c r="BE277" s="375">
        <f t="shared" si="1622"/>
        <v>2353.652622333334</v>
      </c>
      <c r="BF277" s="375">
        <f t="shared" si="1623"/>
        <v>2353.652622333334</v>
      </c>
      <c r="BG277" s="375">
        <f t="shared" si="1624"/>
        <v>2353.652622333334</v>
      </c>
      <c r="BH277" s="375">
        <f t="shared" si="1625"/>
        <v>2353.652622333334</v>
      </c>
      <c r="BI277" s="375">
        <f t="shared" si="1626"/>
        <v>2353.652622333334</v>
      </c>
      <c r="BJ277" s="375">
        <f t="shared" si="1627"/>
        <v>2353.652622333334</v>
      </c>
      <c r="BK277" s="375">
        <f t="shared" si="1628"/>
        <v>2353.652622333334</v>
      </c>
      <c r="BL277" s="375">
        <f t="shared" si="1629"/>
        <v>4707.3052446666679</v>
      </c>
      <c r="BM277" s="375">
        <f t="shared" si="1630"/>
        <v>0</v>
      </c>
      <c r="BN277" s="375">
        <f t="shared" si="1631"/>
        <v>2424.2622010033342</v>
      </c>
      <c r="BO277" s="375">
        <f t="shared" si="1632"/>
        <v>2424.2622010033342</v>
      </c>
      <c r="BP277" s="375">
        <f t="shared" si="1633"/>
        <v>2424.2622010033342</v>
      </c>
      <c r="BQ277" s="375">
        <f t="shared" si="1634"/>
        <v>2424.2622010033342</v>
      </c>
      <c r="BR277" s="375">
        <f t="shared" si="1635"/>
        <v>2424.2622010033342</v>
      </c>
      <c r="BS277" s="375">
        <f t="shared" si="1636"/>
        <v>2424.2622010033342</v>
      </c>
      <c r="BT277" s="375">
        <f t="shared" si="1637"/>
        <v>2424.2622010033342</v>
      </c>
      <c r="BU277" s="375">
        <f t="shared" si="1638"/>
        <v>2424.2622010033342</v>
      </c>
      <c r="BV277" s="375">
        <f t="shared" si="1639"/>
        <v>2424.2622010033342</v>
      </c>
      <c r="BW277" s="375">
        <f t="shared" si="1640"/>
        <v>2424.2622010033342</v>
      </c>
      <c r="BX277" s="375">
        <f t="shared" si="1641"/>
        <v>4848.5244020066684</v>
      </c>
    </row>
    <row r="279" spans="1:77" x14ac:dyDescent="0.3">
      <c r="A279" s="1" t="s">
        <v>412</v>
      </c>
    </row>
    <row r="280" spans="1:77" x14ac:dyDescent="0.3">
      <c r="A280" s="33" t="s">
        <v>352</v>
      </c>
      <c r="D280" s="418">
        <f t="shared" ref="D280:Y280" si="1647">D10/C10-1</f>
        <v>-0.20967741935483875</v>
      </c>
      <c r="E280" s="418">
        <f t="shared" si="1647"/>
        <v>0</v>
      </c>
      <c r="F280" s="418">
        <f t="shared" si="1647"/>
        <v>-0.30612244897959184</v>
      </c>
      <c r="G280" s="418">
        <f t="shared" si="1647"/>
        <v>0.14705882352941169</v>
      </c>
      <c r="H280" s="418">
        <f t="shared" si="1647"/>
        <v>0</v>
      </c>
      <c r="I280" s="418">
        <f t="shared" si="1647"/>
        <v>7.6923076923076872E-2</v>
      </c>
      <c r="J280" s="418">
        <f t="shared" si="1647"/>
        <v>-4.7619047619047672E-2</v>
      </c>
      <c r="K280" s="418">
        <f t="shared" si="1647"/>
        <v>0</v>
      </c>
      <c r="L280" s="418">
        <f t="shared" si="1647"/>
        <v>0</v>
      </c>
      <c r="M280" s="418">
        <f t="shared" si="1647"/>
        <v>-2.5000000000000022E-2</v>
      </c>
      <c r="N280" s="418">
        <f t="shared" si="1647"/>
        <v>0</v>
      </c>
      <c r="O280" s="418">
        <f t="shared" si="1647"/>
        <v>0</v>
      </c>
      <c r="P280" s="418">
        <f t="shared" si="1647"/>
        <v>0</v>
      </c>
      <c r="Q280" s="418">
        <f t="shared" si="1647"/>
        <v>0</v>
      </c>
      <c r="R280" s="418">
        <f t="shared" si="1647"/>
        <v>0.17948717948717952</v>
      </c>
      <c r="S280" s="418">
        <f t="shared" si="1647"/>
        <v>-2.1739130434782594E-2</v>
      </c>
      <c r="T280" s="418">
        <f t="shared" si="1647"/>
        <v>-4.4444444444444398E-2</v>
      </c>
      <c r="U280" s="418">
        <f t="shared" si="1647"/>
        <v>-4.6511627906976716E-2</v>
      </c>
      <c r="V280" s="418">
        <f t="shared" si="1647"/>
        <v>0</v>
      </c>
      <c r="W280" s="418">
        <f t="shared" si="1647"/>
        <v>0</v>
      </c>
      <c r="X280" s="418">
        <f t="shared" si="1647"/>
        <v>-2.4390243902439046E-2</v>
      </c>
      <c r="Y280" s="418">
        <f t="shared" si="1647"/>
        <v>-2.5000000000000022E-2</v>
      </c>
      <c r="Z280" s="423">
        <f t="shared" ref="Z280:AC284" si="1648">N280</f>
        <v>0</v>
      </c>
      <c r="AA280" s="423">
        <f t="shared" si="1648"/>
        <v>0</v>
      </c>
      <c r="AB280" s="423">
        <f t="shared" si="1648"/>
        <v>0</v>
      </c>
      <c r="AC280" s="423">
        <f t="shared" si="1648"/>
        <v>0</v>
      </c>
      <c r="AD280" s="421">
        <f>AD10/AC10-1</f>
        <v>0.35897435897435903</v>
      </c>
      <c r="AE280" s="423">
        <f>S280</f>
        <v>-2.1739130434782594E-2</v>
      </c>
      <c r="AF280" s="425">
        <v>-0.02</v>
      </c>
      <c r="AG280" s="425">
        <v>-0.02</v>
      </c>
      <c r="AH280" s="425">
        <v>0.02</v>
      </c>
      <c r="AI280" s="425">
        <v>0.03</v>
      </c>
      <c r="AJ280" s="423">
        <f>X280</f>
        <v>-2.4390243902439046E-2</v>
      </c>
      <c r="AK280" s="425">
        <v>0</v>
      </c>
      <c r="AL280" s="425">
        <v>0</v>
      </c>
      <c r="AM280" s="423">
        <f>AA280</f>
        <v>0</v>
      </c>
      <c r="AN280" s="423">
        <f>AB280</f>
        <v>0</v>
      </c>
      <c r="AO280" s="423">
        <f>AC280</f>
        <v>0</v>
      </c>
      <c r="AP280" s="421">
        <f t="shared" ref="AP280:AP288" si="1649">AP10/AO10-1</f>
        <v>7.6923076923076872E-2</v>
      </c>
      <c r="AQ280" s="423">
        <f t="shared" ref="AQ280:AQ288" si="1650">AE280</f>
        <v>-2.1739130434782594E-2</v>
      </c>
      <c r="AR280" s="423">
        <f t="shared" ref="AR280:AR288" si="1651">AF280</f>
        <v>-0.02</v>
      </c>
      <c r="AS280" s="423">
        <f t="shared" ref="AS280:AS288" si="1652">AG280</f>
        <v>-0.02</v>
      </c>
      <c r="AT280" s="423">
        <f t="shared" ref="AT280:AT288" si="1653">AH280</f>
        <v>0.02</v>
      </c>
      <c r="AU280" s="423">
        <f t="shared" ref="AU280:AU288" si="1654">AI280</f>
        <v>0.03</v>
      </c>
      <c r="AV280" s="423">
        <f t="shared" ref="AV280:AV288" si="1655">AJ280</f>
        <v>-2.4390243902439046E-2</v>
      </c>
      <c r="AW280" s="423">
        <f t="shared" ref="AW280:AW288" si="1656">AK280</f>
        <v>0</v>
      </c>
      <c r="AX280" s="423">
        <f t="shared" ref="AX280:AX288" si="1657">AL280</f>
        <v>0</v>
      </c>
      <c r="AY280" s="423">
        <f t="shared" ref="AY280:AY288" si="1658">AM280</f>
        <v>0</v>
      </c>
      <c r="AZ280" s="423">
        <f t="shared" ref="AZ280:AZ288" si="1659">AN280</f>
        <v>0</v>
      </c>
      <c r="BA280" s="423">
        <f t="shared" ref="BA280:BA288" si="1660">AO280</f>
        <v>0</v>
      </c>
      <c r="BB280" s="421">
        <f t="shared" ref="BB280:BB288" si="1661">BB10/BA10-1</f>
        <v>1.8181818181818077E-2</v>
      </c>
      <c r="BC280" s="423">
        <f t="shared" ref="BC280:BC288" si="1662">AQ280</f>
        <v>-2.1739130434782594E-2</v>
      </c>
      <c r="BD280" s="423">
        <f t="shared" ref="BD280:BD288" si="1663">AR280</f>
        <v>-0.02</v>
      </c>
      <c r="BE280" s="423">
        <f t="shared" ref="BE280:BE288" si="1664">AS280</f>
        <v>-0.02</v>
      </c>
      <c r="BF280" s="423">
        <f t="shared" ref="BF280:BF288" si="1665">AT280</f>
        <v>0.02</v>
      </c>
      <c r="BG280" s="423">
        <f t="shared" ref="BG280:BG288" si="1666">AU280</f>
        <v>0.03</v>
      </c>
      <c r="BH280" s="423">
        <f t="shared" ref="BH280:BH288" si="1667">AV280</f>
        <v>-2.4390243902439046E-2</v>
      </c>
      <c r="BI280" s="423">
        <f t="shared" ref="BI280:BI288" si="1668">AW280</f>
        <v>0</v>
      </c>
      <c r="BJ280" s="423">
        <f t="shared" ref="BJ280:BJ288" si="1669">AX280</f>
        <v>0</v>
      </c>
      <c r="BK280" s="423">
        <f t="shared" ref="BK280:BK288" si="1670">AY280</f>
        <v>0</v>
      </c>
      <c r="BL280" s="423">
        <f t="shared" ref="BL280:BL288" si="1671">AZ280</f>
        <v>0</v>
      </c>
      <c r="BM280" s="423">
        <f t="shared" ref="BM280:BM288" si="1672">BA280</f>
        <v>0</v>
      </c>
      <c r="BN280" s="421">
        <f t="shared" ref="BN280:BN288" si="1673">BN10/BM10-1</f>
        <v>1.8181818181818077E-2</v>
      </c>
      <c r="BO280" s="423">
        <f t="shared" ref="BO280:BO288" si="1674">BC280</f>
        <v>-2.1739130434782594E-2</v>
      </c>
      <c r="BP280" s="423">
        <f t="shared" ref="BP280:BP288" si="1675">BD280</f>
        <v>-0.02</v>
      </c>
      <c r="BQ280" s="423">
        <f t="shared" ref="BQ280:BQ288" si="1676">BE280</f>
        <v>-0.02</v>
      </c>
      <c r="BR280" s="423">
        <f t="shared" ref="BR280:BR288" si="1677">BF280</f>
        <v>0.02</v>
      </c>
      <c r="BS280" s="423">
        <f t="shared" ref="BS280:BS288" si="1678">BG280</f>
        <v>0.03</v>
      </c>
      <c r="BT280" s="423">
        <f t="shared" ref="BT280:BT288" si="1679">BH280</f>
        <v>-2.4390243902439046E-2</v>
      </c>
      <c r="BU280" s="423">
        <f t="shared" ref="BU280:BU288" si="1680">BI280</f>
        <v>0</v>
      </c>
      <c r="BV280" s="423">
        <f t="shared" ref="BV280:BV288" si="1681">BJ280</f>
        <v>0</v>
      </c>
      <c r="BW280" s="423">
        <f t="shared" ref="BW280:BW288" si="1682">BK280</f>
        <v>0</v>
      </c>
      <c r="BX280" s="423">
        <f t="shared" ref="BX280:BX288" si="1683">BL280</f>
        <v>0</v>
      </c>
      <c r="BY280" s="423">
        <f t="shared" ref="BY280:BY288" si="1684">BM280</f>
        <v>0</v>
      </c>
    </row>
    <row r="281" spans="1:77" x14ac:dyDescent="0.3">
      <c r="A281" s="33" t="s">
        <v>353</v>
      </c>
      <c r="D281" s="418">
        <f t="shared" ref="D281:Y281" si="1685">D11/C11-1</f>
        <v>2.1111111111111112</v>
      </c>
      <c r="E281" s="418">
        <f t="shared" si="1685"/>
        <v>0</v>
      </c>
      <c r="F281" s="418">
        <f t="shared" si="1685"/>
        <v>-0.1071428571428571</v>
      </c>
      <c r="G281" s="418">
        <f t="shared" si="1685"/>
        <v>0</v>
      </c>
      <c r="H281" s="418">
        <f t="shared" si="1685"/>
        <v>0</v>
      </c>
      <c r="I281" s="418">
        <f t="shared" si="1685"/>
        <v>0</v>
      </c>
      <c r="J281" s="418">
        <f t="shared" si="1685"/>
        <v>0</v>
      </c>
      <c r="K281" s="418">
        <f t="shared" si="1685"/>
        <v>-2.0000000000000018E-2</v>
      </c>
      <c r="L281" s="418">
        <f t="shared" si="1685"/>
        <v>-2.0408163265306145E-2</v>
      </c>
      <c r="M281" s="418">
        <f t="shared" si="1685"/>
        <v>0</v>
      </c>
      <c r="N281" s="418">
        <f t="shared" si="1685"/>
        <v>2.0833333333333259E-2</v>
      </c>
      <c r="O281" s="418">
        <f t="shared" si="1685"/>
        <v>0</v>
      </c>
      <c r="P281" s="418">
        <f t="shared" si="1685"/>
        <v>0</v>
      </c>
      <c r="Q281" s="418">
        <f t="shared" si="1685"/>
        <v>0</v>
      </c>
      <c r="R281" s="418">
        <f t="shared" si="1685"/>
        <v>-0.1428571428571429</v>
      </c>
      <c r="S281" s="418">
        <f t="shared" si="1685"/>
        <v>0</v>
      </c>
      <c r="T281" s="418">
        <f t="shared" si="1685"/>
        <v>-4.7619047619047672E-2</v>
      </c>
      <c r="U281" s="418">
        <f t="shared" si="1685"/>
        <v>2.4999999999999911E-2</v>
      </c>
      <c r="V281" s="418">
        <f t="shared" si="1685"/>
        <v>0</v>
      </c>
      <c r="W281" s="418">
        <f t="shared" si="1685"/>
        <v>4.8780487804878092E-2</v>
      </c>
      <c r="X281" s="418">
        <f t="shared" si="1685"/>
        <v>0</v>
      </c>
      <c r="Y281" s="418">
        <f t="shared" si="1685"/>
        <v>2.3255813953488413E-2</v>
      </c>
      <c r="Z281" s="423">
        <f t="shared" si="1648"/>
        <v>2.0833333333333259E-2</v>
      </c>
      <c r="AA281" s="423">
        <f t="shared" si="1648"/>
        <v>0</v>
      </c>
      <c r="AB281" s="423">
        <f t="shared" si="1648"/>
        <v>0</v>
      </c>
      <c r="AC281" s="423">
        <f t="shared" si="1648"/>
        <v>0</v>
      </c>
      <c r="AD281" s="421">
        <f>AD11/AC11-1</f>
        <v>0.20454545454545459</v>
      </c>
      <c r="AE281" s="423">
        <f>S281</f>
        <v>0</v>
      </c>
      <c r="AF281" s="423">
        <f t="shared" ref="AF281:AH282" si="1686">T281</f>
        <v>-4.7619047619047672E-2</v>
      </c>
      <c r="AG281" s="423">
        <f t="shared" si="1686"/>
        <v>2.4999999999999911E-2</v>
      </c>
      <c r="AH281" s="423">
        <f t="shared" si="1686"/>
        <v>0</v>
      </c>
      <c r="AI281" s="423">
        <v>0.03</v>
      </c>
      <c r="AJ281" s="423">
        <f t="shared" ref="AJ281:AJ285" si="1687">X281</f>
        <v>0</v>
      </c>
      <c r="AK281" s="425">
        <v>0</v>
      </c>
      <c r="AL281" s="425">
        <v>0</v>
      </c>
      <c r="AM281" s="423">
        <f t="shared" ref="AM281:AO288" si="1688">AA281</f>
        <v>0</v>
      </c>
      <c r="AN281" s="423">
        <f t="shared" si="1688"/>
        <v>0</v>
      </c>
      <c r="AO281" s="423">
        <f t="shared" si="1688"/>
        <v>0</v>
      </c>
      <c r="AP281" s="421">
        <f t="shared" si="1649"/>
        <v>5.6603773584905648E-2</v>
      </c>
      <c r="AQ281" s="423">
        <f t="shared" si="1650"/>
        <v>0</v>
      </c>
      <c r="AR281" s="423">
        <f t="shared" si="1651"/>
        <v>-4.7619047619047672E-2</v>
      </c>
      <c r="AS281" s="423">
        <f t="shared" si="1652"/>
        <v>2.4999999999999911E-2</v>
      </c>
      <c r="AT281" s="423">
        <f t="shared" si="1653"/>
        <v>0</v>
      </c>
      <c r="AU281" s="423">
        <f t="shared" si="1654"/>
        <v>0.03</v>
      </c>
      <c r="AV281" s="423">
        <f t="shared" si="1655"/>
        <v>0</v>
      </c>
      <c r="AW281" s="423">
        <f t="shared" si="1656"/>
        <v>0</v>
      </c>
      <c r="AX281" s="423">
        <f t="shared" si="1657"/>
        <v>0</v>
      </c>
      <c r="AY281" s="423">
        <f t="shared" si="1658"/>
        <v>0</v>
      </c>
      <c r="AZ281" s="423">
        <f t="shared" si="1659"/>
        <v>0</v>
      </c>
      <c r="BA281" s="423">
        <f t="shared" si="1660"/>
        <v>0</v>
      </c>
      <c r="BB281" s="421">
        <f t="shared" si="1661"/>
        <v>0</v>
      </c>
      <c r="BC281" s="423">
        <f t="shared" si="1662"/>
        <v>0</v>
      </c>
      <c r="BD281" s="423">
        <f t="shared" si="1663"/>
        <v>-4.7619047619047672E-2</v>
      </c>
      <c r="BE281" s="423">
        <f t="shared" si="1664"/>
        <v>2.4999999999999911E-2</v>
      </c>
      <c r="BF281" s="423">
        <f t="shared" si="1665"/>
        <v>0</v>
      </c>
      <c r="BG281" s="423">
        <f t="shared" si="1666"/>
        <v>0.03</v>
      </c>
      <c r="BH281" s="423">
        <f t="shared" si="1667"/>
        <v>0</v>
      </c>
      <c r="BI281" s="423">
        <f t="shared" si="1668"/>
        <v>0</v>
      </c>
      <c r="BJ281" s="423">
        <f t="shared" si="1669"/>
        <v>0</v>
      </c>
      <c r="BK281" s="423">
        <f t="shared" si="1670"/>
        <v>0</v>
      </c>
      <c r="BL281" s="423">
        <f t="shared" si="1671"/>
        <v>0</v>
      </c>
      <c r="BM281" s="423">
        <f t="shared" si="1672"/>
        <v>0</v>
      </c>
      <c r="BN281" s="421">
        <f t="shared" si="1673"/>
        <v>0</v>
      </c>
      <c r="BO281" s="423">
        <f t="shared" si="1674"/>
        <v>0</v>
      </c>
      <c r="BP281" s="423">
        <f t="shared" si="1675"/>
        <v>-4.7619047619047672E-2</v>
      </c>
      <c r="BQ281" s="423">
        <f t="shared" si="1676"/>
        <v>2.4999999999999911E-2</v>
      </c>
      <c r="BR281" s="423">
        <f t="shared" si="1677"/>
        <v>0</v>
      </c>
      <c r="BS281" s="423">
        <f t="shared" si="1678"/>
        <v>0.03</v>
      </c>
      <c r="BT281" s="423">
        <f t="shared" si="1679"/>
        <v>0</v>
      </c>
      <c r="BU281" s="423">
        <f t="shared" si="1680"/>
        <v>0</v>
      </c>
      <c r="BV281" s="423">
        <f t="shared" si="1681"/>
        <v>0</v>
      </c>
      <c r="BW281" s="423">
        <f t="shared" si="1682"/>
        <v>0</v>
      </c>
      <c r="BX281" s="423">
        <f t="shared" si="1683"/>
        <v>0</v>
      </c>
      <c r="BY281" s="423">
        <f t="shared" si="1684"/>
        <v>0</v>
      </c>
    </row>
    <row r="282" spans="1:77" x14ac:dyDescent="0.3">
      <c r="A282" s="33" t="s">
        <v>354</v>
      </c>
      <c r="D282" s="418">
        <f t="shared" ref="D282:Y282" si="1689">D12/C12-1</f>
        <v>-0.18181818181818177</v>
      </c>
      <c r="E282" s="418">
        <f t="shared" si="1689"/>
        <v>0</v>
      </c>
      <c r="F282" s="418">
        <f t="shared" si="1689"/>
        <v>1.7777777777777777</v>
      </c>
      <c r="G282" s="418">
        <f t="shared" si="1689"/>
        <v>0</v>
      </c>
      <c r="H282" s="418">
        <f t="shared" si="1689"/>
        <v>-4.0000000000000036E-2</v>
      </c>
      <c r="I282" s="418">
        <f t="shared" si="1689"/>
        <v>2.0833333333333259E-2</v>
      </c>
      <c r="J282" s="418">
        <f t="shared" si="1689"/>
        <v>0</v>
      </c>
      <c r="K282" s="418">
        <f t="shared" si="1689"/>
        <v>-2.0408163265306145E-2</v>
      </c>
      <c r="L282" s="418">
        <f t="shared" si="1689"/>
        <v>0</v>
      </c>
      <c r="M282" s="418">
        <f t="shared" si="1689"/>
        <v>-2.083333333333337E-2</v>
      </c>
      <c r="N282" s="418">
        <f t="shared" si="1689"/>
        <v>-2.1276595744680882E-2</v>
      </c>
      <c r="O282" s="418">
        <f t="shared" si="1689"/>
        <v>0</v>
      </c>
      <c r="P282" s="418">
        <f t="shared" si="1689"/>
        <v>0</v>
      </c>
      <c r="Q282" s="418">
        <f t="shared" si="1689"/>
        <v>0</v>
      </c>
      <c r="R282" s="418">
        <f t="shared" si="1689"/>
        <v>0.21739130434782616</v>
      </c>
      <c r="S282" s="418">
        <f t="shared" si="1689"/>
        <v>-3.5714285714285698E-2</v>
      </c>
      <c r="T282" s="418">
        <f t="shared" si="1689"/>
        <v>1.8518518518518601E-2</v>
      </c>
      <c r="U282" s="418">
        <f t="shared" si="1689"/>
        <v>0</v>
      </c>
      <c r="V282" s="418">
        <f t="shared" si="1689"/>
        <v>-1.8181818181818188E-2</v>
      </c>
      <c r="W282" s="418">
        <f t="shared" si="1689"/>
        <v>-1.851851851851849E-2</v>
      </c>
      <c r="X282" s="418">
        <f t="shared" si="1689"/>
        <v>-1.8867924528301883E-2</v>
      </c>
      <c r="Y282" s="418">
        <f t="shared" si="1689"/>
        <v>0</v>
      </c>
      <c r="Z282" s="423">
        <f t="shared" si="1648"/>
        <v>-2.1276595744680882E-2</v>
      </c>
      <c r="AA282" s="423">
        <f t="shared" si="1648"/>
        <v>0</v>
      </c>
      <c r="AB282" s="423">
        <f t="shared" si="1648"/>
        <v>0</v>
      </c>
      <c r="AC282" s="423">
        <f t="shared" si="1648"/>
        <v>0</v>
      </c>
      <c r="AD282" s="421">
        <f>AD12/AC12-1</f>
        <v>-1.9230769230769273E-2</v>
      </c>
      <c r="AE282" s="423">
        <f>S282</f>
        <v>-3.5714285714285698E-2</v>
      </c>
      <c r="AF282" s="423">
        <f t="shared" si="1686"/>
        <v>1.8518518518518601E-2</v>
      </c>
      <c r="AG282" s="423">
        <f t="shared" si="1686"/>
        <v>0</v>
      </c>
      <c r="AH282" s="423">
        <f t="shared" si="1686"/>
        <v>-1.8181818181818188E-2</v>
      </c>
      <c r="AI282" s="425">
        <v>0.02</v>
      </c>
      <c r="AJ282" s="423">
        <f t="shared" si="1687"/>
        <v>-1.8867924528301883E-2</v>
      </c>
      <c r="AK282" s="425">
        <v>-2.083333333333337E-2</v>
      </c>
      <c r="AL282" s="425">
        <v>0.02</v>
      </c>
      <c r="AM282" s="423">
        <f t="shared" si="1688"/>
        <v>0</v>
      </c>
      <c r="AN282" s="423">
        <f t="shared" si="1688"/>
        <v>0</v>
      </c>
      <c r="AO282" s="423">
        <f t="shared" si="1688"/>
        <v>0</v>
      </c>
      <c r="AP282" s="421">
        <f t="shared" si="1649"/>
        <v>0.14285714285714279</v>
      </c>
      <c r="AQ282" s="423">
        <f t="shared" si="1650"/>
        <v>-3.5714285714285698E-2</v>
      </c>
      <c r="AR282" s="423">
        <f t="shared" si="1651"/>
        <v>1.8518518518518601E-2</v>
      </c>
      <c r="AS282" s="423">
        <f t="shared" si="1652"/>
        <v>0</v>
      </c>
      <c r="AT282" s="423">
        <f t="shared" si="1653"/>
        <v>-1.8181818181818188E-2</v>
      </c>
      <c r="AU282" s="423">
        <f t="shared" si="1654"/>
        <v>0.02</v>
      </c>
      <c r="AV282" s="423">
        <f t="shared" si="1655"/>
        <v>-1.8867924528301883E-2</v>
      </c>
      <c r="AW282" s="423">
        <f t="shared" si="1656"/>
        <v>-2.083333333333337E-2</v>
      </c>
      <c r="AX282" s="423">
        <f t="shared" si="1657"/>
        <v>0.02</v>
      </c>
      <c r="AY282" s="423">
        <f t="shared" si="1658"/>
        <v>0</v>
      </c>
      <c r="AZ282" s="423">
        <f t="shared" si="1659"/>
        <v>0</v>
      </c>
      <c r="BA282" s="423">
        <f t="shared" si="1660"/>
        <v>0</v>
      </c>
      <c r="BB282" s="421">
        <f t="shared" si="1661"/>
        <v>3.7037037037036979E-2</v>
      </c>
      <c r="BC282" s="423">
        <f t="shared" si="1662"/>
        <v>-3.5714285714285698E-2</v>
      </c>
      <c r="BD282" s="423">
        <f t="shared" si="1663"/>
        <v>1.8518518518518601E-2</v>
      </c>
      <c r="BE282" s="423">
        <f t="shared" si="1664"/>
        <v>0</v>
      </c>
      <c r="BF282" s="423">
        <f t="shared" si="1665"/>
        <v>-1.8181818181818188E-2</v>
      </c>
      <c r="BG282" s="423">
        <f t="shared" si="1666"/>
        <v>0.02</v>
      </c>
      <c r="BH282" s="423">
        <f t="shared" si="1667"/>
        <v>-1.8867924528301883E-2</v>
      </c>
      <c r="BI282" s="423">
        <f t="shared" si="1668"/>
        <v>-2.083333333333337E-2</v>
      </c>
      <c r="BJ282" s="423">
        <f t="shared" si="1669"/>
        <v>0.02</v>
      </c>
      <c r="BK282" s="423">
        <f t="shared" si="1670"/>
        <v>0</v>
      </c>
      <c r="BL282" s="423">
        <f t="shared" si="1671"/>
        <v>0</v>
      </c>
      <c r="BM282" s="423">
        <f t="shared" si="1672"/>
        <v>0</v>
      </c>
      <c r="BN282" s="421">
        <f t="shared" si="1673"/>
        <v>3.7037037037036979E-2</v>
      </c>
      <c r="BO282" s="423">
        <f t="shared" si="1674"/>
        <v>-3.5714285714285698E-2</v>
      </c>
      <c r="BP282" s="423">
        <f t="shared" si="1675"/>
        <v>1.8518518518518601E-2</v>
      </c>
      <c r="BQ282" s="423">
        <f t="shared" si="1676"/>
        <v>0</v>
      </c>
      <c r="BR282" s="423">
        <f t="shared" si="1677"/>
        <v>-1.8181818181818188E-2</v>
      </c>
      <c r="BS282" s="423">
        <f t="shared" si="1678"/>
        <v>0.02</v>
      </c>
      <c r="BT282" s="423">
        <f t="shared" si="1679"/>
        <v>-1.8867924528301883E-2</v>
      </c>
      <c r="BU282" s="423">
        <f t="shared" si="1680"/>
        <v>-2.083333333333337E-2</v>
      </c>
      <c r="BV282" s="423">
        <f t="shared" si="1681"/>
        <v>0.02</v>
      </c>
      <c r="BW282" s="423">
        <f t="shared" si="1682"/>
        <v>0</v>
      </c>
      <c r="BX282" s="423">
        <f t="shared" si="1683"/>
        <v>0</v>
      </c>
      <c r="BY282" s="423">
        <f t="shared" si="1684"/>
        <v>0</v>
      </c>
    </row>
    <row r="283" spans="1:77" x14ac:dyDescent="0.3">
      <c r="A283" s="33" t="s">
        <v>355</v>
      </c>
      <c r="D283" s="418">
        <f t="shared" ref="D283:Y283" si="1690">D13/C13-1</f>
        <v>-0.31428571428571428</v>
      </c>
      <c r="E283" s="418">
        <f t="shared" si="1690"/>
        <v>0</v>
      </c>
      <c r="F283" s="418">
        <f t="shared" si="1690"/>
        <v>-4.166666666666663E-2</v>
      </c>
      <c r="G283" s="418">
        <f t="shared" si="1690"/>
        <v>-4.3478260869565188E-2</v>
      </c>
      <c r="H283" s="418">
        <f t="shared" si="1690"/>
        <v>4.5454545454545414E-2</v>
      </c>
      <c r="I283" s="418">
        <f t="shared" si="1690"/>
        <v>8.6956521739130377E-2</v>
      </c>
      <c r="J283" s="418">
        <f t="shared" si="1690"/>
        <v>0</v>
      </c>
      <c r="K283" s="418">
        <f t="shared" si="1690"/>
        <v>0</v>
      </c>
      <c r="L283" s="418">
        <f t="shared" si="1690"/>
        <v>4.0000000000000036E-2</v>
      </c>
      <c r="M283" s="418">
        <f t="shared" si="1690"/>
        <v>0</v>
      </c>
      <c r="N283" s="418">
        <f t="shared" si="1690"/>
        <v>0</v>
      </c>
      <c r="O283" s="418">
        <f t="shared" si="1690"/>
        <v>0</v>
      </c>
      <c r="P283" s="418">
        <f t="shared" si="1690"/>
        <v>0</v>
      </c>
      <c r="Q283" s="418">
        <f t="shared" si="1690"/>
        <v>0</v>
      </c>
      <c r="R283" s="418">
        <f t="shared" si="1690"/>
        <v>0.65384615384615374</v>
      </c>
      <c r="S283" s="418">
        <f t="shared" si="1690"/>
        <v>-2.3255813953488413E-2</v>
      </c>
      <c r="T283" s="418">
        <f t="shared" si="1690"/>
        <v>0</v>
      </c>
      <c r="U283" s="418">
        <f t="shared" si="1690"/>
        <v>-2.3809523809523836E-2</v>
      </c>
      <c r="V283" s="418">
        <f t="shared" si="1690"/>
        <v>-2.4390243902439046E-2</v>
      </c>
      <c r="W283" s="418">
        <f t="shared" si="1690"/>
        <v>0</v>
      </c>
      <c r="X283" s="418">
        <f t="shared" si="1690"/>
        <v>0</v>
      </c>
      <c r="Y283" s="418">
        <f t="shared" si="1690"/>
        <v>0</v>
      </c>
      <c r="Z283" s="423">
        <f t="shared" si="1648"/>
        <v>0</v>
      </c>
      <c r="AA283" s="423">
        <f t="shared" si="1648"/>
        <v>0</v>
      </c>
      <c r="AB283" s="423">
        <f t="shared" si="1648"/>
        <v>0</v>
      </c>
      <c r="AC283" s="423">
        <f t="shared" si="1648"/>
        <v>0</v>
      </c>
      <c r="AD283" s="421">
        <f>AD13/AC13-1</f>
        <v>0.35000000000000009</v>
      </c>
      <c r="AE283" s="423">
        <f>S283</f>
        <v>-2.3255813953488413E-2</v>
      </c>
      <c r="AF283" s="423">
        <f>T283</f>
        <v>0</v>
      </c>
      <c r="AG283" s="425">
        <v>0</v>
      </c>
      <c r="AH283" s="423">
        <f t="shared" ref="AH283:AI288" si="1691">V283</f>
        <v>-2.4390243902439046E-2</v>
      </c>
      <c r="AI283" s="423">
        <f t="shared" si="1691"/>
        <v>0</v>
      </c>
      <c r="AJ283" s="423">
        <f t="shared" si="1687"/>
        <v>0</v>
      </c>
      <c r="AK283" s="425">
        <v>0</v>
      </c>
      <c r="AL283" s="425">
        <v>0</v>
      </c>
      <c r="AM283" s="423">
        <f t="shared" si="1688"/>
        <v>0</v>
      </c>
      <c r="AN283" s="423">
        <f t="shared" si="1688"/>
        <v>0</v>
      </c>
      <c r="AO283" s="423">
        <f t="shared" si="1688"/>
        <v>0</v>
      </c>
      <c r="AP283" s="421">
        <f t="shared" si="1649"/>
        <v>7.6923076923076872E-2</v>
      </c>
      <c r="AQ283" s="423">
        <f t="shared" si="1650"/>
        <v>-2.3255813953488413E-2</v>
      </c>
      <c r="AR283" s="423">
        <f t="shared" si="1651"/>
        <v>0</v>
      </c>
      <c r="AS283" s="423">
        <f t="shared" si="1652"/>
        <v>0</v>
      </c>
      <c r="AT283" s="423">
        <f t="shared" si="1653"/>
        <v>-2.4390243902439046E-2</v>
      </c>
      <c r="AU283" s="423">
        <f t="shared" si="1654"/>
        <v>0</v>
      </c>
      <c r="AV283" s="423">
        <f t="shared" si="1655"/>
        <v>0</v>
      </c>
      <c r="AW283" s="423">
        <f t="shared" si="1656"/>
        <v>0</v>
      </c>
      <c r="AX283" s="423">
        <f t="shared" si="1657"/>
        <v>0</v>
      </c>
      <c r="AY283" s="423">
        <f t="shared" si="1658"/>
        <v>0</v>
      </c>
      <c r="AZ283" s="423">
        <f t="shared" si="1659"/>
        <v>0</v>
      </c>
      <c r="BA283" s="423">
        <f t="shared" si="1660"/>
        <v>0</v>
      </c>
      <c r="BB283" s="421">
        <f t="shared" si="1661"/>
        <v>3.7037037037036979E-2</v>
      </c>
      <c r="BC283" s="423">
        <f t="shared" si="1662"/>
        <v>-2.3255813953488413E-2</v>
      </c>
      <c r="BD283" s="423">
        <f t="shared" si="1663"/>
        <v>0</v>
      </c>
      <c r="BE283" s="423">
        <f t="shared" si="1664"/>
        <v>0</v>
      </c>
      <c r="BF283" s="423">
        <f t="shared" si="1665"/>
        <v>-2.4390243902439046E-2</v>
      </c>
      <c r="BG283" s="423">
        <f t="shared" si="1666"/>
        <v>0</v>
      </c>
      <c r="BH283" s="423">
        <f t="shared" si="1667"/>
        <v>0</v>
      </c>
      <c r="BI283" s="423">
        <f t="shared" si="1668"/>
        <v>0</v>
      </c>
      <c r="BJ283" s="423">
        <f t="shared" si="1669"/>
        <v>0</v>
      </c>
      <c r="BK283" s="423">
        <f t="shared" si="1670"/>
        <v>0</v>
      </c>
      <c r="BL283" s="423">
        <f t="shared" si="1671"/>
        <v>0</v>
      </c>
      <c r="BM283" s="423">
        <f t="shared" si="1672"/>
        <v>0</v>
      </c>
      <c r="BN283" s="421">
        <f t="shared" si="1673"/>
        <v>3.7037037037036979E-2</v>
      </c>
      <c r="BO283" s="423">
        <f t="shared" si="1674"/>
        <v>-2.3255813953488413E-2</v>
      </c>
      <c r="BP283" s="423">
        <f t="shared" si="1675"/>
        <v>0</v>
      </c>
      <c r="BQ283" s="423">
        <f t="shared" si="1676"/>
        <v>0</v>
      </c>
      <c r="BR283" s="423">
        <f t="shared" si="1677"/>
        <v>-2.4390243902439046E-2</v>
      </c>
      <c r="BS283" s="423">
        <f t="shared" si="1678"/>
        <v>0</v>
      </c>
      <c r="BT283" s="423">
        <f t="shared" si="1679"/>
        <v>0</v>
      </c>
      <c r="BU283" s="423">
        <f t="shared" si="1680"/>
        <v>0</v>
      </c>
      <c r="BV283" s="423">
        <f t="shared" si="1681"/>
        <v>0</v>
      </c>
      <c r="BW283" s="423">
        <f t="shared" si="1682"/>
        <v>0</v>
      </c>
      <c r="BX283" s="423">
        <f t="shared" si="1683"/>
        <v>0</v>
      </c>
      <c r="BY283" s="423">
        <f t="shared" si="1684"/>
        <v>0</v>
      </c>
    </row>
    <row r="284" spans="1:77" x14ac:dyDescent="0.3">
      <c r="A284" s="33" t="s">
        <v>356</v>
      </c>
      <c r="D284" s="418">
        <f t="shared" ref="D284:Y284" si="1692">D14/C14-1</f>
        <v>0.53846153846153855</v>
      </c>
      <c r="E284" s="418">
        <f t="shared" si="1692"/>
        <v>0</v>
      </c>
      <c r="F284" s="418">
        <f t="shared" si="1692"/>
        <v>-0.4</v>
      </c>
      <c r="G284" s="418">
        <f t="shared" si="1692"/>
        <v>0</v>
      </c>
      <c r="H284" s="418">
        <f t="shared" si="1692"/>
        <v>-4.166666666666663E-2</v>
      </c>
      <c r="I284" s="418">
        <f t="shared" si="1692"/>
        <v>4.3478260869565188E-2</v>
      </c>
      <c r="J284" s="418">
        <f t="shared" si="1692"/>
        <v>0</v>
      </c>
      <c r="K284" s="418">
        <f t="shared" si="1692"/>
        <v>0</v>
      </c>
      <c r="L284" s="418">
        <f t="shared" si="1692"/>
        <v>4.1666666666666741E-2</v>
      </c>
      <c r="M284" s="418">
        <f t="shared" si="1692"/>
        <v>0</v>
      </c>
      <c r="N284" s="418">
        <f t="shared" si="1692"/>
        <v>0</v>
      </c>
      <c r="O284" s="418">
        <f t="shared" si="1692"/>
        <v>0</v>
      </c>
      <c r="P284" s="418">
        <f t="shared" si="1692"/>
        <v>0</v>
      </c>
      <c r="Q284" s="418">
        <f t="shared" si="1692"/>
        <v>0</v>
      </c>
      <c r="R284" s="418">
        <f t="shared" si="1692"/>
        <v>-4.0000000000000036E-2</v>
      </c>
      <c r="S284" s="418">
        <f t="shared" si="1692"/>
        <v>0</v>
      </c>
      <c r="T284" s="418">
        <f t="shared" si="1692"/>
        <v>4.1666666666666741E-2</v>
      </c>
      <c r="U284" s="418">
        <f t="shared" si="1692"/>
        <v>0</v>
      </c>
      <c r="V284" s="418">
        <f t="shared" si="1692"/>
        <v>0</v>
      </c>
      <c r="W284" s="418">
        <f t="shared" si="1692"/>
        <v>0</v>
      </c>
      <c r="X284" s="418">
        <f t="shared" si="1692"/>
        <v>0</v>
      </c>
      <c r="Y284" s="418">
        <f t="shared" si="1692"/>
        <v>0</v>
      </c>
      <c r="Z284" s="423">
        <f t="shared" si="1648"/>
        <v>0</v>
      </c>
      <c r="AA284" s="423">
        <f t="shared" si="1648"/>
        <v>0</v>
      </c>
      <c r="AB284" s="423">
        <f t="shared" si="1648"/>
        <v>0</v>
      </c>
      <c r="AC284" s="423">
        <f t="shared" si="1648"/>
        <v>0</v>
      </c>
      <c r="AD284" s="421">
        <f>AD14/AC14-1</f>
        <v>1.48</v>
      </c>
      <c r="AE284" s="423">
        <f>S284</f>
        <v>0</v>
      </c>
      <c r="AF284" s="425">
        <v>0</v>
      </c>
      <c r="AG284" s="423">
        <f>U284</f>
        <v>0</v>
      </c>
      <c r="AH284" s="423">
        <f t="shared" si="1691"/>
        <v>0</v>
      </c>
      <c r="AI284" s="423">
        <f t="shared" si="1691"/>
        <v>0</v>
      </c>
      <c r="AJ284" s="423">
        <f t="shared" si="1687"/>
        <v>0</v>
      </c>
      <c r="AK284" s="425">
        <v>0</v>
      </c>
      <c r="AL284" s="425">
        <v>0</v>
      </c>
      <c r="AM284" s="423">
        <f t="shared" si="1688"/>
        <v>0</v>
      </c>
      <c r="AN284" s="423">
        <f t="shared" si="1688"/>
        <v>0</v>
      </c>
      <c r="AO284" s="423">
        <f t="shared" si="1688"/>
        <v>0</v>
      </c>
      <c r="AP284" s="421">
        <f t="shared" si="1649"/>
        <v>-9.6774193548387122E-2</v>
      </c>
      <c r="AQ284" s="423">
        <f t="shared" si="1650"/>
        <v>0</v>
      </c>
      <c r="AR284" s="423">
        <f t="shared" si="1651"/>
        <v>0</v>
      </c>
      <c r="AS284" s="423">
        <f t="shared" si="1652"/>
        <v>0</v>
      </c>
      <c r="AT284" s="423">
        <f t="shared" si="1653"/>
        <v>0</v>
      </c>
      <c r="AU284" s="423">
        <f t="shared" si="1654"/>
        <v>0</v>
      </c>
      <c r="AV284" s="423">
        <f t="shared" si="1655"/>
        <v>0</v>
      </c>
      <c r="AW284" s="423">
        <f t="shared" si="1656"/>
        <v>0</v>
      </c>
      <c r="AX284" s="423">
        <f t="shared" si="1657"/>
        <v>0</v>
      </c>
      <c r="AY284" s="423">
        <f t="shared" si="1658"/>
        <v>0</v>
      </c>
      <c r="AZ284" s="423">
        <f t="shared" si="1659"/>
        <v>0</v>
      </c>
      <c r="BA284" s="423">
        <f t="shared" si="1660"/>
        <v>0</v>
      </c>
      <c r="BB284" s="421">
        <f t="shared" si="1661"/>
        <v>0</v>
      </c>
      <c r="BC284" s="423">
        <f t="shared" si="1662"/>
        <v>0</v>
      </c>
      <c r="BD284" s="423">
        <f t="shared" si="1663"/>
        <v>0</v>
      </c>
      <c r="BE284" s="423">
        <f t="shared" si="1664"/>
        <v>0</v>
      </c>
      <c r="BF284" s="423">
        <f t="shared" si="1665"/>
        <v>0</v>
      </c>
      <c r="BG284" s="423">
        <f t="shared" si="1666"/>
        <v>0</v>
      </c>
      <c r="BH284" s="423">
        <f t="shared" si="1667"/>
        <v>0</v>
      </c>
      <c r="BI284" s="423">
        <f t="shared" si="1668"/>
        <v>0</v>
      </c>
      <c r="BJ284" s="423">
        <f t="shared" si="1669"/>
        <v>0</v>
      </c>
      <c r="BK284" s="423">
        <f t="shared" si="1670"/>
        <v>0</v>
      </c>
      <c r="BL284" s="423">
        <f t="shared" si="1671"/>
        <v>0</v>
      </c>
      <c r="BM284" s="423">
        <f t="shared" si="1672"/>
        <v>0</v>
      </c>
      <c r="BN284" s="421">
        <f t="shared" si="1673"/>
        <v>0</v>
      </c>
      <c r="BO284" s="423">
        <f t="shared" si="1674"/>
        <v>0</v>
      </c>
      <c r="BP284" s="423">
        <f t="shared" si="1675"/>
        <v>0</v>
      </c>
      <c r="BQ284" s="423">
        <f t="shared" si="1676"/>
        <v>0</v>
      </c>
      <c r="BR284" s="423">
        <f t="shared" si="1677"/>
        <v>0</v>
      </c>
      <c r="BS284" s="423">
        <f t="shared" si="1678"/>
        <v>0</v>
      </c>
      <c r="BT284" s="423">
        <f t="shared" si="1679"/>
        <v>0</v>
      </c>
      <c r="BU284" s="423">
        <f t="shared" si="1680"/>
        <v>0</v>
      </c>
      <c r="BV284" s="423">
        <f t="shared" si="1681"/>
        <v>0</v>
      </c>
      <c r="BW284" s="423">
        <f t="shared" si="1682"/>
        <v>0</v>
      </c>
      <c r="BX284" s="423">
        <f t="shared" si="1683"/>
        <v>0</v>
      </c>
      <c r="BY284" s="423">
        <f t="shared" si="1684"/>
        <v>0</v>
      </c>
    </row>
    <row r="285" spans="1:77" x14ac:dyDescent="0.3">
      <c r="A285" s="33" t="s">
        <v>357</v>
      </c>
      <c r="D285" s="418">
        <f t="shared" ref="D285:Y285" si="1693">D15/C15-1</f>
        <v>4.0000000000000036E-2</v>
      </c>
      <c r="E285" s="418">
        <f t="shared" si="1693"/>
        <v>0</v>
      </c>
      <c r="F285" s="418">
        <f t="shared" si="1693"/>
        <v>0.69230769230769229</v>
      </c>
      <c r="G285" s="418">
        <f t="shared" si="1693"/>
        <v>-2.2727272727272707E-2</v>
      </c>
      <c r="H285" s="418">
        <f t="shared" si="1693"/>
        <v>0</v>
      </c>
      <c r="I285" s="418">
        <f t="shared" si="1693"/>
        <v>0</v>
      </c>
      <c r="J285" s="418">
        <f t="shared" si="1693"/>
        <v>0</v>
      </c>
      <c r="K285" s="418">
        <f t="shared" si="1693"/>
        <v>-2.3255813953488413E-2</v>
      </c>
      <c r="L285" s="418">
        <f t="shared" si="1693"/>
        <v>0</v>
      </c>
      <c r="M285" s="418">
        <f t="shared" si="1693"/>
        <v>2.3809523809523725E-2</v>
      </c>
      <c r="N285" s="418">
        <f t="shared" si="1693"/>
        <v>-2.3255813953488413E-2</v>
      </c>
      <c r="O285" s="418">
        <f t="shared" si="1693"/>
        <v>-2.3809523809523836E-2</v>
      </c>
      <c r="P285" s="418">
        <f t="shared" si="1693"/>
        <v>0</v>
      </c>
      <c r="Q285" s="418">
        <f t="shared" si="1693"/>
        <v>0</v>
      </c>
      <c r="R285" s="418">
        <f t="shared" si="1693"/>
        <v>-0.3902439024390244</v>
      </c>
      <c r="S285" s="418">
        <f t="shared" si="1693"/>
        <v>4.0000000000000036E-2</v>
      </c>
      <c r="T285" s="418">
        <f t="shared" si="1693"/>
        <v>0</v>
      </c>
      <c r="U285" s="418">
        <f t="shared" si="1693"/>
        <v>0</v>
      </c>
      <c r="V285" s="418">
        <f t="shared" si="1693"/>
        <v>0</v>
      </c>
      <c r="W285" s="418">
        <f t="shared" si="1693"/>
        <v>0</v>
      </c>
      <c r="X285" s="418">
        <f t="shared" si="1693"/>
        <v>0</v>
      </c>
      <c r="Y285" s="418">
        <f t="shared" si="1693"/>
        <v>-3.8461538461538436E-2</v>
      </c>
      <c r="Z285" s="423">
        <f>N285</f>
        <v>-2.3255813953488413E-2</v>
      </c>
      <c r="AA285" s="425">
        <v>0</v>
      </c>
      <c r="AB285" s="423">
        <f t="shared" ref="AB285:AC288" si="1694">P285</f>
        <v>0</v>
      </c>
      <c r="AC285" s="423">
        <f t="shared" si="1694"/>
        <v>0</v>
      </c>
      <c r="AD285" s="421">
        <f t="shared" ref="AD285" si="1695">AD15/AC15-1</f>
        <v>8.0000000000000071E-2</v>
      </c>
      <c r="AE285" s="425">
        <v>0</v>
      </c>
      <c r="AF285" s="423">
        <f>T285</f>
        <v>0</v>
      </c>
      <c r="AG285" s="423">
        <f>U285</f>
        <v>0</v>
      </c>
      <c r="AH285" s="423">
        <f t="shared" si="1691"/>
        <v>0</v>
      </c>
      <c r="AI285" s="423">
        <f t="shared" si="1691"/>
        <v>0</v>
      </c>
      <c r="AJ285" s="423">
        <f t="shared" si="1687"/>
        <v>0</v>
      </c>
      <c r="AK285" s="425">
        <v>2.3809523809523725E-2</v>
      </c>
      <c r="AL285" s="425">
        <v>-2.3255813953488413E-2</v>
      </c>
      <c r="AM285" s="423">
        <f t="shared" si="1688"/>
        <v>0</v>
      </c>
      <c r="AN285" s="423">
        <f t="shared" si="1688"/>
        <v>0</v>
      </c>
      <c r="AO285" s="423">
        <f t="shared" si="1688"/>
        <v>0</v>
      </c>
      <c r="AP285" s="421">
        <f t="shared" si="1649"/>
        <v>2.1111111111111112</v>
      </c>
      <c r="AQ285" s="423">
        <f t="shared" si="1650"/>
        <v>0</v>
      </c>
      <c r="AR285" s="423">
        <f t="shared" si="1651"/>
        <v>0</v>
      </c>
      <c r="AS285" s="423">
        <f t="shared" si="1652"/>
        <v>0</v>
      </c>
      <c r="AT285" s="423">
        <f t="shared" si="1653"/>
        <v>0</v>
      </c>
      <c r="AU285" s="423">
        <f t="shared" si="1654"/>
        <v>0</v>
      </c>
      <c r="AV285" s="423">
        <f t="shared" si="1655"/>
        <v>0</v>
      </c>
      <c r="AW285" s="423">
        <f t="shared" si="1656"/>
        <v>2.3809523809523725E-2</v>
      </c>
      <c r="AX285" s="423">
        <f t="shared" si="1657"/>
        <v>-2.3255813953488413E-2</v>
      </c>
      <c r="AY285" s="423">
        <f t="shared" si="1658"/>
        <v>0</v>
      </c>
      <c r="AZ285" s="423">
        <f t="shared" si="1659"/>
        <v>0</v>
      </c>
      <c r="BA285" s="423">
        <f t="shared" si="1660"/>
        <v>0</v>
      </c>
      <c r="BB285" s="421">
        <f t="shared" si="1661"/>
        <v>-0.33333333333333337</v>
      </c>
      <c r="BC285" s="423">
        <f t="shared" si="1662"/>
        <v>0</v>
      </c>
      <c r="BD285" s="423">
        <f t="shared" si="1663"/>
        <v>0</v>
      </c>
      <c r="BE285" s="423">
        <f t="shared" si="1664"/>
        <v>0</v>
      </c>
      <c r="BF285" s="423">
        <f t="shared" si="1665"/>
        <v>0</v>
      </c>
      <c r="BG285" s="423">
        <f t="shared" si="1666"/>
        <v>0</v>
      </c>
      <c r="BH285" s="423">
        <f t="shared" si="1667"/>
        <v>0</v>
      </c>
      <c r="BI285" s="423">
        <f t="shared" si="1668"/>
        <v>2.3809523809523725E-2</v>
      </c>
      <c r="BJ285" s="423">
        <f t="shared" si="1669"/>
        <v>-2.3255813953488413E-2</v>
      </c>
      <c r="BK285" s="423">
        <f t="shared" si="1670"/>
        <v>0</v>
      </c>
      <c r="BL285" s="423">
        <f t="shared" si="1671"/>
        <v>0</v>
      </c>
      <c r="BM285" s="423">
        <f t="shared" si="1672"/>
        <v>0</v>
      </c>
      <c r="BN285" s="421">
        <f t="shared" si="1673"/>
        <v>0</v>
      </c>
      <c r="BO285" s="423">
        <f t="shared" si="1674"/>
        <v>0</v>
      </c>
      <c r="BP285" s="423">
        <f t="shared" si="1675"/>
        <v>0</v>
      </c>
      <c r="BQ285" s="423">
        <f t="shared" si="1676"/>
        <v>0</v>
      </c>
      <c r="BR285" s="423">
        <f t="shared" si="1677"/>
        <v>0</v>
      </c>
      <c r="BS285" s="423">
        <f t="shared" si="1678"/>
        <v>0</v>
      </c>
      <c r="BT285" s="423">
        <f t="shared" si="1679"/>
        <v>0</v>
      </c>
      <c r="BU285" s="423">
        <f t="shared" si="1680"/>
        <v>2.3809523809523725E-2</v>
      </c>
      <c r="BV285" s="423">
        <f t="shared" si="1681"/>
        <v>-2.3255813953488413E-2</v>
      </c>
      <c r="BW285" s="423">
        <f t="shared" si="1682"/>
        <v>0</v>
      </c>
      <c r="BX285" s="423">
        <f t="shared" si="1683"/>
        <v>0</v>
      </c>
      <c r="BY285" s="423">
        <f t="shared" si="1684"/>
        <v>0</v>
      </c>
    </row>
    <row r="286" spans="1:77" x14ac:dyDescent="0.3">
      <c r="A286" s="33" t="s">
        <v>358</v>
      </c>
      <c r="D286" s="418">
        <f t="shared" ref="D286:X286" si="1696">D16/C16-1</f>
        <v>0.52</v>
      </c>
      <c r="E286" s="418">
        <f t="shared" si="1696"/>
        <v>0</v>
      </c>
      <c r="F286" s="418">
        <f t="shared" si="1696"/>
        <v>0.10526315789473695</v>
      </c>
      <c r="G286" s="418">
        <f t="shared" si="1696"/>
        <v>0</v>
      </c>
      <c r="H286" s="418">
        <f t="shared" si="1696"/>
        <v>2.3809523809523725E-2</v>
      </c>
      <c r="I286" s="418">
        <f t="shared" si="1696"/>
        <v>2.3255813953488413E-2</v>
      </c>
      <c r="J286" s="418">
        <f t="shared" si="1696"/>
        <v>-2.2727272727272707E-2</v>
      </c>
      <c r="K286" s="418">
        <f t="shared" si="1696"/>
        <v>2.3255813953488413E-2</v>
      </c>
      <c r="L286" s="418">
        <f t="shared" si="1696"/>
        <v>0</v>
      </c>
      <c r="M286" s="418">
        <f t="shared" si="1696"/>
        <v>0</v>
      </c>
      <c r="N286" s="418">
        <f t="shared" si="1696"/>
        <v>0</v>
      </c>
      <c r="O286" s="418">
        <f t="shared" si="1696"/>
        <v>0</v>
      </c>
      <c r="P286" s="418">
        <f t="shared" si="1696"/>
        <v>0</v>
      </c>
      <c r="Q286" s="418">
        <f t="shared" si="1696"/>
        <v>0</v>
      </c>
      <c r="R286" s="418">
        <f t="shared" si="1696"/>
        <v>4.5454545454545414E-2</v>
      </c>
      <c r="S286" s="418">
        <f t="shared" si="1696"/>
        <v>-2.1739130434782594E-2</v>
      </c>
      <c r="T286" s="418">
        <f t="shared" si="1696"/>
        <v>0</v>
      </c>
      <c r="U286" s="418">
        <f t="shared" si="1696"/>
        <v>0</v>
      </c>
      <c r="V286" s="418">
        <f t="shared" si="1696"/>
        <v>2.2222222222222143E-2</v>
      </c>
      <c r="W286" s="418">
        <f t="shared" si="1696"/>
        <v>2.1739130434782705E-2</v>
      </c>
      <c r="X286" s="418">
        <f t="shared" si="1696"/>
        <v>0</v>
      </c>
      <c r="Y286" s="418">
        <f t="shared" ref="Y286" si="1697">Y16/X16-1</f>
        <v>0</v>
      </c>
      <c r="Z286" s="423">
        <f>N286</f>
        <v>0</v>
      </c>
      <c r="AA286" s="423">
        <f>O286</f>
        <v>0</v>
      </c>
      <c r="AB286" s="423">
        <f t="shared" si="1694"/>
        <v>0</v>
      </c>
      <c r="AC286" s="423">
        <f t="shared" si="1694"/>
        <v>0</v>
      </c>
      <c r="AD286" s="421">
        <f t="shared" ref="AD286" si="1698">AD16/AC16-1</f>
        <v>-0.21276595744680848</v>
      </c>
      <c r="AE286" s="423">
        <f>S286</f>
        <v>-2.1739130434782594E-2</v>
      </c>
      <c r="AF286" s="423">
        <f>T286</f>
        <v>0</v>
      </c>
      <c r="AG286" s="423">
        <f>U286</f>
        <v>0</v>
      </c>
      <c r="AH286" s="423">
        <f t="shared" si="1691"/>
        <v>2.2222222222222143E-2</v>
      </c>
      <c r="AI286" s="423">
        <f t="shared" si="1691"/>
        <v>2.1739130434782705E-2</v>
      </c>
      <c r="AJ286" s="425">
        <v>-0.02</v>
      </c>
      <c r="AK286" s="425">
        <v>0</v>
      </c>
      <c r="AL286" s="425">
        <v>0</v>
      </c>
      <c r="AM286" s="423">
        <f t="shared" si="1688"/>
        <v>0</v>
      </c>
      <c r="AN286" s="423">
        <f t="shared" si="1688"/>
        <v>0</v>
      </c>
      <c r="AO286" s="423">
        <f t="shared" si="1688"/>
        <v>0</v>
      </c>
      <c r="AP286" s="421">
        <f t="shared" si="1649"/>
        <v>0.5135135135135136</v>
      </c>
      <c r="AQ286" s="423">
        <f t="shared" si="1650"/>
        <v>-2.1739130434782594E-2</v>
      </c>
      <c r="AR286" s="423">
        <f t="shared" si="1651"/>
        <v>0</v>
      </c>
      <c r="AS286" s="423">
        <f t="shared" si="1652"/>
        <v>0</v>
      </c>
      <c r="AT286" s="423">
        <f t="shared" si="1653"/>
        <v>2.2222222222222143E-2</v>
      </c>
      <c r="AU286" s="423">
        <f t="shared" si="1654"/>
        <v>2.1739130434782705E-2</v>
      </c>
      <c r="AV286" s="423">
        <f t="shared" si="1655"/>
        <v>-0.02</v>
      </c>
      <c r="AW286" s="423">
        <f t="shared" si="1656"/>
        <v>0</v>
      </c>
      <c r="AX286" s="423">
        <f t="shared" si="1657"/>
        <v>0</v>
      </c>
      <c r="AY286" s="423">
        <f t="shared" si="1658"/>
        <v>0</v>
      </c>
      <c r="AZ286" s="423">
        <f t="shared" si="1659"/>
        <v>0</v>
      </c>
      <c r="BA286" s="423">
        <f t="shared" si="1660"/>
        <v>0</v>
      </c>
      <c r="BB286" s="421">
        <f t="shared" si="1661"/>
        <v>0.5</v>
      </c>
      <c r="BC286" s="423">
        <f t="shared" si="1662"/>
        <v>-2.1739130434782594E-2</v>
      </c>
      <c r="BD286" s="423">
        <f t="shared" si="1663"/>
        <v>0</v>
      </c>
      <c r="BE286" s="423">
        <f t="shared" si="1664"/>
        <v>0</v>
      </c>
      <c r="BF286" s="423">
        <f t="shared" si="1665"/>
        <v>2.2222222222222143E-2</v>
      </c>
      <c r="BG286" s="423">
        <f t="shared" si="1666"/>
        <v>2.1739130434782705E-2</v>
      </c>
      <c r="BH286" s="423">
        <f t="shared" si="1667"/>
        <v>-0.02</v>
      </c>
      <c r="BI286" s="423">
        <f t="shared" si="1668"/>
        <v>0</v>
      </c>
      <c r="BJ286" s="423">
        <f t="shared" si="1669"/>
        <v>0</v>
      </c>
      <c r="BK286" s="423">
        <f t="shared" si="1670"/>
        <v>0</v>
      </c>
      <c r="BL286" s="423">
        <f t="shared" si="1671"/>
        <v>0</v>
      </c>
      <c r="BM286" s="423">
        <f t="shared" si="1672"/>
        <v>0</v>
      </c>
      <c r="BN286" s="421">
        <f t="shared" si="1673"/>
        <v>-0.33333333333333337</v>
      </c>
      <c r="BO286" s="423">
        <f t="shared" si="1674"/>
        <v>-2.1739130434782594E-2</v>
      </c>
      <c r="BP286" s="423">
        <f t="shared" si="1675"/>
        <v>0</v>
      </c>
      <c r="BQ286" s="423">
        <f t="shared" si="1676"/>
        <v>0</v>
      </c>
      <c r="BR286" s="423">
        <f t="shared" si="1677"/>
        <v>2.2222222222222143E-2</v>
      </c>
      <c r="BS286" s="423">
        <f t="shared" si="1678"/>
        <v>2.1739130434782705E-2</v>
      </c>
      <c r="BT286" s="423">
        <f t="shared" si="1679"/>
        <v>-0.02</v>
      </c>
      <c r="BU286" s="423">
        <f t="shared" si="1680"/>
        <v>0</v>
      </c>
      <c r="BV286" s="423">
        <f t="shared" si="1681"/>
        <v>0</v>
      </c>
      <c r="BW286" s="423">
        <f t="shared" si="1682"/>
        <v>0</v>
      </c>
      <c r="BX286" s="423">
        <f t="shared" si="1683"/>
        <v>0</v>
      </c>
      <c r="BY286" s="423">
        <f t="shared" si="1684"/>
        <v>0</v>
      </c>
    </row>
    <row r="287" spans="1:77" x14ac:dyDescent="0.3">
      <c r="A287" s="33" t="s">
        <v>359</v>
      </c>
      <c r="D287" s="418">
        <f t="shared" ref="D287:X287" si="1699">D17/C17-1</f>
        <v>0.44444444444444442</v>
      </c>
      <c r="E287" s="418">
        <f t="shared" si="1699"/>
        <v>0</v>
      </c>
      <c r="F287" s="418">
        <f t="shared" si="1699"/>
        <v>0.38461538461538458</v>
      </c>
      <c r="G287" s="418">
        <f t="shared" si="1699"/>
        <v>2.7777777777777679E-2</v>
      </c>
      <c r="H287" s="418">
        <f t="shared" si="1699"/>
        <v>5.4054054054053946E-2</v>
      </c>
      <c r="I287" s="418">
        <f t="shared" si="1699"/>
        <v>-5.1282051282051322E-2</v>
      </c>
      <c r="J287" s="418">
        <f t="shared" si="1699"/>
        <v>0</v>
      </c>
      <c r="K287" s="418">
        <f t="shared" si="1699"/>
        <v>2.7027027027026973E-2</v>
      </c>
      <c r="L287" s="418">
        <f t="shared" si="1699"/>
        <v>-5.2631578947368474E-2</v>
      </c>
      <c r="M287" s="418">
        <f t="shared" si="1699"/>
        <v>-2.777777777777779E-2</v>
      </c>
      <c r="N287" s="418">
        <f t="shared" si="1699"/>
        <v>-2.8571428571428581E-2</v>
      </c>
      <c r="O287" s="418">
        <f t="shared" si="1699"/>
        <v>0</v>
      </c>
      <c r="P287" s="418">
        <f t="shared" si="1699"/>
        <v>0</v>
      </c>
      <c r="Q287" s="418">
        <f t="shared" si="1699"/>
        <v>0</v>
      </c>
      <c r="R287" s="418">
        <f t="shared" si="1699"/>
        <v>0.38235294117647056</v>
      </c>
      <c r="S287" s="418">
        <f t="shared" si="1699"/>
        <v>6.3829787234042534E-2</v>
      </c>
      <c r="T287" s="418">
        <f t="shared" si="1699"/>
        <v>-6.0000000000000053E-2</v>
      </c>
      <c r="U287" s="418">
        <f t="shared" si="1699"/>
        <v>-4.2553191489361653E-2</v>
      </c>
      <c r="V287" s="418">
        <f t="shared" si="1699"/>
        <v>0</v>
      </c>
      <c r="W287" s="418">
        <f t="shared" si="1699"/>
        <v>0</v>
      </c>
      <c r="X287" s="418">
        <f t="shared" si="1699"/>
        <v>4.4444444444444509E-2</v>
      </c>
      <c r="Y287" s="418">
        <f t="shared" ref="Y287" si="1700">Y17/X17-1</f>
        <v>0</v>
      </c>
      <c r="Z287" s="423">
        <f>N287</f>
        <v>-2.8571428571428581E-2</v>
      </c>
      <c r="AA287" s="423">
        <f>O287</f>
        <v>0</v>
      </c>
      <c r="AB287" s="423">
        <f t="shared" si="1694"/>
        <v>0</v>
      </c>
      <c r="AC287" s="423">
        <f t="shared" si="1694"/>
        <v>0</v>
      </c>
      <c r="AD287" s="421">
        <f t="shared" ref="AD287" si="1701">AD17/AC17-1</f>
        <v>0.14893617021276606</v>
      </c>
      <c r="AE287" s="425">
        <v>0</v>
      </c>
      <c r="AF287" s="425">
        <v>0</v>
      </c>
      <c r="AG287" s="425">
        <v>-0.03</v>
      </c>
      <c r="AH287" s="423">
        <f t="shared" si="1691"/>
        <v>0</v>
      </c>
      <c r="AI287" s="423">
        <f t="shared" si="1691"/>
        <v>0</v>
      </c>
      <c r="AJ287" s="425">
        <v>0.04</v>
      </c>
      <c r="AK287" s="425">
        <v>0</v>
      </c>
      <c r="AL287" s="425">
        <v>-2.8571428571428581E-2</v>
      </c>
      <c r="AM287" s="423">
        <f t="shared" si="1688"/>
        <v>0</v>
      </c>
      <c r="AN287" s="423">
        <f t="shared" si="1688"/>
        <v>0</v>
      </c>
      <c r="AO287" s="423">
        <f t="shared" si="1688"/>
        <v>0</v>
      </c>
      <c r="AP287" s="421">
        <f t="shared" si="1649"/>
        <v>7.6923076923076872E-2</v>
      </c>
      <c r="AQ287" s="423">
        <f t="shared" si="1650"/>
        <v>0</v>
      </c>
      <c r="AR287" s="423">
        <f t="shared" si="1651"/>
        <v>0</v>
      </c>
      <c r="AS287" s="423">
        <f t="shared" si="1652"/>
        <v>-0.03</v>
      </c>
      <c r="AT287" s="423">
        <f t="shared" si="1653"/>
        <v>0</v>
      </c>
      <c r="AU287" s="423">
        <f t="shared" si="1654"/>
        <v>0</v>
      </c>
      <c r="AV287" s="423">
        <f t="shared" si="1655"/>
        <v>0.04</v>
      </c>
      <c r="AW287" s="423">
        <f t="shared" si="1656"/>
        <v>0</v>
      </c>
      <c r="AX287" s="423">
        <f t="shared" si="1657"/>
        <v>-2.8571428571428581E-2</v>
      </c>
      <c r="AY287" s="423">
        <f t="shared" si="1658"/>
        <v>0</v>
      </c>
      <c r="AZ287" s="423">
        <f t="shared" si="1659"/>
        <v>0</v>
      </c>
      <c r="BA287" s="423">
        <f t="shared" si="1660"/>
        <v>0</v>
      </c>
      <c r="BB287" s="421">
        <f t="shared" si="1661"/>
        <v>3.7037037037036979E-2</v>
      </c>
      <c r="BC287" s="423">
        <f t="shared" si="1662"/>
        <v>0</v>
      </c>
      <c r="BD287" s="423">
        <f t="shared" si="1663"/>
        <v>0</v>
      </c>
      <c r="BE287" s="423">
        <f t="shared" si="1664"/>
        <v>-0.03</v>
      </c>
      <c r="BF287" s="423">
        <f t="shared" si="1665"/>
        <v>0</v>
      </c>
      <c r="BG287" s="423">
        <f t="shared" si="1666"/>
        <v>0</v>
      </c>
      <c r="BH287" s="423">
        <f t="shared" si="1667"/>
        <v>0.04</v>
      </c>
      <c r="BI287" s="423">
        <f t="shared" si="1668"/>
        <v>0</v>
      </c>
      <c r="BJ287" s="423">
        <f t="shared" si="1669"/>
        <v>-2.8571428571428581E-2</v>
      </c>
      <c r="BK287" s="423">
        <f t="shared" si="1670"/>
        <v>0</v>
      </c>
      <c r="BL287" s="423">
        <f t="shared" si="1671"/>
        <v>0</v>
      </c>
      <c r="BM287" s="423">
        <f t="shared" si="1672"/>
        <v>0</v>
      </c>
      <c r="BN287" s="421">
        <f t="shared" si="1673"/>
        <v>0.55555555555555558</v>
      </c>
      <c r="BO287" s="423">
        <f t="shared" si="1674"/>
        <v>0</v>
      </c>
      <c r="BP287" s="423">
        <f t="shared" si="1675"/>
        <v>0</v>
      </c>
      <c r="BQ287" s="423">
        <f t="shared" si="1676"/>
        <v>-0.03</v>
      </c>
      <c r="BR287" s="423">
        <f t="shared" si="1677"/>
        <v>0</v>
      </c>
      <c r="BS287" s="423">
        <f t="shared" si="1678"/>
        <v>0</v>
      </c>
      <c r="BT287" s="423">
        <f t="shared" si="1679"/>
        <v>0.04</v>
      </c>
      <c r="BU287" s="423">
        <f t="shared" si="1680"/>
        <v>0</v>
      </c>
      <c r="BV287" s="423">
        <f t="shared" si="1681"/>
        <v>-2.8571428571428581E-2</v>
      </c>
      <c r="BW287" s="423">
        <f t="shared" si="1682"/>
        <v>0</v>
      </c>
      <c r="BX287" s="423">
        <f t="shared" si="1683"/>
        <v>0</v>
      </c>
      <c r="BY287" s="423">
        <f t="shared" si="1684"/>
        <v>0</v>
      </c>
    </row>
    <row r="288" spans="1:77" x14ac:dyDescent="0.3">
      <c r="A288" s="33" t="s">
        <v>360</v>
      </c>
      <c r="D288" s="419">
        <f t="shared" ref="D288:X288" si="1702">D18/C18-1</f>
        <v>-0.13043478260869568</v>
      </c>
      <c r="E288" s="419">
        <f t="shared" si="1702"/>
        <v>0</v>
      </c>
      <c r="F288" s="419">
        <f t="shared" si="1702"/>
        <v>0.64999999999999991</v>
      </c>
      <c r="G288" s="419">
        <f t="shared" si="1702"/>
        <v>-3.0303030303030276E-2</v>
      </c>
      <c r="H288" s="419">
        <f t="shared" si="1702"/>
        <v>0</v>
      </c>
      <c r="I288" s="419">
        <f t="shared" si="1702"/>
        <v>3.125E-2</v>
      </c>
      <c r="J288" s="419">
        <f t="shared" si="1702"/>
        <v>0</v>
      </c>
      <c r="K288" s="419">
        <f t="shared" si="1702"/>
        <v>0</v>
      </c>
      <c r="L288" s="419">
        <f t="shared" si="1702"/>
        <v>-3.0303030303030276E-2</v>
      </c>
      <c r="M288" s="419">
        <f t="shared" si="1702"/>
        <v>0</v>
      </c>
      <c r="N288" s="419">
        <f t="shared" si="1702"/>
        <v>0</v>
      </c>
      <c r="O288" s="419">
        <f t="shared" si="1702"/>
        <v>0</v>
      </c>
      <c r="P288" s="419">
        <f t="shared" si="1702"/>
        <v>0</v>
      </c>
      <c r="Q288" s="419">
        <f t="shared" si="1702"/>
        <v>0</v>
      </c>
      <c r="R288" s="419">
        <f t="shared" si="1702"/>
        <v>-3.125E-2</v>
      </c>
      <c r="S288" s="419">
        <f t="shared" si="1702"/>
        <v>0</v>
      </c>
      <c r="T288" s="419">
        <f t="shared" si="1702"/>
        <v>0</v>
      </c>
      <c r="U288" s="419">
        <f t="shared" si="1702"/>
        <v>0</v>
      </c>
      <c r="V288" s="419">
        <f t="shared" si="1702"/>
        <v>-3.2258064516129004E-2</v>
      </c>
      <c r="W288" s="419">
        <f t="shared" si="1702"/>
        <v>0</v>
      </c>
      <c r="X288" s="419">
        <f t="shared" si="1702"/>
        <v>0</v>
      </c>
      <c r="Y288" s="419">
        <f t="shared" ref="Y288" si="1703">Y18/X18-1</f>
        <v>0</v>
      </c>
      <c r="Z288" s="424">
        <f>N288</f>
        <v>0</v>
      </c>
      <c r="AA288" s="424">
        <f>O288</f>
        <v>0</v>
      </c>
      <c r="AB288" s="424">
        <f t="shared" si="1694"/>
        <v>0</v>
      </c>
      <c r="AC288" s="424">
        <f t="shared" si="1694"/>
        <v>0</v>
      </c>
      <c r="AD288" s="422">
        <f t="shared" ref="AD288" si="1704">AD18/AC18-1</f>
        <v>0.83333333333333326</v>
      </c>
      <c r="AE288" s="424">
        <f>S288</f>
        <v>0</v>
      </c>
      <c r="AF288" s="424">
        <f>T288</f>
        <v>0</v>
      </c>
      <c r="AG288" s="424">
        <f>U288</f>
        <v>0</v>
      </c>
      <c r="AH288" s="424">
        <f t="shared" si="1691"/>
        <v>-3.2258064516129004E-2</v>
      </c>
      <c r="AI288" s="424">
        <f t="shared" si="1691"/>
        <v>0</v>
      </c>
      <c r="AJ288" s="424">
        <f>X288</f>
        <v>0</v>
      </c>
      <c r="AK288" s="436">
        <v>0</v>
      </c>
      <c r="AL288" s="436">
        <v>0</v>
      </c>
      <c r="AM288" s="424">
        <f t="shared" si="1688"/>
        <v>0</v>
      </c>
      <c r="AN288" s="424">
        <f t="shared" si="1688"/>
        <v>0</v>
      </c>
      <c r="AO288" s="424">
        <f t="shared" si="1688"/>
        <v>0</v>
      </c>
      <c r="AP288" s="422">
        <f t="shared" si="1649"/>
        <v>5.6603773584905648E-2</v>
      </c>
      <c r="AQ288" s="424">
        <f t="shared" si="1650"/>
        <v>0</v>
      </c>
      <c r="AR288" s="424">
        <f t="shared" si="1651"/>
        <v>0</v>
      </c>
      <c r="AS288" s="424">
        <f t="shared" si="1652"/>
        <v>0</v>
      </c>
      <c r="AT288" s="424">
        <f t="shared" si="1653"/>
        <v>-3.2258064516129004E-2</v>
      </c>
      <c r="AU288" s="424">
        <f t="shared" si="1654"/>
        <v>0</v>
      </c>
      <c r="AV288" s="424">
        <f t="shared" si="1655"/>
        <v>0</v>
      </c>
      <c r="AW288" s="424">
        <f t="shared" si="1656"/>
        <v>0</v>
      </c>
      <c r="AX288" s="424">
        <f t="shared" si="1657"/>
        <v>0</v>
      </c>
      <c r="AY288" s="424">
        <f t="shared" si="1658"/>
        <v>0</v>
      </c>
      <c r="AZ288" s="424">
        <f t="shared" si="1659"/>
        <v>0</v>
      </c>
      <c r="BA288" s="424">
        <f t="shared" si="1660"/>
        <v>0</v>
      </c>
      <c r="BB288" s="422">
        <f t="shared" si="1661"/>
        <v>3.7037037037036979E-2</v>
      </c>
      <c r="BC288" s="424">
        <f t="shared" si="1662"/>
        <v>0</v>
      </c>
      <c r="BD288" s="424">
        <f t="shared" si="1663"/>
        <v>0</v>
      </c>
      <c r="BE288" s="424">
        <f t="shared" si="1664"/>
        <v>0</v>
      </c>
      <c r="BF288" s="424">
        <f t="shared" si="1665"/>
        <v>-3.2258064516129004E-2</v>
      </c>
      <c r="BG288" s="424">
        <f t="shared" si="1666"/>
        <v>0</v>
      </c>
      <c r="BH288" s="424">
        <f t="shared" si="1667"/>
        <v>0</v>
      </c>
      <c r="BI288" s="424">
        <f t="shared" si="1668"/>
        <v>0</v>
      </c>
      <c r="BJ288" s="424">
        <f t="shared" si="1669"/>
        <v>0</v>
      </c>
      <c r="BK288" s="424">
        <f t="shared" si="1670"/>
        <v>0</v>
      </c>
      <c r="BL288" s="424">
        <f t="shared" si="1671"/>
        <v>0</v>
      </c>
      <c r="BM288" s="424">
        <f t="shared" si="1672"/>
        <v>0</v>
      </c>
      <c r="BN288" s="422">
        <f t="shared" si="1673"/>
        <v>3.7037037037036979E-2</v>
      </c>
      <c r="BO288" s="424">
        <f t="shared" si="1674"/>
        <v>0</v>
      </c>
      <c r="BP288" s="424">
        <f t="shared" si="1675"/>
        <v>0</v>
      </c>
      <c r="BQ288" s="424">
        <f t="shared" si="1676"/>
        <v>0</v>
      </c>
      <c r="BR288" s="424">
        <f t="shared" si="1677"/>
        <v>-3.2258064516129004E-2</v>
      </c>
      <c r="BS288" s="424">
        <f t="shared" si="1678"/>
        <v>0</v>
      </c>
      <c r="BT288" s="424">
        <f t="shared" si="1679"/>
        <v>0</v>
      </c>
      <c r="BU288" s="424">
        <f t="shared" si="1680"/>
        <v>0</v>
      </c>
      <c r="BV288" s="424">
        <f t="shared" si="1681"/>
        <v>0</v>
      </c>
      <c r="BW288" s="424">
        <f t="shared" si="1682"/>
        <v>0</v>
      </c>
      <c r="BX288" s="424">
        <f t="shared" si="1683"/>
        <v>0</v>
      </c>
      <c r="BY288" s="424">
        <f t="shared" si="1684"/>
        <v>0</v>
      </c>
    </row>
    <row r="289" spans="1:77" x14ac:dyDescent="0.3">
      <c r="A289" s="127" t="s">
        <v>413</v>
      </c>
      <c r="D289" s="418">
        <f t="shared" ref="D289:X289" si="1705">D19/C19-1</f>
        <v>0.16929133858267709</v>
      </c>
      <c r="E289" s="418">
        <f t="shared" si="1705"/>
        <v>0</v>
      </c>
      <c r="F289" s="418">
        <f t="shared" si="1705"/>
        <v>0.13131313131313127</v>
      </c>
      <c r="G289" s="418">
        <f t="shared" si="1705"/>
        <v>8.9285714285713969E-3</v>
      </c>
      <c r="H289" s="418">
        <f t="shared" si="1705"/>
        <v>2.9498525073745618E-3</v>
      </c>
      <c r="I289" s="418">
        <f t="shared" si="1705"/>
        <v>2.0588235294117574E-2</v>
      </c>
      <c r="J289" s="418">
        <f t="shared" si="1705"/>
        <v>-8.6455331412104153E-3</v>
      </c>
      <c r="K289" s="418">
        <f t="shared" si="1705"/>
        <v>-2.9069767441860517E-3</v>
      </c>
      <c r="L289" s="418">
        <f t="shared" si="1705"/>
        <v>-5.8309037900874383E-3</v>
      </c>
      <c r="M289" s="418">
        <f t="shared" si="1705"/>
        <v>-5.8651026392961825E-3</v>
      </c>
      <c r="N289" s="418">
        <f t="shared" si="1705"/>
        <v>-5.8997050147492347E-3</v>
      </c>
      <c r="O289" s="418">
        <f t="shared" si="1705"/>
        <v>-2.9673590504450953E-3</v>
      </c>
      <c r="P289" s="418">
        <f t="shared" si="1705"/>
        <v>0</v>
      </c>
      <c r="Q289" s="418">
        <f t="shared" si="1705"/>
        <v>0</v>
      </c>
      <c r="R289" s="418">
        <f t="shared" si="1705"/>
        <v>7.1428571428571397E-2</v>
      </c>
      <c r="S289" s="418">
        <f t="shared" si="1705"/>
        <v>-2.7777777777777679E-3</v>
      </c>
      <c r="T289" s="418">
        <f t="shared" si="1705"/>
        <v>-1.3927576601671321E-2</v>
      </c>
      <c r="U289" s="418">
        <f t="shared" si="1705"/>
        <v>-1.1299435028248594E-2</v>
      </c>
      <c r="V289" s="418">
        <f t="shared" si="1705"/>
        <v>-5.7142857142856718E-3</v>
      </c>
      <c r="W289" s="418">
        <f t="shared" si="1705"/>
        <v>5.7471264367816577E-3</v>
      </c>
      <c r="X289" s="418">
        <f t="shared" si="1705"/>
        <v>0</v>
      </c>
      <c r="Y289" s="418">
        <f t="shared" ref="Y289" si="1706">Y19/X19-1</f>
        <v>-2.8571428571428914E-3</v>
      </c>
      <c r="Z289" s="418">
        <f t="shared" ref="Z289:AE289" si="1707">Z19/Y19-1</f>
        <v>0</v>
      </c>
      <c r="AA289" s="418">
        <f t="shared" si="1707"/>
        <v>0</v>
      </c>
      <c r="AB289" s="418">
        <f t="shared" si="1707"/>
        <v>0</v>
      </c>
      <c r="AC289" s="418">
        <f t="shared" si="1707"/>
        <v>0</v>
      </c>
      <c r="AD289" s="418">
        <f t="shared" si="1707"/>
        <v>0.27793696275071644</v>
      </c>
      <c r="AE289" s="418">
        <f t="shared" si="1707"/>
        <v>-1.1210762331838597E-2</v>
      </c>
      <c r="AF289" s="418">
        <f t="shared" ref="AF289:AI289" si="1708">AF19/AE19-1</f>
        <v>-6.8027210884353817E-3</v>
      </c>
      <c r="AG289" s="418">
        <f t="shared" si="1708"/>
        <v>-4.5662100456621557E-3</v>
      </c>
      <c r="AH289" s="418">
        <f t="shared" si="1708"/>
        <v>-4.5871559633027248E-3</v>
      </c>
      <c r="AI289" s="418">
        <f t="shared" si="1708"/>
        <v>1.3824884792626779E-2</v>
      </c>
      <c r="AJ289" s="418">
        <f t="shared" ref="AJ289:AN289" si="1709">AJ19/AI19-1</f>
        <v>-2.2727272727273151E-3</v>
      </c>
      <c r="AK289" s="418">
        <f t="shared" si="1709"/>
        <v>0</v>
      </c>
      <c r="AL289" s="418">
        <f t="shared" si="1709"/>
        <v>-4.5558086560364419E-3</v>
      </c>
      <c r="AM289" s="418">
        <f t="shared" si="1709"/>
        <v>0</v>
      </c>
      <c r="AN289" s="418">
        <f t="shared" si="1709"/>
        <v>0</v>
      </c>
      <c r="AO289" s="418">
        <f t="shared" ref="AO289:AZ289" si="1710">AO19/AN19-1</f>
        <v>0</v>
      </c>
      <c r="AP289" s="418">
        <f t="shared" si="1710"/>
        <v>0.21739130434782616</v>
      </c>
      <c r="AQ289" s="418">
        <f t="shared" si="1710"/>
        <v>-9.3984962406015171E-3</v>
      </c>
      <c r="AR289" s="418">
        <f t="shared" si="1710"/>
        <v>-5.6925996204933993E-3</v>
      </c>
      <c r="AS289" s="418">
        <f t="shared" si="1710"/>
        <v>-3.8167938931297218E-3</v>
      </c>
      <c r="AT289" s="418">
        <f t="shared" si="1710"/>
        <v>-3.8314176245211051E-3</v>
      </c>
      <c r="AU289" s="418">
        <f t="shared" si="1710"/>
        <v>1.1538461538461497E-2</v>
      </c>
      <c r="AV289" s="418">
        <f t="shared" si="1710"/>
        <v>-1.9011406844106071E-3</v>
      </c>
      <c r="AW289" s="418">
        <f t="shared" si="1710"/>
        <v>1.9047619047618536E-3</v>
      </c>
      <c r="AX289" s="418">
        <f t="shared" si="1710"/>
        <v>-5.7034220532319324E-3</v>
      </c>
      <c r="AY289" s="418">
        <f t="shared" si="1710"/>
        <v>0</v>
      </c>
      <c r="AZ289" s="418">
        <f t="shared" si="1710"/>
        <v>0</v>
      </c>
      <c r="BA289" s="418">
        <f t="shared" ref="BA289:BY289" si="1711">BA19/AZ19-1</f>
        <v>0</v>
      </c>
      <c r="BB289" s="418">
        <f t="shared" si="1711"/>
        <v>1.7208413001912115E-2</v>
      </c>
      <c r="BC289" s="418">
        <f t="shared" si="1711"/>
        <v>-1.1278195488721776E-2</v>
      </c>
      <c r="BD289" s="418">
        <f t="shared" si="1711"/>
        <v>-5.7034220532319324E-3</v>
      </c>
      <c r="BE289" s="418">
        <f t="shared" si="1711"/>
        <v>-3.8240917782026429E-3</v>
      </c>
      <c r="BF289" s="418">
        <f t="shared" si="1711"/>
        <v>-1.9193857965451588E-3</v>
      </c>
      <c r="BG289" s="418">
        <f t="shared" si="1711"/>
        <v>1.3461538461538414E-2</v>
      </c>
      <c r="BH289" s="418">
        <f t="shared" si="1711"/>
        <v>-3.7950664136622292E-3</v>
      </c>
      <c r="BI289" s="418">
        <f t="shared" si="1711"/>
        <v>0</v>
      </c>
      <c r="BJ289" s="418">
        <f t="shared" si="1711"/>
        <v>-3.8095238095238182E-3</v>
      </c>
      <c r="BK289" s="418">
        <f t="shared" si="1711"/>
        <v>0</v>
      </c>
      <c r="BL289" s="418">
        <f t="shared" si="1711"/>
        <v>0</v>
      </c>
      <c r="BM289" s="418">
        <f t="shared" si="1711"/>
        <v>0</v>
      </c>
      <c r="BN289" s="418">
        <f t="shared" si="1711"/>
        <v>1.7208413001912115E-2</v>
      </c>
      <c r="BO289" s="418">
        <f t="shared" si="1711"/>
        <v>-9.3984962406015171E-3</v>
      </c>
      <c r="BP289" s="418">
        <f t="shared" si="1711"/>
        <v>-5.6925996204933993E-3</v>
      </c>
      <c r="BQ289" s="418">
        <f t="shared" si="1711"/>
        <v>-5.7251908396946938E-3</v>
      </c>
      <c r="BR289" s="418">
        <f t="shared" si="1711"/>
        <v>-3.8387715930902067E-3</v>
      </c>
      <c r="BS289" s="418">
        <f t="shared" si="1711"/>
        <v>1.1560693641618602E-2</v>
      </c>
      <c r="BT289" s="418">
        <f t="shared" si="1711"/>
        <v>0</v>
      </c>
      <c r="BU289" s="418">
        <f t="shared" si="1711"/>
        <v>0</v>
      </c>
      <c r="BV289" s="418">
        <f t="shared" si="1711"/>
        <v>-3.8095238095238182E-3</v>
      </c>
      <c r="BW289" s="418">
        <f t="shared" si="1711"/>
        <v>0</v>
      </c>
      <c r="BX289" s="418">
        <f t="shared" si="1711"/>
        <v>0</v>
      </c>
      <c r="BY289" s="418">
        <f t="shared" si="1711"/>
        <v>-1</v>
      </c>
    </row>
    <row r="290" spans="1:77" ht="15" thickBot="1" x14ac:dyDescent="0.35"/>
    <row r="291" spans="1:77" ht="15" thickBot="1" x14ac:dyDescent="0.35">
      <c r="A291" s="108" t="s">
        <v>427</v>
      </c>
      <c r="B291" s="432" t="s">
        <v>431</v>
      </c>
    </row>
    <row r="292" spans="1:77" x14ac:dyDescent="0.3">
      <c r="A292" t="s">
        <v>419</v>
      </c>
      <c r="Z292" s="146">
        <v>55228.22</v>
      </c>
      <c r="AA292" s="146">
        <v>55349.31</v>
      </c>
      <c r="AB292" s="146">
        <v>55471.45</v>
      </c>
      <c r="AC292" s="146">
        <v>55594.63</v>
      </c>
      <c r="AD292" s="146">
        <v>55718.87</v>
      </c>
      <c r="AE292" s="146">
        <v>55844.18</v>
      </c>
      <c r="AF292" s="146">
        <v>55970.559999999998</v>
      </c>
      <c r="AG292" s="146">
        <v>56098.03</v>
      </c>
      <c r="AH292" s="146">
        <v>56226.6</v>
      </c>
      <c r="AI292" s="146">
        <v>56356.26</v>
      </c>
      <c r="AJ292" s="146">
        <v>56440.08</v>
      </c>
      <c r="AK292" s="146">
        <v>56524.61</v>
      </c>
      <c r="AL292" s="146">
        <v>56609.87</v>
      </c>
      <c r="AM292" s="146">
        <v>56695.86</v>
      </c>
      <c r="AN292" s="146">
        <v>56782.59</v>
      </c>
      <c r="AO292" s="146">
        <v>56870.06</v>
      </c>
      <c r="AP292" s="146">
        <v>56958.29</v>
      </c>
      <c r="AQ292" s="146">
        <v>57047.27</v>
      </c>
      <c r="AR292" s="146">
        <v>57137.02</v>
      </c>
      <c r="AS292" s="146">
        <v>57227.53</v>
      </c>
      <c r="AT292" s="146">
        <v>57318.83</v>
      </c>
      <c r="AU292" s="146">
        <v>57410.91</v>
      </c>
      <c r="AV292" s="146">
        <v>57454.31</v>
      </c>
      <c r="AW292" s="146">
        <v>57498.09</v>
      </c>
      <c r="AX292" s="146">
        <v>57542.239999999998</v>
      </c>
      <c r="AY292" s="146">
        <v>57586.77</v>
      </c>
      <c r="AZ292" s="146">
        <v>57631.68</v>
      </c>
      <c r="BA292" s="146">
        <v>57676.98</v>
      </c>
      <c r="BB292" s="146">
        <v>57722.67</v>
      </c>
      <c r="BC292" s="146">
        <v>57768.75</v>
      </c>
      <c r="BD292" s="146">
        <v>57815.22</v>
      </c>
      <c r="BE292" s="146">
        <v>57862.1</v>
      </c>
      <c r="BF292" s="146">
        <v>57909.38</v>
      </c>
      <c r="BG292" s="146">
        <v>57957.06</v>
      </c>
      <c r="BH292" s="146">
        <v>57991.66</v>
      </c>
      <c r="BI292" s="146">
        <v>58026.559999999998</v>
      </c>
      <c r="BJ292" s="146">
        <v>58061.760000000002</v>
      </c>
      <c r="BK292" s="146">
        <v>58097.26</v>
      </c>
      <c r="BL292" s="146">
        <v>58133.07</v>
      </c>
      <c r="BM292" s="146">
        <v>58169.19</v>
      </c>
      <c r="BN292" s="146">
        <v>58205.61</v>
      </c>
      <c r="BO292" s="146">
        <v>58242.35</v>
      </c>
      <c r="BP292" s="146">
        <v>58279.4</v>
      </c>
      <c r="BQ292" s="146">
        <v>58316.77</v>
      </c>
      <c r="BR292" s="146">
        <v>58354.47</v>
      </c>
      <c r="BS292" s="146">
        <v>58392.480000000003</v>
      </c>
      <c r="BT292" s="146">
        <v>58416.93</v>
      </c>
      <c r="BU292" s="146">
        <v>58441.59</v>
      </c>
      <c r="BV292" s="146">
        <v>58466.46</v>
      </c>
      <c r="BW292" s="146">
        <v>58491.55</v>
      </c>
      <c r="BX292" s="146">
        <v>58516.85</v>
      </c>
    </row>
    <row r="293" spans="1:77" x14ac:dyDescent="0.3">
      <c r="A293" t="s">
        <v>418</v>
      </c>
      <c r="Z293" s="18">
        <v>0</v>
      </c>
      <c r="AA293" s="18">
        <v>0</v>
      </c>
      <c r="AB293" s="18">
        <v>0</v>
      </c>
      <c r="AC293" s="18">
        <v>50687.869999999995</v>
      </c>
      <c r="AD293" s="18">
        <v>50687.869999999995</v>
      </c>
      <c r="AE293" s="18">
        <v>50687.869999999995</v>
      </c>
      <c r="AF293" s="18">
        <v>50687.869999999995</v>
      </c>
      <c r="AG293" s="18">
        <v>50687.869999999995</v>
      </c>
      <c r="AH293" s="18">
        <v>50687.869999999995</v>
      </c>
      <c r="AI293" s="18">
        <v>50687.869999999995</v>
      </c>
      <c r="AJ293" s="18">
        <v>50687.869999999995</v>
      </c>
      <c r="AK293" s="18">
        <v>50687.869999999995</v>
      </c>
      <c r="AL293" s="18">
        <v>50687.869999999995</v>
      </c>
      <c r="AM293" s="18">
        <v>50687.869999999995</v>
      </c>
      <c r="AN293" s="18">
        <v>50687.869999999995</v>
      </c>
      <c r="AO293" s="18">
        <v>83354.672500000001</v>
      </c>
      <c r="AP293" s="18">
        <v>83354.672500000001</v>
      </c>
      <c r="AQ293" s="18">
        <v>83354.672500000001</v>
      </c>
      <c r="AR293" s="18">
        <v>83354.672500000001</v>
      </c>
      <c r="AS293" s="18">
        <v>83354.672500000001</v>
      </c>
      <c r="AT293" s="18">
        <v>83354.672500000001</v>
      </c>
      <c r="AU293" s="18">
        <v>83354.672500000001</v>
      </c>
      <c r="AV293" s="18">
        <v>83354.672500000001</v>
      </c>
      <c r="AW293" s="18">
        <v>83354.672500000001</v>
      </c>
      <c r="AX293" s="18">
        <v>83354.672500000001</v>
      </c>
      <c r="AY293" s="18">
        <v>83354.672500000001</v>
      </c>
      <c r="AZ293" s="18">
        <v>83354.672500000001</v>
      </c>
      <c r="BA293" s="18">
        <v>109145.83333333333</v>
      </c>
      <c r="BB293" s="18">
        <v>109145.83333333333</v>
      </c>
      <c r="BC293" s="18">
        <v>109145.83333333333</v>
      </c>
      <c r="BD293" s="18">
        <v>109145.83333333333</v>
      </c>
      <c r="BE293" s="18">
        <v>109145.83333333333</v>
      </c>
      <c r="BF293" s="18">
        <v>109145.83333333333</v>
      </c>
      <c r="BG293" s="18">
        <v>109145.83333333333</v>
      </c>
      <c r="BH293" s="18">
        <v>109145.83333333333</v>
      </c>
      <c r="BI293" s="18">
        <v>109145.83333333333</v>
      </c>
      <c r="BJ293" s="18">
        <v>109145.83333333333</v>
      </c>
      <c r="BK293" s="18">
        <v>109145.83333333333</v>
      </c>
      <c r="BL293" s="18">
        <v>109145.83333333333</v>
      </c>
      <c r="BM293" s="18">
        <v>108414.58333333333</v>
      </c>
      <c r="BN293" s="18">
        <v>108414.58333333333</v>
      </c>
      <c r="BO293" s="18">
        <v>108414.58333333333</v>
      </c>
      <c r="BP293" s="18">
        <v>108414.58333333333</v>
      </c>
      <c r="BQ293" s="18">
        <v>108414.58333333333</v>
      </c>
      <c r="BR293" s="18">
        <v>108414.58333333333</v>
      </c>
      <c r="BS293" s="18">
        <v>108414.58333333333</v>
      </c>
      <c r="BT293" s="18">
        <v>108414.58333333333</v>
      </c>
      <c r="BU293" s="18">
        <v>108414.58333333333</v>
      </c>
      <c r="BV293" s="18">
        <v>108414.58333333333</v>
      </c>
      <c r="BW293" s="18">
        <v>108414.58333333333</v>
      </c>
      <c r="BX293" s="18">
        <v>108414.58333333333</v>
      </c>
    </row>
  </sheetData>
  <mergeCells count="3">
    <mergeCell ref="CC2:CJ2"/>
    <mergeCell ref="BZ3:CA3"/>
    <mergeCell ref="BZ2:CA2"/>
  </mergeCells>
  <printOptions horizontalCentered="1" verticalCentered="1"/>
  <pageMargins left="0.15" right="0.15" top="0.75" bottom="0.75" header="0.3" footer="0.3"/>
  <pageSetup scale="13" orientation="landscape" horizontalDpi="1200" verticalDpi="1200" r:id="rId1"/>
  <headerFooter>
    <oddFooter>&amp;L&amp;"Bodoni MT,Bold"&amp;10&amp;F&amp;C&amp;10&amp;P of &amp;N&amp;R&amp;10&amp;A</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3AB63-BCB2-44BC-8D86-92FF0E00A790}">
  <sheetPr>
    <pageSetUpPr fitToPage="1"/>
  </sheetPr>
  <dimension ref="A1:CN290"/>
  <sheetViews>
    <sheetView zoomScaleNormal="100" workbookViewId="0">
      <pane xSplit="2" ySplit="4" topLeftCell="W5" activePane="bottomRight" state="frozen"/>
      <selection activeCell="CM69" sqref="CM69"/>
      <selection pane="topRight" activeCell="CM69" sqref="CM69"/>
      <selection pane="bottomLeft" activeCell="CM69" sqref="CM69"/>
      <selection pane="bottomRight" activeCell="AA10" sqref="AA10"/>
    </sheetView>
  </sheetViews>
  <sheetFormatPr defaultRowHeight="14.4" x14ac:dyDescent="0.3"/>
  <cols>
    <col min="1" max="1" width="43.5546875" bestFit="1" customWidth="1"/>
    <col min="2" max="2" width="18.77734375" customWidth="1"/>
    <col min="3" max="76" width="9.77734375" customWidth="1"/>
    <col min="77" max="77" width="1.77734375" customWidth="1"/>
    <col min="78" max="79" width="10.77734375" customWidth="1"/>
    <col min="80" max="80" width="1.77734375" customWidth="1"/>
    <col min="81" max="88" width="12.44140625" customWidth="1"/>
  </cols>
  <sheetData>
    <row r="1" spans="1:88" x14ac:dyDescent="0.3">
      <c r="A1" s="1" t="s">
        <v>0</v>
      </c>
      <c r="B1" s="1"/>
      <c r="C1" s="1"/>
      <c r="D1" s="1"/>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row>
    <row r="2" spans="1:88" x14ac:dyDescent="0.3">
      <c r="A2" s="2" t="s">
        <v>400</v>
      </c>
      <c r="B2" s="2"/>
      <c r="C2" s="46" t="str">
        <f>IF(C4&lt;=Support!$A$17,"Actual","Forecast")</f>
        <v>Actual</v>
      </c>
      <c r="D2" s="46" t="str">
        <f>IF(D4&lt;=Support!$A$17,"Actual","Forecast")</f>
        <v>Actual</v>
      </c>
      <c r="E2" s="46" t="str">
        <f>IF(E4&lt;=Support!$A$17,"Actual","Forecast")</f>
        <v>Actual</v>
      </c>
      <c r="F2" s="46" t="str">
        <f>IF(F4&lt;=Support!$A$17,"Actual","Forecast")</f>
        <v>Actual</v>
      </c>
      <c r="G2" s="46" t="str">
        <f>IF(G4&lt;=Support!$A$17,"Actual","Forecast")</f>
        <v>Actual</v>
      </c>
      <c r="H2" s="46" t="str">
        <f>IF(H4&lt;=Support!$A$17,"Actual","Forecast")</f>
        <v>Actual</v>
      </c>
      <c r="I2" s="46" t="str">
        <f>IF(I4&lt;=Support!$A$17,"Actual","Forecast")</f>
        <v>Actual</v>
      </c>
      <c r="J2" s="46" t="str">
        <f>IF(J4&lt;=Support!$A$17,"Actual","Forecast")</f>
        <v>Actual</v>
      </c>
      <c r="K2" s="46" t="str">
        <f>IF(K4&lt;=Support!$A$17,"Actual","Forecast")</f>
        <v>Actual</v>
      </c>
      <c r="L2" s="46" t="str">
        <f>IF(L4&lt;=Support!$A$17,"Actual","Forecast")</f>
        <v>Actual</v>
      </c>
      <c r="M2" s="46" t="str">
        <f>IF(M4&lt;=Support!$A$17,"Actual","Forecast")</f>
        <v>Actual</v>
      </c>
      <c r="N2" s="46" t="str">
        <f>IF(N4&lt;=Support!$A$17,"Actual","Forecast")</f>
        <v>Actual</v>
      </c>
      <c r="O2" s="46" t="str">
        <f>IF(O4&lt;=Support!$A$17,"Actual","Forecast")</f>
        <v>Actual</v>
      </c>
      <c r="P2" s="46" t="str">
        <f>IF(P4&lt;=Support!$A$17,"Actual","Forecast")</f>
        <v>Actual</v>
      </c>
      <c r="Q2" s="46" t="str">
        <f>IF(Q4&lt;=Support!$A$17,"Actual","Forecast")</f>
        <v>Actual</v>
      </c>
      <c r="R2" s="46" t="str">
        <f>IF(R4&lt;=Support!$A$17,"Actual","Forecast")</f>
        <v>Actual</v>
      </c>
      <c r="S2" s="46" t="str">
        <f>IF(S4&lt;=Support!$A$17,"Actual","Forecast")</f>
        <v>Actual</v>
      </c>
      <c r="T2" s="46" t="str">
        <f>IF(T4&lt;=Support!$A$17,"Actual","Forecast")</f>
        <v>Actual</v>
      </c>
      <c r="U2" s="46" t="str">
        <f>IF(U4&lt;=Support!$A$17,"Actual","Forecast")</f>
        <v>Actual</v>
      </c>
      <c r="V2" s="46" t="str">
        <f>IF(V4&lt;=Support!$A$17,"Actual","Forecast")</f>
        <v>Actual</v>
      </c>
      <c r="W2" s="46" t="str">
        <f>IF(W4&lt;=Support!$A$17,"Actual","Forecast")</f>
        <v>Actual</v>
      </c>
      <c r="X2" s="46" t="str">
        <f>IF(X4&lt;=Support!$A$17,"Actual","Forecast")</f>
        <v>Actual</v>
      </c>
      <c r="Y2" s="46" t="str">
        <f>IF(Y4&lt;=Support!$A$17,"Actual","Forecast")</f>
        <v>Actual</v>
      </c>
      <c r="Z2" s="46" t="str">
        <f>IF(Z4&lt;=Support!$A$17,"Actual","Forecast")</f>
        <v>Actual</v>
      </c>
      <c r="AA2" s="46" t="str">
        <f>IF(AA4&lt;=Support!$A$17,"Actual","Forecast")</f>
        <v>Actual</v>
      </c>
      <c r="AB2" s="46" t="str">
        <f>IF(AB4&lt;=Support!$A$17,"Actual","Forecast")</f>
        <v>Forecast</v>
      </c>
      <c r="AC2" s="46" t="str">
        <f>IF(AC4&lt;=Support!$A$17,"Actual","Forecast")</f>
        <v>Forecast</v>
      </c>
      <c r="AD2" s="46" t="str">
        <f>IF(AD4&lt;=Support!$A$17,"Actual","Forecast")</f>
        <v>Forecast</v>
      </c>
      <c r="AE2" s="46" t="str">
        <f>IF(AE4&lt;=Support!$A$17,"Actual","Forecast")</f>
        <v>Forecast</v>
      </c>
      <c r="AF2" s="46" t="str">
        <f>IF(AF4&lt;=Support!$A$17,"Actual","Forecast")</f>
        <v>Forecast</v>
      </c>
      <c r="AG2" s="46" t="str">
        <f>IF(AG4&lt;=Support!$A$17,"Actual","Forecast")</f>
        <v>Forecast</v>
      </c>
      <c r="AH2" s="46" t="str">
        <f>IF(AH4&lt;=Support!$A$17,"Actual","Forecast")</f>
        <v>Forecast</v>
      </c>
      <c r="AI2" s="46" t="str">
        <f>IF(AI4&lt;=Support!$A$17,"Actual","Forecast")</f>
        <v>Forecast</v>
      </c>
      <c r="AJ2" s="46" t="str">
        <f>IF(AJ4&lt;=Support!$A$17,"Actual","Forecast")</f>
        <v>Forecast</v>
      </c>
      <c r="AK2" s="46" t="str">
        <f>IF(AK4&lt;=Support!$A$17,"Actual","Forecast")</f>
        <v>Forecast</v>
      </c>
      <c r="AL2" s="46" t="str">
        <f>IF(AL4&lt;=Support!$A$17,"Actual","Forecast")</f>
        <v>Forecast</v>
      </c>
      <c r="AM2" s="46" t="str">
        <f>IF(AM4&lt;=Support!$A$17,"Actual","Forecast")</f>
        <v>Forecast</v>
      </c>
      <c r="AN2" s="46" t="str">
        <f>IF(AN4&lt;=Support!$A$17,"Actual","Forecast")</f>
        <v>Forecast</v>
      </c>
      <c r="AO2" s="46" t="str">
        <f>IF(AO4&lt;=Support!$A$17,"Actual","Forecast")</f>
        <v>Forecast</v>
      </c>
      <c r="AP2" s="46" t="str">
        <f>IF(AP4&lt;=Support!$A$17,"Actual","Forecast")</f>
        <v>Forecast</v>
      </c>
      <c r="AQ2" s="46" t="str">
        <f>IF(AQ4&lt;=Support!$A$17,"Actual","Forecast")</f>
        <v>Forecast</v>
      </c>
      <c r="AR2" s="46" t="str">
        <f>IF(AR4&lt;=Support!$A$17,"Actual","Forecast")</f>
        <v>Forecast</v>
      </c>
      <c r="AS2" s="46" t="str">
        <f>IF(AS4&lt;=Support!$A$17,"Actual","Forecast")</f>
        <v>Forecast</v>
      </c>
      <c r="AT2" s="46" t="str">
        <f>IF(AT4&lt;=Support!$A$17,"Actual","Forecast")</f>
        <v>Forecast</v>
      </c>
      <c r="AU2" s="46" t="str">
        <f>IF(AU4&lt;=Support!$A$17,"Actual","Forecast")</f>
        <v>Forecast</v>
      </c>
      <c r="AV2" s="46" t="str">
        <f>IF(AV4&lt;=Support!$A$17,"Actual","Forecast")</f>
        <v>Forecast</v>
      </c>
      <c r="AW2" s="46" t="str">
        <f>IF(AW4&lt;=Support!$A$17,"Actual","Forecast")</f>
        <v>Forecast</v>
      </c>
      <c r="AX2" s="46" t="str">
        <f>IF(AX4&lt;=Support!$A$17,"Actual","Forecast")</f>
        <v>Forecast</v>
      </c>
      <c r="AY2" s="46" t="str">
        <f>IF(AY4&lt;=Support!$A$17,"Actual","Forecast")</f>
        <v>Forecast</v>
      </c>
      <c r="AZ2" s="46" t="str">
        <f>IF(AZ4&lt;=Support!$A$17,"Actual","Forecast")</f>
        <v>Forecast</v>
      </c>
      <c r="BA2" s="46" t="str">
        <f>IF(BA4&lt;=Support!$A$17,"Actual","Forecast")</f>
        <v>Forecast</v>
      </c>
      <c r="BB2" s="46" t="str">
        <f>IF(BB4&lt;=Support!$A$17,"Actual","Forecast")</f>
        <v>Forecast</v>
      </c>
      <c r="BC2" s="46" t="str">
        <f>IF(BC4&lt;=Support!$A$17,"Actual","Forecast")</f>
        <v>Forecast</v>
      </c>
      <c r="BD2" s="46" t="str">
        <f>IF(BD4&lt;=Support!$A$17,"Actual","Forecast")</f>
        <v>Forecast</v>
      </c>
      <c r="BE2" s="46" t="str">
        <f>IF(BE4&lt;=Support!$A$17,"Actual","Forecast")</f>
        <v>Forecast</v>
      </c>
      <c r="BF2" s="46" t="str">
        <f>IF(BF4&lt;=Support!$A$17,"Actual","Forecast")</f>
        <v>Forecast</v>
      </c>
      <c r="BG2" s="46" t="str">
        <f>IF(BG4&lt;=Support!$A$17,"Actual","Forecast")</f>
        <v>Forecast</v>
      </c>
      <c r="BH2" s="46" t="str">
        <f>IF(BH4&lt;=Support!$A$17,"Actual","Forecast")</f>
        <v>Forecast</v>
      </c>
      <c r="BI2" s="46" t="str">
        <f>IF(BI4&lt;=Support!$A$17,"Actual","Forecast")</f>
        <v>Forecast</v>
      </c>
      <c r="BJ2" s="46" t="str">
        <f>IF(BJ4&lt;=Support!$A$17,"Actual","Forecast")</f>
        <v>Forecast</v>
      </c>
      <c r="BK2" s="46" t="str">
        <f>IF(BK4&lt;=Support!$A$17,"Actual","Forecast")</f>
        <v>Forecast</v>
      </c>
      <c r="BL2" s="46" t="str">
        <f>IF(BL4&lt;=Support!$A$17,"Actual","Forecast")</f>
        <v>Forecast</v>
      </c>
      <c r="BM2" s="46" t="str">
        <f>IF(BM4&lt;=Support!$A$17,"Actual","Forecast")</f>
        <v>Forecast</v>
      </c>
      <c r="BN2" s="46" t="str">
        <f>IF(BN4&lt;=Support!$A$17,"Actual","Forecast")</f>
        <v>Forecast</v>
      </c>
      <c r="BO2" s="46" t="str">
        <f>IF(BO4&lt;=Support!$A$17,"Actual","Forecast")</f>
        <v>Forecast</v>
      </c>
      <c r="BP2" s="46" t="str">
        <f>IF(BP4&lt;=Support!$A$17,"Actual","Forecast")</f>
        <v>Forecast</v>
      </c>
      <c r="BQ2" s="46" t="str">
        <f>IF(BQ4&lt;=Support!$A$17,"Actual","Forecast")</f>
        <v>Forecast</v>
      </c>
      <c r="BR2" s="46" t="str">
        <f>IF(BR4&lt;=Support!$A$17,"Actual","Forecast")</f>
        <v>Forecast</v>
      </c>
      <c r="BS2" s="46" t="str">
        <f>IF(BS4&lt;=Support!$A$17,"Actual","Forecast")</f>
        <v>Forecast</v>
      </c>
      <c r="BT2" s="46" t="str">
        <f>IF(BT4&lt;=Support!$A$17,"Actual","Forecast")</f>
        <v>Forecast</v>
      </c>
      <c r="BU2" s="46" t="str">
        <f>IF(BU4&lt;=Support!$A$17,"Actual","Forecast")</f>
        <v>Forecast</v>
      </c>
      <c r="BV2" s="46" t="str">
        <f>IF(BV4&lt;=Support!$A$17,"Actual","Forecast")</f>
        <v>Forecast</v>
      </c>
      <c r="BW2" s="46" t="str">
        <f>IF(BW4&lt;=Support!$A$17,"Actual","Forecast")</f>
        <v>Forecast</v>
      </c>
      <c r="BX2" s="46" t="str">
        <f>IF(BX4&lt;=Support!$A$17,"Actual","Forecast")</f>
        <v>Forecast</v>
      </c>
      <c r="BZ2" s="452" t="s">
        <v>309</v>
      </c>
      <c r="CA2" s="452"/>
      <c r="CC2" s="452" t="s">
        <v>310</v>
      </c>
      <c r="CD2" s="452"/>
      <c r="CE2" s="452"/>
      <c r="CF2" s="452"/>
      <c r="CG2" s="452"/>
      <c r="CH2" s="452"/>
      <c r="CI2" s="452"/>
      <c r="CJ2" s="452"/>
    </row>
    <row r="3" spans="1:88" x14ac:dyDescent="0.3">
      <c r="A3" s="2" t="str">
        <f>Cover!A15</f>
        <v>(Bond Scenario)</v>
      </c>
      <c r="B3" s="35" t="s">
        <v>160</v>
      </c>
      <c r="C3" s="154">
        <f>'DCS Detail'!C3</f>
        <v>2019</v>
      </c>
      <c r="D3" s="154">
        <f>'DCS Detail'!D3</f>
        <v>2020</v>
      </c>
      <c r="E3" s="154">
        <f>'DCS Detail'!E3</f>
        <v>2021</v>
      </c>
      <c r="F3" s="154">
        <f>'DCS Detail'!F3</f>
        <v>2021</v>
      </c>
      <c r="G3" s="154">
        <f>'DCS Detail'!G3</f>
        <v>2021</v>
      </c>
      <c r="H3" s="154">
        <f>'DCS Detail'!H3</f>
        <v>2021</v>
      </c>
      <c r="I3" s="154">
        <f>'DCS Detail'!I3</f>
        <v>2021</v>
      </c>
      <c r="J3" s="154">
        <f>'DCS Detail'!J3</f>
        <v>2021</v>
      </c>
      <c r="K3" s="154">
        <f>'DCS Detail'!K3</f>
        <v>2021</v>
      </c>
      <c r="L3" s="154">
        <f>'DCS Detail'!L3</f>
        <v>2021</v>
      </c>
      <c r="M3" s="154">
        <f>'DCS Detail'!M3</f>
        <v>2021</v>
      </c>
      <c r="N3" s="154">
        <f>'DCS Detail'!N3</f>
        <v>2021</v>
      </c>
      <c r="O3" s="154">
        <f>'DCS Detail'!O3</f>
        <v>2021</v>
      </c>
      <c r="P3" s="154">
        <f>'DCS Detail'!P3</f>
        <v>2021</v>
      </c>
      <c r="Q3" s="154">
        <f>'DCS Detail'!Q3</f>
        <v>2022</v>
      </c>
      <c r="R3" s="154">
        <f>'DCS Detail'!R3</f>
        <v>2022</v>
      </c>
      <c r="S3" s="154">
        <f>'DCS Detail'!S3</f>
        <v>2022</v>
      </c>
      <c r="T3" s="154">
        <f>'DCS Detail'!T3</f>
        <v>2022</v>
      </c>
      <c r="U3" s="154">
        <f>'DCS Detail'!U3</f>
        <v>2022</v>
      </c>
      <c r="V3" s="154">
        <f>'DCS Detail'!V3</f>
        <v>2022</v>
      </c>
      <c r="W3" s="154">
        <f>'DCS Detail'!W3</f>
        <v>2022</v>
      </c>
      <c r="X3" s="154">
        <f>'DCS Detail'!X3</f>
        <v>2022</v>
      </c>
      <c r="Y3" s="154">
        <f>'DCS Detail'!Y3</f>
        <v>2022</v>
      </c>
      <c r="Z3" s="154">
        <f>'DCS Detail'!Z3</f>
        <v>2022</v>
      </c>
      <c r="AA3" s="154">
        <f>'DCS Detail'!AA3</f>
        <v>2022</v>
      </c>
      <c r="AB3" s="154">
        <f>'DCS Detail'!AB3</f>
        <v>2022</v>
      </c>
      <c r="AC3" s="154">
        <f>'DCS Detail'!AC3</f>
        <v>2023</v>
      </c>
      <c r="AD3" s="154">
        <f>'DCS Detail'!AD3</f>
        <v>2023</v>
      </c>
      <c r="AE3" s="154">
        <f>'DCS Detail'!AE3</f>
        <v>2023</v>
      </c>
      <c r="AF3" s="154">
        <f>'DCS Detail'!AF3</f>
        <v>2023</v>
      </c>
      <c r="AG3" s="154">
        <f>'DCS Detail'!AG3</f>
        <v>2023</v>
      </c>
      <c r="AH3" s="154">
        <f>'DCS Detail'!AH3</f>
        <v>2023</v>
      </c>
      <c r="AI3" s="154">
        <f>'DCS Detail'!AI3</f>
        <v>2023</v>
      </c>
      <c r="AJ3" s="154">
        <f>'DCS Detail'!AJ3</f>
        <v>2023</v>
      </c>
      <c r="AK3" s="154">
        <f>'DCS Detail'!AK3</f>
        <v>2023</v>
      </c>
      <c r="AL3" s="154">
        <f>'DCS Detail'!AL3</f>
        <v>2023</v>
      </c>
      <c r="AM3" s="154">
        <f>'DCS Detail'!AM3</f>
        <v>2023</v>
      </c>
      <c r="AN3" s="154">
        <f>'DCS Detail'!AN3</f>
        <v>2023</v>
      </c>
      <c r="AO3" s="154">
        <f>'DCS Detail'!AO3</f>
        <v>2024</v>
      </c>
      <c r="AP3" s="154">
        <f>'DCS Detail'!AP3</f>
        <v>2024</v>
      </c>
      <c r="AQ3" s="154">
        <f>'DCS Detail'!AQ3</f>
        <v>2024</v>
      </c>
      <c r="AR3" s="154">
        <f>'DCS Detail'!AR3</f>
        <v>2024</v>
      </c>
      <c r="AS3" s="154">
        <f>'DCS Detail'!AS3</f>
        <v>2024</v>
      </c>
      <c r="AT3" s="154">
        <f>'DCS Detail'!AT3</f>
        <v>2024</v>
      </c>
      <c r="AU3" s="154">
        <f>'DCS Detail'!AU3</f>
        <v>2024</v>
      </c>
      <c r="AV3" s="154">
        <f>'DCS Detail'!AV3</f>
        <v>2024</v>
      </c>
      <c r="AW3" s="154">
        <f>'DCS Detail'!AW3</f>
        <v>2024</v>
      </c>
      <c r="AX3" s="154">
        <f>'DCS Detail'!AX3</f>
        <v>2024</v>
      </c>
      <c r="AY3" s="154">
        <f>'DCS Detail'!AY3</f>
        <v>2024</v>
      </c>
      <c r="AZ3" s="154">
        <f>'DCS Detail'!AZ3</f>
        <v>2024</v>
      </c>
      <c r="BA3" s="154">
        <f>'DCS Detail'!BA3</f>
        <v>2025</v>
      </c>
      <c r="BB3" s="154">
        <f>'DCS Detail'!BB3</f>
        <v>2025</v>
      </c>
      <c r="BC3" s="154">
        <f>'DCS Detail'!BC3</f>
        <v>2025</v>
      </c>
      <c r="BD3" s="154">
        <f>'DCS Detail'!BD3</f>
        <v>2025</v>
      </c>
      <c r="BE3" s="154">
        <f>'DCS Detail'!BE3</f>
        <v>2025</v>
      </c>
      <c r="BF3" s="154">
        <f>'DCS Detail'!BF3</f>
        <v>2025</v>
      </c>
      <c r="BG3" s="154">
        <f>'DCS Detail'!BG3</f>
        <v>2025</v>
      </c>
      <c r="BH3" s="154">
        <f>'DCS Detail'!BH3</f>
        <v>2025</v>
      </c>
      <c r="BI3" s="154">
        <f>'DCS Detail'!BI3</f>
        <v>2025</v>
      </c>
      <c r="BJ3" s="154">
        <f>'DCS Detail'!BJ3</f>
        <v>2025</v>
      </c>
      <c r="BK3" s="154">
        <f>'DCS Detail'!BK3</f>
        <v>2025</v>
      </c>
      <c r="BL3" s="154">
        <f>'DCS Detail'!BL3</f>
        <v>2025</v>
      </c>
      <c r="BM3" s="154">
        <f>'DCS Detail'!BM3</f>
        <v>2026</v>
      </c>
      <c r="BN3" s="154">
        <f>'DCS Detail'!BN3</f>
        <v>2026</v>
      </c>
      <c r="BO3" s="154">
        <f>'DCS Detail'!BO3</f>
        <v>2026</v>
      </c>
      <c r="BP3" s="154">
        <f>'DCS Detail'!BP3</f>
        <v>2026</v>
      </c>
      <c r="BQ3" s="154">
        <f>'DCS Detail'!BQ3</f>
        <v>2026</v>
      </c>
      <c r="BR3" s="154">
        <f>'DCS Detail'!BR3</f>
        <v>2026</v>
      </c>
      <c r="BS3" s="154">
        <f>'DCS Detail'!BS3</f>
        <v>2026</v>
      </c>
      <c r="BT3" s="154">
        <f>'DCS Detail'!BT3</f>
        <v>2026</v>
      </c>
      <c r="BU3" s="154">
        <f>'DCS Detail'!BU3</f>
        <v>2026</v>
      </c>
      <c r="BV3" s="154">
        <f>'DCS Detail'!BV3</f>
        <v>2026</v>
      </c>
      <c r="BW3" s="154">
        <f>'DCS Detail'!BW3</f>
        <v>2026</v>
      </c>
      <c r="BX3" s="154">
        <f>'DCS Detail'!BX3</f>
        <v>2026</v>
      </c>
      <c r="BZ3" s="452" t="s">
        <v>385</v>
      </c>
      <c r="CA3" s="452"/>
      <c r="CC3" s="53">
        <v>2019</v>
      </c>
      <c r="CD3" s="53">
        <f>CC3+1</f>
        <v>2020</v>
      </c>
      <c r="CE3" s="53">
        <f t="shared" ref="CE3:CJ3" si="0">CD3+1</f>
        <v>2021</v>
      </c>
      <c r="CF3" s="53">
        <f t="shared" si="0"/>
        <v>2022</v>
      </c>
      <c r="CG3" s="53">
        <f t="shared" si="0"/>
        <v>2023</v>
      </c>
      <c r="CH3" s="53">
        <f t="shared" si="0"/>
        <v>2024</v>
      </c>
      <c r="CI3" s="53">
        <f t="shared" si="0"/>
        <v>2025</v>
      </c>
      <c r="CJ3" s="53">
        <f t="shared" si="0"/>
        <v>2026</v>
      </c>
    </row>
    <row r="4" spans="1:88" x14ac:dyDescent="0.3">
      <c r="B4" s="4" t="s">
        <v>119</v>
      </c>
      <c r="C4" s="152">
        <v>43646</v>
      </c>
      <c r="D4" s="152">
        <v>44012</v>
      </c>
      <c r="E4" s="3">
        <f t="shared" ref="E4:P4" si="1">EOMONTH(D4,1)</f>
        <v>44043</v>
      </c>
      <c r="F4" s="3">
        <f t="shared" si="1"/>
        <v>44074</v>
      </c>
      <c r="G4" s="3">
        <f t="shared" si="1"/>
        <v>44104</v>
      </c>
      <c r="H4" s="3">
        <f t="shared" si="1"/>
        <v>44135</v>
      </c>
      <c r="I4" s="3">
        <f t="shared" si="1"/>
        <v>44165</v>
      </c>
      <c r="J4" s="3">
        <f t="shared" si="1"/>
        <v>44196</v>
      </c>
      <c r="K4" s="3">
        <f t="shared" si="1"/>
        <v>44227</v>
      </c>
      <c r="L4" s="3">
        <f t="shared" si="1"/>
        <v>44255</v>
      </c>
      <c r="M4" s="3">
        <f t="shared" si="1"/>
        <v>44286</v>
      </c>
      <c r="N4" s="3">
        <f t="shared" si="1"/>
        <v>44316</v>
      </c>
      <c r="O4" s="3">
        <f t="shared" si="1"/>
        <v>44347</v>
      </c>
      <c r="P4" s="3">
        <f t="shared" si="1"/>
        <v>44377</v>
      </c>
      <c r="Q4" s="3">
        <f t="shared" ref="Q4" si="2">EOMONTH(P4,1)</f>
        <v>44408</v>
      </c>
      <c r="R4" s="3">
        <f t="shared" ref="R4" si="3">EOMONTH(Q4,1)</f>
        <v>44439</v>
      </c>
      <c r="S4" s="3">
        <f t="shared" ref="S4" si="4">EOMONTH(R4,1)</f>
        <v>44469</v>
      </c>
      <c r="T4" s="3">
        <f t="shared" ref="T4" si="5">EOMONTH(S4,1)</f>
        <v>44500</v>
      </c>
      <c r="U4" s="3">
        <f t="shared" ref="U4" si="6">EOMONTH(T4,1)</f>
        <v>44530</v>
      </c>
      <c r="V4" s="3">
        <f t="shared" ref="V4" si="7">EOMONTH(U4,1)</f>
        <v>44561</v>
      </c>
      <c r="W4" s="3">
        <f t="shared" ref="W4" si="8">EOMONTH(V4,1)</f>
        <v>44592</v>
      </c>
      <c r="X4" s="3">
        <f t="shared" ref="X4" si="9">EOMONTH(W4,1)</f>
        <v>44620</v>
      </c>
      <c r="Y4" s="3">
        <f t="shared" ref="Y4" si="10">EOMONTH(X4,1)</f>
        <v>44651</v>
      </c>
      <c r="Z4" s="3">
        <f t="shared" ref="Z4" si="11">EOMONTH(Y4,1)</f>
        <v>44681</v>
      </c>
      <c r="AA4" s="3">
        <f t="shared" ref="AA4" si="12">EOMONTH(Z4,1)</f>
        <v>44712</v>
      </c>
      <c r="AB4" s="3">
        <f t="shared" ref="AB4" si="13">EOMONTH(AA4,1)</f>
        <v>44742</v>
      </c>
      <c r="AC4" s="3">
        <f t="shared" ref="AC4" si="14">EOMONTH(AB4,1)</f>
        <v>44773</v>
      </c>
      <c r="AD4" s="3">
        <f t="shared" ref="AD4" si="15">EOMONTH(AC4,1)</f>
        <v>44804</v>
      </c>
      <c r="AE4" s="3">
        <f t="shared" ref="AE4" si="16">EOMONTH(AD4,1)</f>
        <v>44834</v>
      </c>
      <c r="AF4" s="3">
        <f t="shared" ref="AF4" si="17">EOMONTH(AE4,1)</f>
        <v>44865</v>
      </c>
      <c r="AG4" s="3">
        <f t="shared" ref="AG4" si="18">EOMONTH(AF4,1)</f>
        <v>44895</v>
      </c>
      <c r="AH4" s="3">
        <f t="shared" ref="AH4" si="19">EOMONTH(AG4,1)</f>
        <v>44926</v>
      </c>
      <c r="AI4" s="3">
        <f t="shared" ref="AI4" si="20">EOMONTH(AH4,1)</f>
        <v>44957</v>
      </c>
      <c r="AJ4" s="3">
        <f t="shared" ref="AJ4" si="21">EOMONTH(AI4,1)</f>
        <v>44985</v>
      </c>
      <c r="AK4" s="3">
        <f t="shared" ref="AK4" si="22">EOMONTH(AJ4,1)</f>
        <v>45016</v>
      </c>
      <c r="AL4" s="3">
        <f t="shared" ref="AL4" si="23">EOMONTH(AK4,1)</f>
        <v>45046</v>
      </c>
      <c r="AM4" s="3">
        <f t="shared" ref="AM4" si="24">EOMONTH(AL4,1)</f>
        <v>45077</v>
      </c>
      <c r="AN4" s="3">
        <f t="shared" ref="AN4" si="25">EOMONTH(AM4,1)</f>
        <v>45107</v>
      </c>
      <c r="AO4" s="3">
        <f t="shared" ref="AO4" si="26">EOMONTH(AN4,1)</f>
        <v>45138</v>
      </c>
      <c r="AP4" s="3">
        <f t="shared" ref="AP4" si="27">EOMONTH(AO4,1)</f>
        <v>45169</v>
      </c>
      <c r="AQ4" s="3">
        <f t="shared" ref="AQ4" si="28">EOMONTH(AP4,1)</f>
        <v>45199</v>
      </c>
      <c r="AR4" s="3">
        <f t="shared" ref="AR4" si="29">EOMONTH(AQ4,1)</f>
        <v>45230</v>
      </c>
      <c r="AS4" s="3">
        <f t="shared" ref="AS4" si="30">EOMONTH(AR4,1)</f>
        <v>45260</v>
      </c>
      <c r="AT4" s="3">
        <f t="shared" ref="AT4" si="31">EOMONTH(AS4,1)</f>
        <v>45291</v>
      </c>
      <c r="AU4" s="3">
        <f t="shared" ref="AU4" si="32">EOMONTH(AT4,1)</f>
        <v>45322</v>
      </c>
      <c r="AV4" s="3">
        <f t="shared" ref="AV4" si="33">EOMONTH(AU4,1)</f>
        <v>45351</v>
      </c>
      <c r="AW4" s="3">
        <f t="shared" ref="AW4" si="34">EOMONTH(AV4,1)</f>
        <v>45382</v>
      </c>
      <c r="AX4" s="3">
        <f t="shared" ref="AX4" si="35">EOMONTH(AW4,1)</f>
        <v>45412</v>
      </c>
      <c r="AY4" s="3">
        <f t="shared" ref="AY4" si="36">EOMONTH(AX4,1)</f>
        <v>45443</v>
      </c>
      <c r="AZ4" s="3">
        <f t="shared" ref="AZ4:BM4" si="37">EOMONTH(AY4,1)</f>
        <v>45473</v>
      </c>
      <c r="BA4" s="3">
        <f t="shared" si="37"/>
        <v>45504</v>
      </c>
      <c r="BB4" s="3">
        <f t="shared" si="37"/>
        <v>45535</v>
      </c>
      <c r="BC4" s="3">
        <f t="shared" si="37"/>
        <v>45565</v>
      </c>
      <c r="BD4" s="3">
        <f t="shared" si="37"/>
        <v>45596</v>
      </c>
      <c r="BE4" s="3">
        <f t="shared" si="37"/>
        <v>45626</v>
      </c>
      <c r="BF4" s="3">
        <f t="shared" si="37"/>
        <v>45657</v>
      </c>
      <c r="BG4" s="3">
        <f t="shared" si="37"/>
        <v>45688</v>
      </c>
      <c r="BH4" s="3">
        <f t="shared" si="37"/>
        <v>45716</v>
      </c>
      <c r="BI4" s="3">
        <f t="shared" si="37"/>
        <v>45747</v>
      </c>
      <c r="BJ4" s="3">
        <f t="shared" si="37"/>
        <v>45777</v>
      </c>
      <c r="BK4" s="3">
        <f t="shared" si="37"/>
        <v>45808</v>
      </c>
      <c r="BL4" s="3">
        <f t="shared" si="37"/>
        <v>45838</v>
      </c>
      <c r="BM4" s="3">
        <f t="shared" si="37"/>
        <v>45869</v>
      </c>
      <c r="BN4" s="3">
        <f t="shared" ref="BN4" si="38">EOMONTH(BM4,1)</f>
        <v>45900</v>
      </c>
      <c r="BO4" s="3">
        <f t="shared" ref="BO4" si="39">EOMONTH(BN4,1)</f>
        <v>45930</v>
      </c>
      <c r="BP4" s="3">
        <f t="shared" ref="BP4" si="40">EOMONTH(BO4,1)</f>
        <v>45961</v>
      </c>
      <c r="BQ4" s="3">
        <f t="shared" ref="BQ4" si="41">EOMONTH(BP4,1)</f>
        <v>45991</v>
      </c>
      <c r="BR4" s="3">
        <f t="shared" ref="BR4" si="42">EOMONTH(BQ4,1)</f>
        <v>46022</v>
      </c>
      <c r="BS4" s="3">
        <f t="shared" ref="BS4" si="43">EOMONTH(BR4,1)</f>
        <v>46053</v>
      </c>
      <c r="BT4" s="3">
        <f t="shared" ref="BT4" si="44">EOMONTH(BS4,1)</f>
        <v>46081</v>
      </c>
      <c r="BU4" s="3">
        <f t="shared" ref="BU4" si="45">EOMONTH(BT4,1)</f>
        <v>46112</v>
      </c>
      <c r="BV4" s="3">
        <f t="shared" ref="BV4" si="46">EOMONTH(BU4,1)</f>
        <v>46142</v>
      </c>
      <c r="BW4" s="3">
        <f t="shared" ref="BW4" si="47">EOMONTH(BV4,1)</f>
        <v>46173</v>
      </c>
      <c r="BX4" s="3">
        <f t="shared" ref="BX4" si="48">EOMONTH(BW4,1)</f>
        <v>46203</v>
      </c>
      <c r="BZ4" s="4" t="s">
        <v>130</v>
      </c>
      <c r="CA4" s="3" t="s">
        <v>129</v>
      </c>
      <c r="CC4" s="3">
        <f>C4</f>
        <v>43646</v>
      </c>
      <c r="CD4" s="3">
        <f>EOMONTH(CC4,12)</f>
        <v>44012</v>
      </c>
      <c r="CE4" s="3">
        <f t="shared" ref="CE4:CJ4" si="49">EOMONTH(CD4,12)</f>
        <v>44377</v>
      </c>
      <c r="CF4" s="3">
        <f t="shared" si="49"/>
        <v>44742</v>
      </c>
      <c r="CG4" s="3">
        <f t="shared" si="49"/>
        <v>45107</v>
      </c>
      <c r="CH4" s="3">
        <f t="shared" si="49"/>
        <v>45473</v>
      </c>
      <c r="CI4" s="3">
        <f t="shared" si="49"/>
        <v>45838</v>
      </c>
      <c r="CJ4" s="3">
        <f t="shared" si="49"/>
        <v>46203</v>
      </c>
    </row>
    <row r="6" spans="1:88" x14ac:dyDescent="0.3">
      <c r="A6" s="24" t="s">
        <v>149</v>
      </c>
      <c r="B6" s="93"/>
      <c r="C6" s="93"/>
      <c r="D6" s="93"/>
      <c r="E6" s="90"/>
      <c r="F6" s="90"/>
      <c r="G6" s="90"/>
      <c r="H6" s="90"/>
      <c r="I6" s="90"/>
      <c r="J6" s="88"/>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1"/>
      <c r="BZ6" s="91"/>
      <c r="CA6" s="91"/>
      <c r="CB6" s="91"/>
      <c r="CC6" s="91"/>
      <c r="CD6" s="91"/>
      <c r="CE6" s="91"/>
      <c r="CF6" s="91"/>
      <c r="CG6" s="91"/>
      <c r="CH6" s="91"/>
      <c r="CI6" s="91"/>
      <c r="CJ6" s="91"/>
    </row>
    <row r="7" spans="1:88" x14ac:dyDescent="0.3">
      <c r="A7" s="108" t="str">
        <f>B7</f>
        <v>Building Capacity</v>
      </c>
      <c r="B7" s="32" t="str">
        <f>IF('DCS Detail'!$B7="","",'DCS Detail'!$B7)</f>
        <v>Building Capacity</v>
      </c>
      <c r="C7" s="131">
        <f>28*7</f>
        <v>196</v>
      </c>
      <c r="D7" s="100">
        <f>C7</f>
        <v>196</v>
      </c>
      <c r="E7" s="100">
        <f>D7</f>
        <v>196</v>
      </c>
      <c r="F7" s="100">
        <f>E7</f>
        <v>196</v>
      </c>
      <c r="G7" s="100">
        <f t="shared" ref="G7:P7" si="50">F7</f>
        <v>196</v>
      </c>
      <c r="H7" s="100">
        <f t="shared" si="50"/>
        <v>196</v>
      </c>
      <c r="I7" s="100">
        <f t="shared" si="50"/>
        <v>196</v>
      </c>
      <c r="J7" s="100">
        <f t="shared" si="50"/>
        <v>196</v>
      </c>
      <c r="K7" s="100">
        <f t="shared" si="50"/>
        <v>196</v>
      </c>
      <c r="L7" s="100">
        <f t="shared" si="50"/>
        <v>196</v>
      </c>
      <c r="M7" s="100">
        <f t="shared" si="50"/>
        <v>196</v>
      </c>
      <c r="N7" s="100">
        <f t="shared" si="50"/>
        <v>196</v>
      </c>
      <c r="O7" s="100">
        <f t="shared" si="50"/>
        <v>196</v>
      </c>
      <c r="P7" s="100">
        <f t="shared" si="50"/>
        <v>196</v>
      </c>
      <c r="Q7" s="100">
        <f t="shared" ref="Q7" si="51">P7</f>
        <v>196</v>
      </c>
      <c r="R7" s="100">
        <f t="shared" ref="R7" si="52">Q7</f>
        <v>196</v>
      </c>
      <c r="S7" s="100">
        <f t="shared" ref="S7" si="53">R7</f>
        <v>196</v>
      </c>
      <c r="T7" s="100">
        <f t="shared" ref="T7" si="54">S7</f>
        <v>196</v>
      </c>
      <c r="U7" s="100">
        <f t="shared" ref="U7" si="55">T7</f>
        <v>196</v>
      </c>
      <c r="V7" s="100">
        <f t="shared" ref="V7" si="56">U7</f>
        <v>196</v>
      </c>
      <c r="W7" s="100">
        <f t="shared" ref="W7" si="57">V7</f>
        <v>196</v>
      </c>
      <c r="X7" s="100">
        <f t="shared" ref="X7" si="58">W7</f>
        <v>196</v>
      </c>
      <c r="Y7" s="100">
        <f t="shared" ref="Y7" si="59">X7</f>
        <v>196</v>
      </c>
      <c r="Z7" s="100">
        <f t="shared" ref="Z7" si="60">Y7</f>
        <v>196</v>
      </c>
      <c r="AA7" s="100">
        <f t="shared" ref="AA7" si="61">Z7</f>
        <v>196</v>
      </c>
      <c r="AB7" s="100">
        <f t="shared" ref="AB7" si="62">AA7</f>
        <v>196</v>
      </c>
      <c r="AC7" s="100">
        <f t="shared" ref="AC7" si="63">AB7</f>
        <v>196</v>
      </c>
      <c r="AD7" s="100">
        <f t="shared" ref="AD7" si="64">AC7</f>
        <v>196</v>
      </c>
      <c r="AE7" s="100">
        <f t="shared" ref="AE7" si="65">AD7</f>
        <v>196</v>
      </c>
      <c r="AF7" s="100">
        <f t="shared" ref="AF7" si="66">AE7</f>
        <v>196</v>
      </c>
      <c r="AG7" s="100">
        <f t="shared" ref="AG7" si="67">AF7</f>
        <v>196</v>
      </c>
      <c r="AH7" s="100">
        <f t="shared" ref="AH7" si="68">AG7</f>
        <v>196</v>
      </c>
      <c r="AI7" s="100">
        <f t="shared" ref="AI7" si="69">AH7</f>
        <v>196</v>
      </c>
      <c r="AJ7" s="100">
        <f t="shared" ref="AJ7" si="70">AI7</f>
        <v>196</v>
      </c>
      <c r="AK7" s="100">
        <f t="shared" ref="AK7" si="71">AJ7</f>
        <v>196</v>
      </c>
      <c r="AL7" s="100">
        <f t="shared" ref="AL7" si="72">AK7</f>
        <v>196</v>
      </c>
      <c r="AM7" s="100">
        <f t="shared" ref="AM7" si="73">AL7</f>
        <v>196</v>
      </c>
      <c r="AN7" s="100">
        <f t="shared" ref="AN7" si="74">AM7</f>
        <v>196</v>
      </c>
      <c r="AO7" s="100">
        <f t="shared" ref="AO7" si="75">AN7</f>
        <v>196</v>
      </c>
      <c r="AP7" s="100">
        <f t="shared" ref="AP7" si="76">AO7</f>
        <v>196</v>
      </c>
      <c r="AQ7" s="100">
        <f t="shared" ref="AQ7" si="77">AP7</f>
        <v>196</v>
      </c>
      <c r="AR7" s="100">
        <f t="shared" ref="AR7" si="78">AQ7</f>
        <v>196</v>
      </c>
      <c r="AS7" s="100">
        <f t="shared" ref="AS7" si="79">AR7</f>
        <v>196</v>
      </c>
      <c r="AT7" s="100">
        <f t="shared" ref="AT7" si="80">AS7</f>
        <v>196</v>
      </c>
      <c r="AU7" s="100">
        <f t="shared" ref="AU7" si="81">AT7</f>
        <v>196</v>
      </c>
      <c r="AV7" s="100">
        <f t="shared" ref="AV7" si="82">AU7</f>
        <v>196</v>
      </c>
      <c r="AW7" s="100">
        <f t="shared" ref="AW7" si="83">AV7</f>
        <v>196</v>
      </c>
      <c r="AX7" s="100">
        <f t="shared" ref="AX7" si="84">AW7</f>
        <v>196</v>
      </c>
      <c r="AY7" s="100">
        <f t="shared" ref="AY7" si="85">AX7</f>
        <v>196</v>
      </c>
      <c r="AZ7" s="100">
        <f t="shared" ref="AZ7" si="86">AY7</f>
        <v>196</v>
      </c>
      <c r="BA7" s="100">
        <f t="shared" ref="BA7" si="87">AZ7</f>
        <v>196</v>
      </c>
      <c r="BB7" s="100">
        <f t="shared" ref="BB7" si="88">BA7</f>
        <v>196</v>
      </c>
      <c r="BC7" s="100">
        <f t="shared" ref="BC7" si="89">BB7</f>
        <v>196</v>
      </c>
      <c r="BD7" s="100">
        <f t="shared" ref="BD7" si="90">BC7</f>
        <v>196</v>
      </c>
      <c r="BE7" s="100">
        <f t="shared" ref="BE7" si="91">BD7</f>
        <v>196</v>
      </c>
      <c r="BF7" s="100">
        <f t="shared" ref="BF7" si="92">BE7</f>
        <v>196</v>
      </c>
      <c r="BG7" s="100">
        <f t="shared" ref="BG7" si="93">BF7</f>
        <v>196</v>
      </c>
      <c r="BH7" s="100">
        <f t="shared" ref="BH7" si="94">BG7</f>
        <v>196</v>
      </c>
      <c r="BI7" s="100">
        <f t="shared" ref="BI7" si="95">BH7</f>
        <v>196</v>
      </c>
      <c r="BJ7" s="100">
        <f t="shared" ref="BJ7" si="96">BI7</f>
        <v>196</v>
      </c>
      <c r="BK7" s="100">
        <f t="shared" ref="BK7" si="97">BJ7</f>
        <v>196</v>
      </c>
      <c r="BL7" s="100">
        <f t="shared" ref="BL7" si="98">BK7</f>
        <v>196</v>
      </c>
      <c r="BM7" s="100">
        <f t="shared" ref="BM7" si="99">BL7</f>
        <v>196</v>
      </c>
      <c r="BN7" s="100">
        <f t="shared" ref="BN7" si="100">BM7</f>
        <v>196</v>
      </c>
      <c r="BO7" s="100">
        <f t="shared" ref="BO7" si="101">BN7</f>
        <v>196</v>
      </c>
      <c r="BP7" s="100">
        <f t="shared" ref="BP7" si="102">BO7</f>
        <v>196</v>
      </c>
      <c r="BQ7" s="100">
        <f t="shared" ref="BQ7" si="103">BP7</f>
        <v>196</v>
      </c>
      <c r="BR7" s="100">
        <f t="shared" ref="BR7" si="104">BQ7</f>
        <v>196</v>
      </c>
      <c r="BS7" s="100">
        <f t="shared" ref="BS7" si="105">BR7</f>
        <v>196</v>
      </c>
      <c r="BT7" s="100">
        <f t="shared" ref="BT7" si="106">BS7</f>
        <v>196</v>
      </c>
      <c r="BU7" s="100">
        <f t="shared" ref="BU7" si="107">BT7</f>
        <v>196</v>
      </c>
      <c r="BV7" s="100">
        <f t="shared" ref="BV7" si="108">BU7</f>
        <v>196</v>
      </c>
      <c r="BW7" s="100">
        <f t="shared" ref="BW7" si="109">BV7</f>
        <v>196</v>
      </c>
      <c r="BX7" s="100">
        <f t="shared" ref="BX7" si="110">BW7</f>
        <v>196</v>
      </c>
      <c r="BY7" s="27"/>
      <c r="BZ7" s="379">
        <f>SUMIF($B$252:$BY$252,1,$B7:$BY7)</f>
        <v>196</v>
      </c>
      <c r="CA7" s="379">
        <f>SUMIF($B$252:$BY$252,1,$B7:$BY7)</f>
        <v>196</v>
      </c>
      <c r="CB7" s="97"/>
      <c r="CC7" s="380">
        <f t="shared" ref="CC7:CJ7" si="111">SUMIF($C$4:$BY$4,CC$4,$C7:$BY7)</f>
        <v>196</v>
      </c>
      <c r="CD7" s="380">
        <f t="shared" si="111"/>
        <v>196</v>
      </c>
      <c r="CE7" s="380">
        <f t="shared" si="111"/>
        <v>196</v>
      </c>
      <c r="CF7" s="380">
        <f t="shared" si="111"/>
        <v>196</v>
      </c>
      <c r="CG7" s="380">
        <f t="shared" si="111"/>
        <v>196</v>
      </c>
      <c r="CH7" s="380">
        <f t="shared" si="111"/>
        <v>196</v>
      </c>
      <c r="CI7" s="380">
        <f t="shared" si="111"/>
        <v>196</v>
      </c>
      <c r="CJ7" s="380">
        <f t="shared" si="111"/>
        <v>196</v>
      </c>
    </row>
    <row r="8" spans="1:88" x14ac:dyDescent="0.3">
      <c r="A8" s="33"/>
      <c r="B8" s="32"/>
      <c r="C8" s="131"/>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27"/>
      <c r="BZ8" s="379"/>
      <c r="CA8" s="379"/>
      <c r="CB8" s="97"/>
      <c r="CC8" s="380"/>
      <c r="CD8" s="380"/>
      <c r="CE8" s="380"/>
      <c r="CF8" s="380"/>
      <c r="CG8" s="380"/>
      <c r="CH8" s="380"/>
      <c r="CI8" s="380"/>
      <c r="CJ8" s="380"/>
    </row>
    <row r="9" spans="1:88" x14ac:dyDescent="0.3">
      <c r="A9" s="127" t="s">
        <v>361</v>
      </c>
      <c r="B9" s="32"/>
      <c r="C9" s="98"/>
      <c r="D9" s="98"/>
      <c r="E9" s="98"/>
      <c r="F9" s="100"/>
      <c r="G9" s="100"/>
      <c r="H9" s="100"/>
      <c r="I9" s="100"/>
      <c r="J9" s="100"/>
      <c r="K9" s="100"/>
      <c r="L9" s="100"/>
      <c r="M9" s="100"/>
      <c r="N9" s="100"/>
      <c r="O9" s="100"/>
      <c r="P9" s="100"/>
      <c r="Q9" s="124"/>
      <c r="R9" s="124"/>
      <c r="S9" s="124"/>
      <c r="T9" s="124"/>
      <c r="U9" s="124"/>
      <c r="V9" s="124"/>
      <c r="W9" s="124"/>
      <c r="X9" s="124"/>
      <c r="Y9" s="124"/>
      <c r="Z9" s="124"/>
      <c r="AA9" s="124"/>
      <c r="AB9" s="124"/>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27"/>
      <c r="BZ9" s="379"/>
      <c r="CA9" s="379"/>
      <c r="CB9" s="97"/>
      <c r="CC9" s="380"/>
      <c r="CD9" s="97"/>
      <c r="CE9" s="97"/>
      <c r="CF9" s="97"/>
      <c r="CG9" s="97"/>
      <c r="CH9" s="97"/>
      <c r="CI9" s="97"/>
      <c r="CJ9" s="97"/>
    </row>
    <row r="10" spans="1:88" x14ac:dyDescent="0.3">
      <c r="A10" s="33" t="str">
        <f t="shared" ref="A10:A19" si="112">B10</f>
        <v>KG</v>
      </c>
      <c r="B10" s="32" t="str">
        <f>IF('DCS Detail'!$B10="","",'DCS Detail'!$B10)</f>
        <v>KG</v>
      </c>
      <c r="C10" s="131">
        <v>18</v>
      </c>
      <c r="D10" s="131">
        <v>17</v>
      </c>
      <c r="E10" s="131">
        <v>17</v>
      </c>
      <c r="F10" s="131">
        <v>21</v>
      </c>
      <c r="G10" s="131">
        <v>23</v>
      </c>
      <c r="H10" s="131">
        <v>23</v>
      </c>
      <c r="I10" s="131">
        <v>21</v>
      </c>
      <c r="J10" s="131">
        <v>20</v>
      </c>
      <c r="K10" s="131">
        <v>22</v>
      </c>
      <c r="L10" s="131">
        <v>22</v>
      </c>
      <c r="M10" s="131">
        <v>21</v>
      </c>
      <c r="N10" s="131">
        <v>21</v>
      </c>
      <c r="O10" s="131">
        <v>21</v>
      </c>
      <c r="P10" s="131">
        <v>21</v>
      </c>
      <c r="Q10" s="131">
        <v>21</v>
      </c>
      <c r="R10" s="131">
        <v>24</v>
      </c>
      <c r="S10" s="131">
        <v>24</v>
      </c>
      <c r="T10" s="131">
        <v>23</v>
      </c>
      <c r="U10" s="131">
        <v>23</v>
      </c>
      <c r="V10" s="131">
        <v>23</v>
      </c>
      <c r="W10" s="131">
        <v>23</v>
      </c>
      <c r="X10" s="131">
        <v>22</v>
      </c>
      <c r="Y10" s="131">
        <v>22</v>
      </c>
      <c r="Z10" s="131">
        <v>22</v>
      </c>
      <c r="AA10" s="440">
        <f t="shared" ref="AA10:AC18" si="113">ROUND(Z10*(1+AA280),0)</f>
        <v>22</v>
      </c>
      <c r="AB10" s="100">
        <f t="shared" si="113"/>
        <v>22</v>
      </c>
      <c r="AC10" s="100">
        <f t="shared" si="113"/>
        <v>22</v>
      </c>
      <c r="AD10" s="124">
        <f>0+22</f>
        <v>22</v>
      </c>
      <c r="AE10" s="100">
        <f t="shared" ref="AE10:AO10" si="114">ROUND(AD10*(1+AE280),0)</f>
        <v>22</v>
      </c>
      <c r="AF10" s="100">
        <f t="shared" si="114"/>
        <v>22</v>
      </c>
      <c r="AG10" s="100">
        <f t="shared" si="114"/>
        <v>22</v>
      </c>
      <c r="AH10" s="100">
        <f t="shared" si="114"/>
        <v>22</v>
      </c>
      <c r="AI10" s="100">
        <f t="shared" si="114"/>
        <v>22</v>
      </c>
      <c r="AJ10" s="100">
        <f t="shared" si="114"/>
        <v>22</v>
      </c>
      <c r="AK10" s="100">
        <f t="shared" si="114"/>
        <v>22</v>
      </c>
      <c r="AL10" s="100">
        <f t="shared" si="114"/>
        <v>22</v>
      </c>
      <c r="AM10" s="100">
        <f t="shared" si="114"/>
        <v>22</v>
      </c>
      <c r="AN10" s="100">
        <f t="shared" si="114"/>
        <v>22</v>
      </c>
      <c r="AO10" s="100">
        <f t="shared" si="114"/>
        <v>22</v>
      </c>
      <c r="AP10" s="124">
        <f>ROUNDUP(AO10*1.2,0)</f>
        <v>27</v>
      </c>
      <c r="AQ10" s="100">
        <f t="shared" ref="AQ10:BA10" si="115">ROUND(AP10*(1+AQ280),0)</f>
        <v>27</v>
      </c>
      <c r="AR10" s="100">
        <f t="shared" si="115"/>
        <v>26</v>
      </c>
      <c r="AS10" s="100">
        <f t="shared" si="115"/>
        <v>26</v>
      </c>
      <c r="AT10" s="100">
        <f t="shared" si="115"/>
        <v>26</v>
      </c>
      <c r="AU10" s="100">
        <f t="shared" si="115"/>
        <v>26</v>
      </c>
      <c r="AV10" s="100">
        <f t="shared" si="115"/>
        <v>25</v>
      </c>
      <c r="AW10" s="100">
        <f t="shared" si="115"/>
        <v>25</v>
      </c>
      <c r="AX10" s="100">
        <f t="shared" si="115"/>
        <v>25</v>
      </c>
      <c r="AY10" s="100">
        <f t="shared" si="115"/>
        <v>25</v>
      </c>
      <c r="AZ10" s="100">
        <f t="shared" si="115"/>
        <v>25</v>
      </c>
      <c r="BA10" s="100">
        <f t="shared" si="115"/>
        <v>25</v>
      </c>
      <c r="BB10" s="124">
        <f>MIN(ROUNDUP(BA10*1.5,0),56)</f>
        <v>38</v>
      </c>
      <c r="BC10" s="100">
        <f t="shared" ref="BC10:BM10" si="116">ROUND(BB10*(1+BC280),0)</f>
        <v>38</v>
      </c>
      <c r="BD10" s="100">
        <f t="shared" si="116"/>
        <v>37</v>
      </c>
      <c r="BE10" s="100">
        <f t="shared" si="116"/>
        <v>37</v>
      </c>
      <c r="BF10" s="100">
        <f t="shared" si="116"/>
        <v>37</v>
      </c>
      <c r="BG10" s="100">
        <f t="shared" si="116"/>
        <v>37</v>
      </c>
      <c r="BH10" s="100">
        <f t="shared" si="116"/>
        <v>36</v>
      </c>
      <c r="BI10" s="100">
        <f t="shared" si="116"/>
        <v>36</v>
      </c>
      <c r="BJ10" s="100">
        <f t="shared" si="116"/>
        <v>36</v>
      </c>
      <c r="BK10" s="100">
        <f t="shared" si="116"/>
        <v>36</v>
      </c>
      <c r="BL10" s="100">
        <f t="shared" si="116"/>
        <v>36</v>
      </c>
      <c r="BM10" s="100">
        <f t="shared" si="116"/>
        <v>36</v>
      </c>
      <c r="BN10" s="124">
        <f>MIN(ROUNDUP(BM10*1.1,0),28)</f>
        <v>28</v>
      </c>
      <c r="BO10" s="100">
        <f t="shared" ref="BO10:BX10" si="117">ROUND(BN10*(1+BO280),0)</f>
        <v>28</v>
      </c>
      <c r="BP10" s="100">
        <f t="shared" si="117"/>
        <v>27</v>
      </c>
      <c r="BQ10" s="100">
        <f t="shared" si="117"/>
        <v>27</v>
      </c>
      <c r="BR10" s="100">
        <f t="shared" si="117"/>
        <v>27</v>
      </c>
      <c r="BS10" s="100">
        <f t="shared" si="117"/>
        <v>27</v>
      </c>
      <c r="BT10" s="100">
        <f t="shared" si="117"/>
        <v>26</v>
      </c>
      <c r="BU10" s="100">
        <f t="shared" si="117"/>
        <v>26</v>
      </c>
      <c r="BV10" s="100">
        <f t="shared" si="117"/>
        <v>26</v>
      </c>
      <c r="BW10" s="100">
        <f t="shared" si="117"/>
        <v>26</v>
      </c>
      <c r="BX10" s="100">
        <f t="shared" si="117"/>
        <v>26</v>
      </c>
      <c r="BY10" s="27"/>
      <c r="BZ10" s="380">
        <f t="shared" ref="BZ10:CA18" si="118">SUMIF($B$252:$BY$252,1,$B10:$BY10)</f>
        <v>22</v>
      </c>
      <c r="CA10" s="380">
        <f t="shared" si="118"/>
        <v>22</v>
      </c>
      <c r="CB10" s="97"/>
      <c r="CC10" s="380">
        <f t="shared" ref="CC10:CJ18" si="119">SUMIF($C$4:$BY$4,CC$4,$C10:$BY10)</f>
        <v>18</v>
      </c>
      <c r="CD10" s="380">
        <f t="shared" si="119"/>
        <v>17</v>
      </c>
      <c r="CE10" s="380">
        <f t="shared" si="119"/>
        <v>21</v>
      </c>
      <c r="CF10" s="380">
        <f t="shared" si="119"/>
        <v>22</v>
      </c>
      <c r="CG10" s="380">
        <f t="shared" si="119"/>
        <v>22</v>
      </c>
      <c r="CH10" s="380">
        <f t="shared" si="119"/>
        <v>25</v>
      </c>
      <c r="CI10" s="380">
        <f t="shared" si="119"/>
        <v>36</v>
      </c>
      <c r="CJ10" s="380">
        <f t="shared" si="119"/>
        <v>26</v>
      </c>
    </row>
    <row r="11" spans="1:88" x14ac:dyDescent="0.3">
      <c r="A11" s="33" t="str">
        <f t="shared" si="112"/>
        <v>First</v>
      </c>
      <c r="B11" s="32" t="str">
        <f>IF('DCS Detail'!$B11="","",'DCS Detail'!$B11)</f>
        <v>First</v>
      </c>
      <c r="C11" s="131">
        <v>11</v>
      </c>
      <c r="D11" s="131">
        <v>12</v>
      </c>
      <c r="E11" s="131">
        <v>12</v>
      </c>
      <c r="F11" s="131">
        <v>18</v>
      </c>
      <c r="G11" s="131">
        <v>23</v>
      </c>
      <c r="H11" s="131">
        <v>23</v>
      </c>
      <c r="I11" s="131">
        <v>22</v>
      </c>
      <c r="J11" s="131">
        <v>23</v>
      </c>
      <c r="K11" s="131">
        <v>22</v>
      </c>
      <c r="L11" s="131">
        <v>22</v>
      </c>
      <c r="M11" s="131">
        <v>22</v>
      </c>
      <c r="N11" s="131">
        <v>22</v>
      </c>
      <c r="O11" s="131">
        <v>22</v>
      </c>
      <c r="P11" s="131">
        <v>22</v>
      </c>
      <c r="Q11" s="131">
        <v>22</v>
      </c>
      <c r="R11" s="131">
        <v>17</v>
      </c>
      <c r="S11" s="131">
        <v>17</v>
      </c>
      <c r="T11" s="131">
        <v>18</v>
      </c>
      <c r="U11" s="131">
        <v>18</v>
      </c>
      <c r="V11" s="131">
        <v>17</v>
      </c>
      <c r="W11" s="131">
        <v>17</v>
      </c>
      <c r="X11" s="131">
        <v>16</v>
      </c>
      <c r="Y11" s="131">
        <v>15</v>
      </c>
      <c r="Z11" s="131">
        <v>15</v>
      </c>
      <c r="AA11" s="440">
        <f t="shared" si="113"/>
        <v>15</v>
      </c>
      <c r="AB11" s="100">
        <f t="shared" si="113"/>
        <v>15</v>
      </c>
      <c r="AC11" s="100">
        <f t="shared" si="113"/>
        <v>15</v>
      </c>
      <c r="AD11" s="124">
        <f>19+5</f>
        <v>24</v>
      </c>
      <c r="AE11" s="100">
        <f t="shared" ref="AE11:AO11" si="120">ROUND(AD11*(1+AE281),0)</f>
        <v>24</v>
      </c>
      <c r="AF11" s="100">
        <f t="shared" si="120"/>
        <v>25</v>
      </c>
      <c r="AG11" s="100">
        <f t="shared" si="120"/>
        <v>25</v>
      </c>
      <c r="AH11" s="100">
        <f t="shared" si="120"/>
        <v>24</v>
      </c>
      <c r="AI11" s="100">
        <f t="shared" si="120"/>
        <v>24</v>
      </c>
      <c r="AJ11" s="100">
        <f t="shared" si="120"/>
        <v>23</v>
      </c>
      <c r="AK11" s="100">
        <f t="shared" si="120"/>
        <v>23</v>
      </c>
      <c r="AL11" s="100">
        <f t="shared" si="120"/>
        <v>23</v>
      </c>
      <c r="AM11" s="100">
        <f t="shared" si="120"/>
        <v>23</v>
      </c>
      <c r="AN11" s="100">
        <f t="shared" si="120"/>
        <v>23</v>
      </c>
      <c r="AO11" s="100">
        <f t="shared" si="120"/>
        <v>23</v>
      </c>
      <c r="AP11" s="124">
        <f>ROUNDUP(AO10*1.2,0)</f>
        <v>27</v>
      </c>
      <c r="AQ11" s="100">
        <f t="shared" ref="AQ11:BA11" si="121">ROUND(AP11*(1+AQ281),0)</f>
        <v>27</v>
      </c>
      <c r="AR11" s="100">
        <f t="shared" si="121"/>
        <v>28</v>
      </c>
      <c r="AS11" s="100">
        <f t="shared" si="121"/>
        <v>28</v>
      </c>
      <c r="AT11" s="100">
        <f t="shared" si="121"/>
        <v>27</v>
      </c>
      <c r="AU11" s="100">
        <f t="shared" si="121"/>
        <v>27</v>
      </c>
      <c r="AV11" s="100">
        <f t="shared" si="121"/>
        <v>26</v>
      </c>
      <c r="AW11" s="100">
        <f t="shared" si="121"/>
        <v>26</v>
      </c>
      <c r="AX11" s="100">
        <f t="shared" si="121"/>
        <v>26</v>
      </c>
      <c r="AY11" s="100">
        <f t="shared" si="121"/>
        <v>26</v>
      </c>
      <c r="AZ11" s="100">
        <f t="shared" si="121"/>
        <v>26</v>
      </c>
      <c r="BA11" s="100">
        <f t="shared" si="121"/>
        <v>26</v>
      </c>
      <c r="BB11" s="124">
        <f>MIN(ROUNDUP(BA10*1.1,0),28)</f>
        <v>28</v>
      </c>
      <c r="BC11" s="100">
        <f t="shared" ref="BC11:BM11" si="122">ROUND(BB11*(1+BC281),0)</f>
        <v>28</v>
      </c>
      <c r="BD11" s="100">
        <f t="shared" si="122"/>
        <v>29</v>
      </c>
      <c r="BE11" s="100">
        <f t="shared" si="122"/>
        <v>29</v>
      </c>
      <c r="BF11" s="100">
        <f t="shared" si="122"/>
        <v>28</v>
      </c>
      <c r="BG11" s="100">
        <f t="shared" si="122"/>
        <v>28</v>
      </c>
      <c r="BH11" s="100">
        <f t="shared" si="122"/>
        <v>27</v>
      </c>
      <c r="BI11" s="100">
        <f t="shared" si="122"/>
        <v>27</v>
      </c>
      <c r="BJ11" s="100">
        <f t="shared" si="122"/>
        <v>27</v>
      </c>
      <c r="BK11" s="100">
        <f t="shared" si="122"/>
        <v>27</v>
      </c>
      <c r="BL11" s="100">
        <f t="shared" si="122"/>
        <v>27</v>
      </c>
      <c r="BM11" s="100">
        <f t="shared" si="122"/>
        <v>27</v>
      </c>
      <c r="BN11" s="124">
        <f>MIN(ROUNDUP(BM10*1.1,0),56)</f>
        <v>40</v>
      </c>
      <c r="BO11" s="100">
        <f t="shared" ref="BO11:BX11" si="123">ROUND(BN11*(1+BO281),0)</f>
        <v>40</v>
      </c>
      <c r="BP11" s="100">
        <f t="shared" si="123"/>
        <v>41</v>
      </c>
      <c r="BQ11" s="100">
        <f t="shared" si="123"/>
        <v>41</v>
      </c>
      <c r="BR11" s="100">
        <f t="shared" si="123"/>
        <v>40</v>
      </c>
      <c r="BS11" s="100">
        <f t="shared" si="123"/>
        <v>40</v>
      </c>
      <c r="BT11" s="100">
        <f t="shared" si="123"/>
        <v>39</v>
      </c>
      <c r="BU11" s="100">
        <f t="shared" si="123"/>
        <v>39</v>
      </c>
      <c r="BV11" s="100">
        <f t="shared" si="123"/>
        <v>39</v>
      </c>
      <c r="BW11" s="100">
        <f t="shared" si="123"/>
        <v>39</v>
      </c>
      <c r="BX11" s="100">
        <f t="shared" si="123"/>
        <v>39</v>
      </c>
      <c r="BY11" s="27"/>
      <c r="BZ11" s="380">
        <f t="shared" si="118"/>
        <v>15</v>
      </c>
      <c r="CA11" s="380">
        <f t="shared" si="118"/>
        <v>15</v>
      </c>
      <c r="CB11" s="97"/>
      <c r="CC11" s="380">
        <f t="shared" si="119"/>
        <v>11</v>
      </c>
      <c r="CD11" s="380">
        <f t="shared" si="119"/>
        <v>12</v>
      </c>
      <c r="CE11" s="380">
        <f t="shared" si="119"/>
        <v>22</v>
      </c>
      <c r="CF11" s="380">
        <f t="shared" si="119"/>
        <v>15</v>
      </c>
      <c r="CG11" s="380">
        <f t="shared" si="119"/>
        <v>23</v>
      </c>
      <c r="CH11" s="380">
        <f t="shared" si="119"/>
        <v>26</v>
      </c>
      <c r="CI11" s="380">
        <f t="shared" si="119"/>
        <v>27</v>
      </c>
      <c r="CJ11" s="380">
        <f t="shared" si="119"/>
        <v>39</v>
      </c>
    </row>
    <row r="12" spans="1:88" x14ac:dyDescent="0.3">
      <c r="A12" s="33" t="str">
        <f t="shared" si="112"/>
        <v>Second</v>
      </c>
      <c r="B12" s="32" t="str">
        <f>IF('DCS Detail'!$B12="","",'DCS Detail'!$B12)</f>
        <v>Second</v>
      </c>
      <c r="C12" s="131">
        <v>17</v>
      </c>
      <c r="D12" s="131">
        <v>6</v>
      </c>
      <c r="E12" s="131">
        <v>6</v>
      </c>
      <c r="F12" s="131">
        <v>16</v>
      </c>
      <c r="G12" s="131">
        <v>19</v>
      </c>
      <c r="H12" s="131">
        <v>19</v>
      </c>
      <c r="I12" s="131">
        <v>20</v>
      </c>
      <c r="J12" s="131">
        <v>21</v>
      </c>
      <c r="K12" s="131">
        <v>20</v>
      </c>
      <c r="L12" s="131">
        <v>19</v>
      </c>
      <c r="M12" s="131">
        <v>18</v>
      </c>
      <c r="N12" s="131">
        <v>18</v>
      </c>
      <c r="O12" s="131">
        <v>18</v>
      </c>
      <c r="P12" s="131">
        <v>18</v>
      </c>
      <c r="Q12" s="131">
        <v>18</v>
      </c>
      <c r="R12" s="131">
        <v>22</v>
      </c>
      <c r="S12" s="131">
        <v>23</v>
      </c>
      <c r="T12" s="131">
        <v>22</v>
      </c>
      <c r="U12" s="131">
        <v>22</v>
      </c>
      <c r="V12" s="131">
        <v>22</v>
      </c>
      <c r="W12" s="131">
        <v>21</v>
      </c>
      <c r="X12" s="131">
        <v>20</v>
      </c>
      <c r="Y12" s="131">
        <v>19</v>
      </c>
      <c r="Z12" s="131">
        <v>19</v>
      </c>
      <c r="AA12" s="440">
        <f t="shared" si="113"/>
        <v>19</v>
      </c>
      <c r="AB12" s="100">
        <f t="shared" si="113"/>
        <v>19</v>
      </c>
      <c r="AC12" s="100">
        <f t="shared" si="113"/>
        <v>19</v>
      </c>
      <c r="AD12" s="124">
        <f>15+2</f>
        <v>17</v>
      </c>
      <c r="AE12" s="100">
        <f t="shared" ref="AE12:AO12" si="124">ROUND(AD12*(1+AE282),0)</f>
        <v>18</v>
      </c>
      <c r="AF12" s="100">
        <f t="shared" si="124"/>
        <v>17</v>
      </c>
      <c r="AG12" s="100">
        <f t="shared" si="124"/>
        <v>17</v>
      </c>
      <c r="AH12" s="100">
        <f t="shared" si="124"/>
        <v>17</v>
      </c>
      <c r="AI12" s="100">
        <f t="shared" si="124"/>
        <v>16</v>
      </c>
      <c r="AJ12" s="100">
        <f t="shared" si="124"/>
        <v>16</v>
      </c>
      <c r="AK12" s="100">
        <f t="shared" si="124"/>
        <v>16</v>
      </c>
      <c r="AL12" s="100">
        <f t="shared" si="124"/>
        <v>16</v>
      </c>
      <c r="AM12" s="100">
        <f t="shared" si="124"/>
        <v>16</v>
      </c>
      <c r="AN12" s="100">
        <f t="shared" si="124"/>
        <v>16</v>
      </c>
      <c r="AO12" s="100">
        <f t="shared" si="124"/>
        <v>16</v>
      </c>
      <c r="AP12" s="124">
        <f>ROUNDUP(AO11*1.2,0)</f>
        <v>28</v>
      </c>
      <c r="AQ12" s="100">
        <f t="shared" ref="AQ12:BA12" si="125">ROUND(AP12*(1+AQ282),0)</f>
        <v>29</v>
      </c>
      <c r="AR12" s="100">
        <f t="shared" si="125"/>
        <v>28</v>
      </c>
      <c r="AS12" s="100">
        <f t="shared" si="125"/>
        <v>28</v>
      </c>
      <c r="AT12" s="100">
        <f t="shared" si="125"/>
        <v>28</v>
      </c>
      <c r="AU12" s="100">
        <f t="shared" si="125"/>
        <v>27</v>
      </c>
      <c r="AV12" s="100">
        <f t="shared" si="125"/>
        <v>27</v>
      </c>
      <c r="AW12" s="100">
        <f t="shared" si="125"/>
        <v>27</v>
      </c>
      <c r="AX12" s="100">
        <f t="shared" si="125"/>
        <v>27</v>
      </c>
      <c r="AY12" s="100">
        <f t="shared" si="125"/>
        <v>27</v>
      </c>
      <c r="AZ12" s="100">
        <f t="shared" si="125"/>
        <v>27</v>
      </c>
      <c r="BA12" s="100">
        <f t="shared" si="125"/>
        <v>27</v>
      </c>
      <c r="BB12" s="124">
        <f>MIN(ROUNDUP(BA11*1.1,0),28)</f>
        <v>28</v>
      </c>
      <c r="BC12" s="100">
        <f t="shared" ref="BC12:BM12" si="126">ROUND(BB12*(1+BC282),0)</f>
        <v>29</v>
      </c>
      <c r="BD12" s="100">
        <f t="shared" si="126"/>
        <v>28</v>
      </c>
      <c r="BE12" s="100">
        <f t="shared" si="126"/>
        <v>28</v>
      </c>
      <c r="BF12" s="100">
        <f t="shared" si="126"/>
        <v>28</v>
      </c>
      <c r="BG12" s="100">
        <f t="shared" si="126"/>
        <v>27</v>
      </c>
      <c r="BH12" s="100">
        <f t="shared" si="126"/>
        <v>27</v>
      </c>
      <c r="BI12" s="100">
        <f t="shared" si="126"/>
        <v>27</v>
      </c>
      <c r="BJ12" s="100">
        <f t="shared" si="126"/>
        <v>27</v>
      </c>
      <c r="BK12" s="100">
        <f t="shared" si="126"/>
        <v>27</v>
      </c>
      <c r="BL12" s="100">
        <f t="shared" si="126"/>
        <v>27</v>
      </c>
      <c r="BM12" s="100">
        <f t="shared" si="126"/>
        <v>27</v>
      </c>
      <c r="BN12" s="124">
        <f>MIN(ROUNDUP(BM11*1.1,0),28)</f>
        <v>28</v>
      </c>
      <c r="BO12" s="100">
        <f t="shared" ref="BO12:BX12" si="127">ROUND(BN12*(1+BO282),0)</f>
        <v>29</v>
      </c>
      <c r="BP12" s="100">
        <f t="shared" si="127"/>
        <v>28</v>
      </c>
      <c r="BQ12" s="100">
        <f t="shared" si="127"/>
        <v>28</v>
      </c>
      <c r="BR12" s="100">
        <f t="shared" si="127"/>
        <v>28</v>
      </c>
      <c r="BS12" s="100">
        <f t="shared" si="127"/>
        <v>27</v>
      </c>
      <c r="BT12" s="100">
        <f t="shared" si="127"/>
        <v>27</v>
      </c>
      <c r="BU12" s="100">
        <f t="shared" si="127"/>
        <v>27</v>
      </c>
      <c r="BV12" s="100">
        <f t="shared" si="127"/>
        <v>27</v>
      </c>
      <c r="BW12" s="100">
        <f t="shared" si="127"/>
        <v>27</v>
      </c>
      <c r="BX12" s="100">
        <f t="shared" si="127"/>
        <v>27</v>
      </c>
      <c r="BY12" s="27"/>
      <c r="BZ12" s="380">
        <f t="shared" si="118"/>
        <v>19</v>
      </c>
      <c r="CA12" s="380">
        <f t="shared" si="118"/>
        <v>19</v>
      </c>
      <c r="CB12" s="97"/>
      <c r="CC12" s="380">
        <f t="shared" si="119"/>
        <v>17</v>
      </c>
      <c r="CD12" s="380">
        <f t="shared" si="119"/>
        <v>6</v>
      </c>
      <c r="CE12" s="380">
        <f t="shared" si="119"/>
        <v>18</v>
      </c>
      <c r="CF12" s="380">
        <f t="shared" si="119"/>
        <v>19</v>
      </c>
      <c r="CG12" s="380">
        <f t="shared" si="119"/>
        <v>16</v>
      </c>
      <c r="CH12" s="380">
        <f t="shared" si="119"/>
        <v>27</v>
      </c>
      <c r="CI12" s="380">
        <f t="shared" si="119"/>
        <v>27</v>
      </c>
      <c r="CJ12" s="380">
        <f t="shared" si="119"/>
        <v>27</v>
      </c>
    </row>
    <row r="13" spans="1:88" x14ac:dyDescent="0.3">
      <c r="A13" s="33" t="str">
        <f t="shared" si="112"/>
        <v>Third</v>
      </c>
      <c r="B13" s="32" t="str">
        <f>IF('DCS Detail'!$B13="","",'DCS Detail'!$B13)</f>
        <v>Third</v>
      </c>
      <c r="C13" s="131">
        <v>16</v>
      </c>
      <c r="D13" s="131">
        <v>12</v>
      </c>
      <c r="E13" s="131">
        <v>12</v>
      </c>
      <c r="F13" s="131">
        <v>7</v>
      </c>
      <c r="G13" s="131">
        <v>8</v>
      </c>
      <c r="H13" s="131">
        <v>7</v>
      </c>
      <c r="I13" s="131">
        <v>10</v>
      </c>
      <c r="J13" s="131">
        <v>10</v>
      </c>
      <c r="K13" s="131">
        <v>10</v>
      </c>
      <c r="L13" s="131">
        <v>11</v>
      </c>
      <c r="M13" s="131">
        <v>11</v>
      </c>
      <c r="N13" s="131">
        <v>11</v>
      </c>
      <c r="O13" s="131">
        <v>11</v>
      </c>
      <c r="P13" s="131">
        <v>11</v>
      </c>
      <c r="Q13" s="131">
        <v>11</v>
      </c>
      <c r="R13" s="131">
        <v>11</v>
      </c>
      <c r="S13" s="131">
        <v>10</v>
      </c>
      <c r="T13" s="131">
        <v>10</v>
      </c>
      <c r="U13" s="131">
        <v>10</v>
      </c>
      <c r="V13" s="131">
        <v>9</v>
      </c>
      <c r="W13" s="131">
        <v>8</v>
      </c>
      <c r="X13" s="131">
        <v>9</v>
      </c>
      <c r="Y13" s="131">
        <v>9</v>
      </c>
      <c r="Z13" s="131">
        <v>9</v>
      </c>
      <c r="AA13" s="440">
        <f t="shared" si="113"/>
        <v>9</v>
      </c>
      <c r="AB13" s="100">
        <f t="shared" si="113"/>
        <v>9</v>
      </c>
      <c r="AC13" s="100">
        <f t="shared" si="113"/>
        <v>9</v>
      </c>
      <c r="AD13" s="124">
        <f>18+1</f>
        <v>19</v>
      </c>
      <c r="AE13" s="100">
        <f t="shared" ref="AE13:AO13" si="128">ROUND(AD13*(1+AE283),0)</f>
        <v>18</v>
      </c>
      <c r="AF13" s="100">
        <f t="shared" si="128"/>
        <v>18</v>
      </c>
      <c r="AG13" s="100">
        <f t="shared" si="128"/>
        <v>18</v>
      </c>
      <c r="AH13" s="100">
        <f t="shared" si="128"/>
        <v>17</v>
      </c>
      <c r="AI13" s="100">
        <f t="shared" si="128"/>
        <v>16</v>
      </c>
      <c r="AJ13" s="100">
        <f t="shared" si="128"/>
        <v>17</v>
      </c>
      <c r="AK13" s="100">
        <f t="shared" si="128"/>
        <v>17</v>
      </c>
      <c r="AL13" s="100">
        <f t="shared" si="128"/>
        <v>17</v>
      </c>
      <c r="AM13" s="100">
        <f t="shared" si="128"/>
        <v>17</v>
      </c>
      <c r="AN13" s="100">
        <f t="shared" si="128"/>
        <v>17</v>
      </c>
      <c r="AO13" s="100">
        <f t="shared" si="128"/>
        <v>17</v>
      </c>
      <c r="AP13" s="124">
        <f>ROUNDUP(AO12*1.2,0)</f>
        <v>20</v>
      </c>
      <c r="AQ13" s="100">
        <f t="shared" ref="AQ13:BA13" si="129">ROUND(AP13*(1+AQ283),0)</f>
        <v>19</v>
      </c>
      <c r="AR13" s="100">
        <f t="shared" si="129"/>
        <v>19</v>
      </c>
      <c r="AS13" s="100">
        <f t="shared" si="129"/>
        <v>19</v>
      </c>
      <c r="AT13" s="100">
        <f t="shared" si="129"/>
        <v>18</v>
      </c>
      <c r="AU13" s="100">
        <f t="shared" si="129"/>
        <v>17</v>
      </c>
      <c r="AV13" s="100">
        <f t="shared" si="129"/>
        <v>18</v>
      </c>
      <c r="AW13" s="100">
        <f t="shared" si="129"/>
        <v>18</v>
      </c>
      <c r="AX13" s="100">
        <f t="shared" si="129"/>
        <v>18</v>
      </c>
      <c r="AY13" s="100">
        <f t="shared" si="129"/>
        <v>18</v>
      </c>
      <c r="AZ13" s="100">
        <f t="shared" si="129"/>
        <v>18</v>
      </c>
      <c r="BA13" s="100">
        <f t="shared" si="129"/>
        <v>18</v>
      </c>
      <c r="BB13" s="124">
        <f>MIN(ROUNDUP(BA12*1.1,0),28)</f>
        <v>28</v>
      </c>
      <c r="BC13" s="100">
        <f t="shared" ref="BC13:BM13" si="130">ROUND(BB13*(1+BC283),0)</f>
        <v>27</v>
      </c>
      <c r="BD13" s="100">
        <f t="shared" si="130"/>
        <v>27</v>
      </c>
      <c r="BE13" s="100">
        <f t="shared" si="130"/>
        <v>27</v>
      </c>
      <c r="BF13" s="100">
        <f t="shared" si="130"/>
        <v>26</v>
      </c>
      <c r="BG13" s="100">
        <f t="shared" si="130"/>
        <v>25</v>
      </c>
      <c r="BH13" s="100">
        <f t="shared" si="130"/>
        <v>26</v>
      </c>
      <c r="BI13" s="100">
        <f t="shared" si="130"/>
        <v>26</v>
      </c>
      <c r="BJ13" s="100">
        <f t="shared" si="130"/>
        <v>26</v>
      </c>
      <c r="BK13" s="100">
        <f t="shared" si="130"/>
        <v>26</v>
      </c>
      <c r="BL13" s="100">
        <f t="shared" si="130"/>
        <v>26</v>
      </c>
      <c r="BM13" s="100">
        <f t="shared" si="130"/>
        <v>26</v>
      </c>
      <c r="BN13" s="124">
        <f>MIN(ROUNDUP(BM12*1.1,0),28)</f>
        <v>28</v>
      </c>
      <c r="BO13" s="100">
        <f t="shared" ref="BO13:BX13" si="131">ROUND(BN13*(1+BO283),0)</f>
        <v>27</v>
      </c>
      <c r="BP13" s="100">
        <f t="shared" si="131"/>
        <v>27</v>
      </c>
      <c r="BQ13" s="100">
        <f t="shared" si="131"/>
        <v>27</v>
      </c>
      <c r="BR13" s="100">
        <f t="shared" si="131"/>
        <v>26</v>
      </c>
      <c r="BS13" s="100">
        <f t="shared" si="131"/>
        <v>25</v>
      </c>
      <c r="BT13" s="100">
        <f t="shared" si="131"/>
        <v>26</v>
      </c>
      <c r="BU13" s="100">
        <f t="shared" si="131"/>
        <v>26</v>
      </c>
      <c r="BV13" s="100">
        <f t="shared" si="131"/>
        <v>26</v>
      </c>
      <c r="BW13" s="100">
        <f t="shared" si="131"/>
        <v>26</v>
      </c>
      <c r="BX13" s="100">
        <f t="shared" si="131"/>
        <v>26</v>
      </c>
      <c r="BY13" s="27"/>
      <c r="BZ13" s="380">
        <f t="shared" si="118"/>
        <v>9</v>
      </c>
      <c r="CA13" s="380">
        <f t="shared" si="118"/>
        <v>9</v>
      </c>
      <c r="CB13" s="97"/>
      <c r="CC13" s="380">
        <f t="shared" si="119"/>
        <v>16</v>
      </c>
      <c r="CD13" s="380">
        <f t="shared" si="119"/>
        <v>12</v>
      </c>
      <c r="CE13" s="380">
        <f t="shared" si="119"/>
        <v>11</v>
      </c>
      <c r="CF13" s="380">
        <f t="shared" si="119"/>
        <v>9</v>
      </c>
      <c r="CG13" s="380">
        <f t="shared" si="119"/>
        <v>17</v>
      </c>
      <c r="CH13" s="380">
        <f t="shared" si="119"/>
        <v>18</v>
      </c>
      <c r="CI13" s="380">
        <f t="shared" si="119"/>
        <v>26</v>
      </c>
      <c r="CJ13" s="380">
        <f t="shared" si="119"/>
        <v>26</v>
      </c>
    </row>
    <row r="14" spans="1:88" x14ac:dyDescent="0.3">
      <c r="A14" s="33" t="str">
        <f t="shared" si="112"/>
        <v>Fourth</v>
      </c>
      <c r="B14" s="32" t="str">
        <f>IF('DCS Detail'!$B14="","",'DCS Detail'!$B14)</f>
        <v>Fourth</v>
      </c>
      <c r="C14" s="131">
        <v>16</v>
      </c>
      <c r="D14" s="131">
        <v>14</v>
      </c>
      <c r="E14" s="131">
        <v>14</v>
      </c>
      <c r="F14" s="131">
        <v>18</v>
      </c>
      <c r="G14" s="131">
        <v>19</v>
      </c>
      <c r="H14" s="131">
        <v>20</v>
      </c>
      <c r="I14" s="131">
        <v>20</v>
      </c>
      <c r="J14" s="131">
        <v>20</v>
      </c>
      <c r="K14" s="131">
        <v>20</v>
      </c>
      <c r="L14" s="131">
        <v>21</v>
      </c>
      <c r="M14" s="131">
        <v>22</v>
      </c>
      <c r="N14" s="131">
        <v>22</v>
      </c>
      <c r="O14" s="131">
        <v>22</v>
      </c>
      <c r="P14" s="131">
        <v>22</v>
      </c>
      <c r="Q14" s="131">
        <v>22</v>
      </c>
      <c r="R14" s="131">
        <v>13</v>
      </c>
      <c r="S14" s="131">
        <v>11</v>
      </c>
      <c r="T14" s="131">
        <v>10</v>
      </c>
      <c r="U14" s="131">
        <v>10</v>
      </c>
      <c r="V14" s="131">
        <v>10</v>
      </c>
      <c r="W14" s="131">
        <v>11</v>
      </c>
      <c r="X14" s="131">
        <v>12</v>
      </c>
      <c r="Y14" s="131">
        <v>11</v>
      </c>
      <c r="Z14" s="131">
        <v>11</v>
      </c>
      <c r="AA14" s="440">
        <f t="shared" si="113"/>
        <v>11</v>
      </c>
      <c r="AB14" s="100">
        <f t="shared" si="113"/>
        <v>11</v>
      </c>
      <c r="AC14" s="100">
        <f t="shared" si="113"/>
        <v>11</v>
      </c>
      <c r="AD14" s="124">
        <f>8+1</f>
        <v>9</v>
      </c>
      <c r="AE14" s="100">
        <f t="shared" ref="AE14:AO14" si="132">ROUND(AD14*(1+AE284),0)</f>
        <v>9</v>
      </c>
      <c r="AF14" s="100">
        <f t="shared" si="132"/>
        <v>9</v>
      </c>
      <c r="AG14" s="100">
        <f t="shared" si="132"/>
        <v>9</v>
      </c>
      <c r="AH14" s="100">
        <f t="shared" si="132"/>
        <v>9</v>
      </c>
      <c r="AI14" s="100">
        <f t="shared" si="132"/>
        <v>9</v>
      </c>
      <c r="AJ14" s="100">
        <f t="shared" si="132"/>
        <v>10</v>
      </c>
      <c r="AK14" s="100">
        <f t="shared" si="132"/>
        <v>10</v>
      </c>
      <c r="AL14" s="100">
        <f t="shared" si="132"/>
        <v>10</v>
      </c>
      <c r="AM14" s="100">
        <f t="shared" si="132"/>
        <v>10</v>
      </c>
      <c r="AN14" s="100">
        <f t="shared" si="132"/>
        <v>10</v>
      </c>
      <c r="AO14" s="100">
        <f t="shared" si="132"/>
        <v>10</v>
      </c>
      <c r="AP14" s="124">
        <f>ROUNDUP(AO13*1.2,0)</f>
        <v>21</v>
      </c>
      <c r="AQ14" s="100">
        <f t="shared" ref="AQ14:BA14" si="133">ROUND(AP14*(1+AQ284),0)</f>
        <v>20</v>
      </c>
      <c r="AR14" s="100">
        <f t="shared" si="133"/>
        <v>19</v>
      </c>
      <c r="AS14" s="100">
        <f t="shared" si="133"/>
        <v>19</v>
      </c>
      <c r="AT14" s="100">
        <f t="shared" si="133"/>
        <v>19</v>
      </c>
      <c r="AU14" s="100">
        <f t="shared" si="133"/>
        <v>18</v>
      </c>
      <c r="AV14" s="100">
        <f t="shared" si="133"/>
        <v>19</v>
      </c>
      <c r="AW14" s="100">
        <f t="shared" si="133"/>
        <v>20</v>
      </c>
      <c r="AX14" s="100">
        <f t="shared" si="133"/>
        <v>20</v>
      </c>
      <c r="AY14" s="100">
        <f t="shared" si="133"/>
        <v>20</v>
      </c>
      <c r="AZ14" s="100">
        <f t="shared" si="133"/>
        <v>20</v>
      </c>
      <c r="BA14" s="100">
        <f t="shared" si="133"/>
        <v>20</v>
      </c>
      <c r="BB14" s="124">
        <f>MIN(ROUNDUP(BA13*1.1,0),28)</f>
        <v>20</v>
      </c>
      <c r="BC14" s="100">
        <f t="shared" ref="BC14:BM14" si="134">ROUND(BB14*(1+BC284),0)</f>
        <v>19</v>
      </c>
      <c r="BD14" s="100">
        <f t="shared" si="134"/>
        <v>18</v>
      </c>
      <c r="BE14" s="100">
        <f t="shared" si="134"/>
        <v>18</v>
      </c>
      <c r="BF14" s="100">
        <f t="shared" si="134"/>
        <v>18</v>
      </c>
      <c r="BG14" s="100">
        <f t="shared" si="134"/>
        <v>17</v>
      </c>
      <c r="BH14" s="100">
        <f t="shared" si="134"/>
        <v>18</v>
      </c>
      <c r="BI14" s="100">
        <f t="shared" si="134"/>
        <v>19</v>
      </c>
      <c r="BJ14" s="100">
        <f t="shared" si="134"/>
        <v>19</v>
      </c>
      <c r="BK14" s="100">
        <f t="shared" si="134"/>
        <v>19</v>
      </c>
      <c r="BL14" s="100">
        <f t="shared" si="134"/>
        <v>19</v>
      </c>
      <c r="BM14" s="100">
        <f t="shared" si="134"/>
        <v>19</v>
      </c>
      <c r="BN14" s="124">
        <f>MIN(ROUNDUP(BM13*1.1,0),28)</f>
        <v>28</v>
      </c>
      <c r="BO14" s="100">
        <f t="shared" ref="BO14:BX14" si="135">ROUND(BN14*(1+BO284),0)</f>
        <v>27</v>
      </c>
      <c r="BP14" s="100">
        <f t="shared" si="135"/>
        <v>26</v>
      </c>
      <c r="BQ14" s="100">
        <f t="shared" si="135"/>
        <v>26</v>
      </c>
      <c r="BR14" s="100">
        <f t="shared" si="135"/>
        <v>26</v>
      </c>
      <c r="BS14" s="100">
        <f t="shared" si="135"/>
        <v>25</v>
      </c>
      <c r="BT14" s="100">
        <f t="shared" si="135"/>
        <v>27</v>
      </c>
      <c r="BU14" s="100">
        <f t="shared" si="135"/>
        <v>28</v>
      </c>
      <c r="BV14" s="100">
        <f t="shared" si="135"/>
        <v>28</v>
      </c>
      <c r="BW14" s="100">
        <f t="shared" si="135"/>
        <v>28</v>
      </c>
      <c r="BX14" s="100">
        <f t="shared" si="135"/>
        <v>28</v>
      </c>
      <c r="BY14" s="27"/>
      <c r="BZ14" s="380">
        <f t="shared" si="118"/>
        <v>11</v>
      </c>
      <c r="CA14" s="380">
        <f t="shared" si="118"/>
        <v>11</v>
      </c>
      <c r="CB14" s="97"/>
      <c r="CC14" s="380">
        <f t="shared" si="119"/>
        <v>16</v>
      </c>
      <c r="CD14" s="380">
        <f t="shared" si="119"/>
        <v>14</v>
      </c>
      <c r="CE14" s="380">
        <f t="shared" si="119"/>
        <v>22</v>
      </c>
      <c r="CF14" s="380">
        <f t="shared" si="119"/>
        <v>11</v>
      </c>
      <c r="CG14" s="380">
        <f t="shared" si="119"/>
        <v>10</v>
      </c>
      <c r="CH14" s="380">
        <f t="shared" si="119"/>
        <v>20</v>
      </c>
      <c r="CI14" s="380">
        <f t="shared" si="119"/>
        <v>19</v>
      </c>
      <c r="CJ14" s="380">
        <f t="shared" si="119"/>
        <v>28</v>
      </c>
    </row>
    <row r="15" spans="1:88" x14ac:dyDescent="0.3">
      <c r="A15" s="33" t="str">
        <f t="shared" si="112"/>
        <v>Fifth</v>
      </c>
      <c r="B15" s="32" t="str">
        <f>IF('DCS Detail'!$B15="","",'DCS Detail'!$B15)</f>
        <v>Fifth</v>
      </c>
      <c r="C15" s="131">
        <v>10</v>
      </c>
      <c r="D15" s="131">
        <v>15</v>
      </c>
      <c r="E15" s="131">
        <v>15</v>
      </c>
      <c r="F15" s="131">
        <v>17</v>
      </c>
      <c r="G15" s="131">
        <v>19</v>
      </c>
      <c r="H15" s="131">
        <v>19</v>
      </c>
      <c r="I15" s="131">
        <v>20</v>
      </c>
      <c r="J15" s="131">
        <v>20</v>
      </c>
      <c r="K15" s="131">
        <v>19</v>
      </c>
      <c r="L15" s="131">
        <v>20</v>
      </c>
      <c r="M15" s="131">
        <v>19</v>
      </c>
      <c r="N15" s="131">
        <v>19</v>
      </c>
      <c r="O15" s="131">
        <v>19</v>
      </c>
      <c r="P15" s="131">
        <v>19</v>
      </c>
      <c r="Q15" s="131">
        <v>19</v>
      </c>
      <c r="R15" s="131">
        <v>16</v>
      </c>
      <c r="S15" s="131">
        <v>16</v>
      </c>
      <c r="T15" s="131">
        <v>18</v>
      </c>
      <c r="U15" s="131">
        <v>17</v>
      </c>
      <c r="V15" s="131">
        <v>17</v>
      </c>
      <c r="W15" s="131">
        <v>19</v>
      </c>
      <c r="X15" s="131">
        <v>19</v>
      </c>
      <c r="Y15" s="131">
        <v>18</v>
      </c>
      <c r="Z15" s="131">
        <v>18</v>
      </c>
      <c r="AA15" s="440">
        <f t="shared" si="113"/>
        <v>18</v>
      </c>
      <c r="AB15" s="100">
        <f t="shared" si="113"/>
        <v>18</v>
      </c>
      <c r="AC15" s="100">
        <f t="shared" si="113"/>
        <v>18</v>
      </c>
      <c r="AD15" s="124">
        <f>12+2</f>
        <v>14</v>
      </c>
      <c r="AE15" s="100">
        <f t="shared" ref="AE15:AO15" si="136">ROUND(AD15*(1+AE285),0)</f>
        <v>14</v>
      </c>
      <c r="AF15" s="100">
        <f t="shared" si="136"/>
        <v>16</v>
      </c>
      <c r="AG15" s="100">
        <f t="shared" si="136"/>
        <v>15</v>
      </c>
      <c r="AH15" s="100">
        <f t="shared" si="136"/>
        <v>15</v>
      </c>
      <c r="AI15" s="100">
        <f t="shared" si="136"/>
        <v>16</v>
      </c>
      <c r="AJ15" s="100">
        <f t="shared" si="136"/>
        <v>16</v>
      </c>
      <c r="AK15" s="100">
        <f t="shared" si="136"/>
        <v>15</v>
      </c>
      <c r="AL15" s="100">
        <f t="shared" si="136"/>
        <v>15</v>
      </c>
      <c r="AM15" s="100">
        <f t="shared" si="136"/>
        <v>15</v>
      </c>
      <c r="AN15" s="100">
        <f t="shared" si="136"/>
        <v>15</v>
      </c>
      <c r="AO15" s="100">
        <f t="shared" si="136"/>
        <v>15</v>
      </c>
      <c r="AP15" s="124">
        <f>ROUNDUP(AO14*1.1,0)</f>
        <v>11</v>
      </c>
      <c r="AQ15" s="100">
        <f t="shared" ref="AQ15:BA15" si="137">ROUND(AP15*(1+AQ285),0)</f>
        <v>11</v>
      </c>
      <c r="AR15" s="100">
        <f t="shared" si="137"/>
        <v>12</v>
      </c>
      <c r="AS15" s="100">
        <f t="shared" si="137"/>
        <v>11</v>
      </c>
      <c r="AT15" s="100">
        <f t="shared" si="137"/>
        <v>11</v>
      </c>
      <c r="AU15" s="100">
        <f t="shared" si="137"/>
        <v>12</v>
      </c>
      <c r="AV15" s="100">
        <f t="shared" si="137"/>
        <v>12</v>
      </c>
      <c r="AW15" s="100">
        <f t="shared" si="137"/>
        <v>11</v>
      </c>
      <c r="AX15" s="100">
        <f t="shared" si="137"/>
        <v>11</v>
      </c>
      <c r="AY15" s="100">
        <f t="shared" si="137"/>
        <v>11</v>
      </c>
      <c r="AZ15" s="100">
        <f t="shared" si="137"/>
        <v>11</v>
      </c>
      <c r="BA15" s="100">
        <f t="shared" si="137"/>
        <v>11</v>
      </c>
      <c r="BB15" s="124">
        <f>MIN(ROUNDUP(BA14*1.1,0),28)</f>
        <v>22</v>
      </c>
      <c r="BC15" s="100">
        <f t="shared" ref="BC15:BM15" si="138">ROUND(BB15*(1+BC285),0)</f>
        <v>22</v>
      </c>
      <c r="BD15" s="100">
        <f t="shared" si="138"/>
        <v>25</v>
      </c>
      <c r="BE15" s="100">
        <f t="shared" si="138"/>
        <v>24</v>
      </c>
      <c r="BF15" s="100">
        <f t="shared" si="138"/>
        <v>24</v>
      </c>
      <c r="BG15" s="100">
        <f t="shared" si="138"/>
        <v>25</v>
      </c>
      <c r="BH15" s="100">
        <f t="shared" si="138"/>
        <v>25</v>
      </c>
      <c r="BI15" s="100">
        <f t="shared" si="138"/>
        <v>24</v>
      </c>
      <c r="BJ15" s="100">
        <f t="shared" si="138"/>
        <v>24</v>
      </c>
      <c r="BK15" s="100">
        <f t="shared" si="138"/>
        <v>24</v>
      </c>
      <c r="BL15" s="100">
        <f t="shared" si="138"/>
        <v>24</v>
      </c>
      <c r="BM15" s="100">
        <f t="shared" si="138"/>
        <v>24</v>
      </c>
      <c r="BN15" s="124">
        <f>MIN(ROUNDUP(BM14*1.1,0),28)</f>
        <v>21</v>
      </c>
      <c r="BO15" s="100">
        <f t="shared" ref="BO15:BX15" si="139">ROUND(BN15*(1+BO285),0)</f>
        <v>21</v>
      </c>
      <c r="BP15" s="100">
        <f t="shared" si="139"/>
        <v>24</v>
      </c>
      <c r="BQ15" s="100">
        <f t="shared" si="139"/>
        <v>23</v>
      </c>
      <c r="BR15" s="100">
        <f t="shared" si="139"/>
        <v>23</v>
      </c>
      <c r="BS15" s="100">
        <f t="shared" si="139"/>
        <v>24</v>
      </c>
      <c r="BT15" s="100">
        <f t="shared" si="139"/>
        <v>24</v>
      </c>
      <c r="BU15" s="100">
        <f t="shared" si="139"/>
        <v>23</v>
      </c>
      <c r="BV15" s="100">
        <f t="shared" si="139"/>
        <v>23</v>
      </c>
      <c r="BW15" s="100">
        <f t="shared" si="139"/>
        <v>23</v>
      </c>
      <c r="BX15" s="100">
        <f t="shared" si="139"/>
        <v>23</v>
      </c>
      <c r="BY15" s="27"/>
      <c r="BZ15" s="380">
        <f t="shared" si="118"/>
        <v>18</v>
      </c>
      <c r="CA15" s="380">
        <f t="shared" si="118"/>
        <v>18</v>
      </c>
      <c r="CB15" s="97"/>
      <c r="CC15" s="380">
        <f t="shared" si="119"/>
        <v>10</v>
      </c>
      <c r="CD15" s="380">
        <f t="shared" si="119"/>
        <v>15</v>
      </c>
      <c r="CE15" s="380">
        <f t="shared" si="119"/>
        <v>19</v>
      </c>
      <c r="CF15" s="380">
        <f t="shared" si="119"/>
        <v>18</v>
      </c>
      <c r="CG15" s="380">
        <f t="shared" si="119"/>
        <v>15</v>
      </c>
      <c r="CH15" s="380">
        <f t="shared" si="119"/>
        <v>11</v>
      </c>
      <c r="CI15" s="380">
        <f t="shared" si="119"/>
        <v>24</v>
      </c>
      <c r="CJ15" s="380">
        <f t="shared" si="119"/>
        <v>23</v>
      </c>
    </row>
    <row r="16" spans="1:88" x14ac:dyDescent="0.3">
      <c r="A16" s="33" t="str">
        <f t="shared" si="112"/>
        <v>Sixth</v>
      </c>
      <c r="B16" s="32" t="str">
        <f>IF('DCS Detail'!$B16="","",'DCS Detail'!$B16)</f>
        <v>Sixth</v>
      </c>
      <c r="C16" s="131">
        <v>7</v>
      </c>
      <c r="D16" s="131">
        <v>0</v>
      </c>
      <c r="E16" s="131">
        <v>0</v>
      </c>
      <c r="F16" s="131">
        <v>0</v>
      </c>
      <c r="G16" s="131">
        <v>0</v>
      </c>
      <c r="H16" s="131">
        <v>0</v>
      </c>
      <c r="I16" s="131">
        <v>0</v>
      </c>
      <c r="J16" s="131">
        <v>0</v>
      </c>
      <c r="K16" s="131">
        <v>0</v>
      </c>
      <c r="L16" s="131">
        <v>0</v>
      </c>
      <c r="M16" s="131">
        <v>0</v>
      </c>
      <c r="N16" s="131">
        <v>0</v>
      </c>
      <c r="O16" s="131">
        <v>0</v>
      </c>
      <c r="P16" s="131">
        <v>0</v>
      </c>
      <c r="Q16" s="131">
        <v>0</v>
      </c>
      <c r="R16" s="131">
        <v>0</v>
      </c>
      <c r="S16" s="131">
        <v>0</v>
      </c>
      <c r="T16" s="131">
        <v>0</v>
      </c>
      <c r="U16" s="131">
        <v>0</v>
      </c>
      <c r="V16" s="131">
        <v>0</v>
      </c>
      <c r="W16" s="131">
        <v>0</v>
      </c>
      <c r="X16" s="131">
        <v>0</v>
      </c>
      <c r="Y16" s="131">
        <v>0</v>
      </c>
      <c r="Z16" s="131">
        <v>0</v>
      </c>
      <c r="AA16" s="440">
        <f t="shared" si="113"/>
        <v>0</v>
      </c>
      <c r="AB16" s="100">
        <f t="shared" si="113"/>
        <v>0</v>
      </c>
      <c r="AC16" s="100">
        <f t="shared" si="113"/>
        <v>0</v>
      </c>
      <c r="AD16" s="124">
        <f t="shared" ref="AD16" si="140">AC16</f>
        <v>0</v>
      </c>
      <c r="AE16" s="100">
        <f t="shared" ref="AE16:AO16" si="141">ROUND(AD16*(1+AE286),0)</f>
        <v>0</v>
      </c>
      <c r="AF16" s="100">
        <f t="shared" si="141"/>
        <v>0</v>
      </c>
      <c r="AG16" s="100">
        <f t="shared" si="141"/>
        <v>0</v>
      </c>
      <c r="AH16" s="100">
        <f t="shared" si="141"/>
        <v>0</v>
      </c>
      <c r="AI16" s="100">
        <f t="shared" si="141"/>
        <v>0</v>
      </c>
      <c r="AJ16" s="100">
        <f t="shared" si="141"/>
        <v>0</v>
      </c>
      <c r="AK16" s="100">
        <f t="shared" si="141"/>
        <v>0</v>
      </c>
      <c r="AL16" s="100">
        <f t="shared" si="141"/>
        <v>0</v>
      </c>
      <c r="AM16" s="100">
        <f t="shared" si="141"/>
        <v>0</v>
      </c>
      <c r="AN16" s="100">
        <f t="shared" si="141"/>
        <v>0</v>
      </c>
      <c r="AO16" s="100">
        <f t="shared" si="141"/>
        <v>0</v>
      </c>
      <c r="AP16" s="124">
        <f t="shared" ref="AP16:AP18" si="142">ROUNDUP(AO16*1.1,0)</f>
        <v>0</v>
      </c>
      <c r="AQ16" s="100">
        <f t="shared" ref="AQ16:BA16" si="143">ROUND(AP16*(1+AQ286),0)</f>
        <v>0</v>
      </c>
      <c r="AR16" s="100">
        <f t="shared" si="143"/>
        <v>0</v>
      </c>
      <c r="AS16" s="100">
        <f t="shared" si="143"/>
        <v>0</v>
      </c>
      <c r="AT16" s="100">
        <f t="shared" si="143"/>
        <v>0</v>
      </c>
      <c r="AU16" s="100">
        <f t="shared" si="143"/>
        <v>0</v>
      </c>
      <c r="AV16" s="100">
        <f t="shared" si="143"/>
        <v>0</v>
      </c>
      <c r="AW16" s="100">
        <f t="shared" si="143"/>
        <v>0</v>
      </c>
      <c r="AX16" s="100">
        <f t="shared" si="143"/>
        <v>0</v>
      </c>
      <c r="AY16" s="100">
        <f t="shared" si="143"/>
        <v>0</v>
      </c>
      <c r="AZ16" s="100">
        <f t="shared" si="143"/>
        <v>0</v>
      </c>
      <c r="BA16" s="100">
        <f t="shared" si="143"/>
        <v>0</v>
      </c>
      <c r="BB16" s="124">
        <f t="shared" ref="BB16:BB18" si="144">ROUNDUP(BA16*1.1,0)</f>
        <v>0</v>
      </c>
      <c r="BC16" s="100">
        <f t="shared" ref="BC16:BM16" si="145">ROUND(BB16*(1+BC286),0)</f>
        <v>0</v>
      </c>
      <c r="BD16" s="100">
        <f t="shared" si="145"/>
        <v>0</v>
      </c>
      <c r="BE16" s="100">
        <f t="shared" si="145"/>
        <v>0</v>
      </c>
      <c r="BF16" s="100">
        <f t="shared" si="145"/>
        <v>0</v>
      </c>
      <c r="BG16" s="100">
        <f t="shared" si="145"/>
        <v>0</v>
      </c>
      <c r="BH16" s="100">
        <f t="shared" si="145"/>
        <v>0</v>
      </c>
      <c r="BI16" s="100">
        <f t="shared" si="145"/>
        <v>0</v>
      </c>
      <c r="BJ16" s="100">
        <f t="shared" si="145"/>
        <v>0</v>
      </c>
      <c r="BK16" s="100">
        <f t="shared" si="145"/>
        <v>0</v>
      </c>
      <c r="BL16" s="100">
        <f t="shared" si="145"/>
        <v>0</v>
      </c>
      <c r="BM16" s="100">
        <f t="shared" si="145"/>
        <v>0</v>
      </c>
      <c r="BN16" s="100">
        <f t="shared" ref="BN16:BN18" si="146">BM16</f>
        <v>0</v>
      </c>
      <c r="BO16" s="100">
        <f t="shared" ref="BO16:BX16" si="147">ROUND(BN16*(1+BO286),0)</f>
        <v>0</v>
      </c>
      <c r="BP16" s="100">
        <f t="shared" si="147"/>
        <v>0</v>
      </c>
      <c r="BQ16" s="100">
        <f t="shared" si="147"/>
        <v>0</v>
      </c>
      <c r="BR16" s="100">
        <f t="shared" si="147"/>
        <v>0</v>
      </c>
      <c r="BS16" s="100">
        <f t="shared" si="147"/>
        <v>0</v>
      </c>
      <c r="BT16" s="100">
        <f t="shared" si="147"/>
        <v>0</v>
      </c>
      <c r="BU16" s="100">
        <f t="shared" si="147"/>
        <v>0</v>
      </c>
      <c r="BV16" s="100">
        <f t="shared" si="147"/>
        <v>0</v>
      </c>
      <c r="BW16" s="100">
        <f t="shared" si="147"/>
        <v>0</v>
      </c>
      <c r="BX16" s="100">
        <f t="shared" si="147"/>
        <v>0</v>
      </c>
      <c r="BY16" s="27"/>
      <c r="BZ16" s="380">
        <f t="shared" si="118"/>
        <v>0</v>
      </c>
      <c r="CA16" s="380">
        <f t="shared" si="118"/>
        <v>0</v>
      </c>
      <c r="CB16" s="97"/>
      <c r="CC16" s="380">
        <f t="shared" si="119"/>
        <v>7</v>
      </c>
      <c r="CD16" s="380">
        <f t="shared" si="119"/>
        <v>0</v>
      </c>
      <c r="CE16" s="380">
        <f t="shared" si="119"/>
        <v>0</v>
      </c>
      <c r="CF16" s="380">
        <f t="shared" si="119"/>
        <v>0</v>
      </c>
      <c r="CG16" s="380">
        <f t="shared" si="119"/>
        <v>0</v>
      </c>
      <c r="CH16" s="380">
        <f t="shared" si="119"/>
        <v>0</v>
      </c>
      <c r="CI16" s="380">
        <f t="shared" si="119"/>
        <v>0</v>
      </c>
      <c r="CJ16" s="380">
        <f t="shared" si="119"/>
        <v>0</v>
      </c>
    </row>
    <row r="17" spans="1:91" x14ac:dyDescent="0.3">
      <c r="A17" s="33" t="str">
        <f t="shared" si="112"/>
        <v>Seventh</v>
      </c>
      <c r="B17" s="32" t="str">
        <f>IF('DCS Detail'!$B17="","",'DCS Detail'!$B17)</f>
        <v>Seventh</v>
      </c>
      <c r="C17" s="131">
        <v>7</v>
      </c>
      <c r="D17" s="131">
        <v>2</v>
      </c>
      <c r="E17" s="131">
        <v>2</v>
      </c>
      <c r="F17" s="131">
        <v>0</v>
      </c>
      <c r="G17" s="131">
        <v>0</v>
      </c>
      <c r="H17" s="131">
        <v>0</v>
      </c>
      <c r="I17" s="131">
        <v>0</v>
      </c>
      <c r="J17" s="131">
        <v>0</v>
      </c>
      <c r="K17" s="131">
        <v>0</v>
      </c>
      <c r="L17" s="131">
        <v>0</v>
      </c>
      <c r="M17" s="131">
        <v>0</v>
      </c>
      <c r="N17" s="131">
        <v>0</v>
      </c>
      <c r="O17" s="131">
        <v>0</v>
      </c>
      <c r="P17" s="131">
        <v>0</v>
      </c>
      <c r="Q17" s="131">
        <v>0</v>
      </c>
      <c r="R17" s="131">
        <v>0</v>
      </c>
      <c r="S17" s="131">
        <v>0</v>
      </c>
      <c r="T17" s="131">
        <v>0</v>
      </c>
      <c r="U17" s="131">
        <v>0</v>
      </c>
      <c r="V17" s="131">
        <v>0</v>
      </c>
      <c r="W17" s="131">
        <v>0</v>
      </c>
      <c r="X17" s="131">
        <v>0</v>
      </c>
      <c r="Y17" s="131">
        <v>0</v>
      </c>
      <c r="Z17" s="131">
        <v>0</v>
      </c>
      <c r="AA17" s="100">
        <f t="shared" si="113"/>
        <v>0</v>
      </c>
      <c r="AB17" s="100">
        <f t="shared" si="113"/>
        <v>0</v>
      </c>
      <c r="AC17" s="100">
        <f t="shared" si="113"/>
        <v>0</v>
      </c>
      <c r="AD17" s="124">
        <f t="shared" ref="AD17" si="148">AC17</f>
        <v>0</v>
      </c>
      <c r="AE17" s="100">
        <f t="shared" ref="AE17:AO17" si="149">ROUND(AD17*(1+AE287),0)</f>
        <v>0</v>
      </c>
      <c r="AF17" s="100">
        <f t="shared" si="149"/>
        <v>0</v>
      </c>
      <c r="AG17" s="100">
        <f t="shared" si="149"/>
        <v>0</v>
      </c>
      <c r="AH17" s="100">
        <f t="shared" si="149"/>
        <v>0</v>
      </c>
      <c r="AI17" s="100">
        <f t="shared" si="149"/>
        <v>0</v>
      </c>
      <c r="AJ17" s="100">
        <f t="shared" si="149"/>
        <v>0</v>
      </c>
      <c r="AK17" s="100">
        <f t="shared" si="149"/>
        <v>0</v>
      </c>
      <c r="AL17" s="100">
        <f t="shared" si="149"/>
        <v>0</v>
      </c>
      <c r="AM17" s="100">
        <f t="shared" si="149"/>
        <v>0</v>
      </c>
      <c r="AN17" s="100">
        <f t="shared" si="149"/>
        <v>0</v>
      </c>
      <c r="AO17" s="100">
        <f t="shared" si="149"/>
        <v>0</v>
      </c>
      <c r="AP17" s="124">
        <f t="shared" si="142"/>
        <v>0</v>
      </c>
      <c r="AQ17" s="100">
        <f t="shared" ref="AQ17:BA17" si="150">ROUND(AP17*(1+AQ287),0)</f>
        <v>0</v>
      </c>
      <c r="AR17" s="100">
        <f t="shared" si="150"/>
        <v>0</v>
      </c>
      <c r="AS17" s="100">
        <f t="shared" si="150"/>
        <v>0</v>
      </c>
      <c r="AT17" s="100">
        <f t="shared" si="150"/>
        <v>0</v>
      </c>
      <c r="AU17" s="100">
        <f t="shared" si="150"/>
        <v>0</v>
      </c>
      <c r="AV17" s="100">
        <f t="shared" si="150"/>
        <v>0</v>
      </c>
      <c r="AW17" s="100">
        <f t="shared" si="150"/>
        <v>0</v>
      </c>
      <c r="AX17" s="100">
        <f t="shared" si="150"/>
        <v>0</v>
      </c>
      <c r="AY17" s="100">
        <f t="shared" si="150"/>
        <v>0</v>
      </c>
      <c r="AZ17" s="100">
        <f t="shared" si="150"/>
        <v>0</v>
      </c>
      <c r="BA17" s="100">
        <f t="shared" si="150"/>
        <v>0</v>
      </c>
      <c r="BB17" s="124">
        <f t="shared" si="144"/>
        <v>0</v>
      </c>
      <c r="BC17" s="100">
        <f t="shared" ref="BC17:BM17" si="151">ROUND(BB17*(1+BC287),0)</f>
        <v>0</v>
      </c>
      <c r="BD17" s="100">
        <f t="shared" si="151"/>
        <v>0</v>
      </c>
      <c r="BE17" s="100">
        <f t="shared" si="151"/>
        <v>0</v>
      </c>
      <c r="BF17" s="100">
        <f t="shared" si="151"/>
        <v>0</v>
      </c>
      <c r="BG17" s="100">
        <f t="shared" si="151"/>
        <v>0</v>
      </c>
      <c r="BH17" s="100">
        <f t="shared" si="151"/>
        <v>0</v>
      </c>
      <c r="BI17" s="100">
        <f t="shared" si="151"/>
        <v>0</v>
      </c>
      <c r="BJ17" s="100">
        <f t="shared" si="151"/>
        <v>0</v>
      </c>
      <c r="BK17" s="100">
        <f t="shared" si="151"/>
        <v>0</v>
      </c>
      <c r="BL17" s="100">
        <f t="shared" si="151"/>
        <v>0</v>
      </c>
      <c r="BM17" s="100">
        <f t="shared" si="151"/>
        <v>0</v>
      </c>
      <c r="BN17" s="100">
        <f t="shared" si="146"/>
        <v>0</v>
      </c>
      <c r="BO17" s="100">
        <f t="shared" ref="BO17:BX17" si="152">ROUND(BN17*(1+BO287),0)</f>
        <v>0</v>
      </c>
      <c r="BP17" s="100">
        <f t="shared" si="152"/>
        <v>0</v>
      </c>
      <c r="BQ17" s="100">
        <f t="shared" si="152"/>
        <v>0</v>
      </c>
      <c r="BR17" s="100">
        <f t="shared" si="152"/>
        <v>0</v>
      </c>
      <c r="BS17" s="100">
        <f t="shared" si="152"/>
        <v>0</v>
      </c>
      <c r="BT17" s="100">
        <f t="shared" si="152"/>
        <v>0</v>
      </c>
      <c r="BU17" s="100">
        <f t="shared" si="152"/>
        <v>0</v>
      </c>
      <c r="BV17" s="100">
        <f t="shared" si="152"/>
        <v>0</v>
      </c>
      <c r="BW17" s="100">
        <f t="shared" si="152"/>
        <v>0</v>
      </c>
      <c r="BX17" s="100">
        <f t="shared" si="152"/>
        <v>0</v>
      </c>
      <c r="BY17" s="27"/>
      <c r="BZ17" s="380">
        <f t="shared" si="118"/>
        <v>0</v>
      </c>
      <c r="CA17" s="380">
        <f t="shared" si="118"/>
        <v>0</v>
      </c>
      <c r="CB17" s="97"/>
      <c r="CC17" s="380">
        <f t="shared" si="119"/>
        <v>7</v>
      </c>
      <c r="CD17" s="380">
        <f t="shared" si="119"/>
        <v>2</v>
      </c>
      <c r="CE17" s="380">
        <f t="shared" si="119"/>
        <v>0</v>
      </c>
      <c r="CF17" s="380">
        <f t="shared" si="119"/>
        <v>0</v>
      </c>
      <c r="CG17" s="380">
        <f t="shared" si="119"/>
        <v>0</v>
      </c>
      <c r="CH17" s="380">
        <f t="shared" si="119"/>
        <v>0</v>
      </c>
      <c r="CI17" s="380">
        <f t="shared" si="119"/>
        <v>0</v>
      </c>
      <c r="CJ17" s="380">
        <f t="shared" si="119"/>
        <v>0</v>
      </c>
    </row>
    <row r="18" spans="1:91" x14ac:dyDescent="0.3">
      <c r="A18" s="33" t="str">
        <f t="shared" si="112"/>
        <v>Eighth</v>
      </c>
      <c r="B18" s="32" t="str">
        <f>IF('DCS Detail'!$B18="","",'DCS Detail'!$B18)</f>
        <v>Eighth</v>
      </c>
      <c r="C18" s="131">
        <v>4</v>
      </c>
      <c r="D18" s="131">
        <v>0</v>
      </c>
      <c r="E18" s="131">
        <v>0</v>
      </c>
      <c r="F18" s="131">
        <v>0</v>
      </c>
      <c r="G18" s="131">
        <v>0</v>
      </c>
      <c r="H18" s="131">
        <v>0</v>
      </c>
      <c r="I18" s="131">
        <v>0</v>
      </c>
      <c r="J18" s="131">
        <v>0</v>
      </c>
      <c r="K18" s="131">
        <v>0</v>
      </c>
      <c r="L18" s="131">
        <v>0</v>
      </c>
      <c r="M18" s="131">
        <v>0</v>
      </c>
      <c r="N18" s="131">
        <v>0</v>
      </c>
      <c r="O18" s="131">
        <v>0</v>
      </c>
      <c r="P18" s="131">
        <v>0</v>
      </c>
      <c r="Q18" s="131">
        <v>0</v>
      </c>
      <c r="R18" s="131">
        <v>0</v>
      </c>
      <c r="S18" s="131">
        <v>0</v>
      </c>
      <c r="T18" s="131">
        <v>0</v>
      </c>
      <c r="U18" s="131">
        <v>0</v>
      </c>
      <c r="V18" s="131">
        <v>0</v>
      </c>
      <c r="W18" s="131">
        <v>0</v>
      </c>
      <c r="X18" s="131">
        <v>0</v>
      </c>
      <c r="Y18" s="131">
        <v>0</v>
      </c>
      <c r="Z18" s="131">
        <v>0</v>
      </c>
      <c r="AA18" s="100">
        <f t="shared" si="113"/>
        <v>0</v>
      </c>
      <c r="AB18" s="100">
        <f t="shared" si="113"/>
        <v>0</v>
      </c>
      <c r="AC18" s="100">
        <f t="shared" si="113"/>
        <v>0</v>
      </c>
      <c r="AD18" s="124">
        <f t="shared" ref="AD18" si="153">AC18</f>
        <v>0</v>
      </c>
      <c r="AE18" s="100">
        <f t="shared" ref="AE18:AO18" si="154">ROUND(AD18*(1+AE288),0)</f>
        <v>0</v>
      </c>
      <c r="AF18" s="100">
        <f t="shared" si="154"/>
        <v>0</v>
      </c>
      <c r="AG18" s="100">
        <f t="shared" si="154"/>
        <v>0</v>
      </c>
      <c r="AH18" s="100">
        <f t="shared" si="154"/>
        <v>0</v>
      </c>
      <c r="AI18" s="100">
        <f t="shared" si="154"/>
        <v>0</v>
      </c>
      <c r="AJ18" s="100">
        <f t="shared" si="154"/>
        <v>0</v>
      </c>
      <c r="AK18" s="100">
        <f t="shared" si="154"/>
        <v>0</v>
      </c>
      <c r="AL18" s="100">
        <f t="shared" si="154"/>
        <v>0</v>
      </c>
      <c r="AM18" s="100">
        <f t="shared" si="154"/>
        <v>0</v>
      </c>
      <c r="AN18" s="100">
        <f t="shared" si="154"/>
        <v>0</v>
      </c>
      <c r="AO18" s="100">
        <f t="shared" si="154"/>
        <v>0</v>
      </c>
      <c r="AP18" s="124">
        <f t="shared" si="142"/>
        <v>0</v>
      </c>
      <c r="AQ18" s="100">
        <f t="shared" ref="AQ18:BA18" si="155">ROUND(AP18*(1+AQ288),0)</f>
        <v>0</v>
      </c>
      <c r="AR18" s="100">
        <f t="shared" si="155"/>
        <v>0</v>
      </c>
      <c r="AS18" s="100">
        <f t="shared" si="155"/>
        <v>0</v>
      </c>
      <c r="AT18" s="100">
        <f t="shared" si="155"/>
        <v>0</v>
      </c>
      <c r="AU18" s="100">
        <f t="shared" si="155"/>
        <v>0</v>
      </c>
      <c r="AV18" s="100">
        <f t="shared" si="155"/>
        <v>0</v>
      </c>
      <c r="AW18" s="100">
        <f t="shared" si="155"/>
        <v>0</v>
      </c>
      <c r="AX18" s="100">
        <f t="shared" si="155"/>
        <v>0</v>
      </c>
      <c r="AY18" s="100">
        <f t="shared" si="155"/>
        <v>0</v>
      </c>
      <c r="AZ18" s="100">
        <f t="shared" si="155"/>
        <v>0</v>
      </c>
      <c r="BA18" s="100">
        <f t="shared" si="155"/>
        <v>0</v>
      </c>
      <c r="BB18" s="124">
        <f t="shared" si="144"/>
        <v>0</v>
      </c>
      <c r="BC18" s="100">
        <f t="shared" ref="BC18:BM18" si="156">ROUND(BB18*(1+BC288),0)</f>
        <v>0</v>
      </c>
      <c r="BD18" s="100">
        <f t="shared" si="156"/>
        <v>0</v>
      </c>
      <c r="BE18" s="100">
        <f t="shared" si="156"/>
        <v>0</v>
      </c>
      <c r="BF18" s="100">
        <f t="shared" si="156"/>
        <v>0</v>
      </c>
      <c r="BG18" s="100">
        <f t="shared" si="156"/>
        <v>0</v>
      </c>
      <c r="BH18" s="100">
        <f t="shared" si="156"/>
        <v>0</v>
      </c>
      <c r="BI18" s="100">
        <f t="shared" si="156"/>
        <v>0</v>
      </c>
      <c r="BJ18" s="100">
        <f t="shared" si="156"/>
        <v>0</v>
      </c>
      <c r="BK18" s="100">
        <f t="shared" si="156"/>
        <v>0</v>
      </c>
      <c r="BL18" s="100">
        <f t="shared" si="156"/>
        <v>0</v>
      </c>
      <c r="BM18" s="100">
        <f t="shared" si="156"/>
        <v>0</v>
      </c>
      <c r="BN18" s="100">
        <f t="shared" si="146"/>
        <v>0</v>
      </c>
      <c r="BO18" s="100">
        <f t="shared" ref="BO18:BX18" si="157">ROUND(BN18*(1+BO288),0)</f>
        <v>0</v>
      </c>
      <c r="BP18" s="100">
        <f t="shared" si="157"/>
        <v>0</v>
      </c>
      <c r="BQ18" s="100">
        <f t="shared" si="157"/>
        <v>0</v>
      </c>
      <c r="BR18" s="100">
        <f t="shared" si="157"/>
        <v>0</v>
      </c>
      <c r="BS18" s="100">
        <f t="shared" si="157"/>
        <v>0</v>
      </c>
      <c r="BT18" s="100">
        <f t="shared" si="157"/>
        <v>0</v>
      </c>
      <c r="BU18" s="100">
        <f t="shared" si="157"/>
        <v>0</v>
      </c>
      <c r="BV18" s="100">
        <f t="shared" si="157"/>
        <v>0</v>
      </c>
      <c r="BW18" s="100">
        <f t="shared" si="157"/>
        <v>0</v>
      </c>
      <c r="BX18" s="100">
        <f t="shared" si="157"/>
        <v>0</v>
      </c>
      <c r="BY18" s="27"/>
      <c r="BZ18" s="380">
        <f t="shared" si="118"/>
        <v>0</v>
      </c>
      <c r="CA18" s="380">
        <f t="shared" si="118"/>
        <v>0</v>
      </c>
      <c r="CB18" s="97"/>
      <c r="CC18" s="380">
        <f t="shared" si="119"/>
        <v>4</v>
      </c>
      <c r="CD18" s="380">
        <f t="shared" si="119"/>
        <v>0</v>
      </c>
      <c r="CE18" s="380">
        <f t="shared" si="119"/>
        <v>0</v>
      </c>
      <c r="CF18" s="380">
        <f t="shared" si="119"/>
        <v>0</v>
      </c>
      <c r="CG18" s="380">
        <f t="shared" si="119"/>
        <v>0</v>
      </c>
      <c r="CH18" s="380">
        <f t="shared" si="119"/>
        <v>0</v>
      </c>
      <c r="CI18" s="380">
        <f t="shared" si="119"/>
        <v>0</v>
      </c>
      <c r="CJ18" s="380">
        <f t="shared" si="119"/>
        <v>0</v>
      </c>
    </row>
    <row r="19" spans="1:91" x14ac:dyDescent="0.3">
      <c r="A19" s="127" t="str">
        <f t="shared" si="112"/>
        <v>Enrollees</v>
      </c>
      <c r="B19" s="32" t="str">
        <f>IF('DCS Detail'!$B19="","",'DCS Detail'!$B19)</f>
        <v>Enrollees</v>
      </c>
      <c r="C19" s="128">
        <f t="shared" ref="C19:Y19" si="158">SUM(C10:C18)</f>
        <v>106</v>
      </c>
      <c r="D19" s="128">
        <f t="shared" si="158"/>
        <v>78</v>
      </c>
      <c r="E19" s="128">
        <f t="shared" si="158"/>
        <v>78</v>
      </c>
      <c r="F19" s="128">
        <f t="shared" si="158"/>
        <v>97</v>
      </c>
      <c r="G19" s="128">
        <f t="shared" si="158"/>
        <v>111</v>
      </c>
      <c r="H19" s="128">
        <f t="shared" si="158"/>
        <v>111</v>
      </c>
      <c r="I19" s="128">
        <f t="shared" si="158"/>
        <v>113</v>
      </c>
      <c r="J19" s="128">
        <f t="shared" si="158"/>
        <v>114</v>
      </c>
      <c r="K19" s="128">
        <f t="shared" si="158"/>
        <v>113</v>
      </c>
      <c r="L19" s="128">
        <f t="shared" si="158"/>
        <v>115</v>
      </c>
      <c r="M19" s="128">
        <f t="shared" si="158"/>
        <v>113</v>
      </c>
      <c r="N19" s="128">
        <f t="shared" si="158"/>
        <v>113</v>
      </c>
      <c r="O19" s="128">
        <f t="shared" si="158"/>
        <v>113</v>
      </c>
      <c r="P19" s="128">
        <f t="shared" si="158"/>
        <v>113</v>
      </c>
      <c r="Q19" s="128">
        <f t="shared" si="158"/>
        <v>113</v>
      </c>
      <c r="R19" s="128">
        <f t="shared" si="158"/>
        <v>103</v>
      </c>
      <c r="S19" s="128">
        <f t="shared" si="158"/>
        <v>101</v>
      </c>
      <c r="T19" s="128">
        <f t="shared" si="158"/>
        <v>101</v>
      </c>
      <c r="U19" s="128">
        <f t="shared" si="158"/>
        <v>100</v>
      </c>
      <c r="V19" s="128">
        <f t="shared" si="158"/>
        <v>98</v>
      </c>
      <c r="W19" s="128">
        <f t="shared" si="158"/>
        <v>99</v>
      </c>
      <c r="X19" s="128">
        <f t="shared" si="158"/>
        <v>98</v>
      </c>
      <c r="Y19" s="128">
        <f t="shared" si="158"/>
        <v>94</v>
      </c>
      <c r="Z19" s="128">
        <f t="shared" ref="Z19:AB19" si="159">SUM(Z10:Z18)</f>
        <v>94</v>
      </c>
      <c r="AA19" s="128">
        <f t="shared" si="159"/>
        <v>94</v>
      </c>
      <c r="AB19" s="128">
        <f t="shared" si="159"/>
        <v>94</v>
      </c>
      <c r="AC19" s="128">
        <f t="shared" ref="AC19:AE19" si="160">SUM(AC10:AC18)</f>
        <v>94</v>
      </c>
      <c r="AD19" s="128">
        <f t="shared" si="160"/>
        <v>105</v>
      </c>
      <c r="AE19" s="128">
        <f t="shared" si="160"/>
        <v>105</v>
      </c>
      <c r="AF19" s="128">
        <f t="shared" ref="AF19:AN19" si="161">SUM(AF10:AF18)</f>
        <v>107</v>
      </c>
      <c r="AG19" s="128">
        <f t="shared" si="161"/>
        <v>106</v>
      </c>
      <c r="AH19" s="128">
        <f t="shared" si="161"/>
        <v>104</v>
      </c>
      <c r="AI19" s="128">
        <f t="shared" si="161"/>
        <v>103</v>
      </c>
      <c r="AJ19" s="128">
        <f t="shared" si="161"/>
        <v>104</v>
      </c>
      <c r="AK19" s="128">
        <f t="shared" si="161"/>
        <v>103</v>
      </c>
      <c r="AL19" s="128">
        <f t="shared" si="161"/>
        <v>103</v>
      </c>
      <c r="AM19" s="128">
        <f t="shared" si="161"/>
        <v>103</v>
      </c>
      <c r="AN19" s="128">
        <f t="shared" si="161"/>
        <v>103</v>
      </c>
      <c r="AO19" s="128">
        <f t="shared" ref="AO19:CA19" si="162">SUM(AO10:AO18)</f>
        <v>103</v>
      </c>
      <c r="AP19" s="128">
        <f t="shared" si="162"/>
        <v>134</v>
      </c>
      <c r="AQ19" s="128">
        <f t="shared" si="162"/>
        <v>133</v>
      </c>
      <c r="AR19" s="128">
        <f t="shared" si="162"/>
        <v>132</v>
      </c>
      <c r="AS19" s="128">
        <f t="shared" si="162"/>
        <v>131</v>
      </c>
      <c r="AT19" s="128">
        <f t="shared" si="162"/>
        <v>129</v>
      </c>
      <c r="AU19" s="128">
        <f t="shared" si="162"/>
        <v>127</v>
      </c>
      <c r="AV19" s="128">
        <f t="shared" si="162"/>
        <v>127</v>
      </c>
      <c r="AW19" s="128">
        <f t="shared" si="162"/>
        <v>127</v>
      </c>
      <c r="AX19" s="128">
        <f t="shared" si="162"/>
        <v>127</v>
      </c>
      <c r="AY19" s="128">
        <f t="shared" si="162"/>
        <v>127</v>
      </c>
      <c r="AZ19" s="128">
        <f t="shared" si="162"/>
        <v>127</v>
      </c>
      <c r="BA19" s="128">
        <f t="shared" ref="BA19:BX19" si="163">SUM(BA10:BA18)</f>
        <v>127</v>
      </c>
      <c r="BB19" s="128">
        <f t="shared" si="163"/>
        <v>164</v>
      </c>
      <c r="BC19" s="128">
        <f t="shared" si="163"/>
        <v>163</v>
      </c>
      <c r="BD19" s="128">
        <f t="shared" si="163"/>
        <v>164</v>
      </c>
      <c r="BE19" s="128">
        <f t="shared" si="163"/>
        <v>163</v>
      </c>
      <c r="BF19" s="128">
        <f t="shared" si="163"/>
        <v>161</v>
      </c>
      <c r="BG19" s="128">
        <f t="shared" si="163"/>
        <v>159</v>
      </c>
      <c r="BH19" s="128">
        <f t="shared" si="163"/>
        <v>159</v>
      </c>
      <c r="BI19" s="128">
        <f t="shared" si="163"/>
        <v>159</v>
      </c>
      <c r="BJ19" s="128">
        <f t="shared" si="163"/>
        <v>159</v>
      </c>
      <c r="BK19" s="128">
        <f t="shared" si="163"/>
        <v>159</v>
      </c>
      <c r="BL19" s="128">
        <f t="shared" si="163"/>
        <v>159</v>
      </c>
      <c r="BM19" s="128">
        <f t="shared" si="163"/>
        <v>159</v>
      </c>
      <c r="BN19" s="128">
        <f t="shared" si="163"/>
        <v>173</v>
      </c>
      <c r="BO19" s="128">
        <f t="shared" si="163"/>
        <v>172</v>
      </c>
      <c r="BP19" s="128">
        <f t="shared" si="163"/>
        <v>173</v>
      </c>
      <c r="BQ19" s="128">
        <f t="shared" si="163"/>
        <v>172</v>
      </c>
      <c r="BR19" s="128">
        <f t="shared" si="163"/>
        <v>170</v>
      </c>
      <c r="BS19" s="128">
        <f t="shared" si="163"/>
        <v>168</v>
      </c>
      <c r="BT19" s="128">
        <f t="shared" si="163"/>
        <v>169</v>
      </c>
      <c r="BU19" s="128">
        <f t="shared" si="163"/>
        <v>169</v>
      </c>
      <c r="BV19" s="128">
        <f t="shared" si="163"/>
        <v>169</v>
      </c>
      <c r="BW19" s="128">
        <f t="shared" si="163"/>
        <v>169</v>
      </c>
      <c r="BX19" s="128">
        <f t="shared" si="163"/>
        <v>169</v>
      </c>
      <c r="BY19" s="27"/>
      <c r="BZ19" s="381">
        <f t="shared" si="162"/>
        <v>94</v>
      </c>
      <c r="CA19" s="381">
        <f t="shared" si="162"/>
        <v>94</v>
      </c>
      <c r="CB19" s="97"/>
      <c r="CC19" s="381">
        <f t="shared" ref="CC19:CJ19" si="164">SUM(CC10:CC18)</f>
        <v>106</v>
      </c>
      <c r="CD19" s="381">
        <f t="shared" si="164"/>
        <v>78</v>
      </c>
      <c r="CE19" s="381">
        <f t="shared" si="164"/>
        <v>113</v>
      </c>
      <c r="CF19" s="381">
        <f t="shared" si="164"/>
        <v>94</v>
      </c>
      <c r="CG19" s="381">
        <f t="shared" si="164"/>
        <v>103</v>
      </c>
      <c r="CH19" s="381">
        <f t="shared" si="164"/>
        <v>127</v>
      </c>
      <c r="CI19" s="381">
        <f t="shared" si="164"/>
        <v>159</v>
      </c>
      <c r="CJ19" s="381">
        <f t="shared" si="164"/>
        <v>169</v>
      </c>
    </row>
    <row r="20" spans="1:91" x14ac:dyDescent="0.3">
      <c r="A20" s="415" t="s">
        <v>411</v>
      </c>
      <c r="B20" s="32" t="str">
        <f>IF('Hillpointe Detail'!B20="","",'Hillpointe Detail'!B20)</f>
        <v/>
      </c>
      <c r="C20" s="32"/>
      <c r="D20" s="417">
        <f t="shared" ref="D20:X20" si="165">D19/C19-1</f>
        <v>-0.26415094339622647</v>
      </c>
      <c r="E20" s="417">
        <f t="shared" si="165"/>
        <v>0</v>
      </c>
      <c r="F20" s="417">
        <f t="shared" si="165"/>
        <v>0.24358974358974361</v>
      </c>
      <c r="G20" s="417">
        <f t="shared" si="165"/>
        <v>0.14432989690721643</v>
      </c>
      <c r="H20" s="417">
        <f t="shared" si="165"/>
        <v>0</v>
      </c>
      <c r="I20" s="417">
        <f t="shared" si="165"/>
        <v>1.8018018018018056E-2</v>
      </c>
      <c r="J20" s="417">
        <f t="shared" si="165"/>
        <v>8.8495575221239076E-3</v>
      </c>
      <c r="K20" s="417">
        <f t="shared" si="165"/>
        <v>-8.7719298245614308E-3</v>
      </c>
      <c r="L20" s="417">
        <f t="shared" si="165"/>
        <v>1.7699115044247815E-2</v>
      </c>
      <c r="M20" s="417">
        <f t="shared" si="165"/>
        <v>-1.7391304347826098E-2</v>
      </c>
      <c r="N20" s="417">
        <f t="shared" si="165"/>
        <v>0</v>
      </c>
      <c r="O20" s="417">
        <f t="shared" si="165"/>
        <v>0</v>
      </c>
      <c r="P20" s="417">
        <f t="shared" si="165"/>
        <v>0</v>
      </c>
      <c r="Q20" s="417">
        <f t="shared" si="165"/>
        <v>0</v>
      </c>
      <c r="R20" s="417">
        <f t="shared" si="165"/>
        <v>-8.8495575221238965E-2</v>
      </c>
      <c r="S20" s="417">
        <f t="shared" si="165"/>
        <v>-1.9417475728155331E-2</v>
      </c>
      <c r="T20" s="417">
        <f t="shared" si="165"/>
        <v>0</v>
      </c>
      <c r="U20" s="417">
        <f t="shared" si="165"/>
        <v>-9.9009900990099098E-3</v>
      </c>
      <c r="V20" s="417">
        <f t="shared" si="165"/>
        <v>-2.0000000000000018E-2</v>
      </c>
      <c r="W20" s="417">
        <f t="shared" si="165"/>
        <v>1.0204081632652962E-2</v>
      </c>
      <c r="X20" s="417">
        <f t="shared" si="165"/>
        <v>-1.0101010101010055E-2</v>
      </c>
      <c r="Y20" s="417">
        <f t="shared" ref="Y20:BX20" si="166">Y19/X19-1</f>
        <v>-4.081632653061229E-2</v>
      </c>
      <c r="Z20" s="417">
        <f t="shared" si="166"/>
        <v>0</v>
      </c>
      <c r="AA20" s="417">
        <f>AA19/Z19-1</f>
        <v>0</v>
      </c>
      <c r="AB20" s="417">
        <f t="shared" si="166"/>
        <v>0</v>
      </c>
      <c r="AC20" s="417">
        <f t="shared" si="166"/>
        <v>0</v>
      </c>
      <c r="AD20" s="417">
        <f t="shared" si="166"/>
        <v>0.11702127659574457</v>
      </c>
      <c r="AE20" s="417">
        <f t="shared" si="166"/>
        <v>0</v>
      </c>
      <c r="AF20" s="417">
        <f t="shared" si="166"/>
        <v>1.904761904761898E-2</v>
      </c>
      <c r="AG20" s="417">
        <f t="shared" si="166"/>
        <v>-9.3457943925233655E-3</v>
      </c>
      <c r="AH20" s="417">
        <f t="shared" si="166"/>
        <v>-1.8867924528301883E-2</v>
      </c>
      <c r="AI20" s="417">
        <f t="shared" si="166"/>
        <v>-9.6153846153845812E-3</v>
      </c>
      <c r="AJ20" s="417">
        <f t="shared" si="166"/>
        <v>9.7087378640776656E-3</v>
      </c>
      <c r="AK20" s="417">
        <f t="shared" si="166"/>
        <v>-9.6153846153845812E-3</v>
      </c>
      <c r="AL20" s="417">
        <f t="shared" si="166"/>
        <v>0</v>
      </c>
      <c r="AM20" s="417">
        <f t="shared" si="166"/>
        <v>0</v>
      </c>
      <c r="AN20" s="417">
        <f t="shared" si="166"/>
        <v>0</v>
      </c>
      <c r="AO20" s="417">
        <f t="shared" si="166"/>
        <v>0</v>
      </c>
      <c r="AP20" s="417">
        <f t="shared" si="166"/>
        <v>0.30097087378640786</v>
      </c>
      <c r="AQ20" s="417">
        <f t="shared" si="166"/>
        <v>-7.4626865671642006E-3</v>
      </c>
      <c r="AR20" s="417">
        <f t="shared" si="166"/>
        <v>-7.5187969924812581E-3</v>
      </c>
      <c r="AS20" s="417">
        <f t="shared" si="166"/>
        <v>-7.575757575757569E-3</v>
      </c>
      <c r="AT20" s="417">
        <f t="shared" si="166"/>
        <v>-1.5267175572519109E-2</v>
      </c>
      <c r="AU20" s="417">
        <f t="shared" si="166"/>
        <v>-1.5503875968992276E-2</v>
      </c>
      <c r="AV20" s="417">
        <f t="shared" si="166"/>
        <v>0</v>
      </c>
      <c r="AW20" s="417">
        <f t="shared" si="166"/>
        <v>0</v>
      </c>
      <c r="AX20" s="417">
        <f t="shared" si="166"/>
        <v>0</v>
      </c>
      <c r="AY20" s="417">
        <f t="shared" si="166"/>
        <v>0</v>
      </c>
      <c r="AZ20" s="417">
        <f t="shared" si="166"/>
        <v>0</v>
      </c>
      <c r="BA20" s="417">
        <f t="shared" si="166"/>
        <v>0</v>
      </c>
      <c r="BB20" s="417">
        <f t="shared" si="166"/>
        <v>0.29133858267716528</v>
      </c>
      <c r="BC20" s="417">
        <f t="shared" si="166"/>
        <v>-6.0975609756097615E-3</v>
      </c>
      <c r="BD20" s="417">
        <f t="shared" si="166"/>
        <v>6.1349693251533388E-3</v>
      </c>
      <c r="BE20" s="417">
        <f t="shared" si="166"/>
        <v>-6.0975609756097615E-3</v>
      </c>
      <c r="BF20" s="417">
        <f t="shared" si="166"/>
        <v>-1.2269938650306789E-2</v>
      </c>
      <c r="BG20" s="417">
        <f t="shared" si="166"/>
        <v>-1.2422360248447228E-2</v>
      </c>
      <c r="BH20" s="417">
        <f t="shared" si="166"/>
        <v>0</v>
      </c>
      <c r="BI20" s="417">
        <f t="shared" si="166"/>
        <v>0</v>
      </c>
      <c r="BJ20" s="417">
        <f t="shared" si="166"/>
        <v>0</v>
      </c>
      <c r="BK20" s="417">
        <f t="shared" si="166"/>
        <v>0</v>
      </c>
      <c r="BL20" s="417">
        <f t="shared" si="166"/>
        <v>0</v>
      </c>
      <c r="BM20" s="417">
        <f t="shared" si="166"/>
        <v>0</v>
      </c>
      <c r="BN20" s="417">
        <f t="shared" si="166"/>
        <v>8.8050314465408785E-2</v>
      </c>
      <c r="BO20" s="417">
        <f t="shared" si="166"/>
        <v>-5.7803468208093012E-3</v>
      </c>
      <c r="BP20" s="417">
        <f t="shared" si="166"/>
        <v>5.8139534883721034E-3</v>
      </c>
      <c r="BQ20" s="417">
        <f t="shared" si="166"/>
        <v>-5.7803468208093012E-3</v>
      </c>
      <c r="BR20" s="417">
        <f t="shared" si="166"/>
        <v>-1.1627906976744207E-2</v>
      </c>
      <c r="BS20" s="417">
        <f t="shared" si="166"/>
        <v>-1.1764705882352899E-2</v>
      </c>
      <c r="BT20" s="417">
        <f t="shared" si="166"/>
        <v>5.9523809523809312E-3</v>
      </c>
      <c r="BU20" s="417">
        <f t="shared" si="166"/>
        <v>0</v>
      </c>
      <c r="BV20" s="417">
        <f t="shared" si="166"/>
        <v>0</v>
      </c>
      <c r="BW20" s="417">
        <f t="shared" si="166"/>
        <v>0</v>
      </c>
      <c r="BX20" s="417">
        <f t="shared" si="166"/>
        <v>0</v>
      </c>
      <c r="BY20" s="27"/>
      <c r="BZ20" s="382"/>
      <c r="CA20" s="382"/>
      <c r="CB20" s="97"/>
      <c r="CC20" s="382"/>
      <c r="CD20" s="417">
        <f t="shared" ref="CD20" si="167">CD19/CC19-1</f>
        <v>-0.26415094339622647</v>
      </c>
      <c r="CE20" s="417">
        <f t="shared" ref="CE20" si="168">CE19/CD19-1</f>
        <v>0.44871794871794868</v>
      </c>
      <c r="CF20" s="417">
        <f t="shared" ref="CF20" si="169">CF19/CE19-1</f>
        <v>-0.16814159292035402</v>
      </c>
      <c r="CG20" s="417">
        <f t="shared" ref="CG20" si="170">CG19/CF19-1</f>
        <v>9.5744680851063801E-2</v>
      </c>
      <c r="CH20" s="417">
        <f t="shared" ref="CH20" si="171">CH19/CG19-1</f>
        <v>0.23300970873786397</v>
      </c>
      <c r="CI20" s="417">
        <f t="shared" ref="CI20" si="172">CI19/CH19-1</f>
        <v>0.25196850393700787</v>
      </c>
      <c r="CJ20" s="417">
        <f t="shared" ref="CJ20" si="173">CJ19/CI19-1</f>
        <v>6.2893081761006275E-2</v>
      </c>
    </row>
    <row r="21" spans="1:91" x14ac:dyDescent="0.3">
      <c r="A21" s="24" t="s">
        <v>150</v>
      </c>
      <c r="B21" s="94" t="str">
        <f>IF('Hillpointe Detail'!B21="","",'Hillpointe Detail'!B21)</f>
        <v/>
      </c>
      <c r="C21" s="94"/>
      <c r="D21" s="94"/>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383"/>
      <c r="CA21" s="383"/>
      <c r="CB21" s="384"/>
      <c r="CC21" s="384"/>
      <c r="CD21" s="384"/>
      <c r="CE21" s="384"/>
      <c r="CF21" s="384"/>
      <c r="CG21" s="384"/>
      <c r="CH21" s="384"/>
      <c r="CI21" s="384"/>
      <c r="CJ21" s="384"/>
    </row>
    <row r="22" spans="1:91" x14ac:dyDescent="0.3">
      <c r="A22" s="97" t="str">
        <f>'DCS Detail'!A22</f>
        <v>Income</v>
      </c>
      <c r="B22" s="106" t="str">
        <f>IF('Hillpointe Detail'!B22="","",'Hillpointe Detail'!B22)</f>
        <v/>
      </c>
      <c r="C22" s="106"/>
      <c r="D22" s="106"/>
      <c r="BZ22" s="97"/>
      <c r="CA22" s="97"/>
      <c r="CB22" s="97"/>
      <c r="CC22" s="97"/>
      <c r="CD22" s="97"/>
      <c r="CE22" s="97"/>
      <c r="CF22" s="97"/>
      <c r="CG22" s="97"/>
      <c r="CH22" s="97"/>
      <c r="CI22" s="97"/>
      <c r="CJ22" s="97"/>
    </row>
    <row r="23" spans="1:91" x14ac:dyDescent="0.3">
      <c r="A23" s="97" t="str">
        <f>'DCS Detail'!A23</f>
        <v xml:space="preserve">   1500.1 Interest</v>
      </c>
      <c r="B23" s="106" t="str">
        <f>IF('DCS Detail'!$B23="","",'DCS Detail'!$B23)</f>
        <v>Other</v>
      </c>
      <c r="C23" s="106"/>
      <c r="D23" s="106"/>
      <c r="E23" s="18">
        <v>0</v>
      </c>
      <c r="F23" s="18">
        <v>0</v>
      </c>
      <c r="G23" s="18">
        <v>4.91</v>
      </c>
      <c r="H23" s="18">
        <v>4.5199999999999996</v>
      </c>
      <c r="I23" s="18">
        <v>5.3</v>
      </c>
      <c r="J23" s="18">
        <v>5.22</v>
      </c>
      <c r="K23" s="18">
        <f>21.07*0.22</f>
        <v>4.6353999999999997</v>
      </c>
      <c r="L23" s="18">
        <v>4.3046000000000006</v>
      </c>
      <c r="M23" s="18">
        <v>4.6900000000000004</v>
      </c>
      <c r="N23" s="18">
        <v>3.85</v>
      </c>
      <c r="O23" s="18">
        <v>3.47</v>
      </c>
      <c r="P23" s="18">
        <v>5.73</v>
      </c>
      <c r="Q23" s="18">
        <v>4.51</v>
      </c>
      <c r="R23" s="18">
        <v>4.5999999999999996</v>
      </c>
      <c r="S23" s="18">
        <v>4.32</v>
      </c>
      <c r="T23" s="18">
        <v>4.17</v>
      </c>
      <c r="U23" s="18">
        <v>3.74</v>
      </c>
      <c r="V23" s="18">
        <v>2.74</v>
      </c>
      <c r="W23" s="18">
        <v>2.65</v>
      </c>
      <c r="X23" s="18">
        <v>2.15</v>
      </c>
      <c r="Y23" s="18">
        <v>2.13</v>
      </c>
      <c r="Z23" s="18">
        <v>1.98</v>
      </c>
      <c r="AA23" s="146">
        <v>2.0499999999999998</v>
      </c>
      <c r="AB23" s="36">
        <f t="shared" ref="AB23:AZ23" si="174">P23</f>
        <v>5.73</v>
      </c>
      <c r="AC23" s="36">
        <f t="shared" si="174"/>
        <v>4.51</v>
      </c>
      <c r="AD23" s="36">
        <f t="shared" si="174"/>
        <v>4.5999999999999996</v>
      </c>
      <c r="AE23" s="36">
        <f t="shared" si="174"/>
        <v>4.32</v>
      </c>
      <c r="AF23" s="36">
        <f t="shared" si="174"/>
        <v>4.17</v>
      </c>
      <c r="AG23" s="36">
        <f t="shared" si="174"/>
        <v>3.74</v>
      </c>
      <c r="AH23" s="36">
        <f t="shared" si="174"/>
        <v>2.74</v>
      </c>
      <c r="AI23" s="36">
        <f t="shared" si="174"/>
        <v>2.65</v>
      </c>
      <c r="AJ23" s="36">
        <f t="shared" si="174"/>
        <v>2.15</v>
      </c>
      <c r="AK23" s="36">
        <f t="shared" si="174"/>
        <v>2.13</v>
      </c>
      <c r="AL23" s="36">
        <f t="shared" si="174"/>
        <v>1.98</v>
      </c>
      <c r="AM23" s="36">
        <f t="shared" si="174"/>
        <v>2.0499999999999998</v>
      </c>
      <c r="AN23" s="36">
        <f t="shared" si="174"/>
        <v>5.73</v>
      </c>
      <c r="AO23" s="36">
        <f t="shared" si="174"/>
        <v>4.51</v>
      </c>
      <c r="AP23" s="36">
        <f t="shared" si="174"/>
        <v>4.5999999999999996</v>
      </c>
      <c r="AQ23" s="36">
        <f t="shared" si="174"/>
        <v>4.32</v>
      </c>
      <c r="AR23" s="36">
        <f t="shared" si="174"/>
        <v>4.17</v>
      </c>
      <c r="AS23" s="36">
        <f t="shared" si="174"/>
        <v>3.74</v>
      </c>
      <c r="AT23" s="36">
        <f t="shared" si="174"/>
        <v>2.74</v>
      </c>
      <c r="AU23" s="36">
        <f t="shared" si="174"/>
        <v>2.65</v>
      </c>
      <c r="AV23" s="36">
        <f t="shared" si="174"/>
        <v>2.15</v>
      </c>
      <c r="AW23" s="36">
        <f t="shared" si="174"/>
        <v>2.13</v>
      </c>
      <c r="AX23" s="36">
        <f t="shared" si="174"/>
        <v>1.98</v>
      </c>
      <c r="AY23" s="36">
        <f t="shared" si="174"/>
        <v>2.0499999999999998</v>
      </c>
      <c r="AZ23" s="36">
        <f t="shared" si="174"/>
        <v>5.73</v>
      </c>
      <c r="BA23" s="36">
        <f t="shared" ref="BA23:BA31" si="175">AO23</f>
        <v>4.51</v>
      </c>
      <c r="BB23" s="36">
        <f t="shared" ref="BB23:BB31" si="176">AP23</f>
        <v>4.5999999999999996</v>
      </c>
      <c r="BC23" s="36">
        <f t="shared" ref="BC23:BC31" si="177">AQ23</f>
        <v>4.32</v>
      </c>
      <c r="BD23" s="36">
        <f t="shared" ref="BD23:BD31" si="178">AR23</f>
        <v>4.17</v>
      </c>
      <c r="BE23" s="36">
        <f t="shared" ref="BE23:BE31" si="179">AS23</f>
        <v>3.74</v>
      </c>
      <c r="BF23" s="36">
        <f t="shared" ref="BF23:BF31" si="180">AT23</f>
        <v>2.74</v>
      </c>
      <c r="BG23" s="36">
        <f t="shared" ref="BG23:BG31" si="181">AU23</f>
        <v>2.65</v>
      </c>
      <c r="BH23" s="36">
        <f t="shared" ref="BH23:BH31" si="182">AV23</f>
        <v>2.15</v>
      </c>
      <c r="BI23" s="36">
        <f t="shared" ref="BI23:BI31" si="183">AW23</f>
        <v>2.13</v>
      </c>
      <c r="BJ23" s="36">
        <f t="shared" ref="BJ23:BJ31" si="184">AX23</f>
        <v>1.98</v>
      </c>
      <c r="BK23" s="36">
        <f t="shared" ref="BK23:BK31" si="185">AY23</f>
        <v>2.0499999999999998</v>
      </c>
      <c r="BL23" s="36">
        <f t="shared" ref="BL23:BL31" si="186">AZ23</f>
        <v>5.73</v>
      </c>
      <c r="BM23" s="36">
        <f t="shared" ref="BM23:BM31" si="187">BA23</f>
        <v>4.51</v>
      </c>
      <c r="BN23" s="36">
        <f t="shared" ref="BN23:BN31" si="188">BB23</f>
        <v>4.5999999999999996</v>
      </c>
      <c r="BO23" s="36">
        <f t="shared" ref="BO23:BO31" si="189">BC23</f>
        <v>4.32</v>
      </c>
      <c r="BP23" s="36">
        <f t="shared" ref="BP23:BP31" si="190">BD23</f>
        <v>4.17</v>
      </c>
      <c r="BQ23" s="36">
        <f t="shared" ref="BQ23:BQ31" si="191">BE23</f>
        <v>3.74</v>
      </c>
      <c r="BR23" s="36">
        <f t="shared" ref="BR23:BR31" si="192">BF23</f>
        <v>2.74</v>
      </c>
      <c r="BS23" s="36">
        <f t="shared" ref="BS23:BS31" si="193">BG23</f>
        <v>2.65</v>
      </c>
      <c r="BT23" s="36">
        <f t="shared" ref="BT23:BT31" si="194">BH23</f>
        <v>2.15</v>
      </c>
      <c r="BU23" s="36">
        <f t="shared" ref="BU23:BU31" si="195">BI23</f>
        <v>2.13</v>
      </c>
      <c r="BV23" s="36">
        <f t="shared" ref="BV23:BV31" si="196">BJ23</f>
        <v>1.98</v>
      </c>
      <c r="BW23" s="36">
        <f t="shared" ref="BW23:BW31" si="197">BK23</f>
        <v>2.0499999999999998</v>
      </c>
      <c r="BX23" s="36">
        <f t="shared" ref="BX23:BX31" si="198">BL23</f>
        <v>5.73</v>
      </c>
      <c r="BY23" s="8"/>
      <c r="BZ23" s="72">
        <f t="shared" ref="BZ23:BZ57" si="199">SUMIF($B$252:$BY$252,1,$B23:$BY23)</f>
        <v>2.0499999999999998</v>
      </c>
      <c r="CA23" s="72">
        <f t="shared" ref="CA23:CA57" si="200">SUMIF($B$253:$BY$253,1,$B23:$BY23)</f>
        <v>35.04</v>
      </c>
      <c r="CB23" s="97"/>
      <c r="CC23" s="72">
        <f t="shared" ref="CC23:CJ35" si="201">SUMIF($C$3:$BY$3,CC$3,$C23:$BY23)</f>
        <v>0</v>
      </c>
      <c r="CD23" s="72">
        <f t="shared" si="201"/>
        <v>0</v>
      </c>
      <c r="CE23" s="72">
        <f t="shared" si="201"/>
        <v>46.629999999999995</v>
      </c>
      <c r="CF23" s="72">
        <f t="shared" si="201"/>
        <v>40.769999999999996</v>
      </c>
      <c r="CG23" s="72">
        <f t="shared" si="201"/>
        <v>40.769999999999996</v>
      </c>
      <c r="CH23" s="72">
        <f t="shared" si="201"/>
        <v>40.769999999999996</v>
      </c>
      <c r="CI23" s="72">
        <f t="shared" si="201"/>
        <v>40.769999999999996</v>
      </c>
      <c r="CJ23" s="72">
        <f t="shared" si="201"/>
        <v>40.769999999999996</v>
      </c>
      <c r="CL23" s="13"/>
      <c r="CM23" s="13"/>
    </row>
    <row r="24" spans="1:91" x14ac:dyDescent="0.3">
      <c r="A24" s="97" t="str">
        <f>'DCS Detail'!A24</f>
        <v xml:space="preserve">   1750.1 Fundraiser</v>
      </c>
      <c r="B24" s="106" t="str">
        <f>IF('DCS Detail'!$B24="","",'DCS Detail'!$B24)</f>
        <v>Other</v>
      </c>
      <c r="C24" s="106"/>
      <c r="D24" s="106"/>
      <c r="E24" s="18">
        <v>0</v>
      </c>
      <c r="F24" s="18">
        <v>0</v>
      </c>
      <c r="G24" s="18">
        <v>0</v>
      </c>
      <c r="H24" s="18">
        <v>20</v>
      </c>
      <c r="I24" s="18">
        <v>0</v>
      </c>
      <c r="J24" s="18">
        <v>0</v>
      </c>
      <c r="K24" s="18">
        <v>0</v>
      </c>
      <c r="L24" s="18">
        <v>0</v>
      </c>
      <c r="M24" s="18">
        <v>0</v>
      </c>
      <c r="N24" s="18">
        <v>0</v>
      </c>
      <c r="O24" s="18">
        <v>0</v>
      </c>
      <c r="P24" s="18">
        <v>0</v>
      </c>
      <c r="Q24" s="18">
        <v>-156.86000000000001</v>
      </c>
      <c r="R24" s="18">
        <v>0</v>
      </c>
      <c r="S24" s="18">
        <v>0</v>
      </c>
      <c r="T24" s="18">
        <v>0</v>
      </c>
      <c r="U24" s="18">
        <v>35</v>
      </c>
      <c r="V24" s="18">
        <v>0</v>
      </c>
      <c r="W24" s="18">
        <v>55</v>
      </c>
      <c r="X24" s="18">
        <v>0</v>
      </c>
      <c r="Y24" s="18">
        <v>0</v>
      </c>
      <c r="Z24" s="18">
        <v>0</v>
      </c>
      <c r="AA24" s="146">
        <v>0</v>
      </c>
      <c r="AB24" s="36">
        <f t="shared" ref="AB24:AB31" si="202">P24</f>
        <v>0</v>
      </c>
      <c r="AC24" s="36">
        <f t="shared" ref="AC24:AC31" si="203">Q24</f>
        <v>-156.86000000000001</v>
      </c>
      <c r="AD24" s="36">
        <f t="shared" ref="AD24:AD31" si="204">R24</f>
        <v>0</v>
      </c>
      <c r="AE24" s="36">
        <f t="shared" ref="AE24:AE31" si="205">S24</f>
        <v>0</v>
      </c>
      <c r="AF24" s="36">
        <f t="shared" ref="AF24:AF31" si="206">T24</f>
        <v>0</v>
      </c>
      <c r="AG24" s="36">
        <f t="shared" ref="AG24:AG31" si="207">U24</f>
        <v>35</v>
      </c>
      <c r="AH24" s="36">
        <f t="shared" ref="AH24:AH31" si="208">V24</f>
        <v>0</v>
      </c>
      <c r="AI24" s="36">
        <f t="shared" ref="AI24:AI31" si="209">W24</f>
        <v>55</v>
      </c>
      <c r="AJ24" s="36">
        <f t="shared" ref="AJ24:AJ31" si="210">X24</f>
        <v>0</v>
      </c>
      <c r="AK24" s="36">
        <f t="shared" ref="AK24:AK31" si="211">Y24</f>
        <v>0</v>
      </c>
      <c r="AL24" s="36">
        <f t="shared" ref="AL24:AL31" si="212">Z24</f>
        <v>0</v>
      </c>
      <c r="AM24" s="36">
        <f t="shared" ref="AM24:AM31" si="213">AA24</f>
        <v>0</v>
      </c>
      <c r="AN24" s="36">
        <f t="shared" ref="AN24:AN31" si="214">AB24</f>
        <v>0</v>
      </c>
      <c r="AO24" s="36">
        <f t="shared" ref="AO24:AO31" si="215">AC24</f>
        <v>-156.86000000000001</v>
      </c>
      <c r="AP24" s="36">
        <f t="shared" ref="AP24:AP31" si="216">AD24</f>
        <v>0</v>
      </c>
      <c r="AQ24" s="36">
        <f t="shared" ref="AQ24:AQ31" si="217">AE24</f>
        <v>0</v>
      </c>
      <c r="AR24" s="36">
        <f t="shared" ref="AR24:AR31" si="218">AF24</f>
        <v>0</v>
      </c>
      <c r="AS24" s="36">
        <f t="shared" ref="AS24:AS31" si="219">AG24</f>
        <v>35</v>
      </c>
      <c r="AT24" s="36">
        <f t="shared" ref="AT24:AT31" si="220">AH24</f>
        <v>0</v>
      </c>
      <c r="AU24" s="36">
        <f t="shared" ref="AU24:AU31" si="221">AI24</f>
        <v>55</v>
      </c>
      <c r="AV24" s="36">
        <f t="shared" ref="AV24:AV31" si="222">AJ24</f>
        <v>0</v>
      </c>
      <c r="AW24" s="36">
        <f t="shared" ref="AW24:AW31" si="223">AK24</f>
        <v>0</v>
      </c>
      <c r="AX24" s="36">
        <f t="shared" ref="AX24:AX31" si="224">AL24</f>
        <v>0</v>
      </c>
      <c r="AY24" s="36">
        <f t="shared" ref="AY24:AY31" si="225">AM24</f>
        <v>0</v>
      </c>
      <c r="AZ24" s="36">
        <f t="shared" ref="AZ24:AZ31" si="226">AN24</f>
        <v>0</v>
      </c>
      <c r="BA24" s="36">
        <f t="shared" si="175"/>
        <v>-156.86000000000001</v>
      </c>
      <c r="BB24" s="36">
        <f t="shared" si="176"/>
        <v>0</v>
      </c>
      <c r="BC24" s="36">
        <f t="shared" si="177"/>
        <v>0</v>
      </c>
      <c r="BD24" s="36">
        <f t="shared" si="178"/>
        <v>0</v>
      </c>
      <c r="BE24" s="36">
        <f t="shared" si="179"/>
        <v>35</v>
      </c>
      <c r="BF24" s="36">
        <f t="shared" si="180"/>
        <v>0</v>
      </c>
      <c r="BG24" s="36">
        <f t="shared" si="181"/>
        <v>55</v>
      </c>
      <c r="BH24" s="36">
        <f t="shared" si="182"/>
        <v>0</v>
      </c>
      <c r="BI24" s="36">
        <f t="shared" si="183"/>
        <v>0</v>
      </c>
      <c r="BJ24" s="36">
        <f t="shared" si="184"/>
        <v>0</v>
      </c>
      <c r="BK24" s="36">
        <f t="shared" si="185"/>
        <v>0</v>
      </c>
      <c r="BL24" s="36">
        <f t="shared" si="186"/>
        <v>0</v>
      </c>
      <c r="BM24" s="36">
        <f t="shared" si="187"/>
        <v>-156.86000000000001</v>
      </c>
      <c r="BN24" s="36">
        <f t="shared" si="188"/>
        <v>0</v>
      </c>
      <c r="BO24" s="36">
        <f t="shared" si="189"/>
        <v>0</v>
      </c>
      <c r="BP24" s="36">
        <f t="shared" si="190"/>
        <v>0</v>
      </c>
      <c r="BQ24" s="36">
        <f t="shared" si="191"/>
        <v>35</v>
      </c>
      <c r="BR24" s="36">
        <f t="shared" si="192"/>
        <v>0</v>
      </c>
      <c r="BS24" s="36">
        <f t="shared" si="193"/>
        <v>55</v>
      </c>
      <c r="BT24" s="36">
        <f t="shared" si="194"/>
        <v>0</v>
      </c>
      <c r="BU24" s="36">
        <f t="shared" si="195"/>
        <v>0</v>
      </c>
      <c r="BV24" s="36">
        <f t="shared" si="196"/>
        <v>0</v>
      </c>
      <c r="BW24" s="36">
        <f t="shared" si="197"/>
        <v>0</v>
      </c>
      <c r="BX24" s="36">
        <f t="shared" si="198"/>
        <v>0</v>
      </c>
      <c r="BY24" s="8"/>
      <c r="BZ24" s="72">
        <f t="shared" si="199"/>
        <v>0</v>
      </c>
      <c r="CA24" s="72">
        <f t="shared" si="200"/>
        <v>-66.860000000000014</v>
      </c>
      <c r="CB24" s="97"/>
      <c r="CC24" s="72">
        <f t="shared" si="201"/>
        <v>0</v>
      </c>
      <c r="CD24" s="72">
        <f t="shared" si="201"/>
        <v>0</v>
      </c>
      <c r="CE24" s="72">
        <f t="shared" si="201"/>
        <v>20</v>
      </c>
      <c r="CF24" s="72">
        <f t="shared" si="201"/>
        <v>-66.860000000000014</v>
      </c>
      <c r="CG24" s="72">
        <f t="shared" si="201"/>
        <v>-66.860000000000014</v>
      </c>
      <c r="CH24" s="72">
        <f t="shared" si="201"/>
        <v>-66.860000000000014</v>
      </c>
      <c r="CI24" s="72">
        <f t="shared" si="201"/>
        <v>-66.860000000000014</v>
      </c>
      <c r="CJ24" s="72">
        <f t="shared" si="201"/>
        <v>-66.860000000000014</v>
      </c>
      <c r="CL24" s="13"/>
      <c r="CM24" s="13"/>
    </row>
    <row r="25" spans="1:91" x14ac:dyDescent="0.3">
      <c r="A25" s="97" t="str">
        <f>'DCS Detail'!A25</f>
        <v xml:space="preserve">      1750.13 Fundraiser - Box Tops</v>
      </c>
      <c r="B25" s="106" t="str">
        <f>IF('DCS Detail'!$B25="","",'DCS Detail'!$B25)</f>
        <v>Other</v>
      </c>
      <c r="C25" s="106"/>
      <c r="D25" s="106"/>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6</v>
      </c>
      <c r="AB25" s="36">
        <f t="shared" ref="AB25" si="227">P25</f>
        <v>0</v>
      </c>
      <c r="AC25" s="36">
        <f t="shared" ref="AC25" si="228">Q25</f>
        <v>0</v>
      </c>
      <c r="AD25" s="36">
        <f t="shared" ref="AD25" si="229">R25</f>
        <v>0</v>
      </c>
      <c r="AE25" s="36">
        <f t="shared" ref="AE25" si="230">S25</f>
        <v>0</v>
      </c>
      <c r="AF25" s="36">
        <f t="shared" ref="AF25" si="231">T25</f>
        <v>0</v>
      </c>
      <c r="AG25" s="36">
        <f t="shared" ref="AG25" si="232">U25</f>
        <v>0</v>
      </c>
      <c r="AH25" s="36">
        <f t="shared" ref="AH25" si="233">V25</f>
        <v>0</v>
      </c>
      <c r="AI25" s="36">
        <f t="shared" ref="AI25" si="234">W25</f>
        <v>0</v>
      </c>
      <c r="AJ25" s="36">
        <f t="shared" ref="AJ25" si="235">X25</f>
        <v>0</v>
      </c>
      <c r="AK25" s="36">
        <f t="shared" ref="AK25" si="236">Y25</f>
        <v>0</v>
      </c>
      <c r="AL25" s="36">
        <f t="shared" ref="AL25" si="237">Z25</f>
        <v>0</v>
      </c>
      <c r="AM25" s="36">
        <f t="shared" ref="AM25" si="238">AA25</f>
        <v>6</v>
      </c>
      <c r="AN25" s="36">
        <f t="shared" ref="AN25" si="239">AB25</f>
        <v>0</v>
      </c>
      <c r="AO25" s="36">
        <f t="shared" ref="AO25" si="240">AC25</f>
        <v>0</v>
      </c>
      <c r="AP25" s="36">
        <f t="shared" ref="AP25" si="241">AD25</f>
        <v>0</v>
      </c>
      <c r="AQ25" s="36">
        <f t="shared" ref="AQ25" si="242">AE25</f>
        <v>0</v>
      </c>
      <c r="AR25" s="36">
        <f t="shared" ref="AR25" si="243">AF25</f>
        <v>0</v>
      </c>
      <c r="AS25" s="36">
        <f t="shared" ref="AS25" si="244">AG25</f>
        <v>0</v>
      </c>
      <c r="AT25" s="36">
        <f t="shared" ref="AT25" si="245">AH25</f>
        <v>0</v>
      </c>
      <c r="AU25" s="36">
        <f t="shared" ref="AU25" si="246">AI25</f>
        <v>0</v>
      </c>
      <c r="AV25" s="36">
        <f t="shared" ref="AV25" si="247">AJ25</f>
        <v>0</v>
      </c>
      <c r="AW25" s="36">
        <f t="shared" ref="AW25" si="248">AK25</f>
        <v>0</v>
      </c>
      <c r="AX25" s="36">
        <f t="shared" ref="AX25" si="249">AL25</f>
        <v>0</v>
      </c>
      <c r="AY25" s="36">
        <f t="shared" ref="AY25" si="250">AM25</f>
        <v>6</v>
      </c>
      <c r="AZ25" s="36">
        <f t="shared" ref="AZ25" si="251">AN25</f>
        <v>0</v>
      </c>
      <c r="BA25" s="36">
        <f t="shared" ref="BA25" si="252">AO25</f>
        <v>0</v>
      </c>
      <c r="BB25" s="36">
        <f t="shared" ref="BB25" si="253">AP25</f>
        <v>0</v>
      </c>
      <c r="BC25" s="36">
        <f t="shared" ref="BC25" si="254">AQ25</f>
        <v>0</v>
      </c>
      <c r="BD25" s="36">
        <f t="shared" ref="BD25" si="255">AR25</f>
        <v>0</v>
      </c>
      <c r="BE25" s="36">
        <f t="shared" ref="BE25" si="256">AS25</f>
        <v>0</v>
      </c>
      <c r="BF25" s="36">
        <f t="shared" ref="BF25" si="257">AT25</f>
        <v>0</v>
      </c>
      <c r="BG25" s="36">
        <f t="shared" ref="BG25" si="258">AU25</f>
        <v>0</v>
      </c>
      <c r="BH25" s="36">
        <f t="shared" ref="BH25" si="259">AV25</f>
        <v>0</v>
      </c>
      <c r="BI25" s="36">
        <f t="shared" ref="BI25" si="260">AW25</f>
        <v>0</v>
      </c>
      <c r="BJ25" s="36">
        <f t="shared" ref="BJ25" si="261">AX25</f>
        <v>0</v>
      </c>
      <c r="BK25" s="36">
        <f t="shared" ref="BK25" si="262">AY25</f>
        <v>6</v>
      </c>
      <c r="BL25" s="36">
        <f t="shared" ref="BL25" si="263">AZ25</f>
        <v>0</v>
      </c>
      <c r="BM25" s="36">
        <f t="shared" ref="BM25" si="264">BA25</f>
        <v>0</v>
      </c>
      <c r="BN25" s="36">
        <f t="shared" ref="BN25" si="265">BB25</f>
        <v>0</v>
      </c>
      <c r="BO25" s="36">
        <f t="shared" ref="BO25" si="266">BC25</f>
        <v>0</v>
      </c>
      <c r="BP25" s="36">
        <f t="shared" ref="BP25" si="267">BD25</f>
        <v>0</v>
      </c>
      <c r="BQ25" s="36">
        <f t="shared" ref="BQ25" si="268">BE25</f>
        <v>0</v>
      </c>
      <c r="BR25" s="36">
        <f t="shared" ref="BR25" si="269">BF25</f>
        <v>0</v>
      </c>
      <c r="BS25" s="36">
        <f t="shared" ref="BS25" si="270">BG25</f>
        <v>0</v>
      </c>
      <c r="BT25" s="36">
        <f t="shared" ref="BT25" si="271">BH25</f>
        <v>0</v>
      </c>
      <c r="BU25" s="36">
        <f t="shared" ref="BU25" si="272">BI25</f>
        <v>0</v>
      </c>
      <c r="BV25" s="36">
        <f t="shared" ref="BV25" si="273">BJ25</f>
        <v>0</v>
      </c>
      <c r="BW25" s="36">
        <f t="shared" ref="BW25" si="274">BK25</f>
        <v>6</v>
      </c>
      <c r="BX25" s="36">
        <f t="shared" ref="BX25" si="275">BL25</f>
        <v>0</v>
      </c>
      <c r="BY25" s="8"/>
      <c r="BZ25" s="72">
        <f t="shared" si="199"/>
        <v>6</v>
      </c>
      <c r="CA25" s="72">
        <f t="shared" si="200"/>
        <v>6</v>
      </c>
      <c r="CB25" s="97"/>
      <c r="CC25" s="72">
        <f t="shared" si="201"/>
        <v>0</v>
      </c>
      <c r="CD25" s="72">
        <f t="shared" si="201"/>
        <v>0</v>
      </c>
      <c r="CE25" s="72">
        <f t="shared" si="201"/>
        <v>0</v>
      </c>
      <c r="CF25" s="72">
        <f t="shared" si="201"/>
        <v>6</v>
      </c>
      <c r="CG25" s="72">
        <f t="shared" si="201"/>
        <v>6</v>
      </c>
      <c r="CH25" s="72">
        <f t="shared" si="201"/>
        <v>6</v>
      </c>
      <c r="CI25" s="72">
        <f t="shared" si="201"/>
        <v>6</v>
      </c>
      <c r="CJ25" s="72">
        <f t="shared" si="201"/>
        <v>6</v>
      </c>
      <c r="CL25" s="13"/>
      <c r="CM25" s="13"/>
    </row>
    <row r="26" spans="1:91" x14ac:dyDescent="0.3">
      <c r="A26" s="97" t="str">
        <f>'DCS Detail'!A26</f>
        <v xml:space="preserve">      1750.14 Scholastic Book Fair</v>
      </c>
      <c r="B26" s="106" t="str">
        <f>IF('DCS Detail'!$B26="","",'DCS Detail'!$B26)</f>
        <v>Other</v>
      </c>
      <c r="C26" s="106"/>
      <c r="D26" s="106"/>
      <c r="E26" s="18">
        <v>0</v>
      </c>
      <c r="F26" s="18">
        <v>0</v>
      </c>
      <c r="G26" s="18">
        <v>0</v>
      </c>
      <c r="H26" s="18">
        <v>0</v>
      </c>
      <c r="I26" s="18">
        <v>0</v>
      </c>
      <c r="J26" s="18">
        <v>0</v>
      </c>
      <c r="K26" s="18">
        <v>0</v>
      </c>
      <c r="L26" s="18">
        <v>0</v>
      </c>
      <c r="M26" s="18">
        <v>718</v>
      </c>
      <c r="N26" s="18">
        <v>0</v>
      </c>
      <c r="O26" s="18">
        <v>0</v>
      </c>
      <c r="P26" s="18">
        <v>0</v>
      </c>
      <c r="Q26" s="18">
        <v>0</v>
      </c>
      <c r="R26" s="18">
        <v>0</v>
      </c>
      <c r="S26" s="18">
        <v>212.9</v>
      </c>
      <c r="T26" s="18">
        <v>0</v>
      </c>
      <c r="U26" s="18">
        <v>0</v>
      </c>
      <c r="V26" s="18">
        <v>0</v>
      </c>
      <c r="W26" s="18">
        <v>0</v>
      </c>
      <c r="X26" s="18">
        <v>0</v>
      </c>
      <c r="Y26" s="18">
        <v>0</v>
      </c>
      <c r="Z26" s="18">
        <v>879.3</v>
      </c>
      <c r="AA26" s="146">
        <v>200</v>
      </c>
      <c r="AB26" s="36">
        <f t="shared" si="202"/>
        <v>0</v>
      </c>
      <c r="AC26" s="36">
        <f t="shared" si="203"/>
        <v>0</v>
      </c>
      <c r="AD26" s="36">
        <f t="shared" si="204"/>
        <v>0</v>
      </c>
      <c r="AE26" s="36">
        <f t="shared" si="205"/>
        <v>212.9</v>
      </c>
      <c r="AF26" s="36">
        <f t="shared" si="206"/>
        <v>0</v>
      </c>
      <c r="AG26" s="36">
        <f t="shared" si="207"/>
        <v>0</v>
      </c>
      <c r="AH26" s="36">
        <f t="shared" si="208"/>
        <v>0</v>
      </c>
      <c r="AI26" s="36">
        <f t="shared" si="209"/>
        <v>0</v>
      </c>
      <c r="AJ26" s="36">
        <f t="shared" si="210"/>
        <v>0</v>
      </c>
      <c r="AK26" s="36">
        <f t="shared" si="211"/>
        <v>0</v>
      </c>
      <c r="AL26" s="36">
        <f t="shared" si="212"/>
        <v>879.3</v>
      </c>
      <c r="AM26" s="36">
        <f t="shared" si="213"/>
        <v>200</v>
      </c>
      <c r="AN26" s="36">
        <f t="shared" si="214"/>
        <v>0</v>
      </c>
      <c r="AO26" s="36">
        <f t="shared" si="215"/>
        <v>0</v>
      </c>
      <c r="AP26" s="36">
        <f t="shared" si="216"/>
        <v>0</v>
      </c>
      <c r="AQ26" s="36">
        <f t="shared" si="217"/>
        <v>212.9</v>
      </c>
      <c r="AR26" s="36">
        <f t="shared" si="218"/>
        <v>0</v>
      </c>
      <c r="AS26" s="36">
        <f t="shared" si="219"/>
        <v>0</v>
      </c>
      <c r="AT26" s="36">
        <f t="shared" si="220"/>
        <v>0</v>
      </c>
      <c r="AU26" s="36">
        <f t="shared" si="221"/>
        <v>0</v>
      </c>
      <c r="AV26" s="36">
        <f t="shared" si="222"/>
        <v>0</v>
      </c>
      <c r="AW26" s="36">
        <f t="shared" si="223"/>
        <v>0</v>
      </c>
      <c r="AX26" s="36">
        <f t="shared" si="224"/>
        <v>879.3</v>
      </c>
      <c r="AY26" s="36">
        <f t="shared" si="225"/>
        <v>200</v>
      </c>
      <c r="AZ26" s="36">
        <f t="shared" si="226"/>
        <v>0</v>
      </c>
      <c r="BA26" s="36">
        <f t="shared" si="175"/>
        <v>0</v>
      </c>
      <c r="BB26" s="36">
        <f t="shared" si="176"/>
        <v>0</v>
      </c>
      <c r="BC26" s="36">
        <f t="shared" si="177"/>
        <v>212.9</v>
      </c>
      <c r="BD26" s="36">
        <f t="shared" si="178"/>
        <v>0</v>
      </c>
      <c r="BE26" s="36">
        <f t="shared" si="179"/>
        <v>0</v>
      </c>
      <c r="BF26" s="36">
        <f t="shared" si="180"/>
        <v>0</v>
      </c>
      <c r="BG26" s="36">
        <f t="shared" si="181"/>
        <v>0</v>
      </c>
      <c r="BH26" s="36">
        <f t="shared" si="182"/>
        <v>0</v>
      </c>
      <c r="BI26" s="36">
        <f t="shared" si="183"/>
        <v>0</v>
      </c>
      <c r="BJ26" s="36">
        <f t="shared" si="184"/>
        <v>879.3</v>
      </c>
      <c r="BK26" s="36">
        <f t="shared" si="185"/>
        <v>200</v>
      </c>
      <c r="BL26" s="36">
        <f t="shared" si="186"/>
        <v>0</v>
      </c>
      <c r="BM26" s="36">
        <f t="shared" si="187"/>
        <v>0</v>
      </c>
      <c r="BN26" s="36">
        <f t="shared" si="188"/>
        <v>0</v>
      </c>
      <c r="BO26" s="36">
        <f t="shared" si="189"/>
        <v>212.9</v>
      </c>
      <c r="BP26" s="36">
        <f t="shared" si="190"/>
        <v>0</v>
      </c>
      <c r="BQ26" s="36">
        <f t="shared" si="191"/>
        <v>0</v>
      </c>
      <c r="BR26" s="36">
        <f t="shared" si="192"/>
        <v>0</v>
      </c>
      <c r="BS26" s="36">
        <f t="shared" si="193"/>
        <v>0</v>
      </c>
      <c r="BT26" s="36">
        <f t="shared" si="194"/>
        <v>0</v>
      </c>
      <c r="BU26" s="36">
        <f t="shared" si="195"/>
        <v>0</v>
      </c>
      <c r="BV26" s="36">
        <f t="shared" si="196"/>
        <v>879.3</v>
      </c>
      <c r="BW26" s="36">
        <f t="shared" si="197"/>
        <v>200</v>
      </c>
      <c r="BX26" s="36">
        <f t="shared" si="198"/>
        <v>0</v>
      </c>
      <c r="BY26" s="8"/>
      <c r="BZ26" s="72">
        <f t="shared" si="199"/>
        <v>200</v>
      </c>
      <c r="CA26" s="72">
        <f t="shared" si="200"/>
        <v>1292.2</v>
      </c>
      <c r="CB26" s="97"/>
      <c r="CC26" s="72">
        <f t="shared" si="201"/>
        <v>0</v>
      </c>
      <c r="CD26" s="72">
        <f t="shared" si="201"/>
        <v>0</v>
      </c>
      <c r="CE26" s="72">
        <f t="shared" si="201"/>
        <v>718</v>
      </c>
      <c r="CF26" s="72">
        <f t="shared" si="201"/>
        <v>1292.2</v>
      </c>
      <c r="CG26" s="72">
        <f t="shared" si="201"/>
        <v>1292.2</v>
      </c>
      <c r="CH26" s="72">
        <f t="shared" si="201"/>
        <v>1292.2</v>
      </c>
      <c r="CI26" s="72">
        <f t="shared" si="201"/>
        <v>1292.2</v>
      </c>
      <c r="CJ26" s="72">
        <f t="shared" si="201"/>
        <v>1292.2</v>
      </c>
      <c r="CL26" s="13"/>
      <c r="CM26" s="13"/>
    </row>
    <row r="27" spans="1:91" x14ac:dyDescent="0.3">
      <c r="A27" s="97" t="str">
        <f>'DCS Detail'!A27</f>
        <v xml:space="preserve">      1750.19 Fundraiser - Trunk or Treat</v>
      </c>
      <c r="B27" s="106" t="str">
        <f>IF('DCS Detail'!$B27="","",'DCS Detail'!$B27)</f>
        <v>Other</v>
      </c>
      <c r="C27" s="106"/>
      <c r="D27" s="106"/>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127.5</v>
      </c>
      <c r="X27" s="18">
        <v>0</v>
      </c>
      <c r="Y27" s="18">
        <v>0</v>
      </c>
      <c r="Z27" s="18">
        <v>0</v>
      </c>
      <c r="AA27" s="146">
        <v>0</v>
      </c>
      <c r="AB27" s="36">
        <f t="shared" si="202"/>
        <v>0</v>
      </c>
      <c r="AC27" s="36">
        <f t="shared" si="203"/>
        <v>0</v>
      </c>
      <c r="AD27" s="36">
        <f t="shared" si="204"/>
        <v>0</v>
      </c>
      <c r="AE27" s="36">
        <f t="shared" si="205"/>
        <v>0</v>
      </c>
      <c r="AF27" s="36">
        <f t="shared" si="206"/>
        <v>0</v>
      </c>
      <c r="AG27" s="36">
        <f t="shared" si="207"/>
        <v>0</v>
      </c>
      <c r="AH27" s="36">
        <f t="shared" si="208"/>
        <v>0</v>
      </c>
      <c r="AI27" s="36">
        <f t="shared" si="209"/>
        <v>127.5</v>
      </c>
      <c r="AJ27" s="36">
        <f t="shared" si="210"/>
        <v>0</v>
      </c>
      <c r="AK27" s="36">
        <f t="shared" si="211"/>
        <v>0</v>
      </c>
      <c r="AL27" s="36">
        <f t="shared" si="212"/>
        <v>0</v>
      </c>
      <c r="AM27" s="36">
        <f t="shared" si="213"/>
        <v>0</v>
      </c>
      <c r="AN27" s="36">
        <f t="shared" si="214"/>
        <v>0</v>
      </c>
      <c r="AO27" s="36">
        <f t="shared" si="215"/>
        <v>0</v>
      </c>
      <c r="AP27" s="36">
        <f t="shared" si="216"/>
        <v>0</v>
      </c>
      <c r="AQ27" s="36">
        <f t="shared" si="217"/>
        <v>0</v>
      </c>
      <c r="AR27" s="36">
        <f t="shared" si="218"/>
        <v>0</v>
      </c>
      <c r="AS27" s="36">
        <f t="shared" si="219"/>
        <v>0</v>
      </c>
      <c r="AT27" s="36">
        <f t="shared" si="220"/>
        <v>0</v>
      </c>
      <c r="AU27" s="36">
        <f t="shared" si="221"/>
        <v>127.5</v>
      </c>
      <c r="AV27" s="36">
        <f t="shared" si="222"/>
        <v>0</v>
      </c>
      <c r="AW27" s="36">
        <f t="shared" si="223"/>
        <v>0</v>
      </c>
      <c r="AX27" s="36">
        <f t="shared" si="224"/>
        <v>0</v>
      </c>
      <c r="AY27" s="36">
        <f t="shared" si="225"/>
        <v>0</v>
      </c>
      <c r="AZ27" s="36">
        <f t="shared" si="226"/>
        <v>0</v>
      </c>
      <c r="BA27" s="36">
        <f t="shared" si="175"/>
        <v>0</v>
      </c>
      <c r="BB27" s="36">
        <f t="shared" si="176"/>
        <v>0</v>
      </c>
      <c r="BC27" s="36">
        <f t="shared" si="177"/>
        <v>0</v>
      </c>
      <c r="BD27" s="36">
        <f t="shared" si="178"/>
        <v>0</v>
      </c>
      <c r="BE27" s="36">
        <f t="shared" si="179"/>
        <v>0</v>
      </c>
      <c r="BF27" s="36">
        <f t="shared" si="180"/>
        <v>0</v>
      </c>
      <c r="BG27" s="36">
        <f t="shared" si="181"/>
        <v>127.5</v>
      </c>
      <c r="BH27" s="36">
        <f t="shared" si="182"/>
        <v>0</v>
      </c>
      <c r="BI27" s="36">
        <f t="shared" si="183"/>
        <v>0</v>
      </c>
      <c r="BJ27" s="36">
        <f t="shared" si="184"/>
        <v>0</v>
      </c>
      <c r="BK27" s="36">
        <f t="shared" si="185"/>
        <v>0</v>
      </c>
      <c r="BL27" s="36">
        <f t="shared" si="186"/>
        <v>0</v>
      </c>
      <c r="BM27" s="36">
        <f t="shared" si="187"/>
        <v>0</v>
      </c>
      <c r="BN27" s="36">
        <f t="shared" si="188"/>
        <v>0</v>
      </c>
      <c r="BO27" s="36">
        <f t="shared" si="189"/>
        <v>0</v>
      </c>
      <c r="BP27" s="36">
        <f t="shared" si="190"/>
        <v>0</v>
      </c>
      <c r="BQ27" s="36">
        <f t="shared" si="191"/>
        <v>0</v>
      </c>
      <c r="BR27" s="36">
        <f t="shared" si="192"/>
        <v>0</v>
      </c>
      <c r="BS27" s="36">
        <f t="shared" si="193"/>
        <v>127.5</v>
      </c>
      <c r="BT27" s="36">
        <f t="shared" si="194"/>
        <v>0</v>
      </c>
      <c r="BU27" s="36">
        <f t="shared" si="195"/>
        <v>0</v>
      </c>
      <c r="BV27" s="36">
        <f t="shared" si="196"/>
        <v>0</v>
      </c>
      <c r="BW27" s="36">
        <f t="shared" si="197"/>
        <v>0</v>
      </c>
      <c r="BX27" s="36">
        <f t="shared" si="198"/>
        <v>0</v>
      </c>
      <c r="BY27" s="8"/>
      <c r="BZ27" s="72">
        <f t="shared" si="199"/>
        <v>0</v>
      </c>
      <c r="CA27" s="72">
        <f t="shared" si="200"/>
        <v>127.5</v>
      </c>
      <c r="CB27" s="97"/>
      <c r="CC27" s="72">
        <f t="shared" si="201"/>
        <v>0</v>
      </c>
      <c r="CD27" s="72">
        <f t="shared" si="201"/>
        <v>0</v>
      </c>
      <c r="CE27" s="72">
        <f t="shared" si="201"/>
        <v>0</v>
      </c>
      <c r="CF27" s="72">
        <f t="shared" si="201"/>
        <v>127.5</v>
      </c>
      <c r="CG27" s="72">
        <f t="shared" si="201"/>
        <v>127.5</v>
      </c>
      <c r="CH27" s="72">
        <f t="shared" si="201"/>
        <v>127.5</v>
      </c>
      <c r="CI27" s="72">
        <f t="shared" si="201"/>
        <v>127.5</v>
      </c>
      <c r="CJ27" s="72">
        <f t="shared" si="201"/>
        <v>127.5</v>
      </c>
      <c r="CL27" s="13"/>
      <c r="CM27" s="13"/>
    </row>
    <row r="28" spans="1:91" x14ac:dyDescent="0.3">
      <c r="A28" s="97" t="str">
        <f>'DCS Detail'!A28</f>
        <v xml:space="preserve">      1750.20 Student Store</v>
      </c>
      <c r="B28" s="106" t="str">
        <f>IF('DCS Detail'!$B28="","",'DCS Detail'!$B28)</f>
        <v>Other</v>
      </c>
      <c r="C28" s="106"/>
      <c r="D28" s="106"/>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46">
        <v>0</v>
      </c>
      <c r="AB28" s="36">
        <f t="shared" ref="AB28" si="276">P28</f>
        <v>0</v>
      </c>
      <c r="AC28" s="36">
        <f t="shared" ref="AC28" si="277">Q28</f>
        <v>0</v>
      </c>
      <c r="AD28" s="36">
        <f t="shared" ref="AD28" si="278">R28</f>
        <v>0</v>
      </c>
      <c r="AE28" s="36">
        <f t="shared" ref="AE28" si="279">S28</f>
        <v>0</v>
      </c>
      <c r="AF28" s="36">
        <f t="shared" ref="AF28" si="280">T28</f>
        <v>0</v>
      </c>
      <c r="AG28" s="36">
        <f t="shared" ref="AG28" si="281">U28</f>
        <v>0</v>
      </c>
      <c r="AH28" s="36">
        <f t="shared" ref="AH28" si="282">V28</f>
        <v>0</v>
      </c>
      <c r="AI28" s="36">
        <f t="shared" ref="AI28" si="283">W28</f>
        <v>0</v>
      </c>
      <c r="AJ28" s="36">
        <f t="shared" ref="AJ28" si="284">X28</f>
        <v>0</v>
      </c>
      <c r="AK28" s="36">
        <f t="shared" ref="AK28" si="285">Y28</f>
        <v>0</v>
      </c>
      <c r="AL28" s="36">
        <f t="shared" ref="AL28" si="286">Z28</f>
        <v>0</v>
      </c>
      <c r="AM28" s="36">
        <f t="shared" ref="AM28" si="287">AA28</f>
        <v>0</v>
      </c>
      <c r="AN28" s="36">
        <f t="shared" ref="AN28" si="288">AB28</f>
        <v>0</v>
      </c>
      <c r="AO28" s="36">
        <f t="shared" ref="AO28" si="289">AC28</f>
        <v>0</v>
      </c>
      <c r="AP28" s="36">
        <f t="shared" ref="AP28" si="290">AD28</f>
        <v>0</v>
      </c>
      <c r="AQ28" s="36">
        <f t="shared" ref="AQ28" si="291">AE28</f>
        <v>0</v>
      </c>
      <c r="AR28" s="36">
        <f t="shared" ref="AR28" si="292">AF28</f>
        <v>0</v>
      </c>
      <c r="AS28" s="36">
        <f t="shared" ref="AS28" si="293">AG28</f>
        <v>0</v>
      </c>
      <c r="AT28" s="36">
        <f t="shared" ref="AT28" si="294">AH28</f>
        <v>0</v>
      </c>
      <c r="AU28" s="36">
        <f t="shared" ref="AU28" si="295">AI28</f>
        <v>0</v>
      </c>
      <c r="AV28" s="36">
        <f t="shared" ref="AV28" si="296">AJ28</f>
        <v>0</v>
      </c>
      <c r="AW28" s="36">
        <f t="shared" ref="AW28" si="297">AK28</f>
        <v>0</v>
      </c>
      <c r="AX28" s="36">
        <f t="shared" ref="AX28" si="298">AL28</f>
        <v>0</v>
      </c>
      <c r="AY28" s="36">
        <f t="shared" ref="AY28" si="299">AM28</f>
        <v>0</v>
      </c>
      <c r="AZ28" s="36">
        <f t="shared" ref="AZ28" si="300">AN28</f>
        <v>0</v>
      </c>
      <c r="BA28" s="36">
        <f t="shared" ref="BA28" si="301">AO28</f>
        <v>0</v>
      </c>
      <c r="BB28" s="36">
        <f t="shared" ref="BB28" si="302">AP28</f>
        <v>0</v>
      </c>
      <c r="BC28" s="36">
        <f t="shared" ref="BC28" si="303">AQ28</f>
        <v>0</v>
      </c>
      <c r="BD28" s="36">
        <f t="shared" ref="BD28" si="304">AR28</f>
        <v>0</v>
      </c>
      <c r="BE28" s="36">
        <f t="shared" ref="BE28" si="305">AS28</f>
        <v>0</v>
      </c>
      <c r="BF28" s="36">
        <f t="shared" ref="BF28" si="306">AT28</f>
        <v>0</v>
      </c>
      <c r="BG28" s="36">
        <f t="shared" ref="BG28" si="307">AU28</f>
        <v>0</v>
      </c>
      <c r="BH28" s="36">
        <f t="shared" ref="BH28" si="308">AV28</f>
        <v>0</v>
      </c>
      <c r="BI28" s="36">
        <f t="shared" ref="BI28" si="309">AW28</f>
        <v>0</v>
      </c>
      <c r="BJ28" s="36">
        <f t="shared" ref="BJ28" si="310">AX28</f>
        <v>0</v>
      </c>
      <c r="BK28" s="36">
        <f t="shared" ref="BK28" si="311">AY28</f>
        <v>0</v>
      </c>
      <c r="BL28" s="36">
        <f t="shared" ref="BL28" si="312">AZ28</f>
        <v>0</v>
      </c>
      <c r="BM28" s="36">
        <f t="shared" ref="BM28" si="313">BA28</f>
        <v>0</v>
      </c>
      <c r="BN28" s="36">
        <f t="shared" ref="BN28" si="314">BB28</f>
        <v>0</v>
      </c>
      <c r="BO28" s="36">
        <f t="shared" ref="BO28" si="315">BC28</f>
        <v>0</v>
      </c>
      <c r="BP28" s="36">
        <f t="shared" ref="BP28" si="316">BD28</f>
        <v>0</v>
      </c>
      <c r="BQ28" s="36">
        <f t="shared" ref="BQ28" si="317">BE28</f>
        <v>0</v>
      </c>
      <c r="BR28" s="36">
        <f t="shared" ref="BR28" si="318">BF28</f>
        <v>0</v>
      </c>
      <c r="BS28" s="36">
        <f t="shared" ref="BS28" si="319">BG28</f>
        <v>0</v>
      </c>
      <c r="BT28" s="36">
        <f t="shared" ref="BT28" si="320">BH28</f>
        <v>0</v>
      </c>
      <c r="BU28" s="36">
        <f t="shared" ref="BU28" si="321">BI28</f>
        <v>0</v>
      </c>
      <c r="BV28" s="36">
        <f t="shared" ref="BV28" si="322">BJ28</f>
        <v>0</v>
      </c>
      <c r="BW28" s="36">
        <f t="shared" ref="BW28" si="323">BK28</f>
        <v>0</v>
      </c>
      <c r="BX28" s="36">
        <f t="shared" ref="BX28" si="324">BL28</f>
        <v>0</v>
      </c>
      <c r="BY28" s="8"/>
      <c r="BZ28" s="72">
        <f t="shared" si="199"/>
        <v>0</v>
      </c>
      <c r="CA28" s="72">
        <f t="shared" si="200"/>
        <v>0</v>
      </c>
      <c r="CB28" s="97"/>
      <c r="CC28" s="72">
        <f t="shared" si="201"/>
        <v>0</v>
      </c>
      <c r="CD28" s="72">
        <f t="shared" si="201"/>
        <v>0</v>
      </c>
      <c r="CE28" s="72">
        <f t="shared" si="201"/>
        <v>0</v>
      </c>
      <c r="CF28" s="72">
        <f t="shared" si="201"/>
        <v>0</v>
      </c>
      <c r="CG28" s="72">
        <f t="shared" si="201"/>
        <v>0</v>
      </c>
      <c r="CH28" s="72">
        <f t="shared" si="201"/>
        <v>0</v>
      </c>
      <c r="CI28" s="72">
        <f t="shared" si="201"/>
        <v>0</v>
      </c>
      <c r="CJ28" s="72">
        <f t="shared" si="201"/>
        <v>0</v>
      </c>
      <c r="CL28" s="13"/>
      <c r="CM28" s="13"/>
    </row>
    <row r="29" spans="1:91" x14ac:dyDescent="0.3">
      <c r="A29" s="97" t="str">
        <f>'DCS Detail'!A29</f>
        <v xml:space="preserve">      1750.30 Farmers Market</v>
      </c>
      <c r="B29" s="106" t="str">
        <f>IF('DCS Detail'!$B29="","",'DCS Detail'!$B29)</f>
        <v>Other</v>
      </c>
      <c r="C29" s="106"/>
      <c r="D29" s="106"/>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46">
        <v>0</v>
      </c>
      <c r="AB29" s="36">
        <f t="shared" ref="AB29" si="325">P29</f>
        <v>0</v>
      </c>
      <c r="AC29" s="36">
        <f t="shared" ref="AC29" si="326">Q29</f>
        <v>0</v>
      </c>
      <c r="AD29" s="36">
        <f t="shared" ref="AD29" si="327">R29</f>
        <v>0</v>
      </c>
      <c r="AE29" s="36">
        <f t="shared" ref="AE29" si="328">S29</f>
        <v>0</v>
      </c>
      <c r="AF29" s="36">
        <f t="shared" ref="AF29" si="329">T29</f>
        <v>0</v>
      </c>
      <c r="AG29" s="36">
        <f t="shared" ref="AG29" si="330">U29</f>
        <v>0</v>
      </c>
      <c r="AH29" s="36">
        <f t="shared" ref="AH29" si="331">V29</f>
        <v>0</v>
      </c>
      <c r="AI29" s="36">
        <f t="shared" ref="AI29" si="332">W29</f>
        <v>0</v>
      </c>
      <c r="AJ29" s="36">
        <f t="shared" ref="AJ29" si="333">X29</f>
        <v>0</v>
      </c>
      <c r="AK29" s="36">
        <f t="shared" ref="AK29" si="334">Y29</f>
        <v>0</v>
      </c>
      <c r="AL29" s="36">
        <f t="shared" ref="AL29" si="335">Z29</f>
        <v>0</v>
      </c>
      <c r="AM29" s="36">
        <f t="shared" ref="AM29" si="336">AA29</f>
        <v>0</v>
      </c>
      <c r="AN29" s="36">
        <f t="shared" ref="AN29" si="337">AB29</f>
        <v>0</v>
      </c>
      <c r="AO29" s="36">
        <f t="shared" ref="AO29" si="338">AC29</f>
        <v>0</v>
      </c>
      <c r="AP29" s="36">
        <f t="shared" ref="AP29" si="339">AD29</f>
        <v>0</v>
      </c>
      <c r="AQ29" s="36">
        <f t="shared" ref="AQ29" si="340">AE29</f>
        <v>0</v>
      </c>
      <c r="AR29" s="36">
        <f t="shared" ref="AR29" si="341">AF29</f>
        <v>0</v>
      </c>
      <c r="AS29" s="36">
        <f t="shared" ref="AS29" si="342">AG29</f>
        <v>0</v>
      </c>
      <c r="AT29" s="36">
        <f t="shared" ref="AT29" si="343">AH29</f>
        <v>0</v>
      </c>
      <c r="AU29" s="36">
        <f t="shared" ref="AU29" si="344">AI29</f>
        <v>0</v>
      </c>
      <c r="AV29" s="36">
        <f t="shared" ref="AV29" si="345">AJ29</f>
        <v>0</v>
      </c>
      <c r="AW29" s="36">
        <f t="shared" ref="AW29" si="346">AK29</f>
        <v>0</v>
      </c>
      <c r="AX29" s="36">
        <f t="shared" ref="AX29" si="347">AL29</f>
        <v>0</v>
      </c>
      <c r="AY29" s="36">
        <f t="shared" ref="AY29" si="348">AM29</f>
        <v>0</v>
      </c>
      <c r="AZ29" s="36">
        <f t="shared" ref="AZ29" si="349">AN29</f>
        <v>0</v>
      </c>
      <c r="BA29" s="36">
        <f t="shared" ref="BA29" si="350">AO29</f>
        <v>0</v>
      </c>
      <c r="BB29" s="36">
        <f t="shared" ref="BB29" si="351">AP29</f>
        <v>0</v>
      </c>
      <c r="BC29" s="36">
        <f t="shared" ref="BC29" si="352">AQ29</f>
        <v>0</v>
      </c>
      <c r="BD29" s="36">
        <f t="shared" ref="BD29" si="353">AR29</f>
        <v>0</v>
      </c>
      <c r="BE29" s="36">
        <f t="shared" ref="BE29" si="354">AS29</f>
        <v>0</v>
      </c>
      <c r="BF29" s="36">
        <f t="shared" ref="BF29" si="355">AT29</f>
        <v>0</v>
      </c>
      <c r="BG29" s="36">
        <f t="shared" ref="BG29" si="356">AU29</f>
        <v>0</v>
      </c>
      <c r="BH29" s="36">
        <f t="shared" ref="BH29" si="357">AV29</f>
        <v>0</v>
      </c>
      <c r="BI29" s="36">
        <f t="shared" ref="BI29" si="358">AW29</f>
        <v>0</v>
      </c>
      <c r="BJ29" s="36">
        <f t="shared" ref="BJ29" si="359">AX29</f>
        <v>0</v>
      </c>
      <c r="BK29" s="36">
        <f t="shared" ref="BK29" si="360">AY29</f>
        <v>0</v>
      </c>
      <c r="BL29" s="36">
        <f t="shared" ref="BL29" si="361">AZ29</f>
        <v>0</v>
      </c>
      <c r="BM29" s="36">
        <f t="shared" ref="BM29" si="362">BA29</f>
        <v>0</v>
      </c>
      <c r="BN29" s="36">
        <f t="shared" ref="BN29" si="363">BB29</f>
        <v>0</v>
      </c>
      <c r="BO29" s="36">
        <f t="shared" ref="BO29" si="364">BC29</f>
        <v>0</v>
      </c>
      <c r="BP29" s="36">
        <f t="shared" ref="BP29" si="365">BD29</f>
        <v>0</v>
      </c>
      <c r="BQ29" s="36">
        <f t="shared" ref="BQ29" si="366">BE29</f>
        <v>0</v>
      </c>
      <c r="BR29" s="36">
        <f t="shared" ref="BR29" si="367">BF29</f>
        <v>0</v>
      </c>
      <c r="BS29" s="36">
        <f t="shared" ref="BS29" si="368">BG29</f>
        <v>0</v>
      </c>
      <c r="BT29" s="36">
        <f t="shared" ref="BT29" si="369">BH29</f>
        <v>0</v>
      </c>
      <c r="BU29" s="36">
        <f t="shared" ref="BU29" si="370">BI29</f>
        <v>0</v>
      </c>
      <c r="BV29" s="36">
        <f t="shared" ref="BV29" si="371">BJ29</f>
        <v>0</v>
      </c>
      <c r="BW29" s="36">
        <f t="shared" ref="BW29" si="372">BK29</f>
        <v>0</v>
      </c>
      <c r="BX29" s="36">
        <f t="shared" ref="BX29" si="373">BL29</f>
        <v>0</v>
      </c>
      <c r="BY29" s="8"/>
      <c r="BZ29" s="72">
        <f t="shared" si="199"/>
        <v>0</v>
      </c>
      <c r="CA29" s="72">
        <f t="shared" si="200"/>
        <v>0</v>
      </c>
      <c r="CB29" s="97"/>
      <c r="CC29" s="72">
        <f t="shared" si="201"/>
        <v>0</v>
      </c>
      <c r="CD29" s="72">
        <f t="shared" si="201"/>
        <v>0</v>
      </c>
      <c r="CE29" s="72">
        <f t="shared" si="201"/>
        <v>0</v>
      </c>
      <c r="CF29" s="72">
        <f t="shared" si="201"/>
        <v>0</v>
      </c>
      <c r="CG29" s="72">
        <f t="shared" si="201"/>
        <v>0</v>
      </c>
      <c r="CH29" s="72">
        <f t="shared" si="201"/>
        <v>0</v>
      </c>
      <c r="CI29" s="72">
        <f t="shared" si="201"/>
        <v>0</v>
      </c>
      <c r="CJ29" s="72">
        <f t="shared" si="201"/>
        <v>0</v>
      </c>
      <c r="CL29" s="13"/>
      <c r="CM29" s="13"/>
    </row>
    <row r="30" spans="1:91" x14ac:dyDescent="0.3">
      <c r="A30" s="97" t="str">
        <f>'DCS Detail'!A30</f>
        <v xml:space="preserve">      1920.3 Field Trip Income</v>
      </c>
      <c r="B30" s="106" t="str">
        <f>IF('DCS Detail'!$B30="","",'DCS Detail'!$B30)</f>
        <v>Other</v>
      </c>
      <c r="C30" s="106">
        <v>0</v>
      </c>
      <c r="D30" s="106">
        <v>0</v>
      </c>
      <c r="E30" s="18">
        <v>0</v>
      </c>
      <c r="F30" s="18">
        <v>0</v>
      </c>
      <c r="G30" s="18">
        <v>0</v>
      </c>
      <c r="H30" s="18">
        <v>0</v>
      </c>
      <c r="I30" s="18">
        <v>0</v>
      </c>
      <c r="J30" s="18">
        <v>0</v>
      </c>
      <c r="K30" s="18">
        <v>0</v>
      </c>
      <c r="L30" s="18">
        <v>0</v>
      </c>
      <c r="M30" s="18">
        <v>0</v>
      </c>
      <c r="N30" s="18">
        <v>0</v>
      </c>
      <c r="O30" s="18">
        <v>0</v>
      </c>
      <c r="P30" s="18">
        <v>0</v>
      </c>
      <c r="Q30" s="18">
        <v>0</v>
      </c>
      <c r="R30" s="18">
        <v>0</v>
      </c>
      <c r="S30" s="18">
        <v>0</v>
      </c>
      <c r="T30" s="18">
        <v>375.1</v>
      </c>
      <c r="U30" s="18">
        <v>0</v>
      </c>
      <c r="V30" s="18">
        <v>0</v>
      </c>
      <c r="W30" s="18">
        <v>0</v>
      </c>
      <c r="X30" s="18">
        <v>0</v>
      </c>
      <c r="Y30" s="18">
        <v>0</v>
      </c>
      <c r="Z30" s="18">
        <v>0</v>
      </c>
      <c r="AA30" s="146">
        <v>153</v>
      </c>
      <c r="AB30" s="36">
        <f t="shared" si="202"/>
        <v>0</v>
      </c>
      <c r="AC30" s="36">
        <f t="shared" si="203"/>
        <v>0</v>
      </c>
      <c r="AD30" s="36">
        <f t="shared" si="204"/>
        <v>0</v>
      </c>
      <c r="AE30" s="36">
        <f t="shared" si="205"/>
        <v>0</v>
      </c>
      <c r="AF30" s="36">
        <f t="shared" si="206"/>
        <v>375.1</v>
      </c>
      <c r="AG30" s="36">
        <f t="shared" si="207"/>
        <v>0</v>
      </c>
      <c r="AH30" s="36">
        <f t="shared" si="208"/>
        <v>0</v>
      </c>
      <c r="AI30" s="36">
        <f t="shared" si="209"/>
        <v>0</v>
      </c>
      <c r="AJ30" s="36">
        <f t="shared" si="210"/>
        <v>0</v>
      </c>
      <c r="AK30" s="36">
        <f t="shared" si="211"/>
        <v>0</v>
      </c>
      <c r="AL30" s="36">
        <f t="shared" si="212"/>
        <v>0</v>
      </c>
      <c r="AM30" s="36">
        <f t="shared" si="213"/>
        <v>153</v>
      </c>
      <c r="AN30" s="36">
        <f t="shared" si="214"/>
        <v>0</v>
      </c>
      <c r="AO30" s="36">
        <f t="shared" si="215"/>
        <v>0</v>
      </c>
      <c r="AP30" s="36">
        <f t="shared" si="216"/>
        <v>0</v>
      </c>
      <c r="AQ30" s="36">
        <f t="shared" si="217"/>
        <v>0</v>
      </c>
      <c r="AR30" s="36">
        <f t="shared" si="218"/>
        <v>375.1</v>
      </c>
      <c r="AS30" s="36">
        <f t="shared" si="219"/>
        <v>0</v>
      </c>
      <c r="AT30" s="36">
        <f t="shared" si="220"/>
        <v>0</v>
      </c>
      <c r="AU30" s="36">
        <f t="shared" si="221"/>
        <v>0</v>
      </c>
      <c r="AV30" s="36">
        <f t="shared" si="222"/>
        <v>0</v>
      </c>
      <c r="AW30" s="36">
        <f t="shared" si="223"/>
        <v>0</v>
      </c>
      <c r="AX30" s="36">
        <f t="shared" si="224"/>
        <v>0</v>
      </c>
      <c r="AY30" s="36">
        <f t="shared" si="225"/>
        <v>153</v>
      </c>
      <c r="AZ30" s="36">
        <f t="shared" si="226"/>
        <v>0</v>
      </c>
      <c r="BA30" s="36">
        <f t="shared" si="175"/>
        <v>0</v>
      </c>
      <c r="BB30" s="36">
        <f t="shared" si="176"/>
        <v>0</v>
      </c>
      <c r="BC30" s="36">
        <f t="shared" si="177"/>
        <v>0</v>
      </c>
      <c r="BD30" s="36">
        <f t="shared" si="178"/>
        <v>375.1</v>
      </c>
      <c r="BE30" s="36">
        <f t="shared" si="179"/>
        <v>0</v>
      </c>
      <c r="BF30" s="36">
        <f t="shared" si="180"/>
        <v>0</v>
      </c>
      <c r="BG30" s="36">
        <f t="shared" si="181"/>
        <v>0</v>
      </c>
      <c r="BH30" s="36">
        <f t="shared" si="182"/>
        <v>0</v>
      </c>
      <c r="BI30" s="36">
        <f t="shared" si="183"/>
        <v>0</v>
      </c>
      <c r="BJ30" s="36">
        <f t="shared" si="184"/>
        <v>0</v>
      </c>
      <c r="BK30" s="36">
        <f t="shared" si="185"/>
        <v>153</v>
      </c>
      <c r="BL30" s="36">
        <f t="shared" si="186"/>
        <v>0</v>
      </c>
      <c r="BM30" s="36">
        <f t="shared" si="187"/>
        <v>0</v>
      </c>
      <c r="BN30" s="36">
        <f t="shared" si="188"/>
        <v>0</v>
      </c>
      <c r="BO30" s="36">
        <f t="shared" si="189"/>
        <v>0</v>
      </c>
      <c r="BP30" s="36">
        <f t="shared" si="190"/>
        <v>375.1</v>
      </c>
      <c r="BQ30" s="36">
        <f t="shared" si="191"/>
        <v>0</v>
      </c>
      <c r="BR30" s="36">
        <f t="shared" si="192"/>
        <v>0</v>
      </c>
      <c r="BS30" s="36">
        <f t="shared" si="193"/>
        <v>0</v>
      </c>
      <c r="BT30" s="36">
        <f t="shared" si="194"/>
        <v>0</v>
      </c>
      <c r="BU30" s="36">
        <f t="shared" si="195"/>
        <v>0</v>
      </c>
      <c r="BV30" s="36">
        <f t="shared" si="196"/>
        <v>0</v>
      </c>
      <c r="BW30" s="36">
        <f t="shared" si="197"/>
        <v>153</v>
      </c>
      <c r="BX30" s="36">
        <f t="shared" si="198"/>
        <v>0</v>
      </c>
      <c r="BY30" s="8"/>
      <c r="BZ30" s="72">
        <f t="shared" si="199"/>
        <v>153</v>
      </c>
      <c r="CA30" s="72">
        <f t="shared" si="200"/>
        <v>528.1</v>
      </c>
      <c r="CB30" s="97"/>
      <c r="CC30" s="72">
        <f t="shared" si="201"/>
        <v>0</v>
      </c>
      <c r="CD30" s="72">
        <f t="shared" si="201"/>
        <v>0</v>
      </c>
      <c r="CE30" s="72">
        <f t="shared" si="201"/>
        <v>0</v>
      </c>
      <c r="CF30" s="72">
        <f t="shared" si="201"/>
        <v>528.1</v>
      </c>
      <c r="CG30" s="72">
        <f t="shared" si="201"/>
        <v>528.1</v>
      </c>
      <c r="CH30" s="72">
        <f t="shared" si="201"/>
        <v>528.1</v>
      </c>
      <c r="CI30" s="72">
        <f t="shared" si="201"/>
        <v>528.1</v>
      </c>
      <c r="CJ30" s="72">
        <f t="shared" si="201"/>
        <v>528.1</v>
      </c>
      <c r="CL30" s="13"/>
      <c r="CM30" s="13"/>
    </row>
    <row r="31" spans="1:91" x14ac:dyDescent="0.3">
      <c r="A31" s="97" t="str">
        <f>'DCS Detail'!A31</f>
        <v xml:space="preserve">      1920.4 Music Program Income</v>
      </c>
      <c r="B31" s="106" t="str">
        <f>IF('DCS Detail'!$B31="","",'DCS Detail'!$B31)</f>
        <v>Other</v>
      </c>
      <c r="C31" s="139"/>
      <c r="D31" s="139"/>
      <c r="E31" s="121">
        <v>0</v>
      </c>
      <c r="F31" s="121">
        <v>3.52</v>
      </c>
      <c r="G31" s="121">
        <v>0</v>
      </c>
      <c r="H31" s="121">
        <v>0</v>
      </c>
      <c r="I31" s="121">
        <v>0</v>
      </c>
      <c r="J31" s="121">
        <v>0</v>
      </c>
      <c r="K31" s="121">
        <v>0</v>
      </c>
      <c r="L31" s="121">
        <v>0</v>
      </c>
      <c r="M31" s="121">
        <v>0</v>
      </c>
      <c r="N31" s="121">
        <v>0</v>
      </c>
      <c r="O31" s="121">
        <v>0</v>
      </c>
      <c r="P31" s="121">
        <v>0</v>
      </c>
      <c r="Q31" s="121">
        <v>0</v>
      </c>
      <c r="R31" s="121">
        <v>0</v>
      </c>
      <c r="S31" s="121">
        <v>0</v>
      </c>
      <c r="T31" s="121">
        <v>0</v>
      </c>
      <c r="U31" s="121">
        <v>0</v>
      </c>
      <c r="V31" s="121">
        <v>0</v>
      </c>
      <c r="W31" s="121">
        <v>0</v>
      </c>
      <c r="X31" s="121">
        <v>0</v>
      </c>
      <c r="Y31" s="121">
        <v>0</v>
      </c>
      <c r="Z31" s="121">
        <v>0</v>
      </c>
      <c r="AA31" s="121">
        <v>0</v>
      </c>
      <c r="AB31" s="137">
        <f t="shared" si="202"/>
        <v>0</v>
      </c>
      <c r="AC31" s="137">
        <f t="shared" si="203"/>
        <v>0</v>
      </c>
      <c r="AD31" s="137">
        <f t="shared" si="204"/>
        <v>0</v>
      </c>
      <c r="AE31" s="137">
        <f t="shared" si="205"/>
        <v>0</v>
      </c>
      <c r="AF31" s="137">
        <f t="shared" si="206"/>
        <v>0</v>
      </c>
      <c r="AG31" s="137">
        <f t="shared" si="207"/>
        <v>0</v>
      </c>
      <c r="AH31" s="137">
        <f t="shared" si="208"/>
        <v>0</v>
      </c>
      <c r="AI31" s="137">
        <f t="shared" si="209"/>
        <v>0</v>
      </c>
      <c r="AJ31" s="137">
        <f t="shared" si="210"/>
        <v>0</v>
      </c>
      <c r="AK31" s="137">
        <f t="shared" si="211"/>
        <v>0</v>
      </c>
      <c r="AL31" s="137">
        <f t="shared" si="212"/>
        <v>0</v>
      </c>
      <c r="AM31" s="137">
        <f t="shared" si="213"/>
        <v>0</v>
      </c>
      <c r="AN31" s="137">
        <f t="shared" si="214"/>
        <v>0</v>
      </c>
      <c r="AO31" s="137">
        <f t="shared" si="215"/>
        <v>0</v>
      </c>
      <c r="AP31" s="137">
        <f t="shared" si="216"/>
        <v>0</v>
      </c>
      <c r="AQ31" s="137">
        <f t="shared" si="217"/>
        <v>0</v>
      </c>
      <c r="AR31" s="137">
        <f t="shared" si="218"/>
        <v>0</v>
      </c>
      <c r="AS31" s="137">
        <f t="shared" si="219"/>
        <v>0</v>
      </c>
      <c r="AT31" s="137">
        <f t="shared" si="220"/>
        <v>0</v>
      </c>
      <c r="AU31" s="137">
        <f t="shared" si="221"/>
        <v>0</v>
      </c>
      <c r="AV31" s="137">
        <f t="shared" si="222"/>
        <v>0</v>
      </c>
      <c r="AW31" s="137">
        <f t="shared" si="223"/>
        <v>0</v>
      </c>
      <c r="AX31" s="137">
        <f t="shared" si="224"/>
        <v>0</v>
      </c>
      <c r="AY31" s="137">
        <f t="shared" si="225"/>
        <v>0</v>
      </c>
      <c r="AZ31" s="137">
        <f t="shared" si="226"/>
        <v>0</v>
      </c>
      <c r="BA31" s="137">
        <f t="shared" si="175"/>
        <v>0</v>
      </c>
      <c r="BB31" s="137">
        <f t="shared" si="176"/>
        <v>0</v>
      </c>
      <c r="BC31" s="137">
        <f t="shared" si="177"/>
        <v>0</v>
      </c>
      <c r="BD31" s="137">
        <f t="shared" si="178"/>
        <v>0</v>
      </c>
      <c r="BE31" s="137">
        <f t="shared" si="179"/>
        <v>0</v>
      </c>
      <c r="BF31" s="137">
        <f t="shared" si="180"/>
        <v>0</v>
      </c>
      <c r="BG31" s="137">
        <f t="shared" si="181"/>
        <v>0</v>
      </c>
      <c r="BH31" s="137">
        <f t="shared" si="182"/>
        <v>0</v>
      </c>
      <c r="BI31" s="137">
        <f t="shared" si="183"/>
        <v>0</v>
      </c>
      <c r="BJ31" s="137">
        <f t="shared" si="184"/>
        <v>0</v>
      </c>
      <c r="BK31" s="137">
        <f t="shared" si="185"/>
        <v>0</v>
      </c>
      <c r="BL31" s="137">
        <f t="shared" si="186"/>
        <v>0</v>
      </c>
      <c r="BM31" s="137">
        <f t="shared" si="187"/>
        <v>0</v>
      </c>
      <c r="BN31" s="137">
        <f t="shared" si="188"/>
        <v>0</v>
      </c>
      <c r="BO31" s="137">
        <f t="shared" si="189"/>
        <v>0</v>
      </c>
      <c r="BP31" s="137">
        <f t="shared" si="190"/>
        <v>0</v>
      </c>
      <c r="BQ31" s="137">
        <f t="shared" si="191"/>
        <v>0</v>
      </c>
      <c r="BR31" s="137">
        <f t="shared" si="192"/>
        <v>0</v>
      </c>
      <c r="BS31" s="137">
        <f t="shared" si="193"/>
        <v>0</v>
      </c>
      <c r="BT31" s="137">
        <f t="shared" si="194"/>
        <v>0</v>
      </c>
      <c r="BU31" s="137">
        <f t="shared" si="195"/>
        <v>0</v>
      </c>
      <c r="BV31" s="137">
        <f t="shared" si="196"/>
        <v>0</v>
      </c>
      <c r="BW31" s="137">
        <f t="shared" si="197"/>
        <v>0</v>
      </c>
      <c r="BX31" s="137">
        <f t="shared" si="198"/>
        <v>0</v>
      </c>
      <c r="BY31" s="8"/>
      <c r="BZ31" s="73">
        <f t="shared" si="199"/>
        <v>0</v>
      </c>
      <c r="CA31" s="73">
        <f t="shared" si="200"/>
        <v>0</v>
      </c>
      <c r="CB31" s="97"/>
      <c r="CC31" s="73">
        <f t="shared" si="201"/>
        <v>0</v>
      </c>
      <c r="CD31" s="73">
        <f t="shared" si="201"/>
        <v>0</v>
      </c>
      <c r="CE31" s="73">
        <f t="shared" si="201"/>
        <v>3.52</v>
      </c>
      <c r="CF31" s="73">
        <f t="shared" si="201"/>
        <v>0</v>
      </c>
      <c r="CG31" s="73">
        <f t="shared" si="201"/>
        <v>0</v>
      </c>
      <c r="CH31" s="73">
        <f t="shared" si="201"/>
        <v>0</v>
      </c>
      <c r="CI31" s="73">
        <f t="shared" si="201"/>
        <v>0</v>
      </c>
      <c r="CJ31" s="73">
        <f t="shared" si="201"/>
        <v>0</v>
      </c>
      <c r="CL31" s="13"/>
      <c r="CM31" s="13"/>
    </row>
    <row r="32" spans="1:91" x14ac:dyDescent="0.3">
      <c r="A32" s="97" t="str">
        <f>'DCS Detail'!A32</f>
        <v xml:space="preserve">   Total 1750.1 Fundraiser</v>
      </c>
      <c r="B32" s="106" t="str">
        <f>IF('DCS Detail'!$B32="","",'DCS Detail'!$B32)</f>
        <v/>
      </c>
      <c r="C32" s="36">
        <f t="shared" ref="C32:AZ32" si="374">SUM(C24:C31)</f>
        <v>0</v>
      </c>
      <c r="D32" s="36">
        <f t="shared" si="374"/>
        <v>0</v>
      </c>
      <c r="E32" s="36">
        <f t="shared" si="374"/>
        <v>0</v>
      </c>
      <c r="F32" s="36">
        <f t="shared" si="374"/>
        <v>3.52</v>
      </c>
      <c r="G32" s="36">
        <f t="shared" si="374"/>
        <v>0</v>
      </c>
      <c r="H32" s="36">
        <f t="shared" si="374"/>
        <v>20</v>
      </c>
      <c r="I32" s="36">
        <f t="shared" si="374"/>
        <v>0</v>
      </c>
      <c r="J32" s="36">
        <f t="shared" si="374"/>
        <v>0</v>
      </c>
      <c r="K32" s="36">
        <f t="shared" si="374"/>
        <v>0</v>
      </c>
      <c r="L32" s="36">
        <f t="shared" si="374"/>
        <v>0</v>
      </c>
      <c r="M32" s="36">
        <f t="shared" si="374"/>
        <v>718</v>
      </c>
      <c r="N32" s="36">
        <f t="shared" si="374"/>
        <v>0</v>
      </c>
      <c r="O32" s="36">
        <f t="shared" si="374"/>
        <v>0</v>
      </c>
      <c r="P32" s="36">
        <f t="shared" si="374"/>
        <v>0</v>
      </c>
      <c r="Q32" s="36">
        <f t="shared" si="374"/>
        <v>-156.86000000000001</v>
      </c>
      <c r="R32" s="36">
        <f t="shared" ref="R32:S32" si="375">SUM(R24:R31)</f>
        <v>0</v>
      </c>
      <c r="S32" s="36">
        <f t="shared" si="375"/>
        <v>212.9</v>
      </c>
      <c r="T32" s="36">
        <f t="shared" ref="T32:U32" si="376">SUM(T24:T31)</f>
        <v>375.1</v>
      </c>
      <c r="U32" s="36">
        <f t="shared" si="376"/>
        <v>35</v>
      </c>
      <c r="V32" s="36">
        <f t="shared" ref="V32:W32" si="377">SUM(V24:V31)</f>
        <v>0</v>
      </c>
      <c r="W32" s="36">
        <f t="shared" si="377"/>
        <v>182.5</v>
      </c>
      <c r="X32" s="36">
        <f t="shared" si="374"/>
        <v>0</v>
      </c>
      <c r="Y32" s="36">
        <f t="shared" si="374"/>
        <v>0</v>
      </c>
      <c r="Z32" s="36">
        <f t="shared" si="374"/>
        <v>879.3</v>
      </c>
      <c r="AA32" s="36">
        <f t="shared" si="374"/>
        <v>359</v>
      </c>
      <c r="AB32" s="36">
        <f t="shared" si="374"/>
        <v>0</v>
      </c>
      <c r="AC32" s="36">
        <f t="shared" si="374"/>
        <v>-156.86000000000001</v>
      </c>
      <c r="AD32" s="36">
        <f t="shared" si="374"/>
        <v>0</v>
      </c>
      <c r="AE32" s="36">
        <f t="shared" si="374"/>
        <v>212.9</v>
      </c>
      <c r="AF32" s="36">
        <f t="shared" si="374"/>
        <v>375.1</v>
      </c>
      <c r="AG32" s="36">
        <f t="shared" si="374"/>
        <v>35</v>
      </c>
      <c r="AH32" s="36">
        <f t="shared" si="374"/>
        <v>0</v>
      </c>
      <c r="AI32" s="36">
        <f t="shared" si="374"/>
        <v>182.5</v>
      </c>
      <c r="AJ32" s="36">
        <f t="shared" si="374"/>
        <v>0</v>
      </c>
      <c r="AK32" s="36">
        <f t="shared" si="374"/>
        <v>0</v>
      </c>
      <c r="AL32" s="36">
        <f t="shared" si="374"/>
        <v>879.3</v>
      </c>
      <c r="AM32" s="36">
        <f t="shared" si="374"/>
        <v>359</v>
      </c>
      <c r="AN32" s="36">
        <f t="shared" si="374"/>
        <v>0</v>
      </c>
      <c r="AO32" s="36">
        <f t="shared" si="374"/>
        <v>-156.86000000000001</v>
      </c>
      <c r="AP32" s="36">
        <f t="shared" si="374"/>
        <v>0</v>
      </c>
      <c r="AQ32" s="36">
        <f t="shared" si="374"/>
        <v>212.9</v>
      </c>
      <c r="AR32" s="36">
        <f t="shared" si="374"/>
        <v>375.1</v>
      </c>
      <c r="AS32" s="36">
        <f t="shared" si="374"/>
        <v>35</v>
      </c>
      <c r="AT32" s="36">
        <f t="shared" si="374"/>
        <v>0</v>
      </c>
      <c r="AU32" s="36">
        <f t="shared" si="374"/>
        <v>182.5</v>
      </c>
      <c r="AV32" s="36">
        <f t="shared" si="374"/>
        <v>0</v>
      </c>
      <c r="AW32" s="36">
        <f t="shared" si="374"/>
        <v>0</v>
      </c>
      <c r="AX32" s="36">
        <f t="shared" si="374"/>
        <v>879.3</v>
      </c>
      <c r="AY32" s="36">
        <f t="shared" si="374"/>
        <v>359</v>
      </c>
      <c r="AZ32" s="36">
        <f t="shared" si="374"/>
        <v>0</v>
      </c>
      <c r="BA32" s="36">
        <f t="shared" ref="BA32:BX32" si="378">SUM(BA24:BA31)</f>
        <v>-156.86000000000001</v>
      </c>
      <c r="BB32" s="36">
        <f t="shared" si="378"/>
        <v>0</v>
      </c>
      <c r="BC32" s="36">
        <f t="shared" si="378"/>
        <v>212.9</v>
      </c>
      <c r="BD32" s="36">
        <f t="shared" si="378"/>
        <v>375.1</v>
      </c>
      <c r="BE32" s="36">
        <f t="shared" si="378"/>
        <v>35</v>
      </c>
      <c r="BF32" s="36">
        <f t="shared" si="378"/>
        <v>0</v>
      </c>
      <c r="BG32" s="36">
        <f t="shared" si="378"/>
        <v>182.5</v>
      </c>
      <c r="BH32" s="36">
        <f t="shared" si="378"/>
        <v>0</v>
      </c>
      <c r="BI32" s="36">
        <f t="shared" si="378"/>
        <v>0</v>
      </c>
      <c r="BJ32" s="36">
        <f t="shared" si="378"/>
        <v>879.3</v>
      </c>
      <c r="BK32" s="36">
        <f t="shared" si="378"/>
        <v>359</v>
      </c>
      <c r="BL32" s="36">
        <f t="shared" si="378"/>
        <v>0</v>
      </c>
      <c r="BM32" s="36">
        <f t="shared" si="378"/>
        <v>-156.86000000000001</v>
      </c>
      <c r="BN32" s="36">
        <f t="shared" si="378"/>
        <v>0</v>
      </c>
      <c r="BO32" s="36">
        <f t="shared" si="378"/>
        <v>212.9</v>
      </c>
      <c r="BP32" s="36">
        <f t="shared" si="378"/>
        <v>375.1</v>
      </c>
      <c r="BQ32" s="36">
        <f t="shared" si="378"/>
        <v>35</v>
      </c>
      <c r="BR32" s="36">
        <f t="shared" si="378"/>
        <v>0</v>
      </c>
      <c r="BS32" s="36">
        <f t="shared" si="378"/>
        <v>182.5</v>
      </c>
      <c r="BT32" s="36">
        <f t="shared" si="378"/>
        <v>0</v>
      </c>
      <c r="BU32" s="36">
        <f t="shared" si="378"/>
        <v>0</v>
      </c>
      <c r="BV32" s="36">
        <f t="shared" si="378"/>
        <v>879.3</v>
      </c>
      <c r="BW32" s="36">
        <f t="shared" si="378"/>
        <v>359</v>
      </c>
      <c r="BX32" s="36">
        <f t="shared" si="378"/>
        <v>0</v>
      </c>
      <c r="BY32" s="8"/>
      <c r="BZ32" s="72">
        <f t="shared" si="199"/>
        <v>359</v>
      </c>
      <c r="CA32" s="72">
        <f t="shared" si="200"/>
        <v>1886.94</v>
      </c>
      <c r="CB32" s="97"/>
      <c r="CC32" s="72">
        <f t="shared" si="201"/>
        <v>0</v>
      </c>
      <c r="CD32" s="72">
        <f t="shared" si="201"/>
        <v>0</v>
      </c>
      <c r="CE32" s="72">
        <f t="shared" si="201"/>
        <v>741.52</v>
      </c>
      <c r="CF32" s="72">
        <f t="shared" si="201"/>
        <v>1886.94</v>
      </c>
      <c r="CG32" s="72">
        <f t="shared" si="201"/>
        <v>1886.94</v>
      </c>
      <c r="CH32" s="72">
        <f t="shared" si="201"/>
        <v>1886.94</v>
      </c>
      <c r="CI32" s="72">
        <f t="shared" si="201"/>
        <v>1886.94</v>
      </c>
      <c r="CJ32" s="72">
        <f t="shared" si="201"/>
        <v>1886.94</v>
      </c>
      <c r="CL32" s="13"/>
      <c r="CM32" s="13"/>
    </row>
    <row r="33" spans="1:91" x14ac:dyDescent="0.3">
      <c r="A33" s="97" t="str">
        <f>'DCS Detail'!A33</f>
        <v xml:space="preserve">   1750.17 Fundraising - Playground</v>
      </c>
      <c r="B33" s="106" t="str">
        <f>IF('DCS Detail'!$B33="","",'DCS Detail'!$B33)</f>
        <v>Other</v>
      </c>
      <c r="C33" s="36"/>
      <c r="D33" s="36"/>
      <c r="E33" s="18">
        <v>0</v>
      </c>
      <c r="F33" s="18">
        <v>0</v>
      </c>
      <c r="G33" s="18">
        <v>0</v>
      </c>
      <c r="H33" s="18">
        <v>0</v>
      </c>
      <c r="I33" s="18">
        <v>0</v>
      </c>
      <c r="J33" s="18">
        <v>0</v>
      </c>
      <c r="K33" s="18">
        <v>0</v>
      </c>
      <c r="L33" s="18">
        <v>0</v>
      </c>
      <c r="M33" s="18">
        <v>0</v>
      </c>
      <c r="N33" s="18">
        <v>0</v>
      </c>
      <c r="O33" s="18">
        <v>0</v>
      </c>
      <c r="P33" s="18">
        <v>0</v>
      </c>
      <c r="Q33" s="18">
        <v>0</v>
      </c>
      <c r="R33" s="18">
        <v>0</v>
      </c>
      <c r="S33" s="18">
        <v>47.96</v>
      </c>
      <c r="T33" s="18">
        <v>36.53</v>
      </c>
      <c r="U33" s="18">
        <v>0</v>
      </c>
      <c r="V33" s="18">
        <v>0</v>
      </c>
      <c r="W33" s="18">
        <v>122.5</v>
      </c>
      <c r="X33" s="18">
        <v>0</v>
      </c>
      <c r="Y33" s="18">
        <v>0</v>
      </c>
      <c r="Z33" s="18">
        <v>0</v>
      </c>
      <c r="AA33" s="146">
        <v>135</v>
      </c>
      <c r="AB33" s="36">
        <f t="shared" ref="AB33:AB44" si="379">P33</f>
        <v>0</v>
      </c>
      <c r="AC33" s="36">
        <f t="shared" ref="AC33:AC44" si="380">Q33</f>
        <v>0</v>
      </c>
      <c r="AD33" s="36">
        <f t="shared" ref="AD33:AD44" si="381">R33</f>
        <v>0</v>
      </c>
      <c r="AE33" s="36">
        <f t="shared" ref="AE33:AE44" si="382">S33</f>
        <v>47.96</v>
      </c>
      <c r="AF33" s="36">
        <f t="shared" ref="AF33:AF44" si="383">T33</f>
        <v>36.53</v>
      </c>
      <c r="AG33" s="36">
        <f t="shared" ref="AG33:AG44" si="384">U33</f>
        <v>0</v>
      </c>
      <c r="AH33" s="36">
        <f t="shared" ref="AH33:AH44" si="385">V33</f>
        <v>0</v>
      </c>
      <c r="AI33" s="36">
        <f t="shared" ref="AI33:AI44" si="386">W33</f>
        <v>122.5</v>
      </c>
      <c r="AJ33" s="36">
        <f t="shared" ref="AJ33:AJ44" si="387">X33</f>
        <v>0</v>
      </c>
      <c r="AK33" s="36">
        <f t="shared" ref="AK33:AK44" si="388">Y33</f>
        <v>0</v>
      </c>
      <c r="AL33" s="36">
        <f t="shared" ref="AL33:AL44" si="389">Z33</f>
        <v>0</v>
      </c>
      <c r="AM33" s="36">
        <f t="shared" ref="AM33:AM44" si="390">AA33</f>
        <v>135</v>
      </c>
      <c r="AN33" s="36">
        <f t="shared" ref="AN33:AN44" si="391">AB33</f>
        <v>0</v>
      </c>
      <c r="AO33" s="36">
        <f t="shared" ref="AO33:AO44" si="392">AC33</f>
        <v>0</v>
      </c>
      <c r="AP33" s="36">
        <f t="shared" ref="AP33:AP44" si="393">AD33</f>
        <v>0</v>
      </c>
      <c r="AQ33" s="36">
        <f t="shared" ref="AQ33:AQ44" si="394">AE33</f>
        <v>47.96</v>
      </c>
      <c r="AR33" s="36">
        <f t="shared" ref="AR33:AR44" si="395">AF33</f>
        <v>36.53</v>
      </c>
      <c r="AS33" s="36">
        <f t="shared" ref="AS33:AS44" si="396">AG33</f>
        <v>0</v>
      </c>
      <c r="AT33" s="36">
        <f t="shared" ref="AT33:AT44" si="397">AH33</f>
        <v>0</v>
      </c>
      <c r="AU33" s="36">
        <f t="shared" ref="AU33:AU44" si="398">AI33</f>
        <v>122.5</v>
      </c>
      <c r="AV33" s="36">
        <f t="shared" ref="AV33:AV44" si="399">AJ33</f>
        <v>0</v>
      </c>
      <c r="AW33" s="36">
        <f t="shared" ref="AW33:AW44" si="400">AK33</f>
        <v>0</v>
      </c>
      <c r="AX33" s="36">
        <f t="shared" ref="AX33:AX44" si="401">AL33</f>
        <v>0</v>
      </c>
      <c r="AY33" s="36">
        <f t="shared" ref="AY33:AY44" si="402">AM33</f>
        <v>135</v>
      </c>
      <c r="AZ33" s="36">
        <f t="shared" ref="AZ33:AZ44" si="403">AN33</f>
        <v>0</v>
      </c>
      <c r="BA33" s="36">
        <f t="shared" ref="BA33:BA44" si="404">AO33</f>
        <v>0</v>
      </c>
      <c r="BB33" s="36">
        <f t="shared" ref="BB33:BB44" si="405">AP33</f>
        <v>0</v>
      </c>
      <c r="BC33" s="36">
        <f t="shared" ref="BC33:BC44" si="406">AQ33</f>
        <v>47.96</v>
      </c>
      <c r="BD33" s="36">
        <f t="shared" ref="BD33:BD44" si="407">AR33</f>
        <v>36.53</v>
      </c>
      <c r="BE33" s="36">
        <f t="shared" ref="BE33:BE44" si="408">AS33</f>
        <v>0</v>
      </c>
      <c r="BF33" s="36">
        <f t="shared" ref="BF33:BF44" si="409">AT33</f>
        <v>0</v>
      </c>
      <c r="BG33" s="36">
        <f t="shared" ref="BG33:BG44" si="410">AU33</f>
        <v>122.5</v>
      </c>
      <c r="BH33" s="36">
        <f t="shared" ref="BH33:BH44" si="411">AV33</f>
        <v>0</v>
      </c>
      <c r="BI33" s="36">
        <f t="shared" ref="BI33:BI44" si="412">AW33</f>
        <v>0</v>
      </c>
      <c r="BJ33" s="36">
        <f t="shared" ref="BJ33:BJ44" si="413">AX33</f>
        <v>0</v>
      </c>
      <c r="BK33" s="36">
        <f t="shared" ref="BK33:BK44" si="414">AY33</f>
        <v>135</v>
      </c>
      <c r="BL33" s="36">
        <f t="shared" ref="BL33:BL44" si="415">AZ33</f>
        <v>0</v>
      </c>
      <c r="BM33" s="36">
        <f t="shared" ref="BM33:BM44" si="416">BA33</f>
        <v>0</v>
      </c>
      <c r="BN33" s="36">
        <f t="shared" ref="BN33:BN44" si="417">BB33</f>
        <v>0</v>
      </c>
      <c r="BO33" s="36">
        <f t="shared" ref="BO33:BO44" si="418">BC33</f>
        <v>47.96</v>
      </c>
      <c r="BP33" s="36">
        <f t="shared" ref="BP33:BP44" si="419">BD33</f>
        <v>36.53</v>
      </c>
      <c r="BQ33" s="36">
        <f t="shared" ref="BQ33:BQ44" si="420">BE33</f>
        <v>0</v>
      </c>
      <c r="BR33" s="36">
        <f t="shared" ref="BR33:BR44" si="421">BF33</f>
        <v>0</v>
      </c>
      <c r="BS33" s="36">
        <f t="shared" ref="BS33:BS44" si="422">BG33</f>
        <v>122.5</v>
      </c>
      <c r="BT33" s="36">
        <f t="shared" ref="BT33:BT44" si="423">BH33</f>
        <v>0</v>
      </c>
      <c r="BU33" s="36">
        <f t="shared" ref="BU33:BU44" si="424">BI33</f>
        <v>0</v>
      </c>
      <c r="BV33" s="36">
        <f t="shared" ref="BV33:BV44" si="425">BJ33</f>
        <v>0</v>
      </c>
      <c r="BW33" s="36">
        <f t="shared" ref="BW33:BW44" si="426">BK33</f>
        <v>135</v>
      </c>
      <c r="BX33" s="36">
        <f t="shared" ref="BX33:BX44" si="427">BL33</f>
        <v>0</v>
      </c>
      <c r="BY33" s="8"/>
      <c r="BZ33" s="72">
        <f t="shared" si="199"/>
        <v>135</v>
      </c>
      <c r="CA33" s="72">
        <f t="shared" si="200"/>
        <v>341.99</v>
      </c>
      <c r="CB33" s="97"/>
      <c r="CC33" s="72">
        <f t="shared" si="201"/>
        <v>0</v>
      </c>
      <c r="CD33" s="72">
        <f t="shared" si="201"/>
        <v>0</v>
      </c>
      <c r="CE33" s="72">
        <f t="shared" si="201"/>
        <v>0</v>
      </c>
      <c r="CF33" s="72">
        <f t="shared" si="201"/>
        <v>341.99</v>
      </c>
      <c r="CG33" s="72">
        <f t="shared" si="201"/>
        <v>341.99</v>
      </c>
      <c r="CH33" s="72">
        <f t="shared" si="201"/>
        <v>341.99</v>
      </c>
      <c r="CI33" s="72">
        <f t="shared" si="201"/>
        <v>341.99</v>
      </c>
      <c r="CJ33" s="72">
        <f t="shared" si="201"/>
        <v>341.99</v>
      </c>
      <c r="CL33" s="13"/>
      <c r="CM33" s="13"/>
    </row>
    <row r="34" spans="1:91" x14ac:dyDescent="0.3">
      <c r="A34" s="97" t="str">
        <f>'DCS Detail'!A34</f>
        <v xml:space="preserve">   1750.18 Fundraising - Private Match</v>
      </c>
      <c r="B34" s="106" t="str">
        <f>IF('DCS Detail'!$B34="","",'DCS Detail'!$B34)</f>
        <v>Other</v>
      </c>
      <c r="C34" s="36"/>
      <c r="D34" s="36"/>
      <c r="E34" s="18">
        <v>0</v>
      </c>
      <c r="F34" s="18">
        <v>0</v>
      </c>
      <c r="G34" s="18">
        <v>0</v>
      </c>
      <c r="H34" s="18">
        <v>0</v>
      </c>
      <c r="I34" s="18">
        <v>0</v>
      </c>
      <c r="J34" s="18">
        <v>0</v>
      </c>
      <c r="K34" s="18">
        <v>0</v>
      </c>
      <c r="L34" s="18">
        <v>0</v>
      </c>
      <c r="M34" s="18">
        <v>0</v>
      </c>
      <c r="N34" s="18">
        <v>0</v>
      </c>
      <c r="O34" s="18">
        <v>0</v>
      </c>
      <c r="P34" s="18">
        <v>0</v>
      </c>
      <c r="Q34" s="18">
        <v>0</v>
      </c>
      <c r="R34" s="18">
        <v>0</v>
      </c>
      <c r="S34" s="18">
        <v>0</v>
      </c>
      <c r="T34" s="18">
        <v>285.45</v>
      </c>
      <c r="U34" s="18">
        <v>0</v>
      </c>
      <c r="V34" s="18">
        <v>0</v>
      </c>
      <c r="W34" s="18">
        <v>0</v>
      </c>
      <c r="X34" s="18">
        <v>0</v>
      </c>
      <c r="Y34" s="18">
        <v>0</v>
      </c>
      <c r="Z34" s="18">
        <v>0</v>
      </c>
      <c r="AA34" s="146">
        <v>0</v>
      </c>
      <c r="AB34" s="36">
        <f t="shared" si="379"/>
        <v>0</v>
      </c>
      <c r="AC34" s="36">
        <f t="shared" si="380"/>
        <v>0</v>
      </c>
      <c r="AD34" s="36">
        <f t="shared" si="381"/>
        <v>0</v>
      </c>
      <c r="AE34" s="36">
        <f t="shared" si="382"/>
        <v>0</v>
      </c>
      <c r="AF34" s="36">
        <f t="shared" si="383"/>
        <v>285.45</v>
      </c>
      <c r="AG34" s="36">
        <f t="shared" si="384"/>
        <v>0</v>
      </c>
      <c r="AH34" s="36">
        <f t="shared" si="385"/>
        <v>0</v>
      </c>
      <c r="AI34" s="36">
        <f t="shared" si="386"/>
        <v>0</v>
      </c>
      <c r="AJ34" s="36">
        <f t="shared" si="387"/>
        <v>0</v>
      </c>
      <c r="AK34" s="36">
        <f t="shared" si="388"/>
        <v>0</v>
      </c>
      <c r="AL34" s="36">
        <f t="shared" si="389"/>
        <v>0</v>
      </c>
      <c r="AM34" s="36">
        <f t="shared" si="390"/>
        <v>0</v>
      </c>
      <c r="AN34" s="36">
        <f t="shared" si="391"/>
        <v>0</v>
      </c>
      <c r="AO34" s="36">
        <f t="shared" si="392"/>
        <v>0</v>
      </c>
      <c r="AP34" s="36">
        <f t="shared" si="393"/>
        <v>0</v>
      </c>
      <c r="AQ34" s="36">
        <f t="shared" si="394"/>
        <v>0</v>
      </c>
      <c r="AR34" s="36">
        <f t="shared" si="395"/>
        <v>285.45</v>
      </c>
      <c r="AS34" s="36">
        <f t="shared" si="396"/>
        <v>0</v>
      </c>
      <c r="AT34" s="36">
        <f t="shared" si="397"/>
        <v>0</v>
      </c>
      <c r="AU34" s="36">
        <f t="shared" si="398"/>
        <v>0</v>
      </c>
      <c r="AV34" s="36">
        <f t="shared" si="399"/>
        <v>0</v>
      </c>
      <c r="AW34" s="36">
        <f t="shared" si="400"/>
        <v>0</v>
      </c>
      <c r="AX34" s="36">
        <f t="shared" si="401"/>
        <v>0</v>
      </c>
      <c r="AY34" s="36">
        <f t="shared" si="402"/>
        <v>0</v>
      </c>
      <c r="AZ34" s="36">
        <f t="shared" si="403"/>
        <v>0</v>
      </c>
      <c r="BA34" s="36">
        <f t="shared" si="404"/>
        <v>0</v>
      </c>
      <c r="BB34" s="36">
        <f t="shared" si="405"/>
        <v>0</v>
      </c>
      <c r="BC34" s="36">
        <f t="shared" si="406"/>
        <v>0</v>
      </c>
      <c r="BD34" s="36">
        <f t="shared" si="407"/>
        <v>285.45</v>
      </c>
      <c r="BE34" s="36">
        <f t="shared" si="408"/>
        <v>0</v>
      </c>
      <c r="BF34" s="36">
        <f t="shared" si="409"/>
        <v>0</v>
      </c>
      <c r="BG34" s="36">
        <f t="shared" si="410"/>
        <v>0</v>
      </c>
      <c r="BH34" s="36">
        <f t="shared" si="411"/>
        <v>0</v>
      </c>
      <c r="BI34" s="36">
        <f t="shared" si="412"/>
        <v>0</v>
      </c>
      <c r="BJ34" s="36">
        <f t="shared" si="413"/>
        <v>0</v>
      </c>
      <c r="BK34" s="36">
        <f t="shared" si="414"/>
        <v>0</v>
      </c>
      <c r="BL34" s="36">
        <f t="shared" si="415"/>
        <v>0</v>
      </c>
      <c r="BM34" s="36">
        <f t="shared" si="416"/>
        <v>0</v>
      </c>
      <c r="BN34" s="36">
        <f t="shared" si="417"/>
        <v>0</v>
      </c>
      <c r="BO34" s="36">
        <f t="shared" si="418"/>
        <v>0</v>
      </c>
      <c r="BP34" s="36">
        <f t="shared" si="419"/>
        <v>285.45</v>
      </c>
      <c r="BQ34" s="36">
        <f t="shared" si="420"/>
        <v>0</v>
      </c>
      <c r="BR34" s="36">
        <f t="shared" si="421"/>
        <v>0</v>
      </c>
      <c r="BS34" s="36">
        <f t="shared" si="422"/>
        <v>0</v>
      </c>
      <c r="BT34" s="36">
        <f t="shared" si="423"/>
        <v>0</v>
      </c>
      <c r="BU34" s="36">
        <f t="shared" si="424"/>
        <v>0</v>
      </c>
      <c r="BV34" s="36">
        <f t="shared" si="425"/>
        <v>0</v>
      </c>
      <c r="BW34" s="36">
        <f t="shared" si="426"/>
        <v>0</v>
      </c>
      <c r="BX34" s="36">
        <f t="shared" si="427"/>
        <v>0</v>
      </c>
      <c r="BY34" s="8"/>
      <c r="BZ34" s="72">
        <f t="shared" si="199"/>
        <v>0</v>
      </c>
      <c r="CA34" s="72">
        <f t="shared" si="200"/>
        <v>285.45</v>
      </c>
      <c r="CB34" s="97"/>
      <c r="CC34" s="72">
        <f t="shared" si="201"/>
        <v>0</v>
      </c>
      <c r="CD34" s="72">
        <f t="shared" si="201"/>
        <v>0</v>
      </c>
      <c r="CE34" s="72">
        <f t="shared" si="201"/>
        <v>0</v>
      </c>
      <c r="CF34" s="72">
        <f t="shared" si="201"/>
        <v>285.45</v>
      </c>
      <c r="CG34" s="72">
        <f t="shared" si="201"/>
        <v>285.45</v>
      </c>
      <c r="CH34" s="72">
        <f t="shared" si="201"/>
        <v>285.45</v>
      </c>
      <c r="CI34" s="72">
        <f t="shared" si="201"/>
        <v>285.45</v>
      </c>
      <c r="CJ34" s="72">
        <f t="shared" si="201"/>
        <v>285.45</v>
      </c>
      <c r="CL34" s="13"/>
      <c r="CM34" s="13"/>
    </row>
    <row r="35" spans="1:91" x14ac:dyDescent="0.3">
      <c r="A35" s="97" t="str">
        <f>'DCS Detail'!A35</f>
        <v xml:space="preserve">   1751.0 Commissions</v>
      </c>
      <c r="B35" s="106" t="str">
        <f>IF('DCS Detail'!$B35="","",'DCS Detail'!$B35)</f>
        <v>Other</v>
      </c>
      <c r="C35" s="106"/>
      <c r="D35" s="106"/>
      <c r="E35" s="18">
        <v>0</v>
      </c>
      <c r="F35" s="18">
        <v>0</v>
      </c>
      <c r="G35" s="18">
        <v>0</v>
      </c>
      <c r="H35" s="18">
        <v>0</v>
      </c>
      <c r="I35" s="18">
        <v>0</v>
      </c>
      <c r="J35" s="18">
        <v>0</v>
      </c>
      <c r="K35" s="18">
        <v>152.86000000000001</v>
      </c>
      <c r="L35" s="18">
        <v>0</v>
      </c>
      <c r="M35" s="18">
        <v>0</v>
      </c>
      <c r="N35" s="18">
        <v>0</v>
      </c>
      <c r="O35" s="18">
        <v>21.2</v>
      </c>
      <c r="P35" s="18">
        <v>0</v>
      </c>
      <c r="Q35" s="18">
        <v>0</v>
      </c>
      <c r="R35" s="18">
        <v>0</v>
      </c>
      <c r="S35" s="18">
        <v>0</v>
      </c>
      <c r="T35" s="18">
        <v>0</v>
      </c>
      <c r="U35" s="18">
        <v>0</v>
      </c>
      <c r="V35" s="18">
        <v>0</v>
      </c>
      <c r="W35" s="18">
        <v>0</v>
      </c>
      <c r="X35" s="18">
        <v>0</v>
      </c>
      <c r="Y35" s="18">
        <v>0</v>
      </c>
      <c r="Z35" s="18">
        <v>0</v>
      </c>
      <c r="AA35" s="146">
        <v>0</v>
      </c>
      <c r="AB35" s="36">
        <f t="shared" si="379"/>
        <v>0</v>
      </c>
      <c r="AC35" s="36">
        <f t="shared" si="380"/>
        <v>0</v>
      </c>
      <c r="AD35" s="36">
        <f t="shared" si="381"/>
        <v>0</v>
      </c>
      <c r="AE35" s="36">
        <f t="shared" si="382"/>
        <v>0</v>
      </c>
      <c r="AF35" s="36">
        <f t="shared" si="383"/>
        <v>0</v>
      </c>
      <c r="AG35" s="36">
        <f t="shared" si="384"/>
        <v>0</v>
      </c>
      <c r="AH35" s="36">
        <f t="shared" si="385"/>
        <v>0</v>
      </c>
      <c r="AI35" s="36">
        <f t="shared" si="386"/>
        <v>0</v>
      </c>
      <c r="AJ35" s="36">
        <f t="shared" si="387"/>
        <v>0</v>
      </c>
      <c r="AK35" s="36">
        <f t="shared" si="388"/>
        <v>0</v>
      </c>
      <c r="AL35" s="36">
        <f t="shared" si="389"/>
        <v>0</v>
      </c>
      <c r="AM35" s="36">
        <f t="shared" si="390"/>
        <v>0</v>
      </c>
      <c r="AN35" s="36">
        <f t="shared" si="391"/>
        <v>0</v>
      </c>
      <c r="AO35" s="36">
        <f t="shared" si="392"/>
        <v>0</v>
      </c>
      <c r="AP35" s="36">
        <f t="shared" si="393"/>
        <v>0</v>
      </c>
      <c r="AQ35" s="36">
        <f t="shared" si="394"/>
        <v>0</v>
      </c>
      <c r="AR35" s="36">
        <f t="shared" si="395"/>
        <v>0</v>
      </c>
      <c r="AS35" s="36">
        <f t="shared" si="396"/>
        <v>0</v>
      </c>
      <c r="AT35" s="36">
        <f t="shared" si="397"/>
        <v>0</v>
      </c>
      <c r="AU35" s="36">
        <f t="shared" si="398"/>
        <v>0</v>
      </c>
      <c r="AV35" s="36">
        <f t="shared" si="399"/>
        <v>0</v>
      </c>
      <c r="AW35" s="36">
        <f t="shared" si="400"/>
        <v>0</v>
      </c>
      <c r="AX35" s="36">
        <f t="shared" si="401"/>
        <v>0</v>
      </c>
      <c r="AY35" s="36">
        <f t="shared" si="402"/>
        <v>0</v>
      </c>
      <c r="AZ35" s="36">
        <f t="shared" si="403"/>
        <v>0</v>
      </c>
      <c r="BA35" s="36">
        <f t="shared" si="404"/>
        <v>0</v>
      </c>
      <c r="BB35" s="36">
        <f t="shared" si="405"/>
        <v>0</v>
      </c>
      <c r="BC35" s="36">
        <f t="shared" si="406"/>
        <v>0</v>
      </c>
      <c r="BD35" s="36">
        <f t="shared" si="407"/>
        <v>0</v>
      </c>
      <c r="BE35" s="36">
        <f t="shared" si="408"/>
        <v>0</v>
      </c>
      <c r="BF35" s="36">
        <f t="shared" si="409"/>
        <v>0</v>
      </c>
      <c r="BG35" s="36">
        <f t="shared" si="410"/>
        <v>0</v>
      </c>
      <c r="BH35" s="36">
        <f t="shared" si="411"/>
        <v>0</v>
      </c>
      <c r="BI35" s="36">
        <f t="shared" si="412"/>
        <v>0</v>
      </c>
      <c r="BJ35" s="36">
        <f t="shared" si="413"/>
        <v>0</v>
      </c>
      <c r="BK35" s="36">
        <f t="shared" si="414"/>
        <v>0</v>
      </c>
      <c r="BL35" s="36">
        <f t="shared" si="415"/>
        <v>0</v>
      </c>
      <c r="BM35" s="36">
        <f t="shared" si="416"/>
        <v>0</v>
      </c>
      <c r="BN35" s="36">
        <f t="shared" si="417"/>
        <v>0</v>
      </c>
      <c r="BO35" s="36">
        <f t="shared" si="418"/>
        <v>0</v>
      </c>
      <c r="BP35" s="36">
        <f t="shared" si="419"/>
        <v>0</v>
      </c>
      <c r="BQ35" s="36">
        <f t="shared" si="420"/>
        <v>0</v>
      </c>
      <c r="BR35" s="36">
        <f t="shared" si="421"/>
        <v>0</v>
      </c>
      <c r="BS35" s="36">
        <f t="shared" si="422"/>
        <v>0</v>
      </c>
      <c r="BT35" s="36">
        <f t="shared" si="423"/>
        <v>0</v>
      </c>
      <c r="BU35" s="36">
        <f t="shared" si="424"/>
        <v>0</v>
      </c>
      <c r="BV35" s="36">
        <f t="shared" si="425"/>
        <v>0</v>
      </c>
      <c r="BW35" s="36">
        <f t="shared" si="426"/>
        <v>0</v>
      </c>
      <c r="BX35" s="36">
        <f t="shared" si="427"/>
        <v>0</v>
      </c>
      <c r="BY35" s="8"/>
      <c r="BZ35" s="72">
        <f t="shared" si="199"/>
        <v>0</v>
      </c>
      <c r="CA35" s="72">
        <f t="shared" si="200"/>
        <v>0</v>
      </c>
      <c r="CB35" s="97"/>
      <c r="CC35" s="72">
        <f t="shared" si="201"/>
        <v>0</v>
      </c>
      <c r="CD35" s="72">
        <f t="shared" si="201"/>
        <v>0</v>
      </c>
      <c r="CE35" s="72">
        <f t="shared" si="201"/>
        <v>174.06</v>
      </c>
      <c r="CF35" s="72">
        <f t="shared" si="201"/>
        <v>0</v>
      </c>
      <c r="CG35" s="72">
        <f t="shared" si="201"/>
        <v>0</v>
      </c>
      <c r="CH35" s="72">
        <f t="shared" si="201"/>
        <v>0</v>
      </c>
      <c r="CI35" s="72">
        <f t="shared" si="201"/>
        <v>0</v>
      </c>
      <c r="CJ35" s="72">
        <f t="shared" si="201"/>
        <v>0</v>
      </c>
      <c r="CL35" s="13"/>
      <c r="CM35" s="13"/>
    </row>
    <row r="36" spans="1:91" x14ac:dyDescent="0.3">
      <c r="A36" s="97" t="str">
        <f>'DCS Detail'!A36</f>
        <v xml:space="preserve">   1900.1 Other Revenues</v>
      </c>
      <c r="B36" s="106" t="str">
        <f>IF('DCS Detail'!$B36="","",'DCS Detail'!$B36)</f>
        <v>Other</v>
      </c>
      <c r="C36" s="106"/>
      <c r="D36" s="106"/>
      <c r="E36" s="18">
        <v>0</v>
      </c>
      <c r="F36" s="18">
        <v>563.64</v>
      </c>
      <c r="G36" s="18">
        <v>51.92</v>
      </c>
      <c r="H36" s="18">
        <v>0</v>
      </c>
      <c r="I36" s="18">
        <v>0</v>
      </c>
      <c r="J36" s="18">
        <v>0</v>
      </c>
      <c r="K36" s="18">
        <v>0</v>
      </c>
      <c r="L36" s="18">
        <v>0</v>
      </c>
      <c r="M36" s="18">
        <v>0</v>
      </c>
      <c r="N36" s="18">
        <v>10</v>
      </c>
      <c r="O36" s="18">
        <v>0</v>
      </c>
      <c r="P36" s="18">
        <v>0</v>
      </c>
      <c r="Q36" s="18">
        <v>0</v>
      </c>
      <c r="R36" s="18">
        <v>0</v>
      </c>
      <c r="S36" s="18">
        <v>0</v>
      </c>
      <c r="T36" s="18">
        <v>0</v>
      </c>
      <c r="U36" s="18">
        <v>0</v>
      </c>
      <c r="V36" s="18">
        <v>0</v>
      </c>
      <c r="W36" s="18">
        <v>0</v>
      </c>
      <c r="X36" s="18">
        <v>0</v>
      </c>
      <c r="Y36" s="18">
        <v>0</v>
      </c>
      <c r="Z36" s="18">
        <v>0</v>
      </c>
      <c r="AA36" s="146">
        <v>0</v>
      </c>
      <c r="AB36" s="36">
        <f t="shared" si="379"/>
        <v>0</v>
      </c>
      <c r="AC36" s="36">
        <f t="shared" si="380"/>
        <v>0</v>
      </c>
      <c r="AD36" s="36">
        <f t="shared" si="381"/>
        <v>0</v>
      </c>
      <c r="AE36" s="36">
        <f t="shared" si="382"/>
        <v>0</v>
      </c>
      <c r="AF36" s="36">
        <f t="shared" si="383"/>
        <v>0</v>
      </c>
      <c r="AG36" s="36">
        <f t="shared" si="384"/>
        <v>0</v>
      </c>
      <c r="AH36" s="36">
        <f t="shared" si="385"/>
        <v>0</v>
      </c>
      <c r="AI36" s="36">
        <f t="shared" si="386"/>
        <v>0</v>
      </c>
      <c r="AJ36" s="36">
        <f t="shared" si="387"/>
        <v>0</v>
      </c>
      <c r="AK36" s="36">
        <f t="shared" si="388"/>
        <v>0</v>
      </c>
      <c r="AL36" s="36">
        <f t="shared" si="389"/>
        <v>0</v>
      </c>
      <c r="AM36" s="36">
        <f t="shared" si="390"/>
        <v>0</v>
      </c>
      <c r="AN36" s="36">
        <f t="shared" si="391"/>
        <v>0</v>
      </c>
      <c r="AO36" s="36">
        <f t="shared" si="392"/>
        <v>0</v>
      </c>
      <c r="AP36" s="36">
        <f t="shared" si="393"/>
        <v>0</v>
      </c>
      <c r="AQ36" s="36">
        <f t="shared" si="394"/>
        <v>0</v>
      </c>
      <c r="AR36" s="36">
        <f t="shared" si="395"/>
        <v>0</v>
      </c>
      <c r="AS36" s="36">
        <f t="shared" si="396"/>
        <v>0</v>
      </c>
      <c r="AT36" s="36">
        <f t="shared" si="397"/>
        <v>0</v>
      </c>
      <c r="AU36" s="36">
        <f t="shared" si="398"/>
        <v>0</v>
      </c>
      <c r="AV36" s="36">
        <f t="shared" si="399"/>
        <v>0</v>
      </c>
      <c r="AW36" s="36">
        <f t="shared" si="400"/>
        <v>0</v>
      </c>
      <c r="AX36" s="36">
        <f t="shared" si="401"/>
        <v>0</v>
      </c>
      <c r="AY36" s="36">
        <f t="shared" si="402"/>
        <v>0</v>
      </c>
      <c r="AZ36" s="36">
        <f t="shared" si="403"/>
        <v>0</v>
      </c>
      <c r="BA36" s="36">
        <f t="shared" si="404"/>
        <v>0</v>
      </c>
      <c r="BB36" s="36">
        <f t="shared" si="405"/>
        <v>0</v>
      </c>
      <c r="BC36" s="36">
        <f t="shared" si="406"/>
        <v>0</v>
      </c>
      <c r="BD36" s="36">
        <f t="shared" si="407"/>
        <v>0</v>
      </c>
      <c r="BE36" s="36">
        <f t="shared" si="408"/>
        <v>0</v>
      </c>
      <c r="BF36" s="36">
        <f t="shared" si="409"/>
        <v>0</v>
      </c>
      <c r="BG36" s="36">
        <f t="shared" si="410"/>
        <v>0</v>
      </c>
      <c r="BH36" s="36">
        <f t="shared" si="411"/>
        <v>0</v>
      </c>
      <c r="BI36" s="36">
        <f t="shared" si="412"/>
        <v>0</v>
      </c>
      <c r="BJ36" s="36">
        <f t="shared" si="413"/>
        <v>0</v>
      </c>
      <c r="BK36" s="36">
        <f t="shared" si="414"/>
        <v>0</v>
      </c>
      <c r="BL36" s="36">
        <f t="shared" si="415"/>
        <v>0</v>
      </c>
      <c r="BM36" s="36">
        <f t="shared" si="416"/>
        <v>0</v>
      </c>
      <c r="BN36" s="36">
        <f t="shared" si="417"/>
        <v>0</v>
      </c>
      <c r="BO36" s="36">
        <f t="shared" si="418"/>
        <v>0</v>
      </c>
      <c r="BP36" s="36">
        <f t="shared" si="419"/>
        <v>0</v>
      </c>
      <c r="BQ36" s="36">
        <f t="shared" si="420"/>
        <v>0</v>
      </c>
      <c r="BR36" s="36">
        <f t="shared" si="421"/>
        <v>0</v>
      </c>
      <c r="BS36" s="36">
        <f t="shared" si="422"/>
        <v>0</v>
      </c>
      <c r="BT36" s="36">
        <f t="shared" si="423"/>
        <v>0</v>
      </c>
      <c r="BU36" s="36">
        <f t="shared" si="424"/>
        <v>0</v>
      </c>
      <c r="BV36" s="36">
        <f t="shared" si="425"/>
        <v>0</v>
      </c>
      <c r="BW36" s="36">
        <f t="shared" si="426"/>
        <v>0</v>
      </c>
      <c r="BX36" s="36">
        <f t="shared" si="427"/>
        <v>0</v>
      </c>
      <c r="BY36" s="8"/>
      <c r="BZ36" s="72">
        <f t="shared" si="199"/>
        <v>0</v>
      </c>
      <c r="CA36" s="72">
        <f t="shared" si="200"/>
        <v>0</v>
      </c>
      <c r="CB36" s="97"/>
      <c r="CC36" s="72">
        <f t="shared" ref="CC36:CJ45" si="428">SUMIF($C$3:$BY$3,CC$3,$C36:$BY36)</f>
        <v>0</v>
      </c>
      <c r="CD36" s="72">
        <f t="shared" si="428"/>
        <v>0</v>
      </c>
      <c r="CE36" s="72">
        <f t="shared" si="428"/>
        <v>625.55999999999995</v>
      </c>
      <c r="CF36" s="72">
        <f t="shared" si="428"/>
        <v>0</v>
      </c>
      <c r="CG36" s="72">
        <f t="shared" si="428"/>
        <v>0</v>
      </c>
      <c r="CH36" s="72">
        <f t="shared" si="428"/>
        <v>0</v>
      </c>
      <c r="CI36" s="72">
        <f t="shared" si="428"/>
        <v>0</v>
      </c>
      <c r="CJ36" s="72">
        <f t="shared" si="428"/>
        <v>0</v>
      </c>
      <c r="CL36" s="13"/>
      <c r="CM36" s="13"/>
    </row>
    <row r="37" spans="1:91" x14ac:dyDescent="0.3">
      <c r="A37" s="97" t="str">
        <f>'DCS Detail'!A37</f>
        <v xml:space="preserve">   1920.1 Donations</v>
      </c>
      <c r="B37" s="106" t="str">
        <f>IF('DCS Detail'!$B37="","",'DCS Detail'!$B37)</f>
        <v>Other</v>
      </c>
      <c r="C37" s="106"/>
      <c r="D37" s="106"/>
      <c r="E37" s="18"/>
      <c r="F37" s="18"/>
      <c r="G37" s="18"/>
      <c r="H37" s="18"/>
      <c r="I37" s="18"/>
      <c r="J37" s="18"/>
      <c r="K37" s="18"/>
      <c r="L37" s="18"/>
      <c r="M37" s="18"/>
      <c r="N37" s="18"/>
      <c r="O37" s="18"/>
      <c r="P37" s="18">
        <v>0</v>
      </c>
      <c r="Q37" s="18">
        <v>220</v>
      </c>
      <c r="R37" s="18">
        <v>0</v>
      </c>
      <c r="S37" s="18">
        <v>0</v>
      </c>
      <c r="T37" s="18">
        <v>0</v>
      </c>
      <c r="U37" s="18">
        <v>0</v>
      </c>
      <c r="V37" s="18">
        <v>0</v>
      </c>
      <c r="W37" s="18">
        <v>0</v>
      </c>
      <c r="X37" s="18">
        <v>0</v>
      </c>
      <c r="Y37" s="18">
        <v>0</v>
      </c>
      <c r="Z37" s="18">
        <v>0</v>
      </c>
      <c r="AA37" s="146">
        <v>0</v>
      </c>
      <c r="AB37" s="36">
        <f t="shared" si="379"/>
        <v>0</v>
      </c>
      <c r="AC37" s="36">
        <f t="shared" si="380"/>
        <v>220</v>
      </c>
      <c r="AD37" s="36">
        <f t="shared" si="381"/>
        <v>0</v>
      </c>
      <c r="AE37" s="36">
        <f t="shared" si="382"/>
        <v>0</v>
      </c>
      <c r="AF37" s="36">
        <f t="shared" si="383"/>
        <v>0</v>
      </c>
      <c r="AG37" s="36">
        <f t="shared" si="384"/>
        <v>0</v>
      </c>
      <c r="AH37" s="36">
        <f t="shared" si="385"/>
        <v>0</v>
      </c>
      <c r="AI37" s="36">
        <f t="shared" si="386"/>
        <v>0</v>
      </c>
      <c r="AJ37" s="36">
        <f t="shared" si="387"/>
        <v>0</v>
      </c>
      <c r="AK37" s="36">
        <f t="shared" si="388"/>
        <v>0</v>
      </c>
      <c r="AL37" s="36">
        <f t="shared" si="389"/>
        <v>0</v>
      </c>
      <c r="AM37" s="36">
        <f t="shared" si="390"/>
        <v>0</v>
      </c>
      <c r="AN37" s="36">
        <f t="shared" si="391"/>
        <v>0</v>
      </c>
      <c r="AO37" s="36">
        <f t="shared" si="392"/>
        <v>220</v>
      </c>
      <c r="AP37" s="36">
        <f t="shared" si="393"/>
        <v>0</v>
      </c>
      <c r="AQ37" s="36">
        <f t="shared" si="394"/>
        <v>0</v>
      </c>
      <c r="AR37" s="36">
        <f t="shared" si="395"/>
        <v>0</v>
      </c>
      <c r="AS37" s="36">
        <f t="shared" si="396"/>
        <v>0</v>
      </c>
      <c r="AT37" s="36">
        <f t="shared" si="397"/>
        <v>0</v>
      </c>
      <c r="AU37" s="36">
        <f t="shared" si="398"/>
        <v>0</v>
      </c>
      <c r="AV37" s="36">
        <f t="shared" si="399"/>
        <v>0</v>
      </c>
      <c r="AW37" s="36">
        <f t="shared" si="400"/>
        <v>0</v>
      </c>
      <c r="AX37" s="36">
        <f t="shared" si="401"/>
        <v>0</v>
      </c>
      <c r="AY37" s="36">
        <f t="shared" si="402"/>
        <v>0</v>
      </c>
      <c r="AZ37" s="36">
        <f t="shared" si="403"/>
        <v>0</v>
      </c>
      <c r="BA37" s="36">
        <f t="shared" si="404"/>
        <v>220</v>
      </c>
      <c r="BB37" s="36">
        <f t="shared" si="405"/>
        <v>0</v>
      </c>
      <c r="BC37" s="36">
        <f t="shared" si="406"/>
        <v>0</v>
      </c>
      <c r="BD37" s="36">
        <f t="shared" si="407"/>
        <v>0</v>
      </c>
      <c r="BE37" s="36">
        <f t="shared" si="408"/>
        <v>0</v>
      </c>
      <c r="BF37" s="36">
        <f t="shared" si="409"/>
        <v>0</v>
      </c>
      <c r="BG37" s="36">
        <f t="shared" si="410"/>
        <v>0</v>
      </c>
      <c r="BH37" s="36">
        <f t="shared" si="411"/>
        <v>0</v>
      </c>
      <c r="BI37" s="36">
        <f t="shared" si="412"/>
        <v>0</v>
      </c>
      <c r="BJ37" s="36">
        <f t="shared" si="413"/>
        <v>0</v>
      </c>
      <c r="BK37" s="36">
        <f t="shared" si="414"/>
        <v>0</v>
      </c>
      <c r="BL37" s="36">
        <f t="shared" si="415"/>
        <v>0</v>
      </c>
      <c r="BM37" s="36">
        <f t="shared" si="416"/>
        <v>220</v>
      </c>
      <c r="BN37" s="36">
        <f t="shared" si="417"/>
        <v>0</v>
      </c>
      <c r="BO37" s="36">
        <f t="shared" si="418"/>
        <v>0</v>
      </c>
      <c r="BP37" s="36">
        <f t="shared" si="419"/>
        <v>0</v>
      </c>
      <c r="BQ37" s="36">
        <f t="shared" si="420"/>
        <v>0</v>
      </c>
      <c r="BR37" s="36">
        <f t="shared" si="421"/>
        <v>0</v>
      </c>
      <c r="BS37" s="36">
        <f t="shared" si="422"/>
        <v>0</v>
      </c>
      <c r="BT37" s="36">
        <f t="shared" si="423"/>
        <v>0</v>
      </c>
      <c r="BU37" s="36">
        <f t="shared" si="424"/>
        <v>0</v>
      </c>
      <c r="BV37" s="36">
        <f t="shared" si="425"/>
        <v>0</v>
      </c>
      <c r="BW37" s="36">
        <f t="shared" si="426"/>
        <v>0</v>
      </c>
      <c r="BX37" s="36">
        <f t="shared" si="427"/>
        <v>0</v>
      </c>
      <c r="BY37" s="8"/>
      <c r="BZ37" s="72">
        <f t="shared" si="199"/>
        <v>0</v>
      </c>
      <c r="CA37" s="72">
        <f t="shared" si="200"/>
        <v>220</v>
      </c>
      <c r="CB37" s="97"/>
      <c r="CC37" s="72">
        <f t="shared" si="428"/>
        <v>0</v>
      </c>
      <c r="CD37" s="72">
        <f t="shared" si="428"/>
        <v>0</v>
      </c>
      <c r="CE37" s="72">
        <f t="shared" si="428"/>
        <v>0</v>
      </c>
      <c r="CF37" s="72">
        <f t="shared" si="428"/>
        <v>220</v>
      </c>
      <c r="CG37" s="72">
        <f t="shared" si="428"/>
        <v>220</v>
      </c>
      <c r="CH37" s="72">
        <f t="shared" si="428"/>
        <v>220</v>
      </c>
      <c r="CI37" s="72">
        <f t="shared" si="428"/>
        <v>220</v>
      </c>
      <c r="CJ37" s="72">
        <f t="shared" si="428"/>
        <v>220</v>
      </c>
      <c r="CL37" s="13"/>
      <c r="CM37" s="13"/>
    </row>
    <row r="38" spans="1:91" x14ac:dyDescent="0.3">
      <c r="A38" s="97" t="str">
        <f>'DCS Detail'!A38</f>
        <v xml:space="preserve">   1920.2 DiscoveryMisc Revenue/Donations</v>
      </c>
      <c r="B38" s="106" t="str">
        <f>IF('DCS Detail'!$B38="","",'DCS Detail'!$B38)</f>
        <v>Grants</v>
      </c>
      <c r="C38" s="106"/>
      <c r="D38" s="106"/>
      <c r="E38" s="18">
        <v>0</v>
      </c>
      <c r="F38" s="18">
        <v>110000</v>
      </c>
      <c r="G38" s="18">
        <v>0</v>
      </c>
      <c r="H38" s="18">
        <v>0</v>
      </c>
      <c r="I38" s="18">
        <v>0</v>
      </c>
      <c r="J38" s="18">
        <v>15.5</v>
      </c>
      <c r="K38" s="18">
        <v>0</v>
      </c>
      <c r="L38" s="18">
        <v>14.30000000000291</v>
      </c>
      <c r="M38" s="18">
        <v>0</v>
      </c>
      <c r="N38" s="18">
        <v>0</v>
      </c>
      <c r="O38" s="18">
        <v>0</v>
      </c>
      <c r="P38" s="18">
        <v>0</v>
      </c>
      <c r="Q38" s="18">
        <v>0</v>
      </c>
      <c r="R38" s="18">
        <v>0</v>
      </c>
      <c r="S38" s="18">
        <v>0</v>
      </c>
      <c r="T38" s="18">
        <v>0</v>
      </c>
      <c r="U38" s="18">
        <v>260</v>
      </c>
      <c r="V38" s="18">
        <v>8.8000000000000007</v>
      </c>
      <c r="W38" s="18">
        <v>0</v>
      </c>
      <c r="X38" s="18">
        <v>0</v>
      </c>
      <c r="Y38" s="18">
        <v>0</v>
      </c>
      <c r="Z38" s="18">
        <v>0</v>
      </c>
      <c r="AA38" s="146">
        <v>0</v>
      </c>
      <c r="AB38" s="36">
        <f t="shared" si="379"/>
        <v>0</v>
      </c>
      <c r="AC38" s="36">
        <f t="shared" si="380"/>
        <v>0</v>
      </c>
      <c r="AD38" s="36">
        <f t="shared" si="381"/>
        <v>0</v>
      </c>
      <c r="AE38" s="36">
        <f t="shared" si="382"/>
        <v>0</v>
      </c>
      <c r="AF38" s="36">
        <f t="shared" si="383"/>
        <v>0</v>
      </c>
      <c r="AG38" s="36">
        <f t="shared" si="384"/>
        <v>260</v>
      </c>
      <c r="AH38" s="36">
        <f t="shared" si="385"/>
        <v>8.8000000000000007</v>
      </c>
      <c r="AI38" s="36">
        <f t="shared" si="386"/>
        <v>0</v>
      </c>
      <c r="AJ38" s="36">
        <f t="shared" si="387"/>
        <v>0</v>
      </c>
      <c r="AK38" s="36">
        <f t="shared" si="388"/>
        <v>0</v>
      </c>
      <c r="AL38" s="36">
        <f t="shared" si="389"/>
        <v>0</v>
      </c>
      <c r="AM38" s="36">
        <f t="shared" si="390"/>
        <v>0</v>
      </c>
      <c r="AN38" s="36">
        <f t="shared" si="391"/>
        <v>0</v>
      </c>
      <c r="AO38" s="36">
        <f t="shared" si="392"/>
        <v>0</v>
      </c>
      <c r="AP38" s="36">
        <f t="shared" si="393"/>
        <v>0</v>
      </c>
      <c r="AQ38" s="36">
        <f t="shared" si="394"/>
        <v>0</v>
      </c>
      <c r="AR38" s="36">
        <f t="shared" si="395"/>
        <v>0</v>
      </c>
      <c r="AS38" s="36">
        <f t="shared" si="396"/>
        <v>260</v>
      </c>
      <c r="AT38" s="36">
        <f t="shared" si="397"/>
        <v>8.8000000000000007</v>
      </c>
      <c r="AU38" s="36">
        <f t="shared" si="398"/>
        <v>0</v>
      </c>
      <c r="AV38" s="36">
        <f t="shared" si="399"/>
        <v>0</v>
      </c>
      <c r="AW38" s="36">
        <f t="shared" si="400"/>
        <v>0</v>
      </c>
      <c r="AX38" s="36">
        <f t="shared" si="401"/>
        <v>0</v>
      </c>
      <c r="AY38" s="36">
        <f t="shared" si="402"/>
        <v>0</v>
      </c>
      <c r="AZ38" s="36">
        <f t="shared" si="403"/>
        <v>0</v>
      </c>
      <c r="BA38" s="36">
        <f t="shared" si="404"/>
        <v>0</v>
      </c>
      <c r="BB38" s="36">
        <f t="shared" si="405"/>
        <v>0</v>
      </c>
      <c r="BC38" s="36">
        <f t="shared" si="406"/>
        <v>0</v>
      </c>
      <c r="BD38" s="36">
        <f t="shared" si="407"/>
        <v>0</v>
      </c>
      <c r="BE38" s="36">
        <f t="shared" si="408"/>
        <v>260</v>
      </c>
      <c r="BF38" s="36">
        <f t="shared" si="409"/>
        <v>8.8000000000000007</v>
      </c>
      <c r="BG38" s="36">
        <f t="shared" si="410"/>
        <v>0</v>
      </c>
      <c r="BH38" s="36">
        <f t="shared" si="411"/>
        <v>0</v>
      </c>
      <c r="BI38" s="36">
        <f t="shared" si="412"/>
        <v>0</v>
      </c>
      <c r="BJ38" s="36">
        <f t="shared" si="413"/>
        <v>0</v>
      </c>
      <c r="BK38" s="36">
        <f t="shared" si="414"/>
        <v>0</v>
      </c>
      <c r="BL38" s="36">
        <f t="shared" si="415"/>
        <v>0</v>
      </c>
      <c r="BM38" s="36">
        <f t="shared" si="416"/>
        <v>0</v>
      </c>
      <c r="BN38" s="36">
        <f t="shared" si="417"/>
        <v>0</v>
      </c>
      <c r="BO38" s="36">
        <f t="shared" si="418"/>
        <v>0</v>
      </c>
      <c r="BP38" s="36">
        <f t="shared" si="419"/>
        <v>0</v>
      </c>
      <c r="BQ38" s="36">
        <f t="shared" si="420"/>
        <v>260</v>
      </c>
      <c r="BR38" s="36">
        <f t="shared" si="421"/>
        <v>8.8000000000000007</v>
      </c>
      <c r="BS38" s="36">
        <f t="shared" si="422"/>
        <v>0</v>
      </c>
      <c r="BT38" s="36">
        <f t="shared" si="423"/>
        <v>0</v>
      </c>
      <c r="BU38" s="36">
        <f t="shared" si="424"/>
        <v>0</v>
      </c>
      <c r="BV38" s="36">
        <f t="shared" si="425"/>
        <v>0</v>
      </c>
      <c r="BW38" s="36">
        <f t="shared" si="426"/>
        <v>0</v>
      </c>
      <c r="BX38" s="36">
        <f t="shared" si="427"/>
        <v>0</v>
      </c>
      <c r="BY38" s="8"/>
      <c r="BZ38" s="72">
        <f t="shared" si="199"/>
        <v>0</v>
      </c>
      <c r="CA38" s="72">
        <f t="shared" si="200"/>
        <v>268.8</v>
      </c>
      <c r="CB38" s="97"/>
      <c r="CC38" s="72">
        <f t="shared" si="428"/>
        <v>0</v>
      </c>
      <c r="CD38" s="72">
        <f t="shared" si="428"/>
        <v>0</v>
      </c>
      <c r="CE38" s="72">
        <f t="shared" si="428"/>
        <v>110029.8</v>
      </c>
      <c r="CF38" s="72">
        <f t="shared" si="428"/>
        <v>268.8</v>
      </c>
      <c r="CG38" s="72">
        <f t="shared" si="428"/>
        <v>268.8</v>
      </c>
      <c r="CH38" s="72">
        <f t="shared" si="428"/>
        <v>268.8</v>
      </c>
      <c r="CI38" s="72">
        <f t="shared" si="428"/>
        <v>268.8</v>
      </c>
      <c r="CJ38" s="72">
        <f t="shared" si="428"/>
        <v>268.8</v>
      </c>
      <c r="CL38" s="13"/>
      <c r="CM38" s="13"/>
    </row>
    <row r="39" spans="1:91" x14ac:dyDescent="0.3">
      <c r="A39" s="97" t="str">
        <f>'DCS Detail'!A39</f>
        <v xml:space="preserve">   1921.1 DAP ACHIEVEMENT</v>
      </c>
      <c r="B39" s="106" t="str">
        <f>IF('DCS Detail'!$B39="","",'DCS Detail'!$B39)</f>
        <v>DAP</v>
      </c>
      <c r="C39" s="106"/>
      <c r="D39" s="106"/>
      <c r="E39" s="18">
        <v>0</v>
      </c>
      <c r="F39" s="18">
        <v>0</v>
      </c>
      <c r="G39" s="18">
        <v>832</v>
      </c>
      <c r="H39" s="18">
        <v>797.28</v>
      </c>
      <c r="I39" s="18">
        <v>295</v>
      </c>
      <c r="J39" s="18">
        <f>554.76-26</f>
        <v>528.76</v>
      </c>
      <c r="K39" s="18">
        <v>527</v>
      </c>
      <c r="L39" s="18">
        <v>628</v>
      </c>
      <c r="M39" s="18">
        <v>1173</v>
      </c>
      <c r="N39" s="18">
        <v>852</v>
      </c>
      <c r="O39" s="18">
        <v>827.26</v>
      </c>
      <c r="P39" s="18">
        <v>145.86000000000001</v>
      </c>
      <c r="Q39" s="18">
        <v>178.2</v>
      </c>
      <c r="R39" s="18">
        <v>816.81</v>
      </c>
      <c r="S39" s="18">
        <v>765.61</v>
      </c>
      <c r="T39" s="18">
        <v>928.56</v>
      </c>
      <c r="U39" s="18">
        <v>621.13</v>
      </c>
      <c r="V39" s="18">
        <v>611.58000000000004</v>
      </c>
      <c r="W39" s="18">
        <v>519.32000000000005</v>
      </c>
      <c r="X39" s="18">
        <v>930.64</v>
      </c>
      <c r="Y39" s="18">
        <v>1059.8</v>
      </c>
      <c r="Z39" s="18">
        <v>353.58</v>
      </c>
      <c r="AA39" s="146">
        <v>498.72</v>
      </c>
      <c r="AB39" s="36">
        <f t="shared" ref="AB39:BD39" si="429">P39*(1+AB$262)</f>
        <v>145.86000000000001</v>
      </c>
      <c r="AC39" s="36">
        <f t="shared" si="429"/>
        <v>297</v>
      </c>
      <c r="AD39" s="36">
        <f t="shared" si="429"/>
        <v>1361.35</v>
      </c>
      <c r="AE39" s="36">
        <f t="shared" si="429"/>
        <v>1276.0166666666667</v>
      </c>
      <c r="AF39" s="36">
        <f t="shared" si="429"/>
        <v>1547.6</v>
      </c>
      <c r="AG39" s="36">
        <f t="shared" si="429"/>
        <v>1035.2166666666667</v>
      </c>
      <c r="AH39" s="36">
        <f t="shared" si="429"/>
        <v>1019.3000000000001</v>
      </c>
      <c r="AI39" s="36">
        <f t="shared" si="429"/>
        <v>865.53333333333342</v>
      </c>
      <c r="AJ39" s="36">
        <f t="shared" si="429"/>
        <v>1551.0666666666666</v>
      </c>
      <c r="AK39" s="36">
        <f t="shared" si="429"/>
        <v>1766.3333333333333</v>
      </c>
      <c r="AL39" s="36">
        <f t="shared" si="429"/>
        <v>589.29999999999995</v>
      </c>
      <c r="AM39" s="36">
        <f t="shared" si="429"/>
        <v>831.2</v>
      </c>
      <c r="AN39" s="36">
        <f t="shared" si="429"/>
        <v>243.10000000000002</v>
      </c>
      <c r="AO39" s="36">
        <f t="shared" si="429"/>
        <v>356.4</v>
      </c>
      <c r="AP39" s="36">
        <f t="shared" si="429"/>
        <v>1633.62</v>
      </c>
      <c r="AQ39" s="36">
        <f t="shared" si="429"/>
        <v>1531.22</v>
      </c>
      <c r="AR39" s="36">
        <f t="shared" si="429"/>
        <v>1857.12</v>
      </c>
      <c r="AS39" s="36">
        <f t="shared" si="429"/>
        <v>1242.26</v>
      </c>
      <c r="AT39" s="36">
        <f t="shared" si="429"/>
        <v>1223.1600000000001</v>
      </c>
      <c r="AU39" s="36">
        <f t="shared" si="429"/>
        <v>1038.6400000000001</v>
      </c>
      <c r="AV39" s="36">
        <f t="shared" si="429"/>
        <v>1861.2799999999997</v>
      </c>
      <c r="AW39" s="36">
        <f t="shared" si="429"/>
        <v>2119.6</v>
      </c>
      <c r="AX39" s="36">
        <f t="shared" si="429"/>
        <v>707.16</v>
      </c>
      <c r="AY39" s="36">
        <f t="shared" si="429"/>
        <v>997.44</v>
      </c>
      <c r="AZ39" s="36">
        <f t="shared" si="429"/>
        <v>291.72000000000003</v>
      </c>
      <c r="BA39" s="36">
        <f t="shared" si="429"/>
        <v>374.21999999999997</v>
      </c>
      <c r="BB39" s="36">
        <f t="shared" si="429"/>
        <v>1715.3009999999999</v>
      </c>
      <c r="BC39" s="36">
        <f t="shared" si="429"/>
        <v>1607.7810000000002</v>
      </c>
      <c r="BD39" s="36">
        <f t="shared" si="429"/>
        <v>1949.9759999999999</v>
      </c>
      <c r="BE39" s="36">
        <f t="shared" ref="BE39:BX39" si="430">AS39*(1+BE$262)</f>
        <v>1304.373</v>
      </c>
      <c r="BF39" s="36">
        <f t="shared" si="430"/>
        <v>1284.3180000000002</v>
      </c>
      <c r="BG39" s="36">
        <f t="shared" si="430"/>
        <v>1090.5720000000001</v>
      </c>
      <c r="BH39" s="36">
        <f t="shared" si="430"/>
        <v>1954.3439999999998</v>
      </c>
      <c r="BI39" s="36">
        <f t="shared" si="430"/>
        <v>2225.58</v>
      </c>
      <c r="BJ39" s="36">
        <f t="shared" si="430"/>
        <v>742.51800000000003</v>
      </c>
      <c r="BK39" s="36">
        <f t="shared" si="430"/>
        <v>1047.3120000000001</v>
      </c>
      <c r="BL39" s="36">
        <f t="shared" si="430"/>
        <v>306.30600000000004</v>
      </c>
      <c r="BM39" s="36">
        <f t="shared" si="430"/>
        <v>392.93099999999998</v>
      </c>
      <c r="BN39" s="36">
        <f t="shared" si="430"/>
        <v>1801.0660499999999</v>
      </c>
      <c r="BO39" s="36">
        <f t="shared" si="430"/>
        <v>1688.1700500000002</v>
      </c>
      <c r="BP39" s="36">
        <f t="shared" si="430"/>
        <v>2047.4748</v>
      </c>
      <c r="BQ39" s="36">
        <f t="shared" si="430"/>
        <v>1369.5916500000001</v>
      </c>
      <c r="BR39" s="36">
        <f t="shared" si="430"/>
        <v>1348.5339000000004</v>
      </c>
      <c r="BS39" s="36">
        <f t="shared" si="430"/>
        <v>1145.1006000000002</v>
      </c>
      <c r="BT39" s="36">
        <f t="shared" si="430"/>
        <v>2052.0612000000001</v>
      </c>
      <c r="BU39" s="36">
        <f t="shared" si="430"/>
        <v>2336.8589999999999</v>
      </c>
      <c r="BV39" s="36">
        <f t="shared" si="430"/>
        <v>779.64390000000003</v>
      </c>
      <c r="BW39" s="36">
        <f t="shared" si="430"/>
        <v>1099.6776000000002</v>
      </c>
      <c r="BX39" s="36">
        <f t="shared" si="430"/>
        <v>321.62130000000008</v>
      </c>
      <c r="BY39" s="8"/>
      <c r="BZ39" s="72">
        <f t="shared" si="199"/>
        <v>498.72</v>
      </c>
      <c r="CA39" s="72">
        <f t="shared" si="200"/>
        <v>7283.9500000000007</v>
      </c>
      <c r="CB39" s="97"/>
      <c r="CC39" s="72">
        <f t="shared" si="428"/>
        <v>0</v>
      </c>
      <c r="CD39" s="72">
        <f t="shared" si="428"/>
        <v>0</v>
      </c>
      <c r="CE39" s="72">
        <f t="shared" si="428"/>
        <v>6606.16</v>
      </c>
      <c r="CF39" s="72">
        <f t="shared" si="428"/>
        <v>7429.81</v>
      </c>
      <c r="CG39" s="72">
        <f t="shared" si="428"/>
        <v>12383.01666666667</v>
      </c>
      <c r="CH39" s="72">
        <f t="shared" si="428"/>
        <v>14859.62</v>
      </c>
      <c r="CI39" s="72">
        <f t="shared" si="428"/>
        <v>15602.601000000001</v>
      </c>
      <c r="CJ39" s="72">
        <f t="shared" si="428"/>
        <v>16382.731050000002</v>
      </c>
      <c r="CL39" s="13"/>
      <c r="CM39" s="13"/>
    </row>
    <row r="40" spans="1:91" x14ac:dyDescent="0.3">
      <c r="A40" s="97" t="str">
        <f>'DCS Detail'!A40</f>
        <v xml:space="preserve">   1921.2 DAP Scholarship</v>
      </c>
      <c r="B40" s="106" t="str">
        <f>IF('DCS Detail'!$B40="","",'DCS Detail'!$B40)</f>
        <v>DAP</v>
      </c>
      <c r="C40" s="106"/>
      <c r="D40" s="106"/>
      <c r="E40" s="18">
        <v>0</v>
      </c>
      <c r="F40" s="18">
        <v>0</v>
      </c>
      <c r="G40" s="18">
        <v>0</v>
      </c>
      <c r="H40" s="18">
        <v>2000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46">
        <v>0</v>
      </c>
      <c r="AB40" s="36">
        <f t="shared" si="379"/>
        <v>0</v>
      </c>
      <c r="AC40" s="36">
        <f t="shared" si="380"/>
        <v>0</v>
      </c>
      <c r="AD40" s="36">
        <f t="shared" si="381"/>
        <v>0</v>
      </c>
      <c r="AE40" s="36">
        <f t="shared" si="382"/>
        <v>0</v>
      </c>
      <c r="AF40" s="36">
        <f t="shared" si="383"/>
        <v>0</v>
      </c>
      <c r="AG40" s="36">
        <f t="shared" si="384"/>
        <v>0</v>
      </c>
      <c r="AH40" s="36">
        <f t="shared" si="385"/>
        <v>0</v>
      </c>
      <c r="AI40" s="36">
        <f t="shared" si="386"/>
        <v>0</v>
      </c>
      <c r="AJ40" s="36">
        <f t="shared" si="387"/>
        <v>0</v>
      </c>
      <c r="AK40" s="36">
        <f t="shared" si="388"/>
        <v>0</v>
      </c>
      <c r="AL40" s="36">
        <f t="shared" si="389"/>
        <v>0</v>
      </c>
      <c r="AM40" s="36">
        <f t="shared" si="390"/>
        <v>0</v>
      </c>
      <c r="AN40" s="36">
        <f t="shared" si="391"/>
        <v>0</v>
      </c>
      <c r="AO40" s="36">
        <f t="shared" si="392"/>
        <v>0</v>
      </c>
      <c r="AP40" s="36">
        <f t="shared" si="393"/>
        <v>0</v>
      </c>
      <c r="AQ40" s="36">
        <f t="shared" si="394"/>
        <v>0</v>
      </c>
      <c r="AR40" s="36">
        <f t="shared" si="395"/>
        <v>0</v>
      </c>
      <c r="AS40" s="36">
        <f t="shared" si="396"/>
        <v>0</v>
      </c>
      <c r="AT40" s="36">
        <f t="shared" si="397"/>
        <v>0</v>
      </c>
      <c r="AU40" s="36">
        <f t="shared" si="398"/>
        <v>0</v>
      </c>
      <c r="AV40" s="36">
        <f t="shared" si="399"/>
        <v>0</v>
      </c>
      <c r="AW40" s="36">
        <f t="shared" si="400"/>
        <v>0</v>
      </c>
      <c r="AX40" s="36">
        <f t="shared" si="401"/>
        <v>0</v>
      </c>
      <c r="AY40" s="36">
        <f t="shared" si="402"/>
        <v>0</v>
      </c>
      <c r="AZ40" s="36">
        <f t="shared" si="403"/>
        <v>0</v>
      </c>
      <c r="BA40" s="36">
        <f t="shared" si="404"/>
        <v>0</v>
      </c>
      <c r="BB40" s="36">
        <f t="shared" si="405"/>
        <v>0</v>
      </c>
      <c r="BC40" s="36">
        <f t="shared" si="406"/>
        <v>0</v>
      </c>
      <c r="BD40" s="36">
        <f t="shared" si="407"/>
        <v>0</v>
      </c>
      <c r="BE40" s="36">
        <f t="shared" si="408"/>
        <v>0</v>
      </c>
      <c r="BF40" s="36">
        <f t="shared" si="409"/>
        <v>0</v>
      </c>
      <c r="BG40" s="36">
        <f t="shared" si="410"/>
        <v>0</v>
      </c>
      <c r="BH40" s="36">
        <f t="shared" si="411"/>
        <v>0</v>
      </c>
      <c r="BI40" s="36">
        <f t="shared" si="412"/>
        <v>0</v>
      </c>
      <c r="BJ40" s="36">
        <f t="shared" si="413"/>
        <v>0</v>
      </c>
      <c r="BK40" s="36">
        <f t="shared" si="414"/>
        <v>0</v>
      </c>
      <c r="BL40" s="36">
        <f t="shared" si="415"/>
        <v>0</v>
      </c>
      <c r="BM40" s="36">
        <f t="shared" si="416"/>
        <v>0</v>
      </c>
      <c r="BN40" s="36">
        <f t="shared" si="417"/>
        <v>0</v>
      </c>
      <c r="BO40" s="36">
        <f t="shared" si="418"/>
        <v>0</v>
      </c>
      <c r="BP40" s="36">
        <f t="shared" si="419"/>
        <v>0</v>
      </c>
      <c r="BQ40" s="36">
        <f t="shared" si="420"/>
        <v>0</v>
      </c>
      <c r="BR40" s="36">
        <f t="shared" si="421"/>
        <v>0</v>
      </c>
      <c r="BS40" s="36">
        <f t="shared" si="422"/>
        <v>0</v>
      </c>
      <c r="BT40" s="36">
        <f t="shared" si="423"/>
        <v>0</v>
      </c>
      <c r="BU40" s="36">
        <f t="shared" si="424"/>
        <v>0</v>
      </c>
      <c r="BV40" s="36">
        <f t="shared" si="425"/>
        <v>0</v>
      </c>
      <c r="BW40" s="36">
        <f t="shared" si="426"/>
        <v>0</v>
      </c>
      <c r="BX40" s="36">
        <f t="shared" si="427"/>
        <v>0</v>
      </c>
      <c r="BY40" s="8"/>
      <c r="BZ40" s="72">
        <f t="shared" si="199"/>
        <v>0</v>
      </c>
      <c r="CA40" s="72">
        <f t="shared" si="200"/>
        <v>0</v>
      </c>
      <c r="CB40" s="97"/>
      <c r="CC40" s="72">
        <f t="shared" si="428"/>
        <v>0</v>
      </c>
      <c r="CD40" s="72">
        <f t="shared" si="428"/>
        <v>0</v>
      </c>
      <c r="CE40" s="72">
        <f t="shared" si="428"/>
        <v>2000</v>
      </c>
      <c r="CF40" s="72">
        <f t="shared" si="428"/>
        <v>0</v>
      </c>
      <c r="CG40" s="72">
        <f t="shared" si="428"/>
        <v>0</v>
      </c>
      <c r="CH40" s="72">
        <f t="shared" si="428"/>
        <v>0</v>
      </c>
      <c r="CI40" s="72">
        <f t="shared" si="428"/>
        <v>0</v>
      </c>
      <c r="CJ40" s="72">
        <f t="shared" si="428"/>
        <v>0</v>
      </c>
      <c r="CL40" s="13"/>
      <c r="CM40" s="13"/>
    </row>
    <row r="41" spans="1:91" x14ac:dyDescent="0.3">
      <c r="A41" s="97" t="str">
        <f>'DCS Detail'!A41</f>
        <v xml:space="preserve">      1940.10 Garden</v>
      </c>
      <c r="B41" s="106" t="str">
        <f>IF('DCS Detail'!$B41="","",'DCS Detail'!$B41)</f>
        <v>Other</v>
      </c>
      <c r="C41" s="106"/>
      <c r="D41" s="106"/>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46">
        <v>53</v>
      </c>
      <c r="AB41" s="36">
        <f t="shared" si="379"/>
        <v>0</v>
      </c>
      <c r="AC41" s="36">
        <f t="shared" si="380"/>
        <v>0</v>
      </c>
      <c r="AD41" s="36">
        <f t="shared" si="381"/>
        <v>0</v>
      </c>
      <c r="AE41" s="36">
        <f t="shared" si="382"/>
        <v>0</v>
      </c>
      <c r="AF41" s="36">
        <f t="shared" si="383"/>
        <v>0</v>
      </c>
      <c r="AG41" s="36">
        <f t="shared" si="384"/>
        <v>0</v>
      </c>
      <c r="AH41" s="36">
        <f t="shared" si="385"/>
        <v>0</v>
      </c>
      <c r="AI41" s="36">
        <f t="shared" si="386"/>
        <v>0</v>
      </c>
      <c r="AJ41" s="36">
        <f t="shared" si="387"/>
        <v>0</v>
      </c>
      <c r="AK41" s="36">
        <f t="shared" si="388"/>
        <v>0</v>
      </c>
      <c r="AL41" s="36">
        <f t="shared" si="389"/>
        <v>0</v>
      </c>
      <c r="AM41" s="36">
        <f t="shared" si="390"/>
        <v>53</v>
      </c>
      <c r="AN41" s="36">
        <f t="shared" si="391"/>
        <v>0</v>
      </c>
      <c r="AO41" s="36">
        <f t="shared" si="392"/>
        <v>0</v>
      </c>
      <c r="AP41" s="36">
        <f t="shared" si="393"/>
        <v>0</v>
      </c>
      <c r="AQ41" s="36">
        <f t="shared" si="394"/>
        <v>0</v>
      </c>
      <c r="AR41" s="36">
        <f t="shared" si="395"/>
        <v>0</v>
      </c>
      <c r="AS41" s="36">
        <f t="shared" si="396"/>
        <v>0</v>
      </c>
      <c r="AT41" s="36">
        <f t="shared" si="397"/>
        <v>0</v>
      </c>
      <c r="AU41" s="36">
        <f t="shared" si="398"/>
        <v>0</v>
      </c>
      <c r="AV41" s="36">
        <f t="shared" si="399"/>
        <v>0</v>
      </c>
      <c r="AW41" s="36">
        <f t="shared" si="400"/>
        <v>0</v>
      </c>
      <c r="AX41" s="36">
        <f t="shared" si="401"/>
        <v>0</v>
      </c>
      <c r="AY41" s="36">
        <f t="shared" si="402"/>
        <v>53</v>
      </c>
      <c r="AZ41" s="36">
        <f t="shared" si="403"/>
        <v>0</v>
      </c>
      <c r="BA41" s="36">
        <f t="shared" si="404"/>
        <v>0</v>
      </c>
      <c r="BB41" s="36">
        <f t="shared" si="405"/>
        <v>0</v>
      </c>
      <c r="BC41" s="36">
        <f t="shared" si="406"/>
        <v>0</v>
      </c>
      <c r="BD41" s="36">
        <f t="shared" si="407"/>
        <v>0</v>
      </c>
      <c r="BE41" s="36">
        <f t="shared" si="408"/>
        <v>0</v>
      </c>
      <c r="BF41" s="36">
        <f t="shared" si="409"/>
        <v>0</v>
      </c>
      <c r="BG41" s="36">
        <f t="shared" si="410"/>
        <v>0</v>
      </c>
      <c r="BH41" s="36">
        <f t="shared" si="411"/>
        <v>0</v>
      </c>
      <c r="BI41" s="36">
        <f t="shared" si="412"/>
        <v>0</v>
      </c>
      <c r="BJ41" s="36">
        <f t="shared" si="413"/>
        <v>0</v>
      </c>
      <c r="BK41" s="36">
        <f t="shared" si="414"/>
        <v>53</v>
      </c>
      <c r="BL41" s="36">
        <f t="shared" si="415"/>
        <v>0</v>
      </c>
      <c r="BM41" s="36">
        <f t="shared" si="416"/>
        <v>0</v>
      </c>
      <c r="BN41" s="36">
        <f t="shared" si="417"/>
        <v>0</v>
      </c>
      <c r="BO41" s="36">
        <f t="shared" si="418"/>
        <v>0</v>
      </c>
      <c r="BP41" s="36">
        <f t="shared" si="419"/>
        <v>0</v>
      </c>
      <c r="BQ41" s="36">
        <f t="shared" si="420"/>
        <v>0</v>
      </c>
      <c r="BR41" s="36">
        <f t="shared" si="421"/>
        <v>0</v>
      </c>
      <c r="BS41" s="36">
        <f t="shared" si="422"/>
        <v>0</v>
      </c>
      <c r="BT41" s="36">
        <f t="shared" si="423"/>
        <v>0</v>
      </c>
      <c r="BU41" s="36">
        <f t="shared" si="424"/>
        <v>0</v>
      </c>
      <c r="BV41" s="36">
        <f t="shared" si="425"/>
        <v>0</v>
      </c>
      <c r="BW41" s="36">
        <f t="shared" si="426"/>
        <v>53</v>
      </c>
      <c r="BX41" s="36">
        <f t="shared" si="427"/>
        <v>0</v>
      </c>
      <c r="BY41" s="8"/>
      <c r="BZ41" s="72">
        <f t="shared" si="199"/>
        <v>53</v>
      </c>
      <c r="CA41" s="72">
        <f t="shared" si="200"/>
        <v>53</v>
      </c>
      <c r="CB41" s="97"/>
      <c r="CC41" s="72">
        <f t="shared" si="428"/>
        <v>0</v>
      </c>
      <c r="CD41" s="72">
        <f t="shared" si="428"/>
        <v>0</v>
      </c>
      <c r="CE41" s="72">
        <f t="shared" si="428"/>
        <v>0</v>
      </c>
      <c r="CF41" s="72">
        <f t="shared" si="428"/>
        <v>53</v>
      </c>
      <c r="CG41" s="72">
        <f t="shared" si="428"/>
        <v>53</v>
      </c>
      <c r="CH41" s="72">
        <f t="shared" si="428"/>
        <v>53</v>
      </c>
      <c r="CI41" s="72">
        <f t="shared" si="428"/>
        <v>53</v>
      </c>
      <c r="CJ41" s="72">
        <f t="shared" si="428"/>
        <v>53</v>
      </c>
      <c r="CL41" s="13"/>
      <c r="CM41" s="13"/>
    </row>
    <row r="42" spans="1:91" x14ac:dyDescent="0.3">
      <c r="A42" s="97" t="str">
        <f>'DCS Detail'!A42</f>
        <v xml:space="preserve">   1950 SUNSHINE COMMITTEE INCOME</v>
      </c>
      <c r="B42" s="106" t="str">
        <f>IF('DCS Detail'!$B42="","",'DCS Detail'!$B42)</f>
        <v>Other</v>
      </c>
      <c r="C42" s="106"/>
      <c r="D42" s="106"/>
      <c r="E42" s="18">
        <v>0</v>
      </c>
      <c r="F42" s="18">
        <v>0</v>
      </c>
      <c r="G42" s="18">
        <v>59.6</v>
      </c>
      <c r="H42" s="18">
        <v>26.4</v>
      </c>
      <c r="I42" s="18">
        <v>0</v>
      </c>
      <c r="J42" s="18">
        <v>0</v>
      </c>
      <c r="K42" s="18">
        <v>0</v>
      </c>
      <c r="L42" s="18">
        <v>2.2000000000000028</v>
      </c>
      <c r="M42" s="18">
        <v>0</v>
      </c>
      <c r="N42" s="18">
        <v>0</v>
      </c>
      <c r="O42" s="18">
        <v>0</v>
      </c>
      <c r="P42" s="18">
        <v>0</v>
      </c>
      <c r="Q42" s="18">
        <v>0</v>
      </c>
      <c r="R42" s="18">
        <v>0</v>
      </c>
      <c r="S42" s="18">
        <v>0</v>
      </c>
      <c r="T42" s="18">
        <v>74.8</v>
      </c>
      <c r="U42" s="18">
        <v>15.4</v>
      </c>
      <c r="V42" s="18">
        <v>0</v>
      </c>
      <c r="W42" s="18">
        <v>0</v>
      </c>
      <c r="X42" s="18">
        <v>0</v>
      </c>
      <c r="Y42" s="18">
        <v>0</v>
      </c>
      <c r="Z42" s="18">
        <v>0</v>
      </c>
      <c r="AA42" s="146">
        <v>0</v>
      </c>
      <c r="AB42" s="36">
        <f t="shared" si="379"/>
        <v>0</v>
      </c>
      <c r="AC42" s="36">
        <f t="shared" si="380"/>
        <v>0</v>
      </c>
      <c r="AD42" s="36">
        <f t="shared" si="381"/>
        <v>0</v>
      </c>
      <c r="AE42" s="36">
        <f t="shared" si="382"/>
        <v>0</v>
      </c>
      <c r="AF42" s="36">
        <f t="shared" si="383"/>
        <v>74.8</v>
      </c>
      <c r="AG42" s="36">
        <f t="shared" si="384"/>
        <v>15.4</v>
      </c>
      <c r="AH42" s="36">
        <f t="shared" si="385"/>
        <v>0</v>
      </c>
      <c r="AI42" s="36">
        <f t="shared" si="386"/>
        <v>0</v>
      </c>
      <c r="AJ42" s="36">
        <f t="shared" si="387"/>
        <v>0</v>
      </c>
      <c r="AK42" s="36">
        <f t="shared" si="388"/>
        <v>0</v>
      </c>
      <c r="AL42" s="36">
        <f t="shared" si="389"/>
        <v>0</v>
      </c>
      <c r="AM42" s="36">
        <f t="shared" si="390"/>
        <v>0</v>
      </c>
      <c r="AN42" s="36">
        <f t="shared" si="391"/>
        <v>0</v>
      </c>
      <c r="AO42" s="36">
        <f t="shared" si="392"/>
        <v>0</v>
      </c>
      <c r="AP42" s="36">
        <f t="shared" si="393"/>
        <v>0</v>
      </c>
      <c r="AQ42" s="36">
        <f t="shared" si="394"/>
        <v>0</v>
      </c>
      <c r="AR42" s="36">
        <f t="shared" si="395"/>
        <v>74.8</v>
      </c>
      <c r="AS42" s="36">
        <f t="shared" si="396"/>
        <v>15.4</v>
      </c>
      <c r="AT42" s="36">
        <f t="shared" si="397"/>
        <v>0</v>
      </c>
      <c r="AU42" s="36">
        <f t="shared" si="398"/>
        <v>0</v>
      </c>
      <c r="AV42" s="36">
        <f t="shared" si="399"/>
        <v>0</v>
      </c>
      <c r="AW42" s="36">
        <f t="shared" si="400"/>
        <v>0</v>
      </c>
      <c r="AX42" s="36">
        <f t="shared" si="401"/>
        <v>0</v>
      </c>
      <c r="AY42" s="36">
        <f t="shared" si="402"/>
        <v>0</v>
      </c>
      <c r="AZ42" s="36">
        <f t="shared" si="403"/>
        <v>0</v>
      </c>
      <c r="BA42" s="36">
        <f t="shared" si="404"/>
        <v>0</v>
      </c>
      <c r="BB42" s="36">
        <f t="shared" si="405"/>
        <v>0</v>
      </c>
      <c r="BC42" s="36">
        <f t="shared" si="406"/>
        <v>0</v>
      </c>
      <c r="BD42" s="36">
        <f t="shared" si="407"/>
        <v>74.8</v>
      </c>
      <c r="BE42" s="36">
        <f t="shared" si="408"/>
        <v>15.4</v>
      </c>
      <c r="BF42" s="36">
        <f t="shared" si="409"/>
        <v>0</v>
      </c>
      <c r="BG42" s="36">
        <f t="shared" si="410"/>
        <v>0</v>
      </c>
      <c r="BH42" s="36">
        <f t="shared" si="411"/>
        <v>0</v>
      </c>
      <c r="BI42" s="36">
        <f t="shared" si="412"/>
        <v>0</v>
      </c>
      <c r="BJ42" s="36">
        <f t="shared" si="413"/>
        <v>0</v>
      </c>
      <c r="BK42" s="36">
        <f t="shared" si="414"/>
        <v>0</v>
      </c>
      <c r="BL42" s="36">
        <f t="shared" si="415"/>
        <v>0</v>
      </c>
      <c r="BM42" s="36">
        <f t="shared" si="416"/>
        <v>0</v>
      </c>
      <c r="BN42" s="36">
        <f t="shared" si="417"/>
        <v>0</v>
      </c>
      <c r="BO42" s="36">
        <f t="shared" si="418"/>
        <v>0</v>
      </c>
      <c r="BP42" s="36">
        <f t="shared" si="419"/>
        <v>74.8</v>
      </c>
      <c r="BQ42" s="36">
        <f t="shared" si="420"/>
        <v>15.4</v>
      </c>
      <c r="BR42" s="36">
        <f t="shared" si="421"/>
        <v>0</v>
      </c>
      <c r="BS42" s="36">
        <f t="shared" si="422"/>
        <v>0</v>
      </c>
      <c r="BT42" s="36">
        <f t="shared" si="423"/>
        <v>0</v>
      </c>
      <c r="BU42" s="36">
        <f t="shared" si="424"/>
        <v>0</v>
      </c>
      <c r="BV42" s="36">
        <f t="shared" si="425"/>
        <v>0</v>
      </c>
      <c r="BW42" s="36">
        <f t="shared" si="426"/>
        <v>0</v>
      </c>
      <c r="BX42" s="36">
        <f t="shared" si="427"/>
        <v>0</v>
      </c>
      <c r="BY42" s="8"/>
      <c r="BZ42" s="72">
        <f t="shared" si="199"/>
        <v>0</v>
      </c>
      <c r="CA42" s="72">
        <f t="shared" si="200"/>
        <v>90.2</v>
      </c>
      <c r="CB42" s="97"/>
      <c r="CC42" s="72">
        <f t="shared" si="428"/>
        <v>0</v>
      </c>
      <c r="CD42" s="72">
        <f t="shared" si="428"/>
        <v>0</v>
      </c>
      <c r="CE42" s="72">
        <f t="shared" si="428"/>
        <v>88.2</v>
      </c>
      <c r="CF42" s="72">
        <f t="shared" si="428"/>
        <v>90.2</v>
      </c>
      <c r="CG42" s="72">
        <f t="shared" si="428"/>
        <v>90.2</v>
      </c>
      <c r="CH42" s="72">
        <f t="shared" si="428"/>
        <v>90.2</v>
      </c>
      <c r="CI42" s="72">
        <f t="shared" si="428"/>
        <v>90.2</v>
      </c>
      <c r="CJ42" s="72">
        <f t="shared" si="428"/>
        <v>90.2</v>
      </c>
      <c r="CL42" s="13"/>
      <c r="CM42" s="13"/>
    </row>
    <row r="43" spans="1:91" x14ac:dyDescent="0.3">
      <c r="A43" s="97" t="str">
        <f>'DCS Detail'!A43</f>
        <v xml:space="preserve">   1960 Sports Income</v>
      </c>
      <c r="B43" s="106" t="str">
        <f>IF('DCS Detail'!$B43="","",'DCS Detail'!$B43)</f>
        <v>Other</v>
      </c>
      <c r="C43" s="106">
        <v>0</v>
      </c>
      <c r="D43" s="106">
        <v>0</v>
      </c>
      <c r="E43" s="18">
        <v>0</v>
      </c>
      <c r="F43" s="18">
        <v>0</v>
      </c>
      <c r="G43" s="18">
        <v>0</v>
      </c>
      <c r="H43" s="18">
        <v>0</v>
      </c>
      <c r="I43" s="18">
        <v>0</v>
      </c>
      <c r="J43" s="18">
        <v>0</v>
      </c>
      <c r="K43" s="18">
        <v>0</v>
      </c>
      <c r="L43" s="18">
        <v>0</v>
      </c>
      <c r="M43" s="18">
        <v>980</v>
      </c>
      <c r="N43" s="18">
        <v>120</v>
      </c>
      <c r="O43" s="18">
        <v>0</v>
      </c>
      <c r="P43" s="18">
        <v>0</v>
      </c>
      <c r="Q43" s="18">
        <v>0</v>
      </c>
      <c r="R43" s="18">
        <v>0</v>
      </c>
      <c r="S43" s="18">
        <v>165</v>
      </c>
      <c r="T43" s="18">
        <v>0</v>
      </c>
      <c r="U43" s="18">
        <v>0</v>
      </c>
      <c r="V43" s="18">
        <v>0</v>
      </c>
      <c r="W43" s="18">
        <v>1140</v>
      </c>
      <c r="X43" s="18">
        <v>0</v>
      </c>
      <c r="Y43" s="18">
        <v>0</v>
      </c>
      <c r="Z43" s="18">
        <v>0</v>
      </c>
      <c r="AA43" s="146">
        <v>140</v>
      </c>
      <c r="AB43" s="36">
        <f t="shared" si="379"/>
        <v>0</v>
      </c>
      <c r="AC43" s="36">
        <f t="shared" si="380"/>
        <v>0</v>
      </c>
      <c r="AD43" s="36">
        <f t="shared" si="381"/>
        <v>0</v>
      </c>
      <c r="AE43" s="36">
        <f t="shared" si="382"/>
        <v>165</v>
      </c>
      <c r="AF43" s="36">
        <f t="shared" si="383"/>
        <v>0</v>
      </c>
      <c r="AG43" s="36">
        <f t="shared" si="384"/>
        <v>0</v>
      </c>
      <c r="AH43" s="36">
        <f t="shared" si="385"/>
        <v>0</v>
      </c>
      <c r="AI43" s="36">
        <f t="shared" si="386"/>
        <v>1140</v>
      </c>
      <c r="AJ43" s="36">
        <f t="shared" si="387"/>
        <v>0</v>
      </c>
      <c r="AK43" s="36">
        <f t="shared" si="388"/>
        <v>0</v>
      </c>
      <c r="AL43" s="36">
        <f t="shared" si="389"/>
        <v>0</v>
      </c>
      <c r="AM43" s="36">
        <f t="shared" si="390"/>
        <v>140</v>
      </c>
      <c r="AN43" s="36">
        <f t="shared" si="391"/>
        <v>0</v>
      </c>
      <c r="AO43" s="36">
        <f t="shared" si="392"/>
        <v>0</v>
      </c>
      <c r="AP43" s="36">
        <f t="shared" si="393"/>
        <v>0</v>
      </c>
      <c r="AQ43" s="36">
        <f t="shared" si="394"/>
        <v>165</v>
      </c>
      <c r="AR43" s="36">
        <f t="shared" si="395"/>
        <v>0</v>
      </c>
      <c r="AS43" s="36">
        <f t="shared" si="396"/>
        <v>0</v>
      </c>
      <c r="AT43" s="36">
        <f t="shared" si="397"/>
        <v>0</v>
      </c>
      <c r="AU43" s="36">
        <f t="shared" si="398"/>
        <v>1140</v>
      </c>
      <c r="AV43" s="36">
        <f t="shared" si="399"/>
        <v>0</v>
      </c>
      <c r="AW43" s="36">
        <f t="shared" si="400"/>
        <v>0</v>
      </c>
      <c r="AX43" s="36">
        <f t="shared" si="401"/>
        <v>0</v>
      </c>
      <c r="AY43" s="36">
        <f t="shared" si="402"/>
        <v>140</v>
      </c>
      <c r="AZ43" s="36">
        <f t="shared" si="403"/>
        <v>0</v>
      </c>
      <c r="BA43" s="36">
        <f t="shared" si="404"/>
        <v>0</v>
      </c>
      <c r="BB43" s="36">
        <f t="shared" si="405"/>
        <v>0</v>
      </c>
      <c r="BC43" s="36">
        <f t="shared" si="406"/>
        <v>165</v>
      </c>
      <c r="BD43" s="36">
        <f t="shared" si="407"/>
        <v>0</v>
      </c>
      <c r="BE43" s="36">
        <f t="shared" si="408"/>
        <v>0</v>
      </c>
      <c r="BF43" s="36">
        <f t="shared" si="409"/>
        <v>0</v>
      </c>
      <c r="BG43" s="36">
        <f t="shared" si="410"/>
        <v>1140</v>
      </c>
      <c r="BH43" s="36">
        <f t="shared" si="411"/>
        <v>0</v>
      </c>
      <c r="BI43" s="36">
        <f t="shared" si="412"/>
        <v>0</v>
      </c>
      <c r="BJ43" s="36">
        <f t="shared" si="413"/>
        <v>0</v>
      </c>
      <c r="BK43" s="36">
        <f t="shared" si="414"/>
        <v>140</v>
      </c>
      <c r="BL43" s="36">
        <f t="shared" si="415"/>
        <v>0</v>
      </c>
      <c r="BM43" s="36">
        <f t="shared" si="416"/>
        <v>0</v>
      </c>
      <c r="BN43" s="36">
        <f t="shared" si="417"/>
        <v>0</v>
      </c>
      <c r="BO43" s="36">
        <f t="shared" si="418"/>
        <v>165</v>
      </c>
      <c r="BP43" s="36">
        <f t="shared" si="419"/>
        <v>0</v>
      </c>
      <c r="BQ43" s="36">
        <f t="shared" si="420"/>
        <v>0</v>
      </c>
      <c r="BR43" s="36">
        <f t="shared" si="421"/>
        <v>0</v>
      </c>
      <c r="BS43" s="36">
        <f t="shared" si="422"/>
        <v>1140</v>
      </c>
      <c r="BT43" s="36">
        <f t="shared" si="423"/>
        <v>0</v>
      </c>
      <c r="BU43" s="36">
        <f t="shared" si="424"/>
        <v>0</v>
      </c>
      <c r="BV43" s="36">
        <f t="shared" si="425"/>
        <v>0</v>
      </c>
      <c r="BW43" s="36">
        <f t="shared" si="426"/>
        <v>140</v>
      </c>
      <c r="BX43" s="36">
        <f t="shared" si="427"/>
        <v>0</v>
      </c>
      <c r="BY43" s="8"/>
      <c r="BZ43" s="72">
        <f t="shared" si="199"/>
        <v>140</v>
      </c>
      <c r="CA43" s="72">
        <f t="shared" si="200"/>
        <v>1445</v>
      </c>
      <c r="CB43" s="97"/>
      <c r="CC43" s="72">
        <f t="shared" si="428"/>
        <v>0</v>
      </c>
      <c r="CD43" s="72">
        <f t="shared" si="428"/>
        <v>0</v>
      </c>
      <c r="CE43" s="72">
        <f t="shared" si="428"/>
        <v>1100</v>
      </c>
      <c r="CF43" s="72">
        <f t="shared" si="428"/>
        <v>1445</v>
      </c>
      <c r="CG43" s="72">
        <f t="shared" si="428"/>
        <v>1445</v>
      </c>
      <c r="CH43" s="72">
        <f t="shared" si="428"/>
        <v>1445</v>
      </c>
      <c r="CI43" s="72">
        <f t="shared" si="428"/>
        <v>1445</v>
      </c>
      <c r="CJ43" s="72">
        <f t="shared" si="428"/>
        <v>1445</v>
      </c>
      <c r="CL43" s="13"/>
      <c r="CM43" s="13"/>
    </row>
    <row r="44" spans="1:91" x14ac:dyDescent="0.3">
      <c r="A44" s="97" t="str">
        <f>'DCS Detail'!A44</f>
        <v xml:space="preserve">   301.3 SB 391 - Read By 3 Program</v>
      </c>
      <c r="B44" s="106" t="str">
        <f>IF('DCS Detail'!$B44="","",'DCS Detail'!$B44)</f>
        <v>Other</v>
      </c>
      <c r="C44" s="106"/>
      <c r="D44" s="106"/>
      <c r="E44" s="18">
        <v>-2413</v>
      </c>
      <c r="F44" s="18">
        <v>0</v>
      </c>
      <c r="G44" s="18">
        <v>0</v>
      </c>
      <c r="H44" s="18">
        <v>0</v>
      </c>
      <c r="I44" s="18">
        <v>0</v>
      </c>
      <c r="J44" s="18">
        <v>0</v>
      </c>
      <c r="K44" s="18">
        <v>0</v>
      </c>
      <c r="L44" s="18">
        <v>0</v>
      </c>
      <c r="M44" s="18">
        <v>2539.9499999999998</v>
      </c>
      <c r="N44" s="18">
        <v>0</v>
      </c>
      <c r="O44" s="18">
        <v>0</v>
      </c>
      <c r="P44" s="18">
        <v>0</v>
      </c>
      <c r="Q44" s="18">
        <v>0</v>
      </c>
      <c r="R44" s="18">
        <v>0</v>
      </c>
      <c r="S44" s="18">
        <v>0</v>
      </c>
      <c r="T44" s="18">
        <v>0</v>
      </c>
      <c r="U44" s="18">
        <v>0</v>
      </c>
      <c r="V44" s="18">
        <v>0</v>
      </c>
      <c r="W44" s="18">
        <v>0</v>
      </c>
      <c r="X44" s="18">
        <v>0</v>
      </c>
      <c r="Y44" s="18">
        <v>0</v>
      </c>
      <c r="Z44" s="18">
        <v>0</v>
      </c>
      <c r="AA44" s="146">
        <v>0</v>
      </c>
      <c r="AB44" s="36">
        <f t="shared" si="379"/>
        <v>0</v>
      </c>
      <c r="AC44" s="36">
        <f t="shared" si="380"/>
        <v>0</v>
      </c>
      <c r="AD44" s="36">
        <f t="shared" si="381"/>
        <v>0</v>
      </c>
      <c r="AE44" s="36">
        <f t="shared" si="382"/>
        <v>0</v>
      </c>
      <c r="AF44" s="36">
        <f t="shared" si="383"/>
        <v>0</v>
      </c>
      <c r="AG44" s="36">
        <f t="shared" si="384"/>
        <v>0</v>
      </c>
      <c r="AH44" s="36">
        <f t="shared" si="385"/>
        <v>0</v>
      </c>
      <c r="AI44" s="36">
        <f t="shared" si="386"/>
        <v>0</v>
      </c>
      <c r="AJ44" s="36">
        <f t="shared" si="387"/>
        <v>0</v>
      </c>
      <c r="AK44" s="36">
        <f t="shared" si="388"/>
        <v>0</v>
      </c>
      <c r="AL44" s="36">
        <f t="shared" si="389"/>
        <v>0</v>
      </c>
      <c r="AM44" s="36">
        <f t="shared" si="390"/>
        <v>0</v>
      </c>
      <c r="AN44" s="36">
        <f t="shared" si="391"/>
        <v>0</v>
      </c>
      <c r="AO44" s="36">
        <f t="shared" si="392"/>
        <v>0</v>
      </c>
      <c r="AP44" s="36">
        <f t="shared" si="393"/>
        <v>0</v>
      </c>
      <c r="AQ44" s="36">
        <f t="shared" si="394"/>
        <v>0</v>
      </c>
      <c r="AR44" s="36">
        <f t="shared" si="395"/>
        <v>0</v>
      </c>
      <c r="AS44" s="36">
        <f t="shared" si="396"/>
        <v>0</v>
      </c>
      <c r="AT44" s="36">
        <f t="shared" si="397"/>
        <v>0</v>
      </c>
      <c r="AU44" s="36">
        <f t="shared" si="398"/>
        <v>0</v>
      </c>
      <c r="AV44" s="36">
        <f t="shared" si="399"/>
        <v>0</v>
      </c>
      <c r="AW44" s="36">
        <f t="shared" si="400"/>
        <v>0</v>
      </c>
      <c r="AX44" s="36">
        <f t="shared" si="401"/>
        <v>0</v>
      </c>
      <c r="AY44" s="36">
        <f t="shared" si="402"/>
        <v>0</v>
      </c>
      <c r="AZ44" s="36">
        <f t="shared" si="403"/>
        <v>0</v>
      </c>
      <c r="BA44" s="36">
        <f t="shared" si="404"/>
        <v>0</v>
      </c>
      <c r="BB44" s="36">
        <f t="shared" si="405"/>
        <v>0</v>
      </c>
      <c r="BC44" s="36">
        <f t="shared" si="406"/>
        <v>0</v>
      </c>
      <c r="BD44" s="36">
        <f t="shared" si="407"/>
        <v>0</v>
      </c>
      <c r="BE44" s="36">
        <f t="shared" si="408"/>
        <v>0</v>
      </c>
      <c r="BF44" s="36">
        <f t="shared" si="409"/>
        <v>0</v>
      </c>
      <c r="BG44" s="36">
        <f t="shared" si="410"/>
        <v>0</v>
      </c>
      <c r="BH44" s="36">
        <f t="shared" si="411"/>
        <v>0</v>
      </c>
      <c r="BI44" s="36">
        <f t="shared" si="412"/>
        <v>0</v>
      </c>
      <c r="BJ44" s="36">
        <f t="shared" si="413"/>
        <v>0</v>
      </c>
      <c r="BK44" s="36">
        <f t="shared" si="414"/>
        <v>0</v>
      </c>
      <c r="BL44" s="36">
        <f t="shared" si="415"/>
        <v>0</v>
      </c>
      <c r="BM44" s="36">
        <f t="shared" si="416"/>
        <v>0</v>
      </c>
      <c r="BN44" s="36">
        <f t="shared" si="417"/>
        <v>0</v>
      </c>
      <c r="BO44" s="36">
        <f t="shared" si="418"/>
        <v>0</v>
      </c>
      <c r="BP44" s="36">
        <f t="shared" si="419"/>
        <v>0</v>
      </c>
      <c r="BQ44" s="36">
        <f t="shared" si="420"/>
        <v>0</v>
      </c>
      <c r="BR44" s="36">
        <f t="shared" si="421"/>
        <v>0</v>
      </c>
      <c r="BS44" s="36">
        <f t="shared" si="422"/>
        <v>0</v>
      </c>
      <c r="BT44" s="36">
        <f t="shared" si="423"/>
        <v>0</v>
      </c>
      <c r="BU44" s="36">
        <f t="shared" si="424"/>
        <v>0</v>
      </c>
      <c r="BV44" s="36">
        <f t="shared" si="425"/>
        <v>0</v>
      </c>
      <c r="BW44" s="36">
        <f t="shared" si="426"/>
        <v>0</v>
      </c>
      <c r="BX44" s="36">
        <f t="shared" si="427"/>
        <v>0</v>
      </c>
      <c r="BY44" s="8"/>
      <c r="BZ44" s="72">
        <f t="shared" si="199"/>
        <v>0</v>
      </c>
      <c r="CA44" s="72">
        <f t="shared" si="200"/>
        <v>0</v>
      </c>
      <c r="CB44" s="97"/>
      <c r="CC44" s="72">
        <f t="shared" si="428"/>
        <v>0</v>
      </c>
      <c r="CD44" s="72">
        <f t="shared" si="428"/>
        <v>0</v>
      </c>
      <c r="CE44" s="72">
        <f t="shared" si="428"/>
        <v>126.94999999999982</v>
      </c>
      <c r="CF44" s="72">
        <f t="shared" si="428"/>
        <v>0</v>
      </c>
      <c r="CG44" s="72">
        <f t="shared" si="428"/>
        <v>0</v>
      </c>
      <c r="CH44" s="72">
        <f t="shared" si="428"/>
        <v>0</v>
      </c>
      <c r="CI44" s="72">
        <f t="shared" si="428"/>
        <v>0</v>
      </c>
      <c r="CJ44" s="72">
        <f t="shared" si="428"/>
        <v>0</v>
      </c>
      <c r="CL44" s="13"/>
      <c r="CM44" s="13"/>
    </row>
    <row r="45" spans="1:91" x14ac:dyDescent="0.3">
      <c r="A45" s="97" t="str">
        <f>'DCS Detail'!A45</f>
        <v xml:space="preserve">   3100.1 DSA Revenue</v>
      </c>
      <c r="B45" s="106" t="str">
        <f>IF('DCS Detail'!$B45="","",'DCS Detail'!$B45)</f>
        <v>DSA</v>
      </c>
      <c r="C45" s="106"/>
      <c r="D45" s="106"/>
      <c r="E45" s="18">
        <v>98266.41</v>
      </c>
      <c r="F45" s="18">
        <v>0</v>
      </c>
      <c r="G45" s="18">
        <f>51792.8-G46</f>
        <v>47646.675600000002</v>
      </c>
      <c r="H45" s="18">
        <v>136149.57999999999</v>
      </c>
      <c r="I45" s="18">
        <v>0</v>
      </c>
      <c r="J45" s="18">
        <v>117859.36</v>
      </c>
      <c r="K45" s="18">
        <v>0</v>
      </c>
      <c r="L45" s="18">
        <v>66358.404400000058</v>
      </c>
      <c r="M45" s="18">
        <v>60786.86</v>
      </c>
      <c r="N45" s="18">
        <v>128347.71</v>
      </c>
      <c r="O45" s="18">
        <v>964.1</v>
      </c>
      <c r="P45" s="18">
        <v>76531.44</v>
      </c>
      <c r="Q45" s="18">
        <v>46748.72</v>
      </c>
      <c r="R45" s="405">
        <f>63112.14-R46</f>
        <v>58565.75</v>
      </c>
      <c r="S45" s="18">
        <v>58612.1</v>
      </c>
      <c r="T45" s="18">
        <v>56389.13</v>
      </c>
      <c r="U45" s="405">
        <f>75000.41-U46</f>
        <v>70454.02</v>
      </c>
      <c r="V45" s="18">
        <v>60964.07</v>
      </c>
      <c r="W45" s="18">
        <v>60964.07</v>
      </c>
      <c r="X45" s="18">
        <v>55576.54</v>
      </c>
      <c r="Y45" s="18">
        <f>50537.18+9092.68</f>
        <v>59629.86</v>
      </c>
      <c r="Z45" s="18">
        <v>58133.38</v>
      </c>
      <c r="AA45" s="146">
        <v>60466.01</v>
      </c>
      <c r="AB45" s="36">
        <f t="shared" ref="AB45:BD45" si="431">AB19*AB$259/12</f>
        <v>56871.018333333333</v>
      </c>
      <c r="AC45" s="36">
        <f t="shared" si="431"/>
        <v>56871.018333333333</v>
      </c>
      <c r="AD45" s="36">
        <f t="shared" si="431"/>
        <v>64371.035128750002</v>
      </c>
      <c r="AE45" s="36">
        <f t="shared" si="431"/>
        <v>64371.035128750002</v>
      </c>
      <c r="AF45" s="36">
        <f t="shared" si="431"/>
        <v>65597.150083583343</v>
      </c>
      <c r="AG45" s="36">
        <f t="shared" si="431"/>
        <v>64984.092606166669</v>
      </c>
      <c r="AH45" s="36">
        <f t="shared" si="431"/>
        <v>63757.977651333342</v>
      </c>
      <c r="AI45" s="36">
        <f t="shared" si="431"/>
        <v>63144.920173916675</v>
      </c>
      <c r="AJ45" s="36">
        <f t="shared" si="431"/>
        <v>63757.977651333342</v>
      </c>
      <c r="AK45" s="36">
        <f t="shared" si="431"/>
        <v>63144.920173916675</v>
      </c>
      <c r="AL45" s="36">
        <f t="shared" si="431"/>
        <v>63144.920173916675</v>
      </c>
      <c r="AM45" s="36">
        <f t="shared" si="431"/>
        <v>63144.920173916675</v>
      </c>
      <c r="AN45" s="36">
        <f t="shared" si="431"/>
        <v>63144.920173916675</v>
      </c>
      <c r="AO45" s="36">
        <f t="shared" si="431"/>
        <v>63144.920173916675</v>
      </c>
      <c r="AP45" s="36">
        <f t="shared" si="431"/>
        <v>84614.193033048345</v>
      </c>
      <c r="AQ45" s="36">
        <f t="shared" si="431"/>
        <v>83982.74383130917</v>
      </c>
      <c r="AR45" s="36">
        <f t="shared" si="431"/>
        <v>83351.294629570009</v>
      </c>
      <c r="AS45" s="36">
        <f t="shared" si="431"/>
        <v>82719.845427830835</v>
      </c>
      <c r="AT45" s="36">
        <f t="shared" si="431"/>
        <v>81456.947024352514</v>
      </c>
      <c r="AU45" s="36">
        <f t="shared" si="431"/>
        <v>80194.048620874164</v>
      </c>
      <c r="AV45" s="36">
        <f t="shared" si="431"/>
        <v>80194.048620874164</v>
      </c>
      <c r="AW45" s="36">
        <f t="shared" si="431"/>
        <v>80194.048620874164</v>
      </c>
      <c r="AX45" s="36">
        <f t="shared" si="431"/>
        <v>80194.048620874164</v>
      </c>
      <c r="AY45" s="36">
        <f t="shared" si="431"/>
        <v>80194.048620874164</v>
      </c>
      <c r="AZ45" s="36">
        <f t="shared" si="431"/>
        <v>80194.048620874164</v>
      </c>
      <c r="BA45" s="36">
        <f t="shared" si="431"/>
        <v>80194.048620874164</v>
      </c>
      <c r="BB45" s="36">
        <f t="shared" si="431"/>
        <v>105369.92829421475</v>
      </c>
      <c r="BC45" s="36">
        <f t="shared" si="431"/>
        <v>104727.42873144516</v>
      </c>
      <c r="BD45" s="36">
        <f t="shared" si="431"/>
        <v>105369.92829421475</v>
      </c>
      <c r="BE45" s="36">
        <f t="shared" ref="BE45:BX45" si="432">BE19*BE$259/12</f>
        <v>104727.42873144516</v>
      </c>
      <c r="BF45" s="36">
        <f t="shared" si="432"/>
        <v>103442.42960590596</v>
      </c>
      <c r="BG45" s="36">
        <f t="shared" si="432"/>
        <v>102157.43048036675</v>
      </c>
      <c r="BH45" s="36">
        <f t="shared" si="432"/>
        <v>102157.43048036675</v>
      </c>
      <c r="BI45" s="36">
        <f t="shared" si="432"/>
        <v>102157.43048036675</v>
      </c>
      <c r="BJ45" s="36">
        <f t="shared" si="432"/>
        <v>102157.43048036675</v>
      </c>
      <c r="BK45" s="36">
        <f t="shared" si="432"/>
        <v>102157.43048036675</v>
      </c>
      <c r="BL45" s="36">
        <f t="shared" si="432"/>
        <v>102157.43048036675</v>
      </c>
      <c r="BM45" s="36">
        <f t="shared" si="432"/>
        <v>102157.43048036675</v>
      </c>
      <c r="BN45" s="36">
        <f t="shared" si="432"/>
        <v>112541.82966363044</v>
      </c>
      <c r="BO45" s="36">
        <f t="shared" si="432"/>
        <v>111891.29885632622</v>
      </c>
      <c r="BP45" s="36">
        <f t="shared" si="432"/>
        <v>112541.82966363044</v>
      </c>
      <c r="BQ45" s="36">
        <f t="shared" si="432"/>
        <v>111891.29885632622</v>
      </c>
      <c r="BR45" s="36">
        <f t="shared" si="432"/>
        <v>110590.23724171777</v>
      </c>
      <c r="BS45" s="36">
        <f t="shared" si="432"/>
        <v>109289.17562710932</v>
      </c>
      <c r="BT45" s="36">
        <f t="shared" si="432"/>
        <v>109939.70643441356</v>
      </c>
      <c r="BU45" s="36">
        <f t="shared" si="432"/>
        <v>109939.70643441356</v>
      </c>
      <c r="BV45" s="36">
        <f t="shared" si="432"/>
        <v>109939.70643441356</v>
      </c>
      <c r="BW45" s="36">
        <f t="shared" si="432"/>
        <v>109939.70643441356</v>
      </c>
      <c r="BX45" s="36">
        <f t="shared" si="432"/>
        <v>109939.70643441356</v>
      </c>
      <c r="BY45" s="8"/>
      <c r="BZ45" s="72">
        <f t="shared" si="199"/>
        <v>60466.01</v>
      </c>
      <c r="CA45" s="72">
        <f t="shared" si="200"/>
        <v>646503.65</v>
      </c>
      <c r="CB45" s="97"/>
      <c r="CC45" s="72">
        <f t="shared" si="428"/>
        <v>0</v>
      </c>
      <c r="CD45" s="72">
        <f t="shared" si="428"/>
        <v>0</v>
      </c>
      <c r="CE45" s="72">
        <f t="shared" si="428"/>
        <v>732910.54</v>
      </c>
      <c r="CF45" s="72">
        <f t="shared" si="428"/>
        <v>703374.66833333333</v>
      </c>
      <c r="CG45" s="72">
        <f t="shared" si="428"/>
        <v>759434.88745283359</v>
      </c>
      <c r="CH45" s="72">
        <f t="shared" si="428"/>
        <v>960434.23584527255</v>
      </c>
      <c r="CI45" s="72">
        <f t="shared" si="428"/>
        <v>1216775.7751603008</v>
      </c>
      <c r="CJ45" s="72">
        <f t="shared" si="428"/>
        <v>1320601.6325611752</v>
      </c>
      <c r="CL45" s="13"/>
      <c r="CM45" s="13"/>
    </row>
    <row r="46" spans="1:91" x14ac:dyDescent="0.3">
      <c r="A46" s="97" t="str">
        <f>'DCS Detail'!A46</f>
        <v xml:space="preserve">   3115 Special Ed Funding</v>
      </c>
      <c r="B46" s="106" t="str">
        <f>IF('DCS Detail'!$B46="","",'DCS Detail'!$B46)</f>
        <v>Special Educ.</v>
      </c>
      <c r="C46" s="106"/>
      <c r="D46" s="106"/>
      <c r="E46" s="18">
        <v>0</v>
      </c>
      <c r="F46" s="18">
        <v>0</v>
      </c>
      <c r="G46" s="18">
        <f>18846.02*0.22</f>
        <v>4146.1243999999997</v>
      </c>
      <c r="H46" s="18">
        <v>0</v>
      </c>
      <c r="I46" s="18">
        <f>19377.69*0.22</f>
        <v>4263.0918000000001</v>
      </c>
      <c r="J46" s="18">
        <v>0</v>
      </c>
      <c r="K46" s="18">
        <v>0</v>
      </c>
      <c r="L46" s="18">
        <v>4263.0838000000003</v>
      </c>
      <c r="M46" s="18">
        <v>0</v>
      </c>
      <c r="N46" s="18">
        <v>0</v>
      </c>
      <c r="O46" s="18">
        <v>0</v>
      </c>
      <c r="P46" s="18">
        <v>6689.51</v>
      </c>
      <c r="Q46" s="18">
        <v>0</v>
      </c>
      <c r="R46" s="405">
        <v>4546.3900000000003</v>
      </c>
      <c r="S46" s="18">
        <v>0</v>
      </c>
      <c r="T46" s="18">
        <v>0</v>
      </c>
      <c r="U46" s="405">
        <v>4546.3900000000003</v>
      </c>
      <c r="V46" s="18">
        <v>0</v>
      </c>
      <c r="W46" s="18">
        <v>0</v>
      </c>
      <c r="X46" s="18">
        <v>4546.3900000000003</v>
      </c>
      <c r="Y46" s="18">
        <v>0</v>
      </c>
      <c r="Z46" s="18">
        <v>0</v>
      </c>
      <c r="AA46" s="146">
        <v>4546.3900000000003</v>
      </c>
      <c r="AB46" s="397">
        <f>P46*(1+AB$261)-AA46</f>
        <v>2143.12</v>
      </c>
      <c r="AC46" s="36">
        <f t="shared" ref="AC46:BD46" si="433">Q46*(1+AC$261)</f>
        <v>0</v>
      </c>
      <c r="AD46" s="36">
        <f t="shared" si="433"/>
        <v>4606.856987000001</v>
      </c>
      <c r="AE46" s="36">
        <f t="shared" si="433"/>
        <v>0</v>
      </c>
      <c r="AF46" s="36">
        <f t="shared" si="433"/>
        <v>0</v>
      </c>
      <c r="AG46" s="36">
        <f t="shared" si="433"/>
        <v>4606.856987000001</v>
      </c>
      <c r="AH46" s="36">
        <f t="shared" si="433"/>
        <v>0</v>
      </c>
      <c r="AI46" s="36">
        <f t="shared" si="433"/>
        <v>0</v>
      </c>
      <c r="AJ46" s="36">
        <f t="shared" si="433"/>
        <v>4606.856987000001</v>
      </c>
      <c r="AK46" s="36">
        <f t="shared" si="433"/>
        <v>0</v>
      </c>
      <c r="AL46" s="36">
        <f t="shared" si="433"/>
        <v>0</v>
      </c>
      <c r="AM46" s="36">
        <f t="shared" si="433"/>
        <v>4606.856987000001</v>
      </c>
      <c r="AN46" s="36">
        <f t="shared" si="433"/>
        <v>2171.6234960000002</v>
      </c>
      <c r="AO46" s="36">
        <f t="shared" si="433"/>
        <v>0</v>
      </c>
      <c r="AP46" s="36">
        <f t="shared" si="433"/>
        <v>4745.0626966100008</v>
      </c>
      <c r="AQ46" s="36">
        <f t="shared" si="433"/>
        <v>0</v>
      </c>
      <c r="AR46" s="36">
        <f t="shared" si="433"/>
        <v>0</v>
      </c>
      <c r="AS46" s="36">
        <f t="shared" si="433"/>
        <v>4745.0626966100008</v>
      </c>
      <c r="AT46" s="36">
        <f t="shared" si="433"/>
        <v>0</v>
      </c>
      <c r="AU46" s="36">
        <f t="shared" si="433"/>
        <v>0</v>
      </c>
      <c r="AV46" s="36">
        <f t="shared" si="433"/>
        <v>4745.0626966100008</v>
      </c>
      <c r="AW46" s="36">
        <f t="shared" si="433"/>
        <v>0</v>
      </c>
      <c r="AX46" s="36">
        <f t="shared" si="433"/>
        <v>0</v>
      </c>
      <c r="AY46" s="36">
        <f t="shared" si="433"/>
        <v>4745.0626966100008</v>
      </c>
      <c r="AZ46" s="36">
        <f t="shared" si="433"/>
        <v>2236.7722008800001</v>
      </c>
      <c r="BA46" s="36">
        <f t="shared" si="433"/>
        <v>0</v>
      </c>
      <c r="BB46" s="36">
        <f t="shared" si="433"/>
        <v>4828.1012938006761</v>
      </c>
      <c r="BC46" s="36">
        <f t="shared" si="433"/>
        <v>0</v>
      </c>
      <c r="BD46" s="36">
        <f t="shared" si="433"/>
        <v>0</v>
      </c>
      <c r="BE46" s="36">
        <f t="shared" ref="BE46:BX46" si="434">AS46*(1+BE$261)</f>
        <v>4828.1012938006761</v>
      </c>
      <c r="BF46" s="36">
        <f t="shared" si="434"/>
        <v>0</v>
      </c>
      <c r="BG46" s="36">
        <f t="shared" si="434"/>
        <v>0</v>
      </c>
      <c r="BH46" s="36">
        <f t="shared" si="434"/>
        <v>4828.1012938006761</v>
      </c>
      <c r="BI46" s="36">
        <f t="shared" si="434"/>
        <v>0</v>
      </c>
      <c r="BJ46" s="36">
        <f t="shared" si="434"/>
        <v>0</v>
      </c>
      <c r="BK46" s="36">
        <f t="shared" si="434"/>
        <v>4828.1012938006761</v>
      </c>
      <c r="BL46" s="36">
        <f t="shared" si="434"/>
        <v>2275.9157143954003</v>
      </c>
      <c r="BM46" s="36">
        <f t="shared" si="434"/>
        <v>0</v>
      </c>
      <c r="BN46" s="36">
        <f t="shared" si="434"/>
        <v>4888.4525599731842</v>
      </c>
      <c r="BO46" s="36">
        <f t="shared" si="434"/>
        <v>0</v>
      </c>
      <c r="BP46" s="36">
        <f t="shared" si="434"/>
        <v>0</v>
      </c>
      <c r="BQ46" s="36">
        <f t="shared" si="434"/>
        <v>4888.4525599731842</v>
      </c>
      <c r="BR46" s="36">
        <f t="shared" si="434"/>
        <v>0</v>
      </c>
      <c r="BS46" s="36">
        <f t="shared" si="434"/>
        <v>0</v>
      </c>
      <c r="BT46" s="36">
        <f t="shared" si="434"/>
        <v>4888.4525599731842</v>
      </c>
      <c r="BU46" s="36">
        <f t="shared" si="434"/>
        <v>0</v>
      </c>
      <c r="BV46" s="36">
        <f t="shared" si="434"/>
        <v>0</v>
      </c>
      <c r="BW46" s="36">
        <f t="shared" si="434"/>
        <v>4888.4525599731842</v>
      </c>
      <c r="BX46" s="36">
        <f t="shared" si="434"/>
        <v>2304.3646608253425</v>
      </c>
      <c r="BY46" s="8"/>
      <c r="BZ46" s="72">
        <f t="shared" si="199"/>
        <v>4546.3900000000003</v>
      </c>
      <c r="CA46" s="72">
        <f t="shared" si="200"/>
        <v>18185.560000000001</v>
      </c>
      <c r="CB46" s="97"/>
      <c r="CC46" s="72">
        <f t="shared" ref="CC46:CJ57" si="435">SUMIF($C$3:$BY$3,CC$3,$C46:$BY46)</f>
        <v>0</v>
      </c>
      <c r="CD46" s="72">
        <f t="shared" si="435"/>
        <v>0</v>
      </c>
      <c r="CE46" s="72">
        <f t="shared" si="435"/>
        <v>19361.809999999998</v>
      </c>
      <c r="CF46" s="72">
        <f t="shared" si="435"/>
        <v>20328.68</v>
      </c>
      <c r="CG46" s="72">
        <f t="shared" si="435"/>
        <v>20599.051444000004</v>
      </c>
      <c r="CH46" s="72">
        <f t="shared" si="435"/>
        <v>21217.022987320004</v>
      </c>
      <c r="CI46" s="72">
        <f t="shared" si="435"/>
        <v>21588.320889598104</v>
      </c>
      <c r="CJ46" s="72">
        <f t="shared" si="435"/>
        <v>21858.174900718081</v>
      </c>
      <c r="CL46" s="13"/>
      <c r="CM46" s="13"/>
    </row>
    <row r="47" spans="1:91" x14ac:dyDescent="0.3">
      <c r="A47" s="97" t="s">
        <v>347</v>
      </c>
      <c r="B47" s="106" t="str">
        <f>IF('DCS Detail'!$B47="","",'DCS Detail'!$B47)</f>
        <v>Grants</v>
      </c>
      <c r="C47" s="106"/>
      <c r="D47" s="106"/>
      <c r="E47" s="18">
        <v>0</v>
      </c>
      <c r="F47" s="18">
        <v>0</v>
      </c>
      <c r="G47" s="18">
        <v>0</v>
      </c>
      <c r="H47" s="18">
        <v>0</v>
      </c>
      <c r="I47" s="18">
        <v>0</v>
      </c>
      <c r="J47" s="18">
        <v>0</v>
      </c>
      <c r="K47" s="18">
        <v>0</v>
      </c>
      <c r="L47" s="18">
        <v>0</v>
      </c>
      <c r="M47" s="18">
        <v>0</v>
      </c>
      <c r="N47" s="18">
        <v>0</v>
      </c>
      <c r="O47" s="18">
        <v>0</v>
      </c>
      <c r="P47" s="18">
        <v>0</v>
      </c>
      <c r="Q47" s="18">
        <v>0</v>
      </c>
      <c r="R47" s="18">
        <v>0</v>
      </c>
      <c r="S47" s="18">
        <v>110000</v>
      </c>
      <c r="T47" s="18">
        <v>0</v>
      </c>
      <c r="U47" s="18">
        <v>0</v>
      </c>
      <c r="V47" s="18">
        <v>0</v>
      </c>
      <c r="W47" s="18">
        <v>0</v>
      </c>
      <c r="X47" s="18">
        <v>0</v>
      </c>
      <c r="Y47" s="18">
        <v>0</v>
      </c>
      <c r="Z47" s="18">
        <v>0</v>
      </c>
      <c r="AA47" s="146">
        <v>0</v>
      </c>
      <c r="AB47" s="36">
        <f t="shared" ref="AB47:AB51" si="436">P47</f>
        <v>0</v>
      </c>
      <c r="AC47" s="36">
        <f t="shared" ref="AC47:AC51" si="437">Q47</f>
        <v>0</v>
      </c>
      <c r="AD47" s="36">
        <f t="shared" ref="AD47:AD51" si="438">R47</f>
        <v>0</v>
      </c>
      <c r="AE47" s="36">
        <f t="shared" ref="AE47:AE51" si="439">S47</f>
        <v>110000</v>
      </c>
      <c r="AF47" s="36">
        <f t="shared" ref="AF47:AF51" si="440">T47</f>
        <v>0</v>
      </c>
      <c r="AG47" s="36">
        <f t="shared" ref="AG47:AG51" si="441">U47</f>
        <v>0</v>
      </c>
      <c r="AH47" s="36">
        <f t="shared" ref="AH47:AH51" si="442">V47</f>
        <v>0</v>
      </c>
      <c r="AI47" s="36">
        <f t="shared" ref="AI47:AI51" si="443">W47</f>
        <v>0</v>
      </c>
      <c r="AJ47" s="36">
        <f t="shared" ref="AJ47:AJ51" si="444">X47</f>
        <v>0</v>
      </c>
      <c r="AK47" s="36">
        <f t="shared" ref="AK47:AK51" si="445">Y47</f>
        <v>0</v>
      </c>
      <c r="AL47" s="36">
        <f t="shared" ref="AL47:AL51" si="446">Z47</f>
        <v>0</v>
      </c>
      <c r="AM47" s="36">
        <f t="shared" ref="AM47:AM51" si="447">AA47</f>
        <v>0</v>
      </c>
      <c r="AN47" s="36">
        <f t="shared" ref="AN47:AN51" si="448">AB47</f>
        <v>0</v>
      </c>
      <c r="AO47" s="36">
        <f t="shared" ref="AO47:AO51" si="449">AC47</f>
        <v>0</v>
      </c>
      <c r="AP47" s="36">
        <f t="shared" ref="AP47:AP51" si="450">AD47</f>
        <v>0</v>
      </c>
      <c r="AQ47" s="36">
        <f t="shared" ref="AQ47:AQ51" si="451">AE47</f>
        <v>110000</v>
      </c>
      <c r="AR47" s="36">
        <f t="shared" ref="AR47:AR51" si="452">AF47</f>
        <v>0</v>
      </c>
      <c r="AS47" s="36">
        <f t="shared" ref="AS47:AS51" si="453">AG47</f>
        <v>0</v>
      </c>
      <c r="AT47" s="36">
        <f t="shared" ref="AT47:AT51" si="454">AH47</f>
        <v>0</v>
      </c>
      <c r="AU47" s="36">
        <f t="shared" ref="AU47:AU51" si="455">AI47</f>
        <v>0</v>
      </c>
      <c r="AV47" s="36">
        <f t="shared" ref="AV47:AV51" si="456">AJ47</f>
        <v>0</v>
      </c>
      <c r="AW47" s="36">
        <f t="shared" ref="AW47:AW51" si="457">AK47</f>
        <v>0</v>
      </c>
      <c r="AX47" s="36">
        <f t="shared" ref="AX47:AX51" si="458">AL47</f>
        <v>0</v>
      </c>
      <c r="AY47" s="36">
        <f t="shared" ref="AY47:AY51" si="459">AM47</f>
        <v>0</v>
      </c>
      <c r="AZ47" s="36">
        <f t="shared" ref="AZ47:AZ51" si="460">AN47</f>
        <v>0</v>
      </c>
      <c r="BA47" s="36">
        <f t="shared" ref="BA47:BA51" si="461">AO47</f>
        <v>0</v>
      </c>
      <c r="BB47" s="36">
        <f t="shared" ref="BB47:BB51" si="462">AP47</f>
        <v>0</v>
      </c>
      <c r="BC47" s="36">
        <f t="shared" ref="BC47:BC51" si="463">AQ47</f>
        <v>110000</v>
      </c>
      <c r="BD47" s="36">
        <f t="shared" ref="BD47:BD51" si="464">AR47</f>
        <v>0</v>
      </c>
      <c r="BE47" s="36">
        <f t="shared" ref="BE47:BE51" si="465">AS47</f>
        <v>0</v>
      </c>
      <c r="BF47" s="36">
        <f t="shared" ref="BF47:BF51" si="466">AT47</f>
        <v>0</v>
      </c>
      <c r="BG47" s="36">
        <f t="shared" ref="BG47:BG51" si="467">AU47</f>
        <v>0</v>
      </c>
      <c r="BH47" s="36">
        <f t="shared" ref="BH47:BH51" si="468">AV47</f>
        <v>0</v>
      </c>
      <c r="BI47" s="36">
        <f t="shared" ref="BI47:BI51" si="469">AW47</f>
        <v>0</v>
      </c>
      <c r="BJ47" s="36">
        <f t="shared" ref="BJ47:BJ51" si="470">AX47</f>
        <v>0</v>
      </c>
      <c r="BK47" s="36">
        <f t="shared" ref="BK47:BK51" si="471">AY47</f>
        <v>0</v>
      </c>
      <c r="BL47" s="36">
        <f t="shared" ref="BL47:BL51" si="472">AZ47</f>
        <v>0</v>
      </c>
      <c r="BM47" s="36">
        <f t="shared" ref="BM47:BM51" si="473">BA47</f>
        <v>0</v>
      </c>
      <c r="BN47" s="36">
        <f t="shared" ref="BN47:BN51" si="474">BB47</f>
        <v>0</v>
      </c>
      <c r="BO47" s="36">
        <f t="shared" ref="BO47:BO51" si="475">BC47</f>
        <v>110000</v>
      </c>
      <c r="BP47" s="36">
        <f t="shared" ref="BP47:BP51" si="476">BD47</f>
        <v>0</v>
      </c>
      <c r="BQ47" s="36">
        <f t="shared" ref="BQ47:BQ51" si="477">BE47</f>
        <v>0</v>
      </c>
      <c r="BR47" s="36">
        <f t="shared" ref="BR47:BR51" si="478">BF47</f>
        <v>0</v>
      </c>
      <c r="BS47" s="36">
        <f t="shared" ref="BS47:BS51" si="479">BG47</f>
        <v>0</v>
      </c>
      <c r="BT47" s="36">
        <f t="shared" ref="BT47:BT51" si="480">BH47</f>
        <v>0</v>
      </c>
      <c r="BU47" s="36">
        <f t="shared" ref="BU47:BU51" si="481">BI47</f>
        <v>0</v>
      </c>
      <c r="BV47" s="36">
        <f t="shared" ref="BV47:BV51" si="482">BJ47</f>
        <v>0</v>
      </c>
      <c r="BW47" s="36">
        <f t="shared" ref="BW47:BW51" si="483">BK47</f>
        <v>0</v>
      </c>
      <c r="BX47" s="36">
        <f t="shared" ref="BX47:BX51" si="484">BL47</f>
        <v>0</v>
      </c>
      <c r="BY47" s="8"/>
      <c r="BZ47" s="72">
        <f t="shared" si="199"/>
        <v>0</v>
      </c>
      <c r="CA47" s="72">
        <f t="shared" si="200"/>
        <v>110000</v>
      </c>
      <c r="CB47" s="97"/>
      <c r="CC47" s="72">
        <f t="shared" si="435"/>
        <v>0</v>
      </c>
      <c r="CD47" s="72">
        <f t="shared" si="435"/>
        <v>0</v>
      </c>
      <c r="CE47" s="72">
        <f t="shared" si="435"/>
        <v>0</v>
      </c>
      <c r="CF47" s="72">
        <f t="shared" si="435"/>
        <v>110000</v>
      </c>
      <c r="CG47" s="72">
        <f t="shared" si="435"/>
        <v>110000</v>
      </c>
      <c r="CH47" s="72">
        <f t="shared" si="435"/>
        <v>110000</v>
      </c>
      <c r="CI47" s="72">
        <f t="shared" si="435"/>
        <v>110000</v>
      </c>
      <c r="CJ47" s="72">
        <f t="shared" si="435"/>
        <v>110000</v>
      </c>
      <c r="CL47" s="13"/>
      <c r="CM47" s="13"/>
    </row>
    <row r="48" spans="1:91" x14ac:dyDescent="0.3">
      <c r="A48" s="97" t="str">
        <f>'DCS Detail'!A48</f>
        <v xml:space="preserve">   3300 GRANT Revenue</v>
      </c>
      <c r="B48" s="106" t="str">
        <f>IF('DCS Detail'!$B48="","",'DCS Detail'!$B48)</f>
        <v>Grants</v>
      </c>
      <c r="C48" s="106"/>
      <c r="D48" s="106"/>
      <c r="E48" s="18">
        <v>0</v>
      </c>
      <c r="F48" s="18">
        <v>0</v>
      </c>
      <c r="G48" s="18">
        <v>0</v>
      </c>
      <c r="H48" s="18">
        <v>3199.95</v>
      </c>
      <c r="I48" s="18">
        <v>0</v>
      </c>
      <c r="J48" s="18">
        <v>0</v>
      </c>
      <c r="K48" s="18">
        <v>0</v>
      </c>
      <c r="L48" s="18">
        <v>2421.1900000000005</v>
      </c>
      <c r="M48" s="18">
        <v>-2539.9500000000003</v>
      </c>
      <c r="N48" s="18">
        <v>0</v>
      </c>
      <c r="O48" s="18">
        <v>0</v>
      </c>
      <c r="P48" s="18">
        <v>3604.23</v>
      </c>
      <c r="Q48" s="18">
        <v>0</v>
      </c>
      <c r="R48" s="18">
        <v>0</v>
      </c>
      <c r="S48" s="18">
        <v>0</v>
      </c>
      <c r="T48" s="18">
        <v>10456.209999999999</v>
      </c>
      <c r="U48" s="18">
        <v>0</v>
      </c>
      <c r="V48" s="18">
        <v>0</v>
      </c>
      <c r="W48" s="18">
        <v>2638.13</v>
      </c>
      <c r="X48" s="18">
        <v>0</v>
      </c>
      <c r="Y48" s="18">
        <v>0</v>
      </c>
      <c r="Z48" s="18">
        <v>2704.24</v>
      </c>
      <c r="AA48" s="147">
        <v>0</v>
      </c>
      <c r="AB48" s="18">
        <f>123267*0.22-Z48</f>
        <v>24414.5</v>
      </c>
      <c r="AC48" s="18">
        <v>0</v>
      </c>
      <c r="AD48" s="18">
        <v>0</v>
      </c>
      <c r="AE48" s="18">
        <v>0</v>
      </c>
      <c r="AF48" s="18">
        <v>0</v>
      </c>
      <c r="AG48" s="18">
        <v>0</v>
      </c>
      <c r="AH48" s="18">
        <v>0</v>
      </c>
      <c r="AI48" s="18">
        <v>0</v>
      </c>
      <c r="AJ48" s="18">
        <f>250000*0.22/4</f>
        <v>13750</v>
      </c>
      <c r="AK48" s="18">
        <f>250000*0.22/4</f>
        <v>13750</v>
      </c>
      <c r="AL48" s="18">
        <f>250000*0.22/4</f>
        <v>13750</v>
      </c>
      <c r="AM48" s="18">
        <f>250000*0.22/4</f>
        <v>13750</v>
      </c>
      <c r="AN48" s="18">
        <v>0</v>
      </c>
      <c r="AO48" s="18">
        <v>0</v>
      </c>
      <c r="AP48" s="18">
        <v>0</v>
      </c>
      <c r="AQ48" s="18">
        <v>0</v>
      </c>
      <c r="AR48" s="18">
        <v>0</v>
      </c>
      <c r="AS48" s="18">
        <v>0</v>
      </c>
      <c r="AT48" s="18">
        <v>0</v>
      </c>
      <c r="AU48" s="18">
        <v>0</v>
      </c>
      <c r="AV48" s="18">
        <v>0</v>
      </c>
      <c r="AW48" s="18">
        <v>5000</v>
      </c>
      <c r="AX48" s="18">
        <v>0</v>
      </c>
      <c r="AY48" s="18">
        <v>0</v>
      </c>
      <c r="AZ48" s="18">
        <v>0</v>
      </c>
      <c r="BA48" s="36">
        <f>AO48*(1+BA$261)</f>
        <v>0</v>
      </c>
      <c r="BB48" s="36">
        <f t="shared" ref="BB48:BX48" si="485">AP48*(1+BB$261)</f>
        <v>0</v>
      </c>
      <c r="BC48" s="36">
        <f t="shared" si="485"/>
        <v>0</v>
      </c>
      <c r="BD48" s="36">
        <f t="shared" si="485"/>
        <v>0</v>
      </c>
      <c r="BE48" s="36">
        <f t="shared" si="485"/>
        <v>0</v>
      </c>
      <c r="BF48" s="36">
        <f t="shared" si="485"/>
        <v>0</v>
      </c>
      <c r="BG48" s="36">
        <f t="shared" si="485"/>
        <v>0</v>
      </c>
      <c r="BH48" s="36">
        <f t="shared" si="485"/>
        <v>0</v>
      </c>
      <c r="BI48" s="36">
        <f t="shared" si="485"/>
        <v>5087.5</v>
      </c>
      <c r="BJ48" s="36">
        <f t="shared" si="485"/>
        <v>0</v>
      </c>
      <c r="BK48" s="36">
        <f t="shared" si="485"/>
        <v>0</v>
      </c>
      <c r="BL48" s="36">
        <f t="shared" si="485"/>
        <v>0</v>
      </c>
      <c r="BM48" s="36">
        <f t="shared" si="485"/>
        <v>0</v>
      </c>
      <c r="BN48" s="36">
        <f t="shared" si="485"/>
        <v>0</v>
      </c>
      <c r="BO48" s="36">
        <f t="shared" si="485"/>
        <v>0</v>
      </c>
      <c r="BP48" s="36">
        <f t="shared" si="485"/>
        <v>0</v>
      </c>
      <c r="BQ48" s="36">
        <f t="shared" si="485"/>
        <v>0</v>
      </c>
      <c r="BR48" s="36">
        <f t="shared" si="485"/>
        <v>0</v>
      </c>
      <c r="BS48" s="36">
        <f t="shared" si="485"/>
        <v>0</v>
      </c>
      <c r="BT48" s="36">
        <f t="shared" si="485"/>
        <v>0</v>
      </c>
      <c r="BU48" s="36">
        <f t="shared" si="485"/>
        <v>5151.09375</v>
      </c>
      <c r="BV48" s="36">
        <f t="shared" si="485"/>
        <v>0</v>
      </c>
      <c r="BW48" s="36">
        <f t="shared" si="485"/>
        <v>0</v>
      </c>
      <c r="BX48" s="36">
        <f t="shared" si="485"/>
        <v>0</v>
      </c>
      <c r="BY48" s="8"/>
      <c r="BZ48" s="72">
        <f t="shared" si="199"/>
        <v>0</v>
      </c>
      <c r="CA48" s="72">
        <f t="shared" si="200"/>
        <v>15798.58</v>
      </c>
      <c r="CB48" s="97"/>
      <c r="CC48" s="72">
        <f t="shared" si="435"/>
        <v>0</v>
      </c>
      <c r="CD48" s="72">
        <f t="shared" si="435"/>
        <v>0</v>
      </c>
      <c r="CE48" s="72">
        <f t="shared" si="435"/>
        <v>6685.42</v>
      </c>
      <c r="CF48" s="72">
        <f t="shared" si="435"/>
        <v>40213.08</v>
      </c>
      <c r="CG48" s="72">
        <f t="shared" si="435"/>
        <v>55000</v>
      </c>
      <c r="CH48" s="72">
        <f t="shared" si="435"/>
        <v>5000</v>
      </c>
      <c r="CI48" s="72">
        <f t="shared" si="435"/>
        <v>5087.5</v>
      </c>
      <c r="CJ48" s="72">
        <f t="shared" si="435"/>
        <v>5151.09375</v>
      </c>
      <c r="CL48" s="13"/>
      <c r="CM48" s="13"/>
    </row>
    <row r="49" spans="1:91" x14ac:dyDescent="0.3">
      <c r="A49" s="97" t="str">
        <f>'DCS Detail'!A49</f>
        <v>GATE Revenue - Placeholder</v>
      </c>
      <c r="B49" s="106" t="str">
        <f>IF('DCS Detail'!$B49="","",'DCS Detail'!$B49)</f>
        <v>Grants</v>
      </c>
      <c r="C49" s="106"/>
      <c r="D49" s="106"/>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46">
        <v>0</v>
      </c>
      <c r="AB49" s="18">
        <v>0</v>
      </c>
      <c r="AC49" s="18">
        <v>0</v>
      </c>
      <c r="AD49" s="18">
        <v>0</v>
      </c>
      <c r="AE49" s="18">
        <v>0</v>
      </c>
      <c r="AF49" s="18">
        <f>864*2/12</f>
        <v>144</v>
      </c>
      <c r="AG49" s="18">
        <f t="shared" ref="AG49:AQ49" si="486">864*2/12</f>
        <v>144</v>
      </c>
      <c r="AH49" s="18">
        <f t="shared" si="486"/>
        <v>144</v>
      </c>
      <c r="AI49" s="18">
        <f t="shared" si="486"/>
        <v>144</v>
      </c>
      <c r="AJ49" s="18">
        <f t="shared" si="486"/>
        <v>144</v>
      </c>
      <c r="AK49" s="18">
        <f t="shared" si="486"/>
        <v>144</v>
      </c>
      <c r="AL49" s="18">
        <f t="shared" si="486"/>
        <v>144</v>
      </c>
      <c r="AM49" s="18">
        <f t="shared" si="486"/>
        <v>144</v>
      </c>
      <c r="AN49" s="18">
        <f t="shared" si="486"/>
        <v>144</v>
      </c>
      <c r="AO49" s="18">
        <f t="shared" si="486"/>
        <v>144</v>
      </c>
      <c r="AP49" s="18">
        <f t="shared" si="486"/>
        <v>144</v>
      </c>
      <c r="AQ49" s="18">
        <f t="shared" si="486"/>
        <v>144</v>
      </c>
      <c r="AR49" s="36">
        <f>AF49*(1+AR$261)</f>
        <v>148.32</v>
      </c>
      <c r="AS49" s="36">
        <f t="shared" ref="AS49:BX49" si="487">AG49*(1+AS$261)</f>
        <v>148.32</v>
      </c>
      <c r="AT49" s="36">
        <f t="shared" si="487"/>
        <v>148.32</v>
      </c>
      <c r="AU49" s="36">
        <f t="shared" si="487"/>
        <v>148.32</v>
      </c>
      <c r="AV49" s="36">
        <f t="shared" si="487"/>
        <v>148.32</v>
      </c>
      <c r="AW49" s="36">
        <f t="shared" si="487"/>
        <v>148.32</v>
      </c>
      <c r="AX49" s="36">
        <f t="shared" si="487"/>
        <v>148.32</v>
      </c>
      <c r="AY49" s="36">
        <f t="shared" si="487"/>
        <v>148.32</v>
      </c>
      <c r="AZ49" s="36">
        <f t="shared" si="487"/>
        <v>148.32</v>
      </c>
      <c r="BA49" s="36">
        <f t="shared" si="487"/>
        <v>148.32</v>
      </c>
      <c r="BB49" s="36">
        <f t="shared" si="487"/>
        <v>146.52000000000001</v>
      </c>
      <c r="BC49" s="36">
        <f t="shared" si="487"/>
        <v>146.52000000000001</v>
      </c>
      <c r="BD49" s="36">
        <f t="shared" si="487"/>
        <v>150.91560000000001</v>
      </c>
      <c r="BE49" s="36">
        <f t="shared" si="487"/>
        <v>150.91560000000001</v>
      </c>
      <c r="BF49" s="36">
        <f t="shared" si="487"/>
        <v>150.91560000000001</v>
      </c>
      <c r="BG49" s="36">
        <f t="shared" si="487"/>
        <v>150.91560000000001</v>
      </c>
      <c r="BH49" s="36">
        <f t="shared" si="487"/>
        <v>150.91560000000001</v>
      </c>
      <c r="BI49" s="36">
        <f t="shared" si="487"/>
        <v>150.91560000000001</v>
      </c>
      <c r="BJ49" s="36">
        <f t="shared" si="487"/>
        <v>150.91560000000001</v>
      </c>
      <c r="BK49" s="36">
        <f t="shared" si="487"/>
        <v>150.91560000000001</v>
      </c>
      <c r="BL49" s="36">
        <f t="shared" si="487"/>
        <v>150.91560000000001</v>
      </c>
      <c r="BM49" s="36">
        <f t="shared" si="487"/>
        <v>150.91560000000001</v>
      </c>
      <c r="BN49" s="36">
        <f t="shared" si="487"/>
        <v>148.35150000000002</v>
      </c>
      <c r="BO49" s="36">
        <f t="shared" si="487"/>
        <v>148.35150000000002</v>
      </c>
      <c r="BP49" s="36">
        <f t="shared" si="487"/>
        <v>152.80204499999999</v>
      </c>
      <c r="BQ49" s="36">
        <f t="shared" si="487"/>
        <v>152.80204499999999</v>
      </c>
      <c r="BR49" s="36">
        <f t="shared" si="487"/>
        <v>152.80204499999999</v>
      </c>
      <c r="BS49" s="36">
        <f t="shared" si="487"/>
        <v>152.80204499999999</v>
      </c>
      <c r="BT49" s="36">
        <f t="shared" si="487"/>
        <v>152.80204499999999</v>
      </c>
      <c r="BU49" s="36">
        <f t="shared" si="487"/>
        <v>152.80204499999999</v>
      </c>
      <c r="BV49" s="36">
        <f t="shared" si="487"/>
        <v>152.80204499999999</v>
      </c>
      <c r="BW49" s="36">
        <f t="shared" si="487"/>
        <v>152.80204499999999</v>
      </c>
      <c r="BX49" s="36">
        <f t="shared" si="487"/>
        <v>152.80204499999999</v>
      </c>
      <c r="BY49" s="8"/>
      <c r="BZ49" s="72">
        <f t="shared" si="199"/>
        <v>0</v>
      </c>
      <c r="CA49" s="72">
        <f t="shared" si="200"/>
        <v>0</v>
      </c>
      <c r="CB49" s="97"/>
      <c r="CC49" s="72">
        <f t="shared" si="435"/>
        <v>0</v>
      </c>
      <c r="CD49" s="72">
        <f t="shared" si="435"/>
        <v>0</v>
      </c>
      <c r="CE49" s="72">
        <f t="shared" si="435"/>
        <v>0</v>
      </c>
      <c r="CF49" s="72">
        <f t="shared" si="435"/>
        <v>0</v>
      </c>
      <c r="CG49" s="72">
        <f t="shared" si="435"/>
        <v>1296</v>
      </c>
      <c r="CH49" s="72">
        <f t="shared" si="435"/>
        <v>1766.8799999999994</v>
      </c>
      <c r="CI49" s="72">
        <f t="shared" si="435"/>
        <v>1799.6004000000003</v>
      </c>
      <c r="CJ49" s="72">
        <f t="shared" si="435"/>
        <v>1822.8370049999996</v>
      </c>
      <c r="CL49" s="13"/>
      <c r="CM49" s="13"/>
    </row>
    <row r="50" spans="1:91" x14ac:dyDescent="0.3">
      <c r="A50" s="97" t="str">
        <f>'DCS Detail'!A50</f>
        <v xml:space="preserve">   6400 Paycheck Protection Program</v>
      </c>
      <c r="B50" s="106" t="str">
        <f>IF('DCS Detail'!$B50="","",'DCS Detail'!$B50)</f>
        <v>Grants</v>
      </c>
      <c r="C50" s="106"/>
      <c r="D50" s="106"/>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72820</v>
      </c>
      <c r="AA50" s="146">
        <v>0</v>
      </c>
      <c r="AB50" s="18">
        <v>0</v>
      </c>
      <c r="AC50" s="18">
        <v>0</v>
      </c>
      <c r="AD50" s="18">
        <v>0</v>
      </c>
      <c r="AE50" s="18">
        <v>0</v>
      </c>
      <c r="AF50" s="18">
        <v>0</v>
      </c>
      <c r="AG50" s="18">
        <v>0</v>
      </c>
      <c r="AH50" s="18">
        <v>0</v>
      </c>
      <c r="AI50" s="18">
        <v>0</v>
      </c>
      <c r="AJ50" s="18">
        <v>0</v>
      </c>
      <c r="AK50" s="18">
        <v>0</v>
      </c>
      <c r="AL50" s="18">
        <v>0</v>
      </c>
      <c r="AM50" s="18">
        <v>0</v>
      </c>
      <c r="AN50" s="18">
        <v>0</v>
      </c>
      <c r="AO50" s="18">
        <v>0</v>
      </c>
      <c r="AP50" s="18">
        <v>0</v>
      </c>
      <c r="AQ50" s="18">
        <v>0</v>
      </c>
      <c r="AR50" s="18">
        <v>0</v>
      </c>
      <c r="AS50" s="18">
        <v>0</v>
      </c>
      <c r="AT50" s="18">
        <v>0</v>
      </c>
      <c r="AU50" s="18">
        <v>0</v>
      </c>
      <c r="AV50" s="18">
        <v>0</v>
      </c>
      <c r="AW50" s="18">
        <v>0</v>
      </c>
      <c r="AX50" s="18">
        <v>0</v>
      </c>
      <c r="AY50" s="18">
        <v>0</v>
      </c>
      <c r="AZ50" s="18">
        <v>0</v>
      </c>
      <c r="BA50" s="18">
        <v>0</v>
      </c>
      <c r="BB50" s="18">
        <v>0</v>
      </c>
      <c r="BC50" s="18">
        <v>0</v>
      </c>
      <c r="BD50" s="18">
        <v>0</v>
      </c>
      <c r="BE50" s="18">
        <v>0</v>
      </c>
      <c r="BF50" s="18">
        <v>0</v>
      </c>
      <c r="BG50" s="18">
        <v>0</v>
      </c>
      <c r="BH50" s="18">
        <v>0</v>
      </c>
      <c r="BI50" s="18">
        <v>0</v>
      </c>
      <c r="BJ50" s="18">
        <v>0</v>
      </c>
      <c r="BK50" s="18">
        <v>0</v>
      </c>
      <c r="BL50" s="18">
        <v>0</v>
      </c>
      <c r="BM50" s="18">
        <v>0</v>
      </c>
      <c r="BN50" s="18">
        <v>0</v>
      </c>
      <c r="BO50" s="18">
        <v>0</v>
      </c>
      <c r="BP50" s="18">
        <v>0</v>
      </c>
      <c r="BQ50" s="18">
        <v>0</v>
      </c>
      <c r="BR50" s="18">
        <v>0</v>
      </c>
      <c r="BS50" s="18">
        <v>0</v>
      </c>
      <c r="BT50" s="18">
        <v>0</v>
      </c>
      <c r="BU50" s="18">
        <v>0</v>
      </c>
      <c r="BV50" s="18">
        <v>0</v>
      </c>
      <c r="BW50" s="18">
        <v>0</v>
      </c>
      <c r="BX50" s="18">
        <v>0</v>
      </c>
      <c r="BY50" s="8"/>
      <c r="BZ50" s="72">
        <f t="shared" si="199"/>
        <v>0</v>
      </c>
      <c r="CA50" s="72">
        <f t="shared" si="200"/>
        <v>72820</v>
      </c>
      <c r="CB50" s="97"/>
      <c r="CC50" s="72">
        <f t="shared" si="435"/>
        <v>0</v>
      </c>
      <c r="CD50" s="72">
        <f t="shared" si="435"/>
        <v>0</v>
      </c>
      <c r="CE50" s="72">
        <f t="shared" si="435"/>
        <v>0</v>
      </c>
      <c r="CF50" s="72">
        <f t="shared" si="435"/>
        <v>72820</v>
      </c>
      <c r="CG50" s="72">
        <f t="shared" si="435"/>
        <v>0</v>
      </c>
      <c r="CH50" s="72">
        <f t="shared" si="435"/>
        <v>0</v>
      </c>
      <c r="CI50" s="72">
        <f t="shared" si="435"/>
        <v>0</v>
      </c>
      <c r="CJ50" s="72">
        <f t="shared" si="435"/>
        <v>0</v>
      </c>
      <c r="CL50" s="13"/>
      <c r="CM50" s="13"/>
    </row>
    <row r="51" spans="1:91" x14ac:dyDescent="0.3">
      <c r="A51" s="97" t="str">
        <f>'DCS Detail'!A51</f>
        <v xml:space="preserve">   Yearbook Sales</v>
      </c>
      <c r="B51" s="106" t="str">
        <f>IF('DCS Detail'!$B51="","",'DCS Detail'!$B51)</f>
        <v>Other</v>
      </c>
      <c r="C51" s="139"/>
      <c r="D51" s="139"/>
      <c r="E51" s="121">
        <v>11</v>
      </c>
      <c r="F51" s="121">
        <v>111</v>
      </c>
      <c r="G51" s="121">
        <v>0</v>
      </c>
      <c r="H51" s="121">
        <v>0</v>
      </c>
      <c r="I51" s="121">
        <v>0</v>
      </c>
      <c r="J51" s="121">
        <v>0</v>
      </c>
      <c r="K51" s="121">
        <v>0</v>
      </c>
      <c r="L51" s="121">
        <v>0</v>
      </c>
      <c r="M51" s="121">
        <v>0</v>
      </c>
      <c r="N51" s="121">
        <v>0</v>
      </c>
      <c r="O51" s="121">
        <v>35</v>
      </c>
      <c r="P51" s="121">
        <v>0</v>
      </c>
      <c r="Q51" s="121">
        <v>3.3</v>
      </c>
      <c r="R51" s="121">
        <v>0</v>
      </c>
      <c r="S51" s="121">
        <v>0</v>
      </c>
      <c r="T51" s="121">
        <v>0</v>
      </c>
      <c r="U51" s="121">
        <v>20</v>
      </c>
      <c r="V51" s="121">
        <v>0</v>
      </c>
      <c r="W51" s="121">
        <v>0</v>
      </c>
      <c r="X51" s="121">
        <v>0</v>
      </c>
      <c r="Y51" s="121">
        <v>0</v>
      </c>
      <c r="Z51" s="121">
        <v>0</v>
      </c>
      <c r="AA51" s="121">
        <v>0</v>
      </c>
      <c r="AB51" s="137">
        <f t="shared" si="436"/>
        <v>0</v>
      </c>
      <c r="AC51" s="137">
        <f t="shared" si="437"/>
        <v>3.3</v>
      </c>
      <c r="AD51" s="137">
        <f t="shared" si="438"/>
        <v>0</v>
      </c>
      <c r="AE51" s="137">
        <f t="shared" si="439"/>
        <v>0</v>
      </c>
      <c r="AF51" s="137">
        <f t="shared" si="440"/>
        <v>0</v>
      </c>
      <c r="AG51" s="137">
        <f t="shared" si="441"/>
        <v>20</v>
      </c>
      <c r="AH51" s="137">
        <f t="shared" si="442"/>
        <v>0</v>
      </c>
      <c r="AI51" s="137">
        <f t="shared" si="443"/>
        <v>0</v>
      </c>
      <c r="AJ51" s="137">
        <f t="shared" si="444"/>
        <v>0</v>
      </c>
      <c r="AK51" s="137">
        <f t="shared" si="445"/>
        <v>0</v>
      </c>
      <c r="AL51" s="137">
        <f t="shared" si="446"/>
        <v>0</v>
      </c>
      <c r="AM51" s="137">
        <f t="shared" si="447"/>
        <v>0</v>
      </c>
      <c r="AN51" s="137">
        <f t="shared" si="448"/>
        <v>0</v>
      </c>
      <c r="AO51" s="137">
        <f t="shared" si="449"/>
        <v>3.3</v>
      </c>
      <c r="AP51" s="137">
        <f t="shared" si="450"/>
        <v>0</v>
      </c>
      <c r="AQ51" s="137">
        <f t="shared" si="451"/>
        <v>0</v>
      </c>
      <c r="AR51" s="137">
        <f t="shared" si="452"/>
        <v>0</v>
      </c>
      <c r="AS51" s="137">
        <f t="shared" si="453"/>
        <v>20</v>
      </c>
      <c r="AT51" s="137">
        <f t="shared" si="454"/>
        <v>0</v>
      </c>
      <c r="AU51" s="137">
        <f t="shared" si="455"/>
        <v>0</v>
      </c>
      <c r="AV51" s="137">
        <f t="shared" si="456"/>
        <v>0</v>
      </c>
      <c r="AW51" s="137">
        <f t="shared" si="457"/>
        <v>0</v>
      </c>
      <c r="AX51" s="137">
        <f t="shared" si="458"/>
        <v>0</v>
      </c>
      <c r="AY51" s="137">
        <f t="shared" si="459"/>
        <v>0</v>
      </c>
      <c r="AZ51" s="137">
        <f t="shared" si="460"/>
        <v>0</v>
      </c>
      <c r="BA51" s="137">
        <f t="shared" si="461"/>
        <v>3.3</v>
      </c>
      <c r="BB51" s="137">
        <f t="shared" si="462"/>
        <v>0</v>
      </c>
      <c r="BC51" s="137">
        <f t="shared" si="463"/>
        <v>0</v>
      </c>
      <c r="BD51" s="137">
        <f t="shared" si="464"/>
        <v>0</v>
      </c>
      <c r="BE51" s="137">
        <f t="shared" si="465"/>
        <v>20</v>
      </c>
      <c r="BF51" s="137">
        <f t="shared" si="466"/>
        <v>0</v>
      </c>
      <c r="BG51" s="137">
        <f t="shared" si="467"/>
        <v>0</v>
      </c>
      <c r="BH51" s="137">
        <f t="shared" si="468"/>
        <v>0</v>
      </c>
      <c r="BI51" s="137">
        <f t="shared" si="469"/>
        <v>0</v>
      </c>
      <c r="BJ51" s="137">
        <f t="shared" si="470"/>
        <v>0</v>
      </c>
      <c r="BK51" s="137">
        <f t="shared" si="471"/>
        <v>0</v>
      </c>
      <c r="BL51" s="137">
        <f t="shared" si="472"/>
        <v>0</v>
      </c>
      <c r="BM51" s="137">
        <f t="shared" si="473"/>
        <v>3.3</v>
      </c>
      <c r="BN51" s="137">
        <f t="shared" si="474"/>
        <v>0</v>
      </c>
      <c r="BO51" s="137">
        <f t="shared" si="475"/>
        <v>0</v>
      </c>
      <c r="BP51" s="137">
        <f t="shared" si="476"/>
        <v>0</v>
      </c>
      <c r="BQ51" s="137">
        <f t="shared" si="477"/>
        <v>20</v>
      </c>
      <c r="BR51" s="137">
        <f t="shared" si="478"/>
        <v>0</v>
      </c>
      <c r="BS51" s="137">
        <f t="shared" si="479"/>
        <v>0</v>
      </c>
      <c r="BT51" s="137">
        <f t="shared" si="480"/>
        <v>0</v>
      </c>
      <c r="BU51" s="137">
        <f t="shared" si="481"/>
        <v>0</v>
      </c>
      <c r="BV51" s="137">
        <f t="shared" si="482"/>
        <v>0</v>
      </c>
      <c r="BW51" s="137">
        <f t="shared" si="483"/>
        <v>0</v>
      </c>
      <c r="BX51" s="137">
        <f t="shared" si="484"/>
        <v>0</v>
      </c>
      <c r="BY51" s="8"/>
      <c r="BZ51" s="73">
        <f t="shared" si="199"/>
        <v>0</v>
      </c>
      <c r="CA51" s="73">
        <f t="shared" si="200"/>
        <v>23.3</v>
      </c>
      <c r="CB51" s="97"/>
      <c r="CC51" s="73">
        <f t="shared" si="435"/>
        <v>0</v>
      </c>
      <c r="CD51" s="73">
        <f t="shared" si="435"/>
        <v>0</v>
      </c>
      <c r="CE51" s="73">
        <f t="shared" si="435"/>
        <v>157</v>
      </c>
      <c r="CF51" s="73">
        <f t="shared" si="435"/>
        <v>23.3</v>
      </c>
      <c r="CG51" s="73">
        <f t="shared" si="435"/>
        <v>23.3</v>
      </c>
      <c r="CH51" s="73">
        <f t="shared" si="435"/>
        <v>23.3</v>
      </c>
      <c r="CI51" s="73">
        <f t="shared" si="435"/>
        <v>23.3</v>
      </c>
      <c r="CJ51" s="73">
        <f t="shared" si="435"/>
        <v>23.3</v>
      </c>
      <c r="CL51" s="13"/>
      <c r="CM51" s="13"/>
    </row>
    <row r="52" spans="1:91" x14ac:dyDescent="0.3">
      <c r="A52" s="97" t="str">
        <f>'DCS Detail'!A52</f>
        <v>Total Income</v>
      </c>
      <c r="B52" s="106" t="str">
        <f>IF('DCS Detail'!$B52="","",'DCS Detail'!$B52)</f>
        <v/>
      </c>
      <c r="C52" s="36">
        <f t="shared" ref="C52:AH52" si="488">SUM(C32:C51)+C23</f>
        <v>0</v>
      </c>
      <c r="D52" s="36">
        <f t="shared" si="488"/>
        <v>0</v>
      </c>
      <c r="E52" s="36">
        <f t="shared" si="488"/>
        <v>95864.41</v>
      </c>
      <c r="F52" s="36">
        <f t="shared" si="488"/>
        <v>110678.16</v>
      </c>
      <c r="G52" s="36">
        <f t="shared" si="488"/>
        <v>52741.23</v>
      </c>
      <c r="H52" s="36">
        <f t="shared" si="488"/>
        <v>142197.72999999998</v>
      </c>
      <c r="I52" s="36">
        <f t="shared" si="488"/>
        <v>4563.3918000000003</v>
      </c>
      <c r="J52" s="36">
        <f t="shared" si="488"/>
        <v>118408.84</v>
      </c>
      <c r="K52" s="36">
        <f t="shared" si="488"/>
        <v>684.49540000000002</v>
      </c>
      <c r="L52" s="36">
        <f t="shared" si="488"/>
        <v>73691.482800000056</v>
      </c>
      <c r="M52" s="36">
        <f t="shared" si="488"/>
        <v>63662.55</v>
      </c>
      <c r="N52" s="36">
        <f t="shared" si="488"/>
        <v>129333.56000000001</v>
      </c>
      <c r="O52" s="36">
        <f t="shared" si="488"/>
        <v>1851.03</v>
      </c>
      <c r="P52" s="36">
        <f t="shared" si="488"/>
        <v>86976.76999999999</v>
      </c>
      <c r="Q52" s="36">
        <f t="shared" si="488"/>
        <v>46997.87</v>
      </c>
      <c r="R52" s="36">
        <f t="shared" si="488"/>
        <v>63933.549999999996</v>
      </c>
      <c r="S52" s="36">
        <f t="shared" si="488"/>
        <v>169807.89</v>
      </c>
      <c r="T52" s="36">
        <f t="shared" si="488"/>
        <v>68549.95</v>
      </c>
      <c r="U52" s="36">
        <f t="shared" si="488"/>
        <v>75955.680000000008</v>
      </c>
      <c r="V52" s="36">
        <f t="shared" si="488"/>
        <v>61587.189999999995</v>
      </c>
      <c r="W52" s="36">
        <f t="shared" si="488"/>
        <v>65569.17</v>
      </c>
      <c r="X52" s="36">
        <f t="shared" si="488"/>
        <v>61055.72</v>
      </c>
      <c r="Y52" s="36">
        <f t="shared" si="488"/>
        <v>60691.79</v>
      </c>
      <c r="Z52" s="36">
        <f t="shared" si="488"/>
        <v>134892.48000000001</v>
      </c>
      <c r="AA52" s="36">
        <f t="shared" si="488"/>
        <v>66200.170000000013</v>
      </c>
      <c r="AB52" s="36">
        <f t="shared" si="488"/>
        <v>83580.228333333333</v>
      </c>
      <c r="AC52" s="36">
        <f t="shared" si="488"/>
        <v>57238.968333333338</v>
      </c>
      <c r="AD52" s="36">
        <f t="shared" si="488"/>
        <v>70343.842115750012</v>
      </c>
      <c r="AE52" s="36">
        <f t="shared" si="488"/>
        <v>176077.23179541668</v>
      </c>
      <c r="AF52" s="36">
        <f t="shared" si="488"/>
        <v>68064.800083583337</v>
      </c>
      <c r="AG52" s="36">
        <f t="shared" si="488"/>
        <v>71104.306259833349</v>
      </c>
      <c r="AH52" s="36">
        <f t="shared" si="488"/>
        <v>64932.817651333338</v>
      </c>
      <c r="AI52" s="36">
        <f t="shared" ref="AI52:BN52" si="489">SUM(AI32:AI51)+AI23</f>
        <v>65602.103507249994</v>
      </c>
      <c r="AJ52" s="36">
        <f t="shared" si="489"/>
        <v>83812.051305000001</v>
      </c>
      <c r="AK52" s="36">
        <f t="shared" si="489"/>
        <v>78807.383507250022</v>
      </c>
      <c r="AL52" s="36">
        <f t="shared" si="489"/>
        <v>78509.500173916676</v>
      </c>
      <c r="AM52" s="36">
        <f t="shared" si="489"/>
        <v>83166.027160916681</v>
      </c>
      <c r="AN52" s="36">
        <f t="shared" si="489"/>
        <v>65709.373669916662</v>
      </c>
      <c r="AO52" s="36">
        <f t="shared" si="489"/>
        <v>63716.270173916681</v>
      </c>
      <c r="AP52" s="36">
        <f t="shared" si="489"/>
        <v>91141.475729658341</v>
      </c>
      <c r="AQ52" s="36">
        <f t="shared" si="489"/>
        <v>196088.14383130916</v>
      </c>
      <c r="AR52" s="36">
        <f t="shared" si="489"/>
        <v>86132.784629570015</v>
      </c>
      <c r="AS52" s="36">
        <f t="shared" si="489"/>
        <v>89189.628124440846</v>
      </c>
      <c r="AT52" s="36">
        <f t="shared" si="489"/>
        <v>82839.967024352532</v>
      </c>
      <c r="AU52" s="36">
        <f t="shared" si="489"/>
        <v>82828.658620874165</v>
      </c>
      <c r="AV52" s="36">
        <f t="shared" si="489"/>
        <v>86950.861317484159</v>
      </c>
      <c r="AW52" s="36">
        <f t="shared" si="489"/>
        <v>87464.098620874182</v>
      </c>
      <c r="AX52" s="36">
        <f t="shared" si="489"/>
        <v>81930.808620874173</v>
      </c>
      <c r="AY52" s="36">
        <f t="shared" si="489"/>
        <v>86773.921317484172</v>
      </c>
      <c r="AZ52" s="36">
        <f t="shared" si="489"/>
        <v>82876.590821754173</v>
      </c>
      <c r="BA52" s="36">
        <f t="shared" si="489"/>
        <v>80787.538620874169</v>
      </c>
      <c r="BB52" s="36">
        <f t="shared" si="489"/>
        <v>112064.45058801545</v>
      </c>
      <c r="BC52" s="36">
        <f t="shared" si="489"/>
        <v>216911.90973144516</v>
      </c>
      <c r="BD52" s="36">
        <f t="shared" si="489"/>
        <v>108246.86989421475</v>
      </c>
      <c r="BE52" s="36">
        <f t="shared" si="489"/>
        <v>111344.95862524584</v>
      </c>
      <c r="BF52" s="36">
        <f t="shared" si="489"/>
        <v>104889.20320590596</v>
      </c>
      <c r="BG52" s="36">
        <f t="shared" si="489"/>
        <v>104846.56808036673</v>
      </c>
      <c r="BH52" s="36">
        <f t="shared" si="489"/>
        <v>109092.94137416741</v>
      </c>
      <c r="BI52" s="36">
        <f t="shared" si="489"/>
        <v>109623.55608036675</v>
      </c>
      <c r="BJ52" s="36">
        <f t="shared" si="489"/>
        <v>103932.14408036674</v>
      </c>
      <c r="BK52" s="36">
        <f t="shared" si="489"/>
        <v>108872.80937416742</v>
      </c>
      <c r="BL52" s="36">
        <f t="shared" si="489"/>
        <v>104896.29779476214</v>
      </c>
      <c r="BM52" s="36">
        <f t="shared" si="489"/>
        <v>102772.22708036673</v>
      </c>
      <c r="BN52" s="36">
        <f t="shared" si="489"/>
        <v>119384.29977360363</v>
      </c>
      <c r="BO52" s="36">
        <f t="shared" ref="BO52:BX52" si="490">SUM(BO32:BO51)+BO23</f>
        <v>224158.0004063262</v>
      </c>
      <c r="BP52" s="36">
        <f t="shared" si="490"/>
        <v>115518.15650863045</v>
      </c>
      <c r="BQ52" s="36">
        <f t="shared" si="490"/>
        <v>118636.28511129941</v>
      </c>
      <c r="BR52" s="36">
        <f t="shared" si="490"/>
        <v>112103.11318671778</v>
      </c>
      <c r="BS52" s="36">
        <f t="shared" si="490"/>
        <v>112034.72827210932</v>
      </c>
      <c r="BT52" s="36">
        <f t="shared" si="490"/>
        <v>117035.17223938674</v>
      </c>
      <c r="BU52" s="36">
        <f t="shared" si="490"/>
        <v>117582.59122941356</v>
      </c>
      <c r="BV52" s="36">
        <f t="shared" si="490"/>
        <v>111753.43237941356</v>
      </c>
      <c r="BW52" s="36">
        <f t="shared" si="490"/>
        <v>116769.68863938675</v>
      </c>
      <c r="BX52" s="36">
        <f t="shared" si="490"/>
        <v>112724.2244402389</v>
      </c>
      <c r="BY52" s="8"/>
      <c r="BZ52" s="72">
        <f t="shared" si="199"/>
        <v>66200.170000000013</v>
      </c>
      <c r="CA52" s="72">
        <f t="shared" si="200"/>
        <v>875241.46000000008</v>
      </c>
      <c r="CB52" s="97"/>
      <c r="CC52" s="72">
        <f t="shared" si="435"/>
        <v>0</v>
      </c>
      <c r="CD52" s="72">
        <f t="shared" si="435"/>
        <v>0</v>
      </c>
      <c r="CE52" s="72">
        <f t="shared" si="435"/>
        <v>880653.65000000014</v>
      </c>
      <c r="CF52" s="72">
        <f t="shared" si="435"/>
        <v>958821.68833333347</v>
      </c>
      <c r="CG52" s="72">
        <f t="shared" si="435"/>
        <v>963368.40556350001</v>
      </c>
      <c r="CH52" s="72">
        <f t="shared" si="435"/>
        <v>1117933.2088325927</v>
      </c>
      <c r="CI52" s="72">
        <f t="shared" si="435"/>
        <v>1375509.2474498984</v>
      </c>
      <c r="CJ52" s="72">
        <f t="shared" si="435"/>
        <v>1480471.9192668931</v>
      </c>
      <c r="CL52" s="13"/>
      <c r="CM52" s="13"/>
    </row>
    <row r="53" spans="1:91" x14ac:dyDescent="0.3">
      <c r="A53" s="97" t="str">
        <f>'DCS Detail'!A53</f>
        <v>Gross Profit</v>
      </c>
      <c r="B53" s="106" t="str">
        <f>IF('DCS Detail'!$B53="","",'DCS Detail'!$B53)</f>
        <v/>
      </c>
      <c r="C53" s="112">
        <f>C52</f>
        <v>0</v>
      </c>
      <c r="D53" s="112">
        <f t="shared" ref="D53:AN53" si="491">D52</f>
        <v>0</v>
      </c>
      <c r="E53" s="112">
        <f t="shared" si="491"/>
        <v>95864.41</v>
      </c>
      <c r="F53" s="112">
        <f t="shared" si="491"/>
        <v>110678.16</v>
      </c>
      <c r="G53" s="112">
        <f t="shared" si="491"/>
        <v>52741.23</v>
      </c>
      <c r="H53" s="112">
        <f t="shared" si="491"/>
        <v>142197.72999999998</v>
      </c>
      <c r="I53" s="112">
        <f t="shared" si="491"/>
        <v>4563.3918000000003</v>
      </c>
      <c r="J53" s="112">
        <f t="shared" si="491"/>
        <v>118408.84</v>
      </c>
      <c r="K53" s="112">
        <f t="shared" si="491"/>
        <v>684.49540000000002</v>
      </c>
      <c r="L53" s="112">
        <f t="shared" si="491"/>
        <v>73691.482800000056</v>
      </c>
      <c r="M53" s="112">
        <f t="shared" ref="M53" si="492">M52</f>
        <v>63662.55</v>
      </c>
      <c r="N53" s="112">
        <f t="shared" si="491"/>
        <v>129333.56000000001</v>
      </c>
      <c r="O53" s="112">
        <f t="shared" si="491"/>
        <v>1851.03</v>
      </c>
      <c r="P53" s="112">
        <f t="shared" si="491"/>
        <v>86976.76999999999</v>
      </c>
      <c r="Q53" s="112">
        <f t="shared" si="491"/>
        <v>46997.87</v>
      </c>
      <c r="R53" s="112">
        <f t="shared" ref="R53:S53" si="493">R52</f>
        <v>63933.549999999996</v>
      </c>
      <c r="S53" s="112">
        <f t="shared" si="493"/>
        <v>169807.89</v>
      </c>
      <c r="T53" s="112">
        <f t="shared" ref="T53:U53" si="494">T52</f>
        <v>68549.95</v>
      </c>
      <c r="U53" s="112">
        <f t="shared" si="494"/>
        <v>75955.680000000008</v>
      </c>
      <c r="V53" s="112">
        <f t="shared" ref="V53:W53" si="495">V52</f>
        <v>61587.189999999995</v>
      </c>
      <c r="W53" s="112">
        <f t="shared" si="495"/>
        <v>65569.17</v>
      </c>
      <c r="X53" s="112">
        <f t="shared" si="491"/>
        <v>61055.72</v>
      </c>
      <c r="Y53" s="112">
        <f t="shared" si="491"/>
        <v>60691.79</v>
      </c>
      <c r="Z53" s="112">
        <f t="shared" si="491"/>
        <v>134892.48000000001</v>
      </c>
      <c r="AA53" s="112">
        <f t="shared" si="491"/>
        <v>66200.170000000013</v>
      </c>
      <c r="AB53" s="112">
        <f t="shared" si="491"/>
        <v>83580.228333333333</v>
      </c>
      <c r="AC53" s="112">
        <f t="shared" si="491"/>
        <v>57238.968333333338</v>
      </c>
      <c r="AD53" s="112">
        <f t="shared" si="491"/>
        <v>70343.842115750012</v>
      </c>
      <c r="AE53" s="112">
        <f t="shared" si="491"/>
        <v>176077.23179541668</v>
      </c>
      <c r="AF53" s="112">
        <f t="shared" si="491"/>
        <v>68064.800083583337</v>
      </c>
      <c r="AG53" s="112">
        <f t="shared" si="491"/>
        <v>71104.306259833349</v>
      </c>
      <c r="AH53" s="112">
        <f t="shared" si="491"/>
        <v>64932.817651333338</v>
      </c>
      <c r="AI53" s="112">
        <f t="shared" si="491"/>
        <v>65602.103507249994</v>
      </c>
      <c r="AJ53" s="112">
        <f t="shared" si="491"/>
        <v>83812.051305000001</v>
      </c>
      <c r="AK53" s="112">
        <f t="shared" si="491"/>
        <v>78807.383507250022</v>
      </c>
      <c r="AL53" s="112">
        <f t="shared" si="491"/>
        <v>78509.500173916676</v>
      </c>
      <c r="AM53" s="112">
        <f t="shared" si="491"/>
        <v>83166.027160916681</v>
      </c>
      <c r="AN53" s="112">
        <f t="shared" si="491"/>
        <v>65709.373669916662</v>
      </c>
      <c r="AO53" s="112">
        <f t="shared" ref="AO53:AZ53" si="496">AO52</f>
        <v>63716.270173916681</v>
      </c>
      <c r="AP53" s="112">
        <f t="shared" si="496"/>
        <v>91141.475729658341</v>
      </c>
      <c r="AQ53" s="112">
        <f t="shared" si="496"/>
        <v>196088.14383130916</v>
      </c>
      <c r="AR53" s="112">
        <f t="shared" si="496"/>
        <v>86132.784629570015</v>
      </c>
      <c r="AS53" s="112">
        <f t="shared" si="496"/>
        <v>89189.628124440846</v>
      </c>
      <c r="AT53" s="112">
        <f t="shared" si="496"/>
        <v>82839.967024352532</v>
      </c>
      <c r="AU53" s="112">
        <f t="shared" si="496"/>
        <v>82828.658620874165</v>
      </c>
      <c r="AV53" s="112">
        <f t="shared" si="496"/>
        <v>86950.861317484159</v>
      </c>
      <c r="AW53" s="112">
        <f t="shared" si="496"/>
        <v>87464.098620874182</v>
      </c>
      <c r="AX53" s="112">
        <f t="shared" si="496"/>
        <v>81930.808620874173</v>
      </c>
      <c r="AY53" s="112">
        <f t="shared" si="496"/>
        <v>86773.921317484172</v>
      </c>
      <c r="AZ53" s="112">
        <f t="shared" si="496"/>
        <v>82876.590821754173</v>
      </c>
      <c r="BA53" s="112">
        <f t="shared" ref="BA53:BX53" si="497">BA52</f>
        <v>80787.538620874169</v>
      </c>
      <c r="BB53" s="112">
        <f t="shared" si="497"/>
        <v>112064.45058801545</v>
      </c>
      <c r="BC53" s="112">
        <f t="shared" si="497"/>
        <v>216911.90973144516</v>
      </c>
      <c r="BD53" s="112">
        <f t="shared" si="497"/>
        <v>108246.86989421475</v>
      </c>
      <c r="BE53" s="112">
        <f t="shared" si="497"/>
        <v>111344.95862524584</v>
      </c>
      <c r="BF53" s="112">
        <f t="shared" si="497"/>
        <v>104889.20320590596</v>
      </c>
      <c r="BG53" s="112">
        <f t="shared" si="497"/>
        <v>104846.56808036673</v>
      </c>
      <c r="BH53" s="112">
        <f t="shared" si="497"/>
        <v>109092.94137416741</v>
      </c>
      <c r="BI53" s="112">
        <f t="shared" si="497"/>
        <v>109623.55608036675</v>
      </c>
      <c r="BJ53" s="112">
        <f t="shared" si="497"/>
        <v>103932.14408036674</v>
      </c>
      <c r="BK53" s="112">
        <f t="shared" si="497"/>
        <v>108872.80937416742</v>
      </c>
      <c r="BL53" s="112">
        <f t="shared" si="497"/>
        <v>104896.29779476214</v>
      </c>
      <c r="BM53" s="112">
        <f t="shared" si="497"/>
        <v>102772.22708036673</v>
      </c>
      <c r="BN53" s="112">
        <f t="shared" si="497"/>
        <v>119384.29977360363</v>
      </c>
      <c r="BO53" s="112">
        <f t="shared" si="497"/>
        <v>224158.0004063262</v>
      </c>
      <c r="BP53" s="112">
        <f t="shared" si="497"/>
        <v>115518.15650863045</v>
      </c>
      <c r="BQ53" s="112">
        <f t="shared" si="497"/>
        <v>118636.28511129941</v>
      </c>
      <c r="BR53" s="112">
        <f t="shared" si="497"/>
        <v>112103.11318671778</v>
      </c>
      <c r="BS53" s="112">
        <f t="shared" si="497"/>
        <v>112034.72827210932</v>
      </c>
      <c r="BT53" s="112">
        <f t="shared" si="497"/>
        <v>117035.17223938674</v>
      </c>
      <c r="BU53" s="112">
        <f t="shared" si="497"/>
        <v>117582.59122941356</v>
      </c>
      <c r="BV53" s="112">
        <f t="shared" si="497"/>
        <v>111753.43237941356</v>
      </c>
      <c r="BW53" s="112">
        <f t="shared" si="497"/>
        <v>116769.68863938675</v>
      </c>
      <c r="BX53" s="112">
        <f t="shared" si="497"/>
        <v>112724.2244402389</v>
      </c>
      <c r="BY53" s="8"/>
      <c r="BZ53" s="385">
        <f t="shared" si="199"/>
        <v>66200.170000000013</v>
      </c>
      <c r="CA53" s="385">
        <f t="shared" si="200"/>
        <v>875241.46000000008</v>
      </c>
      <c r="CB53" s="97"/>
      <c r="CC53" s="385">
        <f t="shared" si="435"/>
        <v>0</v>
      </c>
      <c r="CD53" s="385">
        <f t="shared" si="435"/>
        <v>0</v>
      </c>
      <c r="CE53" s="385">
        <f t="shared" si="435"/>
        <v>880653.65000000014</v>
      </c>
      <c r="CF53" s="385">
        <f t="shared" si="435"/>
        <v>958821.68833333347</v>
      </c>
      <c r="CG53" s="385">
        <f t="shared" si="435"/>
        <v>963368.40556350001</v>
      </c>
      <c r="CH53" s="385">
        <f t="shared" si="435"/>
        <v>1117933.2088325927</v>
      </c>
      <c r="CI53" s="385">
        <f t="shared" si="435"/>
        <v>1375509.2474498984</v>
      </c>
      <c r="CJ53" s="385">
        <f t="shared" si="435"/>
        <v>1480471.9192668931</v>
      </c>
      <c r="CL53" s="13"/>
      <c r="CM53" s="13"/>
    </row>
    <row r="54" spans="1:91" x14ac:dyDescent="0.3">
      <c r="A54" s="97" t="str">
        <f>'DCS Detail'!A54</f>
        <v>Expenses</v>
      </c>
      <c r="B54" s="106" t="str">
        <f>IF('DCS Detail'!$B54="","",'DCS Detail'!$B54)</f>
        <v/>
      </c>
      <c r="C54" s="106"/>
      <c r="D54" s="106"/>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442">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18">
        <v>0</v>
      </c>
      <c r="AR54" s="18">
        <v>0</v>
      </c>
      <c r="AS54" s="18">
        <v>0</v>
      </c>
      <c r="AT54" s="18">
        <v>0</v>
      </c>
      <c r="AU54" s="18">
        <v>0</v>
      </c>
      <c r="AV54" s="18">
        <v>0</v>
      </c>
      <c r="AW54" s="18">
        <v>0</v>
      </c>
      <c r="AX54" s="18">
        <v>0</v>
      </c>
      <c r="AY54" s="18">
        <v>0</v>
      </c>
      <c r="AZ54" s="18">
        <v>0</v>
      </c>
      <c r="BA54" s="18">
        <v>0</v>
      </c>
      <c r="BB54" s="18">
        <v>0</v>
      </c>
      <c r="BC54" s="18">
        <v>0</v>
      </c>
      <c r="BD54" s="18">
        <v>0</v>
      </c>
      <c r="BE54" s="18">
        <v>0</v>
      </c>
      <c r="BF54" s="18">
        <v>0</v>
      </c>
      <c r="BG54" s="18">
        <v>0</v>
      </c>
      <c r="BH54" s="18">
        <v>0</v>
      </c>
      <c r="BI54" s="18">
        <v>0</v>
      </c>
      <c r="BJ54" s="18">
        <v>0</v>
      </c>
      <c r="BK54" s="18">
        <v>0</v>
      </c>
      <c r="BL54" s="18">
        <v>0</v>
      </c>
      <c r="BM54" s="18">
        <v>0</v>
      </c>
      <c r="BN54" s="18">
        <v>0</v>
      </c>
      <c r="BO54" s="18">
        <v>0</v>
      </c>
      <c r="BP54" s="18">
        <v>0</v>
      </c>
      <c r="BQ54" s="18">
        <v>0</v>
      </c>
      <c r="BR54" s="18">
        <v>0</v>
      </c>
      <c r="BS54" s="18">
        <v>0</v>
      </c>
      <c r="BT54" s="18">
        <v>0</v>
      </c>
      <c r="BU54" s="18">
        <v>0</v>
      </c>
      <c r="BV54" s="18">
        <v>0</v>
      </c>
      <c r="BW54" s="18">
        <v>0</v>
      </c>
      <c r="BX54" s="18">
        <v>0</v>
      </c>
      <c r="BY54" s="8"/>
      <c r="BZ54" s="72">
        <f t="shared" si="199"/>
        <v>0</v>
      </c>
      <c r="CA54" s="72">
        <f t="shared" si="200"/>
        <v>0</v>
      </c>
      <c r="CB54" s="97"/>
      <c r="CC54" s="72">
        <f t="shared" si="435"/>
        <v>0</v>
      </c>
      <c r="CD54" s="72">
        <f t="shared" si="435"/>
        <v>0</v>
      </c>
      <c r="CE54" s="72">
        <f t="shared" si="435"/>
        <v>0</v>
      </c>
      <c r="CF54" s="72">
        <f t="shared" si="435"/>
        <v>0</v>
      </c>
      <c r="CG54" s="72">
        <f t="shared" si="435"/>
        <v>0</v>
      </c>
      <c r="CH54" s="72">
        <f t="shared" si="435"/>
        <v>0</v>
      </c>
      <c r="CI54" s="72">
        <f t="shared" si="435"/>
        <v>0</v>
      </c>
      <c r="CJ54" s="72">
        <f t="shared" si="435"/>
        <v>0</v>
      </c>
      <c r="CL54" s="13"/>
      <c r="CM54" s="13"/>
    </row>
    <row r="55" spans="1:91" x14ac:dyDescent="0.3">
      <c r="A55" s="97" t="str">
        <f>'DCS Detail'!A55</f>
        <v xml:space="preserve">   100 General Fund</v>
      </c>
      <c r="B55" s="106" t="str">
        <f>IF('DCS Detail'!$B55="","",'DCS Detail'!$B55)</f>
        <v>Salaries</v>
      </c>
      <c r="C55" s="106"/>
      <c r="D55" s="106"/>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46">
        <v>0</v>
      </c>
      <c r="AB55" s="18">
        <v>0</v>
      </c>
      <c r="AC55" s="18">
        <v>0</v>
      </c>
      <c r="AD55" s="18">
        <v>0</v>
      </c>
      <c r="AE55" s="18">
        <v>0</v>
      </c>
      <c r="AF55" s="18">
        <v>0</v>
      </c>
      <c r="AG55" s="18">
        <v>0</v>
      </c>
      <c r="AH55" s="18">
        <v>0</v>
      </c>
      <c r="AI55" s="18">
        <v>0</v>
      </c>
      <c r="AJ55" s="18">
        <v>0</v>
      </c>
      <c r="AK55" s="18">
        <v>0</v>
      </c>
      <c r="AL55" s="18">
        <v>0</v>
      </c>
      <c r="AM55" s="18">
        <v>0</v>
      </c>
      <c r="AN55" s="18">
        <v>0</v>
      </c>
      <c r="AO55" s="18">
        <v>0</v>
      </c>
      <c r="AP55" s="18">
        <v>0</v>
      </c>
      <c r="AQ55" s="18">
        <v>0</v>
      </c>
      <c r="AR55" s="18">
        <v>0</v>
      </c>
      <c r="AS55" s="18">
        <v>0</v>
      </c>
      <c r="AT55" s="18">
        <v>0</v>
      </c>
      <c r="AU55" s="18">
        <v>0</v>
      </c>
      <c r="AV55" s="18">
        <v>0</v>
      </c>
      <c r="AW55" s="18">
        <v>0</v>
      </c>
      <c r="AX55" s="18">
        <v>0</v>
      </c>
      <c r="AY55" s="18">
        <v>0</v>
      </c>
      <c r="AZ55" s="18">
        <v>0</v>
      </c>
      <c r="BA55" s="18">
        <v>0</v>
      </c>
      <c r="BB55" s="18">
        <v>0</v>
      </c>
      <c r="BC55" s="18">
        <v>0</v>
      </c>
      <c r="BD55" s="18">
        <v>0</v>
      </c>
      <c r="BE55" s="18">
        <v>0</v>
      </c>
      <c r="BF55" s="18">
        <v>0</v>
      </c>
      <c r="BG55" s="18">
        <v>0</v>
      </c>
      <c r="BH55" s="18">
        <v>0</v>
      </c>
      <c r="BI55" s="18">
        <v>0</v>
      </c>
      <c r="BJ55" s="18">
        <v>0</v>
      </c>
      <c r="BK55" s="18">
        <v>0</v>
      </c>
      <c r="BL55" s="18">
        <v>0</v>
      </c>
      <c r="BM55" s="18">
        <v>0</v>
      </c>
      <c r="BN55" s="18">
        <v>0</v>
      </c>
      <c r="BO55" s="18">
        <v>0</v>
      </c>
      <c r="BP55" s="18">
        <v>0</v>
      </c>
      <c r="BQ55" s="18">
        <v>0</v>
      </c>
      <c r="BR55" s="18">
        <v>0</v>
      </c>
      <c r="BS55" s="18">
        <v>0</v>
      </c>
      <c r="BT55" s="18">
        <v>0</v>
      </c>
      <c r="BU55" s="18">
        <v>0</v>
      </c>
      <c r="BV55" s="18">
        <v>0</v>
      </c>
      <c r="BW55" s="18">
        <v>0</v>
      </c>
      <c r="BX55" s="18">
        <v>0</v>
      </c>
      <c r="BY55" s="8"/>
      <c r="BZ55" s="72">
        <f t="shared" si="199"/>
        <v>0</v>
      </c>
      <c r="CA55" s="72">
        <f t="shared" si="200"/>
        <v>0</v>
      </c>
      <c r="CB55" s="97"/>
      <c r="CC55" s="72">
        <f t="shared" si="435"/>
        <v>0</v>
      </c>
      <c r="CD55" s="72">
        <f t="shared" si="435"/>
        <v>0</v>
      </c>
      <c r="CE55" s="72">
        <f t="shared" si="435"/>
        <v>0</v>
      </c>
      <c r="CF55" s="72">
        <f t="shared" si="435"/>
        <v>0</v>
      </c>
      <c r="CG55" s="72">
        <f t="shared" si="435"/>
        <v>0</v>
      </c>
      <c r="CH55" s="72">
        <f t="shared" si="435"/>
        <v>0</v>
      </c>
      <c r="CI55" s="72">
        <f t="shared" si="435"/>
        <v>0</v>
      </c>
      <c r="CJ55" s="72">
        <f t="shared" si="435"/>
        <v>0</v>
      </c>
      <c r="CL55" s="13"/>
      <c r="CM55" s="13"/>
    </row>
    <row r="56" spans="1:91" x14ac:dyDescent="0.3">
      <c r="A56" s="97" t="str">
        <f>'DCS Detail'!A56</f>
        <v xml:space="preserve">      1000 Instruction</v>
      </c>
      <c r="B56" s="106" t="str">
        <f>IF('DCS Detail'!$B56="","",'DCS Detail'!$B56)</f>
        <v/>
      </c>
      <c r="C56" s="106"/>
      <c r="D56" s="106"/>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46">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0</v>
      </c>
      <c r="AW56" s="18">
        <v>0</v>
      </c>
      <c r="AX56" s="18">
        <v>0</v>
      </c>
      <c r="AY56" s="18">
        <v>0</v>
      </c>
      <c r="AZ56" s="18">
        <v>0</v>
      </c>
      <c r="BA56" s="18">
        <v>0</v>
      </c>
      <c r="BB56" s="18">
        <v>0</v>
      </c>
      <c r="BC56" s="18">
        <v>0</v>
      </c>
      <c r="BD56" s="18">
        <v>0</v>
      </c>
      <c r="BE56" s="18">
        <v>0</v>
      </c>
      <c r="BF56" s="18">
        <v>0</v>
      </c>
      <c r="BG56" s="18">
        <v>0</v>
      </c>
      <c r="BH56" s="18">
        <v>0</v>
      </c>
      <c r="BI56" s="18">
        <v>0</v>
      </c>
      <c r="BJ56" s="18">
        <v>0</v>
      </c>
      <c r="BK56" s="18">
        <v>0</v>
      </c>
      <c r="BL56" s="18">
        <v>0</v>
      </c>
      <c r="BM56" s="18">
        <v>0</v>
      </c>
      <c r="BN56" s="18">
        <v>0</v>
      </c>
      <c r="BO56" s="18">
        <v>0</v>
      </c>
      <c r="BP56" s="18">
        <v>0</v>
      </c>
      <c r="BQ56" s="18">
        <v>0</v>
      </c>
      <c r="BR56" s="18">
        <v>0</v>
      </c>
      <c r="BS56" s="18">
        <v>0</v>
      </c>
      <c r="BT56" s="18">
        <v>0</v>
      </c>
      <c r="BU56" s="18">
        <v>0</v>
      </c>
      <c r="BV56" s="18">
        <v>0</v>
      </c>
      <c r="BW56" s="18">
        <v>0</v>
      </c>
      <c r="BX56" s="18">
        <v>0</v>
      </c>
      <c r="BY56" s="8"/>
      <c r="BZ56" s="72">
        <f t="shared" si="199"/>
        <v>0</v>
      </c>
      <c r="CA56" s="72">
        <f t="shared" si="200"/>
        <v>0</v>
      </c>
      <c r="CB56" s="97"/>
      <c r="CC56" s="72">
        <f t="shared" si="435"/>
        <v>0</v>
      </c>
      <c r="CD56" s="72">
        <f t="shared" si="435"/>
        <v>0</v>
      </c>
      <c r="CE56" s="72">
        <f t="shared" si="435"/>
        <v>0</v>
      </c>
      <c r="CF56" s="72">
        <f t="shared" si="435"/>
        <v>0</v>
      </c>
      <c r="CG56" s="72">
        <f t="shared" si="435"/>
        <v>0</v>
      </c>
      <c r="CH56" s="72">
        <f t="shared" si="435"/>
        <v>0</v>
      </c>
      <c r="CI56" s="72">
        <f t="shared" si="435"/>
        <v>0</v>
      </c>
      <c r="CJ56" s="72">
        <f t="shared" si="435"/>
        <v>0</v>
      </c>
      <c r="CL56" s="13"/>
      <c r="CM56" s="13"/>
    </row>
    <row r="57" spans="1:91" x14ac:dyDescent="0.3">
      <c r="A57" s="97" t="str">
        <f>'DCS Detail'!A57</f>
        <v xml:space="preserve">         111.1 Wages - Licensed Teachers</v>
      </c>
      <c r="B57" s="106" t="str">
        <f>IF('DCS Detail'!$B57="","",'DCS Detail'!$B57)</f>
        <v>Salaries</v>
      </c>
      <c r="C57" s="106"/>
      <c r="D57" s="106"/>
      <c r="E57" s="18">
        <v>-16716.3</v>
      </c>
      <c r="F57" s="18">
        <v>17490.75</v>
      </c>
      <c r="G57" s="18">
        <v>19157.28</v>
      </c>
      <c r="H57" s="18">
        <v>21334.59</v>
      </c>
      <c r="I57" s="18">
        <v>21143.94</v>
      </c>
      <c r="J57" s="18">
        <f>92667.18*0.22</f>
        <v>20386.779599999998</v>
      </c>
      <c r="K57" s="18">
        <v>20437.349999999999</v>
      </c>
      <c r="L57" s="18">
        <v>20600.010399999999</v>
      </c>
      <c r="M57" s="18">
        <v>20447.02</v>
      </c>
      <c r="N57" s="18">
        <v>20936.830000000002</v>
      </c>
      <c r="O57" s="18">
        <v>20966.78</v>
      </c>
      <c r="P57" s="18">
        <v>49533.02</v>
      </c>
      <c r="Q57" s="18">
        <v>204.64</v>
      </c>
      <c r="R57" s="18">
        <v>20968.98</v>
      </c>
      <c r="S57" s="18">
        <v>20589.310000000001</v>
      </c>
      <c r="T57" s="18">
        <v>19489.7</v>
      </c>
      <c r="U57" s="18">
        <v>19343.900000000001</v>
      </c>
      <c r="V57" s="18">
        <v>21499.53</v>
      </c>
      <c r="W57" s="18">
        <v>19802.62</v>
      </c>
      <c r="X57" s="18">
        <v>20103.52</v>
      </c>
      <c r="Y57" s="18">
        <v>20150.080000000002</v>
      </c>
      <c r="Z57" s="18">
        <v>19959.310000000001</v>
      </c>
      <c r="AA57" s="146">
        <v>22855.39</v>
      </c>
      <c r="AB57" s="102">
        <f t="shared" ref="AB57:AZ57" si="498">AB265*AB272</f>
        <v>40937.113333333335</v>
      </c>
      <c r="AC57" s="102">
        <f t="shared" si="498"/>
        <v>0</v>
      </c>
      <c r="AD57" s="102">
        <f t="shared" si="498"/>
        <v>20468.556666666667</v>
      </c>
      <c r="AE57" s="102">
        <f t="shared" si="498"/>
        <v>20468.556666666667</v>
      </c>
      <c r="AF57" s="102">
        <f t="shared" si="498"/>
        <v>20468.556666666667</v>
      </c>
      <c r="AG57" s="102">
        <f t="shared" si="498"/>
        <v>20468.556666666667</v>
      </c>
      <c r="AH57" s="102">
        <f t="shared" si="498"/>
        <v>20468.556666666667</v>
      </c>
      <c r="AI57" s="102">
        <f t="shared" si="498"/>
        <v>20468.556666666667</v>
      </c>
      <c r="AJ57" s="102">
        <f t="shared" si="498"/>
        <v>20468.556666666667</v>
      </c>
      <c r="AK57" s="102">
        <f t="shared" si="498"/>
        <v>20468.556666666667</v>
      </c>
      <c r="AL57" s="102">
        <f t="shared" si="498"/>
        <v>20468.556666666667</v>
      </c>
      <c r="AM57" s="102">
        <f t="shared" si="498"/>
        <v>20468.556666666667</v>
      </c>
      <c r="AN57" s="102">
        <f t="shared" si="498"/>
        <v>40937.113333333335</v>
      </c>
      <c r="AO57" s="102">
        <f t="shared" si="498"/>
        <v>0</v>
      </c>
      <c r="AP57" s="102">
        <f t="shared" si="498"/>
        <v>21082.613366666668</v>
      </c>
      <c r="AQ57" s="102">
        <f t="shared" si="498"/>
        <v>21082.613366666668</v>
      </c>
      <c r="AR57" s="102">
        <f t="shared" si="498"/>
        <v>21082.613366666668</v>
      </c>
      <c r="AS57" s="102">
        <f t="shared" si="498"/>
        <v>21082.613366666668</v>
      </c>
      <c r="AT57" s="102">
        <f t="shared" si="498"/>
        <v>21082.613366666668</v>
      </c>
      <c r="AU57" s="102">
        <f t="shared" si="498"/>
        <v>21082.613366666668</v>
      </c>
      <c r="AV57" s="102">
        <f t="shared" si="498"/>
        <v>21082.613366666668</v>
      </c>
      <c r="AW57" s="102">
        <f t="shared" si="498"/>
        <v>21082.613366666668</v>
      </c>
      <c r="AX57" s="102">
        <f t="shared" si="498"/>
        <v>21082.613366666668</v>
      </c>
      <c r="AY57" s="102">
        <f t="shared" si="498"/>
        <v>21082.613366666668</v>
      </c>
      <c r="AZ57" s="102">
        <f t="shared" si="498"/>
        <v>42165.226733333337</v>
      </c>
      <c r="BA57" s="102">
        <f t="shared" ref="BA57:BX57" si="499">BA265*BA272</f>
        <v>0</v>
      </c>
      <c r="BB57" s="102">
        <f t="shared" si="499"/>
        <v>24429.478238625001</v>
      </c>
      <c r="BC57" s="102">
        <f t="shared" si="499"/>
        <v>24429.478238625001</v>
      </c>
      <c r="BD57" s="102">
        <f t="shared" si="499"/>
        <v>24429.478238625001</v>
      </c>
      <c r="BE57" s="102">
        <f t="shared" si="499"/>
        <v>24429.478238625001</v>
      </c>
      <c r="BF57" s="102">
        <f t="shared" si="499"/>
        <v>24429.478238625001</v>
      </c>
      <c r="BG57" s="102">
        <f t="shared" si="499"/>
        <v>24429.478238625001</v>
      </c>
      <c r="BH57" s="102">
        <f t="shared" si="499"/>
        <v>24429.478238625001</v>
      </c>
      <c r="BI57" s="102">
        <f t="shared" si="499"/>
        <v>24429.478238625001</v>
      </c>
      <c r="BJ57" s="102">
        <f t="shared" si="499"/>
        <v>24429.478238625001</v>
      </c>
      <c r="BK57" s="102">
        <f t="shared" si="499"/>
        <v>24429.478238625001</v>
      </c>
      <c r="BL57" s="102">
        <f t="shared" si="499"/>
        <v>48858.956477250002</v>
      </c>
      <c r="BM57" s="102">
        <f t="shared" si="499"/>
        <v>0</v>
      </c>
      <c r="BN57" s="102">
        <f t="shared" si="499"/>
        <v>25162.362585783754</v>
      </c>
      <c r="BO57" s="102">
        <f t="shared" si="499"/>
        <v>25162.362585783754</v>
      </c>
      <c r="BP57" s="102">
        <f t="shared" si="499"/>
        <v>25162.362585783754</v>
      </c>
      <c r="BQ57" s="102">
        <f t="shared" si="499"/>
        <v>25162.362585783754</v>
      </c>
      <c r="BR57" s="102">
        <f t="shared" si="499"/>
        <v>25162.362585783754</v>
      </c>
      <c r="BS57" s="102">
        <f t="shared" si="499"/>
        <v>25162.362585783754</v>
      </c>
      <c r="BT57" s="102">
        <f t="shared" si="499"/>
        <v>25162.362585783754</v>
      </c>
      <c r="BU57" s="102">
        <f t="shared" si="499"/>
        <v>25162.362585783754</v>
      </c>
      <c r="BV57" s="102">
        <f t="shared" si="499"/>
        <v>25162.362585783754</v>
      </c>
      <c r="BW57" s="102">
        <f t="shared" si="499"/>
        <v>25162.362585783754</v>
      </c>
      <c r="BX57" s="102">
        <f t="shared" si="499"/>
        <v>50324.725171567508</v>
      </c>
      <c r="BY57" s="8"/>
      <c r="BZ57" s="72">
        <f t="shared" si="199"/>
        <v>22855.39</v>
      </c>
      <c r="CA57" s="72">
        <f t="shared" si="200"/>
        <v>204966.97999999998</v>
      </c>
      <c r="CB57" s="97"/>
      <c r="CC57" s="72">
        <f t="shared" si="435"/>
        <v>0</v>
      </c>
      <c r="CD57" s="72">
        <f t="shared" si="435"/>
        <v>0</v>
      </c>
      <c r="CE57" s="72">
        <f t="shared" si="435"/>
        <v>235718.05</v>
      </c>
      <c r="CF57" s="72">
        <f t="shared" si="435"/>
        <v>245904.09333333332</v>
      </c>
      <c r="CG57" s="72">
        <f t="shared" si="435"/>
        <v>245622.68000000002</v>
      </c>
      <c r="CH57" s="72">
        <f t="shared" si="435"/>
        <v>252991.36040000001</v>
      </c>
      <c r="CI57" s="72">
        <f t="shared" si="435"/>
        <v>293153.73886349995</v>
      </c>
      <c r="CJ57" s="72">
        <f t="shared" si="435"/>
        <v>301948.35102940508</v>
      </c>
      <c r="CL57" s="13"/>
      <c r="CM57" s="13"/>
    </row>
    <row r="58" spans="1:91" x14ac:dyDescent="0.3">
      <c r="A58" s="97" t="str">
        <f>'DCS Detail'!A58</f>
        <v xml:space="preserve">         113.1 Wages - Substitute Teachers</v>
      </c>
      <c r="B58" s="106" t="str">
        <f>IF('DCS Detail'!$B58="","",'DCS Detail'!$B58)</f>
        <v>Salaries</v>
      </c>
      <c r="C58" s="106"/>
      <c r="D58" s="106"/>
      <c r="E58" s="18">
        <v>0</v>
      </c>
      <c r="F58" s="18">
        <v>0</v>
      </c>
      <c r="G58" s="18">
        <v>238.42</v>
      </c>
      <c r="H58" s="18">
        <v>325.05</v>
      </c>
      <c r="I58" s="18">
        <v>0</v>
      </c>
      <c r="J58" s="18">
        <v>105.6</v>
      </c>
      <c r="K58" s="18">
        <v>37.950000000000003</v>
      </c>
      <c r="L58" s="18">
        <v>188.26999999999987</v>
      </c>
      <c r="M58" s="18">
        <v>224.4</v>
      </c>
      <c r="N58" s="18">
        <v>94.05</v>
      </c>
      <c r="O58" s="18">
        <v>450.45</v>
      </c>
      <c r="P58" s="18">
        <v>1188</v>
      </c>
      <c r="Q58" s="18">
        <v>0</v>
      </c>
      <c r="R58" s="18">
        <v>1052.9100000000001</v>
      </c>
      <c r="S58" s="18">
        <v>1326.6</v>
      </c>
      <c r="T58" s="18">
        <v>1583.72</v>
      </c>
      <c r="U58" s="18">
        <v>1596.1</v>
      </c>
      <c r="V58" s="18">
        <v>2247.09</v>
      </c>
      <c r="W58" s="18">
        <v>2074.88</v>
      </c>
      <c r="X58" s="18">
        <v>2147.48</v>
      </c>
      <c r="Y58" s="18">
        <v>1948.38</v>
      </c>
      <c r="Z58" s="18">
        <v>2071.67</v>
      </c>
      <c r="AA58" s="146">
        <v>2636.98</v>
      </c>
      <c r="AB58" s="102">
        <f t="shared" ref="AB58:AZ58" si="500">AB266*AB273</f>
        <v>4312.9666666666662</v>
      </c>
      <c r="AC58" s="102">
        <f t="shared" si="500"/>
        <v>0</v>
      </c>
      <c r="AD58" s="102">
        <f t="shared" si="500"/>
        <v>2156.4833333333331</v>
      </c>
      <c r="AE58" s="102">
        <f t="shared" si="500"/>
        <v>2156.4833333333331</v>
      </c>
      <c r="AF58" s="102">
        <f t="shared" si="500"/>
        <v>2156.4833333333331</v>
      </c>
      <c r="AG58" s="102">
        <f t="shared" si="500"/>
        <v>2156.4833333333331</v>
      </c>
      <c r="AH58" s="102">
        <f t="shared" si="500"/>
        <v>2156.4833333333331</v>
      </c>
      <c r="AI58" s="102">
        <f t="shared" si="500"/>
        <v>2156.4833333333331</v>
      </c>
      <c r="AJ58" s="102">
        <f t="shared" si="500"/>
        <v>2156.4833333333331</v>
      </c>
      <c r="AK58" s="102">
        <f t="shared" si="500"/>
        <v>2156.4833333333331</v>
      </c>
      <c r="AL58" s="102">
        <f t="shared" si="500"/>
        <v>2156.4833333333331</v>
      </c>
      <c r="AM58" s="102">
        <f t="shared" si="500"/>
        <v>2156.4833333333331</v>
      </c>
      <c r="AN58" s="102">
        <f t="shared" si="500"/>
        <v>4312.9666666666662</v>
      </c>
      <c r="AO58" s="102">
        <f t="shared" si="500"/>
        <v>0</v>
      </c>
      <c r="AP58" s="102">
        <f t="shared" si="500"/>
        <v>2221.1778333333332</v>
      </c>
      <c r="AQ58" s="102">
        <f t="shared" si="500"/>
        <v>2221.1778333333332</v>
      </c>
      <c r="AR58" s="102">
        <f t="shared" si="500"/>
        <v>2221.1778333333332</v>
      </c>
      <c r="AS58" s="102">
        <f t="shared" si="500"/>
        <v>2221.1778333333332</v>
      </c>
      <c r="AT58" s="102">
        <f t="shared" si="500"/>
        <v>2221.1778333333332</v>
      </c>
      <c r="AU58" s="102">
        <f t="shared" si="500"/>
        <v>2221.1778333333332</v>
      </c>
      <c r="AV58" s="102">
        <f t="shared" si="500"/>
        <v>2221.1778333333332</v>
      </c>
      <c r="AW58" s="102">
        <f t="shared" si="500"/>
        <v>2221.1778333333332</v>
      </c>
      <c r="AX58" s="102">
        <f t="shared" si="500"/>
        <v>2221.1778333333332</v>
      </c>
      <c r="AY58" s="102">
        <f t="shared" si="500"/>
        <v>2221.1778333333332</v>
      </c>
      <c r="AZ58" s="102">
        <f t="shared" si="500"/>
        <v>4442.3556666666664</v>
      </c>
      <c r="BA58" s="102">
        <f t="shared" ref="BA58:BX58" si="501">BA266*BA273</f>
        <v>0</v>
      </c>
      <c r="BB58" s="102">
        <f t="shared" si="501"/>
        <v>2573.7898143749999</v>
      </c>
      <c r="BC58" s="102">
        <f t="shared" si="501"/>
        <v>2573.7898143749999</v>
      </c>
      <c r="BD58" s="102">
        <f t="shared" si="501"/>
        <v>2573.7898143749999</v>
      </c>
      <c r="BE58" s="102">
        <f t="shared" si="501"/>
        <v>2573.7898143749999</v>
      </c>
      <c r="BF58" s="102">
        <f t="shared" si="501"/>
        <v>2573.7898143749999</v>
      </c>
      <c r="BG58" s="102">
        <f t="shared" si="501"/>
        <v>2573.7898143749999</v>
      </c>
      <c r="BH58" s="102">
        <f t="shared" si="501"/>
        <v>2573.7898143749999</v>
      </c>
      <c r="BI58" s="102">
        <f t="shared" si="501"/>
        <v>2573.7898143749999</v>
      </c>
      <c r="BJ58" s="102">
        <f t="shared" si="501"/>
        <v>2573.7898143749999</v>
      </c>
      <c r="BK58" s="102">
        <f t="shared" si="501"/>
        <v>2573.7898143749999</v>
      </c>
      <c r="BL58" s="102">
        <f t="shared" si="501"/>
        <v>5147.5796287499998</v>
      </c>
      <c r="BM58" s="102">
        <f t="shared" si="501"/>
        <v>0</v>
      </c>
      <c r="BN58" s="102">
        <f t="shared" si="501"/>
        <v>2651.0035088062505</v>
      </c>
      <c r="BO58" s="102">
        <f t="shared" si="501"/>
        <v>2651.0035088062505</v>
      </c>
      <c r="BP58" s="102">
        <f t="shared" si="501"/>
        <v>2651.0035088062505</v>
      </c>
      <c r="BQ58" s="102">
        <f t="shared" si="501"/>
        <v>2651.0035088062505</v>
      </c>
      <c r="BR58" s="102">
        <f t="shared" si="501"/>
        <v>2651.0035088062505</v>
      </c>
      <c r="BS58" s="102">
        <f t="shared" si="501"/>
        <v>2651.0035088062505</v>
      </c>
      <c r="BT58" s="102">
        <f t="shared" si="501"/>
        <v>2651.0035088062505</v>
      </c>
      <c r="BU58" s="102">
        <f t="shared" si="501"/>
        <v>2651.0035088062505</v>
      </c>
      <c r="BV58" s="102">
        <f t="shared" si="501"/>
        <v>2651.0035088062505</v>
      </c>
      <c r="BW58" s="102">
        <f t="shared" si="501"/>
        <v>2651.0035088062505</v>
      </c>
      <c r="BX58" s="102">
        <f t="shared" si="501"/>
        <v>5302.0070176125009</v>
      </c>
      <c r="BY58" s="8"/>
      <c r="BZ58" s="72">
        <f t="shared" ref="BZ58:BZ89" si="502">SUMIF($B$252:$BY$252,1,$B58:$BY58)</f>
        <v>2636.98</v>
      </c>
      <c r="CA58" s="72">
        <f t="shared" ref="CA58:CA89" si="503">SUMIF($B$253:$BY$253,1,$B58:$BY58)</f>
        <v>18685.810000000001</v>
      </c>
      <c r="CB58" s="97"/>
      <c r="CC58" s="72">
        <f t="shared" ref="CC58:CJ67" si="504">SUMIF($C$3:$BY$3,CC$3,$C58:$BY58)</f>
        <v>0</v>
      </c>
      <c r="CD58" s="72">
        <f t="shared" si="504"/>
        <v>0</v>
      </c>
      <c r="CE58" s="72">
        <f t="shared" si="504"/>
        <v>2852.19</v>
      </c>
      <c r="CF58" s="72">
        <f t="shared" si="504"/>
        <v>22998.776666666668</v>
      </c>
      <c r="CG58" s="72">
        <f t="shared" si="504"/>
        <v>25877.8</v>
      </c>
      <c r="CH58" s="72">
        <f t="shared" si="504"/>
        <v>26654.134000000002</v>
      </c>
      <c r="CI58" s="72">
        <f t="shared" si="504"/>
        <v>30885.477772499995</v>
      </c>
      <c r="CJ58" s="72">
        <f t="shared" si="504"/>
        <v>31812.042105675006</v>
      </c>
      <c r="CL58" s="13"/>
      <c r="CM58" s="13"/>
    </row>
    <row r="59" spans="1:91" x14ac:dyDescent="0.3">
      <c r="A59" s="97" t="str">
        <f>'DCS Detail'!A59</f>
        <v xml:space="preserve">         211.1 Medical Ins. - Teachers</v>
      </c>
      <c r="B59" s="106" t="str">
        <f>IF('DCS Detail'!$B59="","",'DCS Detail'!$B59)</f>
        <v>Benefits</v>
      </c>
      <c r="C59" s="106"/>
      <c r="D59" s="106"/>
      <c r="E59" s="18">
        <v>0</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46">
        <v>0</v>
      </c>
      <c r="AB59" s="120">
        <f t="shared" ref="AB59:BD59" si="505">P59*(1+AB$263)</f>
        <v>0</v>
      </c>
      <c r="AC59" s="120">
        <f t="shared" si="505"/>
        <v>0</v>
      </c>
      <c r="AD59" s="120">
        <f t="shared" si="505"/>
        <v>0</v>
      </c>
      <c r="AE59" s="120">
        <f t="shared" si="505"/>
        <v>0</v>
      </c>
      <c r="AF59" s="120">
        <f t="shared" si="505"/>
        <v>0</v>
      </c>
      <c r="AG59" s="120">
        <f t="shared" si="505"/>
        <v>0</v>
      </c>
      <c r="AH59" s="120">
        <f t="shared" si="505"/>
        <v>0</v>
      </c>
      <c r="AI59" s="120">
        <f t="shared" si="505"/>
        <v>0</v>
      </c>
      <c r="AJ59" s="120">
        <f t="shared" si="505"/>
        <v>0</v>
      </c>
      <c r="AK59" s="120">
        <f t="shared" si="505"/>
        <v>0</v>
      </c>
      <c r="AL59" s="120">
        <f t="shared" si="505"/>
        <v>0</v>
      </c>
      <c r="AM59" s="120">
        <f t="shared" si="505"/>
        <v>0</v>
      </c>
      <c r="AN59" s="120">
        <f t="shared" si="505"/>
        <v>0</v>
      </c>
      <c r="AO59" s="120">
        <f t="shared" si="505"/>
        <v>0</v>
      </c>
      <c r="AP59" s="120">
        <f t="shared" si="505"/>
        <v>0</v>
      </c>
      <c r="AQ59" s="120">
        <f t="shared" si="505"/>
        <v>0</v>
      </c>
      <c r="AR59" s="120">
        <f t="shared" si="505"/>
        <v>0</v>
      </c>
      <c r="AS59" s="120">
        <f t="shared" si="505"/>
        <v>0</v>
      </c>
      <c r="AT59" s="120">
        <f t="shared" si="505"/>
        <v>0</v>
      </c>
      <c r="AU59" s="120">
        <f t="shared" si="505"/>
        <v>0</v>
      </c>
      <c r="AV59" s="120">
        <f t="shared" si="505"/>
        <v>0</v>
      </c>
      <c r="AW59" s="120">
        <f t="shared" si="505"/>
        <v>0</v>
      </c>
      <c r="AX59" s="120">
        <f t="shared" si="505"/>
        <v>0</v>
      </c>
      <c r="AY59" s="120">
        <f t="shared" si="505"/>
        <v>0</v>
      </c>
      <c r="AZ59" s="120">
        <f t="shared" si="505"/>
        <v>0</v>
      </c>
      <c r="BA59" s="120">
        <f t="shared" si="505"/>
        <v>0</v>
      </c>
      <c r="BB59" s="120">
        <f t="shared" si="505"/>
        <v>0</v>
      </c>
      <c r="BC59" s="120">
        <f t="shared" si="505"/>
        <v>0</v>
      </c>
      <c r="BD59" s="120">
        <f t="shared" si="505"/>
        <v>0</v>
      </c>
      <c r="BE59" s="120">
        <f t="shared" ref="BE59:BX59" si="506">AS59*(1+BE$263)</f>
        <v>0</v>
      </c>
      <c r="BF59" s="120">
        <f t="shared" si="506"/>
        <v>0</v>
      </c>
      <c r="BG59" s="120">
        <f t="shared" si="506"/>
        <v>0</v>
      </c>
      <c r="BH59" s="120">
        <f t="shared" si="506"/>
        <v>0</v>
      </c>
      <c r="BI59" s="120">
        <f t="shared" si="506"/>
        <v>0</v>
      </c>
      <c r="BJ59" s="120">
        <f t="shared" si="506"/>
        <v>0</v>
      </c>
      <c r="BK59" s="120">
        <f t="shared" si="506"/>
        <v>0</v>
      </c>
      <c r="BL59" s="120">
        <f t="shared" si="506"/>
        <v>0</v>
      </c>
      <c r="BM59" s="120">
        <f t="shared" si="506"/>
        <v>0</v>
      </c>
      <c r="BN59" s="120">
        <f t="shared" si="506"/>
        <v>0</v>
      </c>
      <c r="BO59" s="120">
        <f t="shared" si="506"/>
        <v>0</v>
      </c>
      <c r="BP59" s="120">
        <f t="shared" si="506"/>
        <v>0</v>
      </c>
      <c r="BQ59" s="120">
        <f t="shared" si="506"/>
        <v>0</v>
      </c>
      <c r="BR59" s="120">
        <f t="shared" si="506"/>
        <v>0</v>
      </c>
      <c r="BS59" s="120">
        <f t="shared" si="506"/>
        <v>0</v>
      </c>
      <c r="BT59" s="120">
        <f t="shared" si="506"/>
        <v>0</v>
      </c>
      <c r="BU59" s="120">
        <f t="shared" si="506"/>
        <v>0</v>
      </c>
      <c r="BV59" s="120">
        <f t="shared" si="506"/>
        <v>0</v>
      </c>
      <c r="BW59" s="120">
        <f t="shared" si="506"/>
        <v>0</v>
      </c>
      <c r="BX59" s="120">
        <f t="shared" si="506"/>
        <v>0</v>
      </c>
      <c r="BY59" s="8"/>
      <c r="BZ59" s="72">
        <f t="shared" si="502"/>
        <v>0</v>
      </c>
      <c r="CA59" s="72">
        <f t="shared" si="503"/>
        <v>0</v>
      </c>
      <c r="CB59" s="97"/>
      <c r="CC59" s="72">
        <f t="shared" si="504"/>
        <v>0</v>
      </c>
      <c r="CD59" s="72">
        <f t="shared" si="504"/>
        <v>0</v>
      </c>
      <c r="CE59" s="72">
        <f t="shared" si="504"/>
        <v>0</v>
      </c>
      <c r="CF59" s="72">
        <f t="shared" si="504"/>
        <v>0</v>
      </c>
      <c r="CG59" s="72">
        <f t="shared" si="504"/>
        <v>0</v>
      </c>
      <c r="CH59" s="72">
        <f t="shared" si="504"/>
        <v>0</v>
      </c>
      <c r="CI59" s="72">
        <f t="shared" si="504"/>
        <v>0</v>
      </c>
      <c r="CJ59" s="72">
        <f t="shared" si="504"/>
        <v>0</v>
      </c>
      <c r="CL59" s="13"/>
      <c r="CM59" s="13"/>
    </row>
    <row r="60" spans="1:91" x14ac:dyDescent="0.3">
      <c r="A60" s="97" t="str">
        <f>'DCS Detail'!A60</f>
        <v xml:space="preserve">         221.1 Payroll Tax - Licensed Teachers</v>
      </c>
      <c r="B60" s="106" t="str">
        <f>IF('DCS Detail'!$B60="","",'DCS Detail'!$B60)</f>
        <v>Benefits</v>
      </c>
      <c r="C60" s="106"/>
      <c r="D60" s="106"/>
      <c r="E60" s="18">
        <v>-249.8</v>
      </c>
      <c r="F60" s="18">
        <v>423.3</v>
      </c>
      <c r="G60" s="18">
        <v>480.03</v>
      </c>
      <c r="H60" s="18">
        <v>653.41999999999996</v>
      </c>
      <c r="I60" s="18">
        <v>622.29999999999995</v>
      </c>
      <c r="J60" s="18">
        <v>563.66</v>
      </c>
      <c r="K60" s="18">
        <v>682.79</v>
      </c>
      <c r="L60" s="18">
        <v>661.40000000000009</v>
      </c>
      <c r="M60" s="18">
        <v>590.25</v>
      </c>
      <c r="N60" s="18">
        <v>570.37</v>
      </c>
      <c r="O60" s="18">
        <v>577.99</v>
      </c>
      <c r="P60" s="18">
        <v>1169.6500000000001</v>
      </c>
      <c r="Q60" s="18">
        <v>0</v>
      </c>
      <c r="R60" s="18">
        <v>615.27</v>
      </c>
      <c r="S60" s="18">
        <v>555.1</v>
      </c>
      <c r="T60" s="18">
        <v>378.19</v>
      </c>
      <c r="U60" s="18">
        <v>254.93</v>
      </c>
      <c r="V60" s="18">
        <v>300.06</v>
      </c>
      <c r="W60" s="18">
        <v>390.7</v>
      </c>
      <c r="X60" s="18">
        <v>373.47</v>
      </c>
      <c r="Y60" s="18">
        <v>241.4</v>
      </c>
      <c r="Z60" s="18">
        <v>-541.62</v>
      </c>
      <c r="AA60" s="146">
        <v>255.74</v>
      </c>
      <c r="AB60" s="102">
        <f t="shared" ref="AB60:AZ60" si="507">SUM(U60:AA60)/SUM(U$57:AA$57)*AB$57</f>
        <v>363.09331408960446</v>
      </c>
      <c r="AC60" s="102">
        <f t="shared" si="507"/>
        <v>0</v>
      </c>
      <c r="AD60" s="102">
        <f t="shared" si="507"/>
        <v>154.1152542625519</v>
      </c>
      <c r="AE60" s="102">
        <f t="shared" si="507"/>
        <v>119.88639439733207</v>
      </c>
      <c r="AF60" s="102">
        <f t="shared" si="507"/>
        <v>83.747971114359061</v>
      </c>
      <c r="AG60" s="102">
        <f t="shared" si="507"/>
        <v>61.33382348085452</v>
      </c>
      <c r="AH60" s="102">
        <f t="shared" si="507"/>
        <v>145.8442704315045</v>
      </c>
      <c r="AI60" s="102">
        <f t="shared" si="507"/>
        <v>132.57443253945809</v>
      </c>
      <c r="AJ60" s="102">
        <f t="shared" si="507"/>
        <v>116.25035770434334</v>
      </c>
      <c r="AK60" s="102">
        <f t="shared" si="507"/>
        <v>116.25035770434334</v>
      </c>
      <c r="AL60" s="102">
        <f t="shared" si="507"/>
        <v>110.84108676745642</v>
      </c>
      <c r="AM60" s="102">
        <f t="shared" si="507"/>
        <v>109.54889996318849</v>
      </c>
      <c r="AN60" s="102">
        <f t="shared" si="507"/>
        <v>226.46949388318535</v>
      </c>
      <c r="AO60" s="102">
        <f t="shared" si="507"/>
        <v>0</v>
      </c>
      <c r="AP60" s="102">
        <f t="shared" si="507"/>
        <v>119.47038105983349</v>
      </c>
      <c r="AQ60" s="102">
        <f t="shared" si="507"/>
        <v>117.04061086697311</v>
      </c>
      <c r="AR60" s="102">
        <f t="shared" si="507"/>
        <v>116.65856305273792</v>
      </c>
      <c r="AS60" s="102">
        <f t="shared" si="507"/>
        <v>116.22424635559607</v>
      </c>
      <c r="AT60" s="102">
        <f t="shared" si="507"/>
        <v>116.51328104451683</v>
      </c>
      <c r="AU60" s="102">
        <f t="shared" si="507"/>
        <v>117.02767462247944</v>
      </c>
      <c r="AV60" s="102">
        <f t="shared" si="507"/>
        <v>117.15579283368946</v>
      </c>
      <c r="AW60" s="102">
        <f t="shared" si="507"/>
        <v>117.15579283368946</v>
      </c>
      <c r="AX60" s="102">
        <f t="shared" si="507"/>
        <v>116.82513737281175</v>
      </c>
      <c r="AY60" s="102">
        <f t="shared" si="507"/>
        <v>116.79435544507442</v>
      </c>
      <c r="AZ60" s="102">
        <f t="shared" si="507"/>
        <v>233.62750871653066</v>
      </c>
      <c r="BA60" s="102">
        <f t="shared" ref="BA60" si="508">SUM(AT60:AZ60)/SUM(AT$57:AZ$57)*BA$57</f>
        <v>0</v>
      </c>
      <c r="BB60" s="102">
        <f t="shared" ref="BB60" si="509">SUM(AU60:BA60)/SUM(AU$57:BA$57)*BB$57</f>
        <v>135.50526155555411</v>
      </c>
      <c r="BC60" s="102">
        <f t="shared" ref="BC60" si="510">SUM(AV60:BB60)/SUM(AV$57:BB$57)*BC$57</f>
        <v>135.49121491148304</v>
      </c>
      <c r="BD60" s="102">
        <f t="shared" ref="BD60" si="511">SUM(AW60:BC60)/SUM(AW$57:BC$57)*BD$57</f>
        <v>135.45526547047794</v>
      </c>
      <c r="BE60" s="102">
        <f t="shared" ref="BE60" si="512">SUM(AX60:BD60)/SUM(AX$57:BD$57)*BE$57</f>
        <v>135.41527089090135</v>
      </c>
      <c r="BF60" s="102">
        <f t="shared" ref="BF60" si="513">SUM(AY60:BE60)/SUM(AY$57:BE$57)*BF$57</f>
        <v>135.42105254907497</v>
      </c>
      <c r="BG60" s="102">
        <f t="shared" ref="BG60" si="514">SUM(AZ60:BF60)/SUM(AZ$57:BF$57)*BG$57</f>
        <v>135.43203483322509</v>
      </c>
      <c r="BH60" s="102">
        <f t="shared" ref="BH60" si="515">SUM(BA60:BG60)/SUM(BA$57:BG$57)*BH$57</f>
        <v>135.4533500351194</v>
      </c>
      <c r="BI60" s="102">
        <f t="shared" ref="BI60" si="516">SUM(BB60:BH60)/SUM(BB$57:BH$57)*BI$57</f>
        <v>135.45335003511937</v>
      </c>
      <c r="BJ60" s="102">
        <f t="shared" ref="BJ60" si="517">SUM(BC60:BI60)/SUM(BC$57:BI$57)*BJ$57</f>
        <v>135.44593410362873</v>
      </c>
      <c r="BK60" s="102">
        <f t="shared" ref="BK60" si="518">SUM(BD60:BJ60)/SUM(BD$57:BJ$57)*BK$57</f>
        <v>135.43946541679242</v>
      </c>
      <c r="BL60" s="102">
        <f t="shared" ref="BL60" si="519">SUM(BE60:BK60)/SUM(BE$57:BK$57)*BL$57</f>
        <v>270.87441653253177</v>
      </c>
      <c r="BM60" s="102">
        <f t="shared" ref="BM60" si="520">SUM(BF60:BL60)/SUM(BF$57:BL$57)*BM$57</f>
        <v>0</v>
      </c>
      <c r="BN60" s="102">
        <f t="shared" ref="BN60" si="521">SUM(BG60:BM60)/SUM(BG$57:BM$57)*BN$57</f>
        <v>139.5059296407299</v>
      </c>
      <c r="BO60" s="102">
        <f t="shared" ref="BO60" si="522">SUM(BH60:BN60)/SUM(BH$57:BN$57)*BO$57</f>
        <v>139.50748494122891</v>
      </c>
      <c r="BP60" s="102">
        <f t="shared" ref="BP60" si="523">SUM(BI60:BO60)/SUM(BI$57:BO$57)*BP$57</f>
        <v>139.50614420540114</v>
      </c>
      <c r="BQ60" s="102">
        <f t="shared" ref="BQ60" si="524">SUM(BJ60:BP60)/SUM(BJ$57:BP$57)*BQ$57</f>
        <v>139.50462004027111</v>
      </c>
      <c r="BR60" s="102">
        <f t="shared" ref="BR60" si="525">SUM(BK60:BQ60)/SUM(BK$57:BQ$57)*BR$57</f>
        <v>139.50396103936291</v>
      </c>
      <c r="BS60" s="102">
        <f t="shared" ref="BS60" si="526">SUM(BL60:BR60)/SUM(BL$57:BR$57)*BS$57</f>
        <v>139.50414448832328</v>
      </c>
      <c r="BT60" s="102">
        <f t="shared" ref="BT60" si="527">SUM(BM60:BS60)/SUM(BM$57:BS$57)*BT$57</f>
        <v>139.5053807258862</v>
      </c>
      <c r="BU60" s="102">
        <f t="shared" ref="BU60" si="528">SUM(BN60:BT60)/SUM(BN$57:BT$57)*BU$57</f>
        <v>139.5053807258862</v>
      </c>
      <c r="BV60" s="102">
        <f t="shared" ref="BV60" si="529">SUM(BO60:BU60)/SUM(BO$57:BU$57)*BV$57</f>
        <v>139.50530230947993</v>
      </c>
      <c r="BW60" s="102">
        <f t="shared" ref="BW60" si="530">SUM(BP60:BV60)/SUM(BP$57:BV$57)*BW$57</f>
        <v>139.50499050494437</v>
      </c>
      <c r="BX60" s="102">
        <f t="shared" ref="BX60" si="531">SUM(BQ60:BW60)/SUM(BQ$57:BW$57)*BX$57</f>
        <v>279.00965138118681</v>
      </c>
      <c r="BY60" s="8"/>
      <c r="BZ60" s="72">
        <f t="shared" si="502"/>
        <v>255.74</v>
      </c>
      <c r="CA60" s="72">
        <f t="shared" si="503"/>
        <v>2823.2400000000007</v>
      </c>
      <c r="CB60" s="97"/>
      <c r="CC60" s="72">
        <f t="shared" si="504"/>
        <v>0</v>
      </c>
      <c r="CD60" s="72">
        <f t="shared" si="504"/>
        <v>0</v>
      </c>
      <c r="CE60" s="72">
        <f t="shared" si="504"/>
        <v>6745.3600000000006</v>
      </c>
      <c r="CF60" s="72">
        <f t="shared" si="504"/>
        <v>3186.3333140896052</v>
      </c>
      <c r="CG60" s="72">
        <f t="shared" si="504"/>
        <v>1376.8623422485769</v>
      </c>
      <c r="CH60" s="72">
        <f t="shared" si="504"/>
        <v>1404.4933442039326</v>
      </c>
      <c r="CI60" s="72">
        <f t="shared" si="504"/>
        <v>1625.3866163339083</v>
      </c>
      <c r="CJ60" s="72">
        <f t="shared" si="504"/>
        <v>1674.0629900027006</v>
      </c>
      <c r="CL60" s="13"/>
      <c r="CM60" s="13"/>
    </row>
    <row r="61" spans="1:91" x14ac:dyDescent="0.3">
      <c r="A61" s="97" t="str">
        <f>'DCS Detail'!A61</f>
        <v xml:space="preserve">         223.1 Payroll Tax - Substitute Teachers</v>
      </c>
      <c r="B61" s="106" t="str">
        <f>IF('DCS Detail'!$B61="","",'DCS Detail'!$B61)</f>
        <v>Benefits</v>
      </c>
      <c r="C61" s="106"/>
      <c r="D61" s="106"/>
      <c r="E61" s="18">
        <v>0</v>
      </c>
      <c r="F61" s="18">
        <v>0</v>
      </c>
      <c r="G61" s="18">
        <v>19.670000000000002</v>
      </c>
      <c r="H61" s="18">
        <v>26.82</v>
      </c>
      <c r="I61" s="18">
        <v>0</v>
      </c>
      <c r="J61" s="18">
        <v>8.7100000000000009</v>
      </c>
      <c r="K61" s="18">
        <v>3.13</v>
      </c>
      <c r="L61" s="18">
        <v>7.4899999999999878</v>
      </c>
      <c r="M61" s="18">
        <v>18.52</v>
      </c>
      <c r="N61" s="18">
        <v>7.76</v>
      </c>
      <c r="O61" s="18">
        <v>37.159999999999997</v>
      </c>
      <c r="P61" s="18">
        <v>98.01</v>
      </c>
      <c r="Q61" s="18">
        <v>0</v>
      </c>
      <c r="R61" s="18">
        <v>95.53</v>
      </c>
      <c r="S61" s="18">
        <v>95.8</v>
      </c>
      <c r="T61" s="18">
        <v>53.04</v>
      </c>
      <c r="U61" s="18">
        <v>40.06</v>
      </c>
      <c r="V61" s="18">
        <v>76.41</v>
      </c>
      <c r="W61" s="18">
        <v>84.5</v>
      </c>
      <c r="X61" s="18">
        <v>89.63</v>
      </c>
      <c r="Y61" s="18">
        <v>68.75</v>
      </c>
      <c r="Z61" s="18">
        <v>75.819999999999993</v>
      </c>
      <c r="AA61" s="146">
        <v>94.24</v>
      </c>
      <c r="AB61" s="102">
        <f t="shared" ref="AB61:AZ61" si="532">SUM(U61:AA61)/SUM(U$58:AA$58)*AB$58</f>
        <v>155.0901868422518</v>
      </c>
      <c r="AC61" s="102">
        <f t="shared" si="532"/>
        <v>0</v>
      </c>
      <c r="AD61" s="102">
        <f t="shared" si="532"/>
        <v>80.629204384279319</v>
      </c>
      <c r="AE61" s="102">
        <f t="shared" si="532"/>
        <v>79.651925533620229</v>
      </c>
      <c r="AF61" s="102">
        <f t="shared" si="532"/>
        <v>78.197058199532435</v>
      </c>
      <c r="AG61" s="102">
        <f t="shared" si="532"/>
        <v>78.461685237576205</v>
      </c>
      <c r="AH61" s="102">
        <f t="shared" si="532"/>
        <v>78.400189715191331</v>
      </c>
      <c r="AI61" s="102">
        <f t="shared" si="532"/>
        <v>78.632892844635876</v>
      </c>
      <c r="AJ61" s="102">
        <f t="shared" si="532"/>
        <v>78.995492652472564</v>
      </c>
      <c r="AK61" s="102">
        <f t="shared" si="532"/>
        <v>78.995492652472564</v>
      </c>
      <c r="AL61" s="102">
        <f t="shared" si="532"/>
        <v>78.762105262214448</v>
      </c>
      <c r="AM61" s="102">
        <f t="shared" si="532"/>
        <v>78.634988080585046</v>
      </c>
      <c r="AN61" s="102">
        <f t="shared" si="532"/>
        <v>157.395098984328</v>
      </c>
      <c r="AO61" s="102">
        <f t="shared" si="532"/>
        <v>0</v>
      </c>
      <c r="AP61" s="102">
        <f t="shared" si="532"/>
        <v>81.136936084429962</v>
      </c>
      <c r="AQ61" s="102">
        <f t="shared" si="532"/>
        <v>81.157570003982599</v>
      </c>
      <c r="AR61" s="102">
        <f t="shared" si="532"/>
        <v>81.128138356948043</v>
      </c>
      <c r="AS61" s="102">
        <f t="shared" si="532"/>
        <v>81.094680095297988</v>
      </c>
      <c r="AT61" s="102">
        <f t="shared" si="532"/>
        <v>81.090426117098161</v>
      </c>
      <c r="AU61" s="102">
        <f t="shared" si="532"/>
        <v>81.103907011377245</v>
      </c>
      <c r="AV61" s="102">
        <f t="shared" si="532"/>
        <v>81.118609611522345</v>
      </c>
      <c r="AW61" s="102">
        <f t="shared" si="532"/>
        <v>81.118609611522345</v>
      </c>
      <c r="AX61" s="102">
        <f t="shared" si="532"/>
        <v>81.115991543964086</v>
      </c>
      <c r="AY61" s="102">
        <f t="shared" si="532"/>
        <v>81.110051763961479</v>
      </c>
      <c r="AZ61" s="102">
        <f t="shared" si="532"/>
        <v>162.21493592992675</v>
      </c>
      <c r="BA61" s="102">
        <f t="shared" ref="BA61" si="533">SUM(AT61:AZ61)/SUM(AT$58:AZ$58)*BA$58</f>
        <v>0</v>
      </c>
      <c r="BB61" s="102">
        <f t="shared" ref="BB61" si="534">SUM(AU61:BA61)/SUM(AU$58:BA$58)*BB$58</f>
        <v>93.988216387999685</v>
      </c>
      <c r="BC61" s="102">
        <f t="shared" ref="BC61" si="535">SUM(AV61:BB61)/SUM(AV$58:BB$58)*BC$58</f>
        <v>93.989482550188114</v>
      </c>
      <c r="BD61" s="102">
        <f t="shared" ref="BD61" si="536">SUM(AW61:BC61)/SUM(AW$58:BC$58)*BD$58</f>
        <v>93.98856607090373</v>
      </c>
      <c r="BE61" s="102">
        <f t="shared" ref="BE61" si="537">SUM(AX61:BD61)/SUM(AX$58:BD$58)*BE$58</f>
        <v>93.987546466630491</v>
      </c>
      <c r="BF61" s="102">
        <f t="shared" ref="BF61" si="538">SUM(AY61:BE61)/SUM(AY$58:BE$58)*BF$58</f>
        <v>93.986811858256203</v>
      </c>
      <c r="BG61" s="102">
        <f t="shared" ref="BG61" si="539">SUM(AZ61:BF61)/SUM(AZ$58:BF$58)*BG$58</f>
        <v>93.986881064577375</v>
      </c>
      <c r="BH61" s="102">
        <f t="shared" ref="BH61" si="540">SUM(BA61:BG61)/SUM(BA$58:BG$58)*BH$58</f>
        <v>93.987917399759269</v>
      </c>
      <c r="BI61" s="102">
        <f t="shared" ref="BI61" si="541">SUM(BB61:BH61)/SUM(BB$58:BH$58)*BI$58</f>
        <v>93.987917399759269</v>
      </c>
      <c r="BJ61" s="102">
        <f t="shared" ref="BJ61" si="542">SUM(BC61:BI61)/SUM(BC$58:BI$58)*BJ$58</f>
        <v>93.987874687153493</v>
      </c>
      <c r="BK61" s="102">
        <f t="shared" ref="BK61" si="543">SUM(BD61:BJ61)/SUM(BD$58:BJ$58)*BK$58</f>
        <v>93.987644992434284</v>
      </c>
      <c r="BL61" s="102">
        <f t="shared" ref="BL61" si="544">SUM(BE61:BK61)/SUM(BE$58:BK$58)*BL$58</f>
        <v>187.97502681959159</v>
      </c>
      <c r="BM61" s="102">
        <f t="shared" ref="BM61" si="545">SUM(BF61:BL61)/SUM(BF$58:BL$58)*BM$58</f>
        <v>0</v>
      </c>
      <c r="BN61" s="102">
        <f t="shared" ref="BN61" si="546">SUM(BG61:BM61)/SUM(BG$58:BM$58)*BN$58</f>
        <v>96.807237176310522</v>
      </c>
      <c r="BO61" s="102">
        <f t="shared" ref="BO61" si="547">SUM(BH61:BN61)/SUM(BH$58:BN$58)*BO$58</f>
        <v>96.807343816395289</v>
      </c>
      <c r="BP61" s="102">
        <f t="shared" ref="BP61" si="548">SUM(BI61:BO61)/SUM(BI$58:BO$58)*BP$58</f>
        <v>96.807313914786675</v>
      </c>
      <c r="BQ61" s="102">
        <f t="shared" ref="BQ61" si="549">SUM(BJ61:BP61)/SUM(BJ$58:BP$58)*BQ$58</f>
        <v>96.807279922266872</v>
      </c>
      <c r="BR61" s="102">
        <f t="shared" ref="BR61" si="550">SUM(BK61:BQ61)/SUM(BK$58:BQ$58)*BR$58</f>
        <v>96.807247477673982</v>
      </c>
      <c r="BS61" s="102">
        <f t="shared" ref="BS61" si="551">SUM(BL61:BR61)/SUM(BL$58:BR$58)*BS$58</f>
        <v>96.807243720396613</v>
      </c>
      <c r="BT61" s="102">
        <f t="shared" ref="BT61" si="552">SUM(BM61:BS61)/SUM(BM$58:BS$58)*BT$58</f>
        <v>96.807277671305002</v>
      </c>
      <c r="BU61" s="102">
        <f t="shared" ref="BU61" si="553">SUM(BN61:BT61)/SUM(BN$58:BT$58)*BU$58</f>
        <v>96.807277671305002</v>
      </c>
      <c r="BV61" s="102">
        <f t="shared" ref="BV61" si="554">SUM(BO61:BU61)/SUM(BO$58:BU$58)*BV$58</f>
        <v>96.807283456304191</v>
      </c>
      <c r="BW61" s="102">
        <f t="shared" ref="BW61" si="555">SUM(BP61:BV61)/SUM(BP$58:BV$58)*BW$58</f>
        <v>96.80727483343405</v>
      </c>
      <c r="BX61" s="102">
        <f t="shared" ref="BX61" si="556">SUM(BQ61:BW61)/SUM(BQ$58:BW$58)*BX$58</f>
        <v>193.61453850076734</v>
      </c>
      <c r="BY61" s="8"/>
      <c r="BZ61" s="72">
        <f t="shared" si="502"/>
        <v>94.24</v>
      </c>
      <c r="CA61" s="72">
        <f t="shared" si="503"/>
        <v>773.78</v>
      </c>
      <c r="CB61" s="97"/>
      <c r="CC61" s="72">
        <f t="shared" si="504"/>
        <v>0</v>
      </c>
      <c r="CD61" s="72">
        <f t="shared" si="504"/>
        <v>0</v>
      </c>
      <c r="CE61" s="72">
        <f t="shared" si="504"/>
        <v>227.26999999999998</v>
      </c>
      <c r="CF61" s="72">
        <f t="shared" si="504"/>
        <v>928.87018684225177</v>
      </c>
      <c r="CG61" s="72">
        <f t="shared" si="504"/>
        <v>946.7561335469079</v>
      </c>
      <c r="CH61" s="72">
        <f t="shared" si="504"/>
        <v>973.38985613003115</v>
      </c>
      <c r="CI61" s="72">
        <f t="shared" si="504"/>
        <v>1127.8538856972534</v>
      </c>
      <c r="CJ61" s="72">
        <f t="shared" si="504"/>
        <v>1161.6873181609453</v>
      </c>
      <c r="CL61" s="13"/>
      <c r="CM61" s="13"/>
    </row>
    <row r="62" spans="1:91" x14ac:dyDescent="0.3">
      <c r="A62" s="97" t="str">
        <f>'DCS Detail'!A62</f>
        <v xml:space="preserve">         231.1 PERS - Licensed Teachers</v>
      </c>
      <c r="B62" s="106" t="str">
        <f>IF('DCS Detail'!$B62="","",'DCS Detail'!$B62)</f>
        <v>Benefits</v>
      </c>
      <c r="C62" s="106"/>
      <c r="D62" s="106"/>
      <c r="E62" s="18">
        <v>-4188.43</v>
      </c>
      <c r="F62" s="18">
        <v>4188.43</v>
      </c>
      <c r="G62" s="18">
        <v>4486.66</v>
      </c>
      <c r="H62" s="18">
        <v>4488.84</v>
      </c>
      <c r="I62" s="18">
        <v>4493.13</v>
      </c>
      <c r="J62" s="18">
        <f>42029.11*0.22</f>
        <v>9246.4042000000009</v>
      </c>
      <c r="K62" s="18">
        <f>25186.8*0.22</f>
        <v>5541.0959999999995</v>
      </c>
      <c r="L62" s="18">
        <v>5801.6298000000024</v>
      </c>
      <c r="M62" s="18">
        <v>5411.4899999999943</v>
      </c>
      <c r="N62" s="18">
        <v>4491.5200000000004</v>
      </c>
      <c r="O62" s="18">
        <v>5616.06</v>
      </c>
      <c r="P62" s="18">
        <v>12928.38</v>
      </c>
      <c r="Q62" s="18">
        <v>1187.42</v>
      </c>
      <c r="R62" s="18">
        <v>5991.53</v>
      </c>
      <c r="S62" s="18">
        <v>5578.2</v>
      </c>
      <c r="T62" s="18">
        <v>3995.77</v>
      </c>
      <c r="U62" s="18">
        <v>3982.9</v>
      </c>
      <c r="V62" s="18">
        <v>3990.94</v>
      </c>
      <c r="W62" s="18">
        <v>3997.38</v>
      </c>
      <c r="X62" s="18">
        <v>13124.68</v>
      </c>
      <c r="Y62" s="18">
        <v>-5144.41</v>
      </c>
      <c r="Z62" s="18">
        <v>19565.740000000002</v>
      </c>
      <c r="AA62" s="146">
        <v>5830.15</v>
      </c>
      <c r="AB62" s="397">
        <f t="shared" ref="AB62:AN62" si="557">SUM($R$62:$Y$62)/SUM($R$57:$Y$57)*AB$57</f>
        <v>8977.9822965550266</v>
      </c>
      <c r="AC62" s="397">
        <f t="shared" si="557"/>
        <v>0</v>
      </c>
      <c r="AD62" s="397">
        <f t="shared" si="557"/>
        <v>4488.9911482775133</v>
      </c>
      <c r="AE62" s="397">
        <f t="shared" si="557"/>
        <v>4488.9911482775133</v>
      </c>
      <c r="AF62" s="397">
        <f t="shared" si="557"/>
        <v>4488.9911482775133</v>
      </c>
      <c r="AG62" s="397">
        <f t="shared" si="557"/>
        <v>4488.9911482775133</v>
      </c>
      <c r="AH62" s="397">
        <f t="shared" si="557"/>
        <v>4488.9911482775133</v>
      </c>
      <c r="AI62" s="397">
        <f t="shared" si="557"/>
        <v>4488.9911482775133</v>
      </c>
      <c r="AJ62" s="397">
        <f t="shared" si="557"/>
        <v>4488.9911482775133</v>
      </c>
      <c r="AK62" s="397">
        <f t="shared" si="557"/>
        <v>4488.9911482775133</v>
      </c>
      <c r="AL62" s="397">
        <f t="shared" si="557"/>
        <v>4488.9911482775133</v>
      </c>
      <c r="AM62" s="397">
        <f t="shared" si="557"/>
        <v>4488.9911482775133</v>
      </c>
      <c r="AN62" s="397">
        <f t="shared" si="557"/>
        <v>8977.9822965550266</v>
      </c>
      <c r="AO62" s="102">
        <f t="shared" ref="AO62" si="558">SUM(AH62:AN62)/SUM(AH$57:AN$57)*AO$57</f>
        <v>0</v>
      </c>
      <c r="AP62" s="102">
        <f t="shared" ref="AP62" si="559">SUM(AI62:AO62)/SUM(AI$57:AO$57)*AP$57</f>
        <v>4623.6608827258387</v>
      </c>
      <c r="AQ62" s="102">
        <f t="shared" ref="AQ62" si="560">SUM(AJ62:AP62)/SUM(AJ$57:AP$57)*AQ$57</f>
        <v>4623.6608827258397</v>
      </c>
      <c r="AR62" s="102">
        <f t="shared" ref="AR62" si="561">SUM(AK62:AQ62)/SUM(AK$57:AQ$57)*AR$57</f>
        <v>4623.6608827258387</v>
      </c>
      <c r="AS62" s="102">
        <f t="shared" ref="AS62" si="562">SUM(AL62:AR62)/SUM(AL$57:AR$57)*AS$57</f>
        <v>4623.6608827258387</v>
      </c>
      <c r="AT62" s="102">
        <f t="shared" ref="AT62" si="563">SUM(AM62:AS62)/SUM(AM$57:AS$57)*AT$57</f>
        <v>4623.6608827258387</v>
      </c>
      <c r="AU62" s="102">
        <f t="shared" ref="AU62" si="564">SUM(AN62:AT62)/SUM(AN$57:AT$57)*AU$57</f>
        <v>4623.6608827258378</v>
      </c>
      <c r="AV62" s="102">
        <f t="shared" ref="AV62" si="565">SUM(AO62:AU62)/SUM(AO$57:AU$57)*AV$57</f>
        <v>4623.6608827258387</v>
      </c>
      <c r="AW62" s="102">
        <f t="shared" ref="AW62" si="566">SUM(AP62:AV62)/SUM(AP$57:AV$57)*AW$57</f>
        <v>4623.6608827258378</v>
      </c>
      <c r="AX62" s="102">
        <f t="shared" ref="AX62" si="567">SUM(AQ62:AW62)/SUM(AQ$57:AW$57)*AX$57</f>
        <v>4623.6608827258378</v>
      </c>
      <c r="AY62" s="102">
        <f t="shared" ref="AY62" si="568">SUM(AR62:AX62)/SUM(AR$57:AX$57)*AY$57</f>
        <v>4623.6608827258378</v>
      </c>
      <c r="AZ62" s="102">
        <f t="shared" ref="AZ62" si="569">SUM(AS62:AY62)/SUM(AS$57:AY$57)*AZ$57</f>
        <v>9247.3217654516757</v>
      </c>
      <c r="BA62" s="102">
        <f t="shared" ref="BA62" si="570">SUM(AT62:AZ62)/SUM(AT$57:AZ$57)*BA$57</f>
        <v>0</v>
      </c>
      <c r="BB62" s="102">
        <f t="shared" ref="BB62" si="571">SUM(AU62:BA62)/SUM(AU$57:BA$57)*BB$57</f>
        <v>5357.6670478585647</v>
      </c>
      <c r="BC62" s="102">
        <f t="shared" ref="BC62" si="572">SUM(AV62:BB62)/SUM(AV$57:BB$57)*BC$57</f>
        <v>5357.6670478585656</v>
      </c>
      <c r="BD62" s="102">
        <f t="shared" ref="BD62" si="573">SUM(AW62:BC62)/SUM(AW$57:BC$57)*BD$57</f>
        <v>5357.6670478585638</v>
      </c>
      <c r="BE62" s="102">
        <f t="shared" ref="BE62" si="574">SUM(AX62:BD62)/SUM(AX$57:BD$57)*BE$57</f>
        <v>5357.6670478585656</v>
      </c>
      <c r="BF62" s="102">
        <f t="shared" ref="BF62" si="575">SUM(AY62:BE62)/SUM(AY$57:BE$57)*BF$57</f>
        <v>5357.6670478585656</v>
      </c>
      <c r="BG62" s="102">
        <f t="shared" ref="BG62" si="576">SUM(AZ62:BF62)/SUM(AZ$57:BF$57)*BG$57</f>
        <v>5357.6670478585656</v>
      </c>
      <c r="BH62" s="102">
        <f t="shared" ref="BH62" si="577">SUM(BA62:BG62)/SUM(BA$57:BG$57)*BH$57</f>
        <v>5357.6670478585656</v>
      </c>
      <c r="BI62" s="102">
        <f t="shared" ref="BI62" si="578">SUM(BB62:BH62)/SUM(BB$57:BH$57)*BI$57</f>
        <v>5357.6670478585656</v>
      </c>
      <c r="BJ62" s="102">
        <f t="shared" ref="BJ62" si="579">SUM(BC62:BI62)/SUM(BC$57:BI$57)*BJ$57</f>
        <v>5357.6670478585656</v>
      </c>
      <c r="BK62" s="102">
        <f t="shared" ref="BK62" si="580">SUM(BD62:BJ62)/SUM(BD$57:BJ$57)*BK$57</f>
        <v>5357.6670478585656</v>
      </c>
      <c r="BL62" s="102">
        <f t="shared" ref="BL62" si="581">SUM(BE62:BK62)/SUM(BE$57:BK$57)*BL$57</f>
        <v>10715.334095717131</v>
      </c>
      <c r="BM62" s="102">
        <f t="shared" ref="BM62" si="582">SUM(BF62:BL62)/SUM(BF$57:BL$57)*BM$57</f>
        <v>0</v>
      </c>
      <c r="BN62" s="102">
        <f t="shared" ref="BN62" si="583">SUM(BG62:BM62)/SUM(BG$57:BM$57)*BN$57</f>
        <v>5518.3970592943233</v>
      </c>
      <c r="BO62" s="102">
        <f t="shared" ref="BO62" si="584">SUM(BH62:BN62)/SUM(BH$57:BN$57)*BO$57</f>
        <v>5518.3970592943233</v>
      </c>
      <c r="BP62" s="102">
        <f t="shared" ref="BP62" si="585">SUM(BI62:BO62)/SUM(BI$57:BO$57)*BP$57</f>
        <v>5518.3970592943233</v>
      </c>
      <c r="BQ62" s="102">
        <f t="shared" ref="BQ62" si="586">SUM(BJ62:BP62)/SUM(BJ$57:BP$57)*BQ$57</f>
        <v>5518.3970592943224</v>
      </c>
      <c r="BR62" s="102">
        <f t="shared" ref="BR62" si="587">SUM(BK62:BQ62)/SUM(BK$57:BQ$57)*BR$57</f>
        <v>5518.3970592943224</v>
      </c>
      <c r="BS62" s="102">
        <f t="shared" ref="BS62" si="588">SUM(BL62:BR62)/SUM(BL$57:BR$57)*BS$57</f>
        <v>5518.3970592943215</v>
      </c>
      <c r="BT62" s="102">
        <f t="shared" ref="BT62" si="589">SUM(BM62:BS62)/SUM(BM$57:BS$57)*BT$57</f>
        <v>5518.3970592943215</v>
      </c>
      <c r="BU62" s="102">
        <f t="shared" ref="BU62" si="590">SUM(BN62:BT62)/SUM(BN$57:BT$57)*BU$57</f>
        <v>5518.3970592943215</v>
      </c>
      <c r="BV62" s="102">
        <f t="shared" ref="BV62" si="591">SUM(BO62:BU62)/SUM(BO$57:BU$57)*BV$57</f>
        <v>5518.3970592943215</v>
      </c>
      <c r="BW62" s="102">
        <f t="shared" ref="BW62" si="592">SUM(BP62:BV62)/SUM(BP$57:BV$57)*BW$57</f>
        <v>5518.3970592943215</v>
      </c>
      <c r="BX62" s="102">
        <f t="shared" ref="BX62" si="593">SUM(BQ62:BW62)/SUM(BQ$57:BW$57)*BX$57</f>
        <v>11036.794118588643</v>
      </c>
      <c r="BY62" s="8"/>
      <c r="BZ62" s="72">
        <f t="shared" si="502"/>
        <v>5830.15</v>
      </c>
      <c r="CA62" s="72">
        <f t="shared" si="503"/>
        <v>62100.30000000001</v>
      </c>
      <c r="CB62" s="97"/>
      <c r="CC62" s="72">
        <f t="shared" si="504"/>
        <v>0</v>
      </c>
      <c r="CD62" s="72">
        <f t="shared" si="504"/>
        <v>0</v>
      </c>
      <c r="CE62" s="72">
        <f t="shared" si="504"/>
        <v>62505.21</v>
      </c>
      <c r="CF62" s="72">
        <f t="shared" si="504"/>
        <v>71078.282296555029</v>
      </c>
      <c r="CG62" s="72">
        <f t="shared" si="504"/>
        <v>53867.893779330159</v>
      </c>
      <c r="CH62" s="72">
        <f t="shared" si="504"/>
        <v>55483.930592710065</v>
      </c>
      <c r="CI62" s="72">
        <f t="shared" si="504"/>
        <v>64292.004574302788</v>
      </c>
      <c r="CJ62" s="72">
        <f t="shared" si="504"/>
        <v>66220.764711531869</v>
      </c>
      <c r="CL62" s="13"/>
      <c r="CM62" s="13"/>
    </row>
    <row r="63" spans="1:91" x14ac:dyDescent="0.3">
      <c r="A63" s="97" t="str">
        <f>'DCS Detail'!A63</f>
        <v xml:space="preserve">         233.1 PERS - Substitute Teachers</v>
      </c>
      <c r="B63" s="106" t="str">
        <f>IF('DCS Detail'!$B63="","",'DCS Detail'!$B63)</f>
        <v>Benefits</v>
      </c>
      <c r="C63" s="106"/>
      <c r="D63" s="106"/>
      <c r="E63" s="18">
        <v>-629.66999999999996</v>
      </c>
      <c r="F63" s="18">
        <v>0</v>
      </c>
      <c r="G63" s="18">
        <v>0</v>
      </c>
      <c r="H63" s="18">
        <v>0</v>
      </c>
      <c r="I63" s="18">
        <v>0</v>
      </c>
      <c r="J63" s="18">
        <v>0</v>
      </c>
      <c r="K63" s="18">
        <v>0</v>
      </c>
      <c r="L63" s="18">
        <v>0</v>
      </c>
      <c r="M63" s="18">
        <v>629.66999999999996</v>
      </c>
      <c r="N63" s="18">
        <v>0</v>
      </c>
      <c r="O63" s="18">
        <v>29.52</v>
      </c>
      <c r="P63" s="18">
        <v>143.93</v>
      </c>
      <c r="Q63" s="18">
        <v>0</v>
      </c>
      <c r="R63" s="18">
        <v>53.12</v>
      </c>
      <c r="S63" s="18">
        <v>53.12</v>
      </c>
      <c r="T63" s="18">
        <v>54.8</v>
      </c>
      <c r="U63" s="18">
        <v>53.12</v>
      </c>
      <c r="V63" s="18">
        <v>54.8</v>
      </c>
      <c r="W63" s="18">
        <v>53.12</v>
      </c>
      <c r="X63" s="18">
        <v>56.48</v>
      </c>
      <c r="Y63" s="18">
        <v>56.48</v>
      </c>
      <c r="Z63" s="18">
        <v>56.48</v>
      </c>
      <c r="AA63" s="146">
        <v>280.39</v>
      </c>
      <c r="AB63" s="102">
        <f t="shared" ref="AB63:AZ63" si="594">SUM(U63:AA63)/SUM(U$58:AA$58)*AB$58</f>
        <v>178.95382111468686</v>
      </c>
      <c r="AC63" s="102">
        <f t="shared" si="594"/>
        <v>0</v>
      </c>
      <c r="AD63" s="102">
        <f t="shared" si="594"/>
        <v>96.793029378817252</v>
      </c>
      <c r="AE63" s="102">
        <f t="shared" si="594"/>
        <v>102.44195906901244</v>
      </c>
      <c r="AF63" s="102">
        <f t="shared" si="594"/>
        <v>108.86701404383447</v>
      </c>
      <c r="AG63" s="102">
        <f t="shared" si="594"/>
        <v>114.69722161439513</v>
      </c>
      <c r="AH63" s="102">
        <f t="shared" si="594"/>
        <v>122.13286020657914</v>
      </c>
      <c r="AI63" s="102">
        <f t="shared" si="594"/>
        <v>103.41227220390363</v>
      </c>
      <c r="AJ63" s="102">
        <f t="shared" si="594"/>
        <v>108.05739275275698</v>
      </c>
      <c r="AK63" s="102">
        <f t="shared" si="594"/>
        <v>108.05739275275698</v>
      </c>
      <c r="AL63" s="102">
        <f t="shared" si="594"/>
        <v>109.66658752046267</v>
      </c>
      <c r="AM63" s="102">
        <f t="shared" si="594"/>
        <v>110.69867729924128</v>
      </c>
      <c r="AN63" s="102">
        <f t="shared" si="594"/>
        <v>221.9206869571702</v>
      </c>
      <c r="AO63" s="102">
        <f t="shared" si="594"/>
        <v>0</v>
      </c>
      <c r="AP63" s="102">
        <f t="shared" si="594"/>
        <v>112.09534282441152</v>
      </c>
      <c r="AQ63" s="102">
        <f t="shared" si="594"/>
        <v>112.88918385633055</v>
      </c>
      <c r="AR63" s="102">
        <f t="shared" si="594"/>
        <v>113.11440613975701</v>
      </c>
      <c r="AS63" s="102">
        <f t="shared" si="594"/>
        <v>113.37044162698089</v>
      </c>
      <c r="AT63" s="102">
        <f t="shared" si="594"/>
        <v>113.42856753722026</v>
      </c>
      <c r="AU63" s="102">
        <f t="shared" si="594"/>
        <v>113.34590039302469</v>
      </c>
      <c r="AV63" s="102">
        <f t="shared" si="594"/>
        <v>113.04064039628751</v>
      </c>
      <c r="AW63" s="102">
        <f t="shared" si="594"/>
        <v>113.0406403962875</v>
      </c>
      <c r="AX63" s="102">
        <f t="shared" si="594"/>
        <v>113.17568290655548</v>
      </c>
      <c r="AY63" s="102">
        <f t="shared" si="594"/>
        <v>113.2166113423019</v>
      </c>
      <c r="AZ63" s="102">
        <f t="shared" si="594"/>
        <v>226.4624241710452</v>
      </c>
      <c r="BA63" s="102">
        <f t="shared" ref="BA63" si="595">SUM(AT63:AZ63)/SUM(AT$58:AZ$58)*BA$58</f>
        <v>0</v>
      </c>
      <c r="BB63" s="102">
        <f t="shared" ref="BB63" si="596">SUM(AU63:BA63)/SUM(AU$58:BA$58)*BB$58</f>
        <v>131.15095016683941</v>
      </c>
      <c r="BC63" s="102">
        <f t="shared" ref="BC63" si="597">SUM(AV63:BB63)/SUM(AV$58:BB$58)*BC$58</f>
        <v>131.12460312111523</v>
      </c>
      <c r="BD63" s="102">
        <f t="shared" ref="BD63" si="598">SUM(AW63:BC63)/SUM(AW$58:BC$58)*BD$58</f>
        <v>131.14356602674104</v>
      </c>
      <c r="BE63" s="102">
        <f t="shared" ref="BE63" si="599">SUM(AX63:BD63)/SUM(AX$58:BD$58)*BE$58</f>
        <v>131.16466269519691</v>
      </c>
      <c r="BF63" s="102">
        <f t="shared" ref="BF63" si="600">SUM(AY63:BE63)/SUM(AY$58:BE$58)*BF$58</f>
        <v>131.16758871055063</v>
      </c>
      <c r="BG63" s="102">
        <f t="shared" ref="BG63" si="601">SUM(AZ63:BF63)/SUM(AZ$58:BF$58)*BG$58</f>
        <v>131.16474544737929</v>
      </c>
      <c r="BH63" s="102">
        <f t="shared" ref="BH63" si="602">SUM(BA63:BG63)/SUM(BA$58:BG$58)*BH$58</f>
        <v>131.15268602797042</v>
      </c>
      <c r="BI63" s="102">
        <f t="shared" ref="BI63" si="603">SUM(BB63:BH63)/SUM(BB$58:BH$58)*BI$58</f>
        <v>131.15268602797042</v>
      </c>
      <c r="BJ63" s="102">
        <f t="shared" ref="BJ63" si="604">SUM(BC63:BI63)/SUM(BC$58:BI$58)*BJ$58</f>
        <v>131.15293400813201</v>
      </c>
      <c r="BK63" s="102">
        <f t="shared" ref="BK63" si="605">SUM(BD63:BJ63)/SUM(BD$58:BJ$58)*BK$58</f>
        <v>131.15698127770582</v>
      </c>
      <c r="BL63" s="102">
        <f t="shared" ref="BL63" si="606">SUM(BE63:BK63)/SUM(BE$58:BK$58)*BL$58</f>
        <v>262.31779548425874</v>
      </c>
      <c r="BM63" s="102">
        <f t="shared" ref="BM63" si="607">SUM(BF63:BL63)/SUM(BF$58:BL$58)*BM$58</f>
        <v>0</v>
      </c>
      <c r="BN63" s="102">
        <f t="shared" ref="BN63" si="608">SUM(BG63:BM63)/SUM(BG$58:BM$58)*BN$58</f>
        <v>135.09153758880279</v>
      </c>
      <c r="BO63" s="102">
        <f t="shared" ref="BO63" si="609">SUM(BH63:BN63)/SUM(BH$58:BN$58)*BO$58</f>
        <v>135.09037824001217</v>
      </c>
      <c r="BP63" s="102">
        <f t="shared" ref="BP63" si="610">SUM(BI63:BO63)/SUM(BI$58:BO$58)*BP$58</f>
        <v>135.09081898097571</v>
      </c>
      <c r="BQ63" s="102">
        <f t="shared" ref="BQ63" si="611">SUM(BJ63:BP63)/SUM(BJ$58:BP$58)*BQ$58</f>
        <v>135.09132002077348</v>
      </c>
      <c r="BR63" s="102">
        <f t="shared" ref="BR63" si="612">SUM(BK63:BQ63)/SUM(BK$58:BQ$58)*BR$58</f>
        <v>135.09185344667202</v>
      </c>
      <c r="BS63" s="102">
        <f t="shared" ref="BS63" si="613">SUM(BL63:BR63)/SUM(BL$58:BR$58)*BS$58</f>
        <v>135.09187620620139</v>
      </c>
      <c r="BT63" s="102">
        <f t="shared" ref="BT63" si="614">SUM(BM63:BS63)/SUM(BM$58:BS$58)*BT$58</f>
        <v>135.09129741390626</v>
      </c>
      <c r="BU63" s="102">
        <f t="shared" ref="BU63" si="615">SUM(BN63:BT63)/SUM(BN$58:BT$58)*BU$58</f>
        <v>135.09129741390626</v>
      </c>
      <c r="BV63" s="102">
        <f t="shared" ref="BV63" si="616">SUM(BO63:BU63)/SUM(BO$58:BU$58)*BV$58</f>
        <v>135.09126310320676</v>
      </c>
      <c r="BW63" s="102">
        <f t="shared" ref="BW63" si="617">SUM(BP63:BV63)/SUM(BP$58:BV$58)*BW$58</f>
        <v>135.09138951223454</v>
      </c>
      <c r="BX63" s="102">
        <f t="shared" ref="BX63" si="618">SUM(BQ63:BW63)/SUM(BQ$58:BW$58)*BX$58</f>
        <v>270.18294203340014</v>
      </c>
      <c r="BY63" s="8"/>
      <c r="BZ63" s="72">
        <f t="shared" si="502"/>
        <v>280.39</v>
      </c>
      <c r="CA63" s="72">
        <f t="shared" si="503"/>
        <v>771.91000000000008</v>
      </c>
      <c r="CB63" s="97"/>
      <c r="CC63" s="72">
        <f t="shared" si="504"/>
        <v>0</v>
      </c>
      <c r="CD63" s="72">
        <f t="shared" si="504"/>
        <v>0</v>
      </c>
      <c r="CE63" s="72">
        <f t="shared" si="504"/>
        <v>173.45000000000002</v>
      </c>
      <c r="CF63" s="72">
        <f t="shared" si="504"/>
        <v>950.86382111468697</v>
      </c>
      <c r="CG63" s="72">
        <f t="shared" si="504"/>
        <v>1306.7450937989302</v>
      </c>
      <c r="CH63" s="72">
        <f t="shared" si="504"/>
        <v>1357.1798415902026</v>
      </c>
      <c r="CI63" s="72">
        <f t="shared" si="504"/>
        <v>1573.8491989938598</v>
      </c>
      <c r="CJ63" s="72">
        <f t="shared" si="504"/>
        <v>1621.0959739600917</v>
      </c>
      <c r="CL63" s="13"/>
      <c r="CM63" s="13"/>
    </row>
    <row r="64" spans="1:91" x14ac:dyDescent="0.3">
      <c r="A64" s="97" t="str">
        <f>'DCS Detail'!A64</f>
        <v xml:space="preserve">         261.1 SUI - Licensed Teachers</v>
      </c>
      <c r="B64" s="106" t="str">
        <f>IF('DCS Detail'!$B64="","",'DCS Detail'!$B64)</f>
        <v>Benefits</v>
      </c>
      <c r="C64" s="106"/>
      <c r="D64" s="106"/>
      <c r="E64" s="18">
        <v>-279.08</v>
      </c>
      <c r="F64" s="18">
        <v>280.87</v>
      </c>
      <c r="G64" s="18">
        <v>211.83</v>
      </c>
      <c r="H64" s="18">
        <v>173.43</v>
      </c>
      <c r="I64" s="18">
        <v>157.53</v>
      </c>
      <c r="J64" s="18">
        <v>129.31</v>
      </c>
      <c r="K64" s="18">
        <v>367.87</v>
      </c>
      <c r="L64" s="18">
        <v>370.79999999999973</v>
      </c>
      <c r="M64" s="18">
        <v>309.37</v>
      </c>
      <c r="N64" s="18">
        <v>306.98</v>
      </c>
      <c r="O64" s="18">
        <v>311.58999999999997</v>
      </c>
      <c r="P64" s="18">
        <v>678.88</v>
      </c>
      <c r="Q64" s="18">
        <v>0</v>
      </c>
      <c r="R64" s="18">
        <v>205.5</v>
      </c>
      <c r="S64" s="18">
        <v>126.55</v>
      </c>
      <c r="T64" s="18">
        <v>91.96</v>
      </c>
      <c r="U64" s="18">
        <v>75.31</v>
      </c>
      <c r="V64" s="18">
        <v>83.75</v>
      </c>
      <c r="W64" s="18">
        <v>294.13</v>
      </c>
      <c r="X64" s="18">
        <v>302.27</v>
      </c>
      <c r="Y64" s="18">
        <v>297.68</v>
      </c>
      <c r="Z64" s="18">
        <v>296.29000000000002</v>
      </c>
      <c r="AA64" s="146">
        <v>341.28</v>
      </c>
      <c r="AB64" s="102">
        <f t="shared" ref="AB64" si="619">SUM(U64:AA64)/SUM(U$57:AA$57)*AB$57</f>
        <v>481.59969330689665</v>
      </c>
      <c r="AC64" s="102">
        <f t="shared" ref="AC64" si="620">SUM(V64:AB64)/SUM(V$57:AB$57)*AC$57</f>
        <v>0</v>
      </c>
      <c r="AD64" s="102">
        <f t="shared" ref="AD64" si="621">SUM(W64:AC64)/SUM(W$57:AC$57)*AD$57</f>
        <v>286.55085864420766</v>
      </c>
      <c r="AE64" s="102">
        <f t="shared" ref="AE64" si="622">SUM(X64:AD64)/SUM(X$57:AD$57)*AE$57</f>
        <v>284.15624868116925</v>
      </c>
      <c r="AF64" s="102">
        <f t="shared" ref="AF64" si="623">SUM(Y64:AE64)/SUM(Y$57:AE$57)*AF$57</f>
        <v>280.88026794872422</v>
      </c>
      <c r="AG64" s="102">
        <f t="shared" ref="AG64" si="624">SUM(Z64:AF64)/SUM(Z$57:AF$57)*AG$57</f>
        <v>277.89509578264278</v>
      </c>
      <c r="AH64" s="102">
        <f t="shared" ref="AH64" si="625">SUM(AA64:AG64)/SUM(AA$57:AG$57)*AH$57</f>
        <v>274.33879785132234</v>
      </c>
      <c r="AI64" s="102">
        <f t="shared" ref="AI64" si="626">SUM(AB64:AH64)/SUM(AB$57:AH$57)*AI$57</f>
        <v>269.34585174499472</v>
      </c>
      <c r="AJ64" s="102">
        <f t="shared" ref="AJ64" si="627">SUM(AC64:AI64)/SUM(AC$57:AI$57)*AJ$57</f>
        <v>278.86118677551013</v>
      </c>
      <c r="AK64" s="102">
        <f t="shared" ref="AK64" si="628">SUM(AD64:AJ64)/SUM(AD$57:AJ$57)*AK$57</f>
        <v>278.86118677551013</v>
      </c>
      <c r="AL64" s="102">
        <f t="shared" ref="AL64" si="629">SUM(AE64:AK64)/SUM(AE$57:AK$57)*AL$57</f>
        <v>277.76266222283908</v>
      </c>
      <c r="AM64" s="102">
        <f t="shared" ref="AM64" si="630">SUM(AF64:AL64)/SUM(AF$57:AL$57)*AM$57</f>
        <v>276.84929272879191</v>
      </c>
      <c r="AN64" s="102">
        <f t="shared" ref="AN64" si="631">SUM(AG64:AM64)/SUM(AG$57:AM$57)*AN$57</f>
        <v>552.54687825188887</v>
      </c>
      <c r="AO64" s="102">
        <f t="shared" ref="AO64" si="632">SUM(AH64:AN64)/SUM(AH$57:AN$57)*AO$57</f>
        <v>0</v>
      </c>
      <c r="AP64" s="102">
        <f t="shared" ref="AP64" si="633">SUM(AI64:AO64)/SUM(AI$57:AO$57)*AP$57</f>
        <v>284.60769575064586</v>
      </c>
      <c r="AQ64" s="102">
        <f t="shared" ref="AQ64" si="634">SUM(AJ64:AP64)/SUM(AJ$57:AP$57)*AQ$57</f>
        <v>285.62924176107282</v>
      </c>
      <c r="AR64" s="102">
        <f t="shared" ref="AR64" si="635">SUM(AK64:AQ64)/SUM(AK$57:AQ$57)*AR$57</f>
        <v>285.40292722598747</v>
      </c>
      <c r="AS64" s="102">
        <f t="shared" ref="AS64" si="636">SUM(AL64:AR64)/SUM(AL$57:AR$57)*AS$57</f>
        <v>285.14565005352085</v>
      </c>
      <c r="AT64" s="102">
        <f t="shared" ref="AT64" si="637">SUM(AM64:AS64)/SUM(AM$57:AS$57)*AT$57</f>
        <v>285.01223825071139</v>
      </c>
      <c r="AU64" s="102">
        <f t="shared" ref="AU64" si="638">SUM(AN64:AT64)/SUM(AN$57:AT$57)*AU$57</f>
        <v>284.99230352904078</v>
      </c>
      <c r="AV64" s="102">
        <f t="shared" ref="AV64" si="639">SUM(AO64:AU64)/SUM(AO$57:AU$57)*AV$57</f>
        <v>285.13167609516313</v>
      </c>
      <c r="AW64" s="102">
        <f t="shared" ref="AW64" si="640">SUM(AP64:AV64)/SUM(AP$57:AV$57)*AW$57</f>
        <v>285.13167609516313</v>
      </c>
      <c r="AX64" s="102">
        <f t="shared" ref="AX64" si="641">SUM(AQ64:AW64)/SUM(AQ$57:AW$57)*AX$57</f>
        <v>285.20653043009418</v>
      </c>
      <c r="AY64" s="102">
        <f t="shared" ref="AY64" si="642">SUM(AR64:AX64)/SUM(AR$57:AX$57)*AY$57</f>
        <v>285.14614309709725</v>
      </c>
      <c r="AZ64" s="102">
        <f t="shared" ref="AZ64" si="643">SUM(AS64:AY64)/SUM(AS$57:AY$57)*AZ$57</f>
        <v>570.21891930022593</v>
      </c>
      <c r="BA64" s="102">
        <f t="shared" ref="BA64" si="644">SUM(AT64:AZ64)/SUM(AT$57:AZ$57)*BA$57</f>
        <v>0</v>
      </c>
      <c r="BB64" s="102">
        <f t="shared" ref="BB64" si="645">SUM(AU64:BA64)/SUM(AU$57:BA$57)*BB$57</f>
        <v>330.38068917908367</v>
      </c>
      <c r="BC64" s="102">
        <f t="shared" ref="BC64" si="646">SUM(AV64:BB64)/SUM(AV$57:BB$57)*BC$57</f>
        <v>330.40106389042415</v>
      </c>
      <c r="BD64" s="102">
        <f t="shared" ref="BD64" si="647">SUM(AW64:BC64)/SUM(AW$57:BC$57)*BD$57</f>
        <v>330.40171086208841</v>
      </c>
      <c r="BE64" s="102">
        <f t="shared" ref="BE64" si="648">SUM(AX64:BD64)/SUM(AX$57:BD$57)*BE$57</f>
        <v>330.40243063293866</v>
      </c>
      <c r="BF64" s="102">
        <f t="shared" ref="BF64" si="649">SUM(AY64:BE64)/SUM(AY$57:BE$57)*BF$57</f>
        <v>330.39186920491858</v>
      </c>
      <c r="BG64" s="102">
        <f t="shared" ref="BG64" si="650">SUM(AZ64:BF64)/SUM(AZ$57:BF$57)*BG$57</f>
        <v>330.38914598325471</v>
      </c>
      <c r="BH64" s="102">
        <f t="shared" ref="BH64" si="651">SUM(BA64:BG64)/SUM(BA$57:BG$57)*BH$57</f>
        <v>330.39448495878469</v>
      </c>
      <c r="BI64" s="102">
        <f t="shared" ref="BI64" si="652">SUM(BB64:BH64)/SUM(BB$57:BH$57)*BI$57</f>
        <v>330.39448495878463</v>
      </c>
      <c r="BJ64" s="102">
        <f t="shared" ref="BJ64" si="653">SUM(BC64:BI64)/SUM(BC$57:BI$57)*BJ$57</f>
        <v>330.39645578445624</v>
      </c>
      <c r="BK64" s="102">
        <f t="shared" ref="BK64" si="654">SUM(BD64:BJ64)/SUM(BD$57:BJ$57)*BK$57</f>
        <v>330.39579748360364</v>
      </c>
      <c r="BL64" s="102">
        <f t="shared" ref="BL64" si="655">SUM(BE64:BK64)/SUM(BE$57:BK$57)*BL$57</f>
        <v>660.78990543049747</v>
      </c>
      <c r="BM64" s="102">
        <f t="shared" ref="BM64" si="656">SUM(BF64:BL64)/SUM(BF$57:BL$57)*BM$57</f>
        <v>0</v>
      </c>
      <c r="BN64" s="102">
        <f t="shared" ref="BN64" si="657">SUM(BG64:BM64)/SUM(BG$57:BM$57)*BN$57</f>
        <v>340.30615469105186</v>
      </c>
      <c r="BO64" s="102">
        <f t="shared" ref="BO64" si="658">SUM(BH64:BN64)/SUM(BH$57:BN$57)*BO$57</f>
        <v>340.30691348597355</v>
      </c>
      <c r="BP64" s="102">
        <f t="shared" ref="BP64" si="659">SUM(BI64:BO64)/SUM(BI$57:BO$57)*BP$57</f>
        <v>340.30699761889497</v>
      </c>
      <c r="BQ64" s="102">
        <f t="shared" ref="BQ64" si="660">SUM(BJ64:BP64)/SUM(BJ$57:BP$57)*BQ$57</f>
        <v>340.30709326224434</v>
      </c>
      <c r="BR64" s="102">
        <f t="shared" ref="BR64" si="661">SUM(BK64:BQ64)/SUM(BK$57:BQ$57)*BR$57</f>
        <v>340.30691683025759</v>
      </c>
      <c r="BS64" s="102">
        <f t="shared" ref="BS64" si="662">SUM(BL64:BR64)/SUM(BL$57:BR$57)*BS$57</f>
        <v>340.30681129489324</v>
      </c>
      <c r="BT64" s="102">
        <f t="shared" ref="BT64" si="663">SUM(BM64:BS64)/SUM(BM$57:BS$57)*BT$57</f>
        <v>340.30681453055251</v>
      </c>
      <c r="BU64" s="102">
        <f t="shared" ref="BU64" si="664">SUM(BN64:BT64)/SUM(BN$57:BT$57)*BU$57</f>
        <v>340.30681453055251</v>
      </c>
      <c r="BV64" s="102">
        <f t="shared" ref="BV64" si="665">SUM(BO64:BU64)/SUM(BO$57:BU$57)*BV$57</f>
        <v>340.30690879333832</v>
      </c>
      <c r="BW64" s="102">
        <f t="shared" ref="BW64" si="666">SUM(BP64:BV64)/SUM(BP$57:BV$57)*BW$57</f>
        <v>340.30690812296183</v>
      </c>
      <c r="BX64" s="102">
        <f t="shared" ref="BX64" si="667">SUM(BQ64:BW64)/SUM(BQ$57:BW$57)*BX$57</f>
        <v>680.61379067565713</v>
      </c>
      <c r="BY64" s="8"/>
      <c r="BZ64" s="72">
        <f t="shared" si="502"/>
        <v>341.28</v>
      </c>
      <c r="CA64" s="72">
        <f t="shared" si="503"/>
        <v>2114.7199999999998</v>
      </c>
      <c r="CB64" s="97"/>
      <c r="CC64" s="72">
        <f t="shared" si="504"/>
        <v>0</v>
      </c>
      <c r="CD64" s="72">
        <f t="shared" si="504"/>
        <v>0</v>
      </c>
      <c r="CE64" s="72">
        <f t="shared" si="504"/>
        <v>3019.38</v>
      </c>
      <c r="CF64" s="72">
        <f t="shared" si="504"/>
        <v>2596.3196933068966</v>
      </c>
      <c r="CG64" s="72">
        <f t="shared" si="504"/>
        <v>3338.0483274076009</v>
      </c>
      <c r="CH64" s="72">
        <f t="shared" si="504"/>
        <v>3421.6250015887222</v>
      </c>
      <c r="CI64" s="72">
        <f t="shared" si="504"/>
        <v>3964.7380383688346</v>
      </c>
      <c r="CJ64" s="72">
        <f t="shared" si="504"/>
        <v>4083.6821238363773</v>
      </c>
      <c r="CL64" s="13"/>
      <c r="CM64" s="13"/>
    </row>
    <row r="65" spans="1:92" x14ac:dyDescent="0.3">
      <c r="A65" s="97" t="str">
        <f>'DCS Detail'!A65</f>
        <v xml:space="preserve">         263.1 SUI - Substitute Teachers</v>
      </c>
      <c r="B65" s="106" t="str">
        <f>IF('DCS Detail'!$B65="","",'DCS Detail'!$B65)</f>
        <v>Benefits</v>
      </c>
      <c r="C65" s="106"/>
      <c r="D65" s="106"/>
      <c r="E65" s="18">
        <v>0</v>
      </c>
      <c r="F65" s="18">
        <v>0</v>
      </c>
      <c r="G65" s="18">
        <v>4.29</v>
      </c>
      <c r="H65" s="18">
        <v>5.85</v>
      </c>
      <c r="I65" s="18">
        <v>0</v>
      </c>
      <c r="J65" s="18">
        <v>1.9</v>
      </c>
      <c r="K65" s="18">
        <v>0.68</v>
      </c>
      <c r="L65" s="18">
        <v>1.629999999999999</v>
      </c>
      <c r="M65" s="18">
        <v>3.37</v>
      </c>
      <c r="N65" s="18">
        <v>1.41</v>
      </c>
      <c r="O65" s="18">
        <v>6.76</v>
      </c>
      <c r="P65" s="18">
        <v>17.82</v>
      </c>
      <c r="Q65" s="18">
        <v>0</v>
      </c>
      <c r="R65" s="18">
        <v>17.55</v>
      </c>
      <c r="S65" s="18">
        <v>19.899999999999999</v>
      </c>
      <c r="T65" s="18">
        <v>23.76</v>
      </c>
      <c r="U65" s="18">
        <v>23.94</v>
      </c>
      <c r="V65" s="18">
        <v>33.71</v>
      </c>
      <c r="W65" s="18">
        <v>31.12</v>
      </c>
      <c r="X65" s="18">
        <v>32.21</v>
      </c>
      <c r="Y65" s="18">
        <v>29.23</v>
      </c>
      <c r="Z65" s="18">
        <v>31.07</v>
      </c>
      <c r="AA65" s="146">
        <v>39.549999999999997</v>
      </c>
      <c r="AB65" s="102">
        <f t="shared" ref="AB65" si="668">SUM(U65:AA65)/SUM(U$58:AA$58)*AB$58</f>
        <v>64.691951342767354</v>
      </c>
      <c r="AC65" s="102">
        <f t="shared" ref="AC65" si="669">SUM(V65:AB65)/SUM(V$58:AB$58)*AC$58</f>
        <v>0</v>
      </c>
      <c r="AD65" s="102">
        <f t="shared" ref="AD65" si="670">SUM(W65:AC65)/SUM(W$58:AC$58)*AD$58</f>
        <v>32.34534812383653</v>
      </c>
      <c r="AE65" s="102">
        <f t="shared" ref="AE65" si="671">SUM(X65:AD65)/SUM(X$58:AD$58)*AE$58</f>
        <v>32.345541562987385</v>
      </c>
      <c r="AF65" s="102">
        <f t="shared" ref="AF65" si="672">SUM(Y65:AE65)/SUM(Y$58:AE$58)*AF$58</f>
        <v>32.345611930820766</v>
      </c>
      <c r="AG65" s="102">
        <f t="shared" ref="AG65" si="673">SUM(Z65:AF65)/SUM(Z$58:AF$58)*AG$58</f>
        <v>32.344807308400057</v>
      </c>
      <c r="AH65" s="102">
        <f t="shared" ref="AH65" si="674">SUM(AA65:AG65)/SUM(AA$58:AG$58)*AH$58</f>
        <v>32.345181591581898</v>
      </c>
      <c r="AI65" s="102">
        <f t="shared" ref="AI65" si="675">SUM(AB65:AH65)/SUM(AB$58:AH$58)*AI$58</f>
        <v>32.345491694341995</v>
      </c>
      <c r="AJ65" s="102">
        <f t="shared" ref="AJ65" si="676">SUM(AC65:AI65)/SUM(AC$58:AI$58)*AJ$58</f>
        <v>32.345330368661436</v>
      </c>
      <c r="AK65" s="102">
        <f t="shared" ref="AK65" si="677">SUM(AD65:AJ65)/SUM(AD$58:AJ$58)*AK$58</f>
        <v>32.345330368661443</v>
      </c>
      <c r="AL65" s="102">
        <f t="shared" ref="AL65" si="678">SUM(AE65:AK65)/SUM(AE$58:AK$58)*AL$58</f>
        <v>32.34532783220785</v>
      </c>
      <c r="AM65" s="102">
        <f t="shared" ref="AM65" si="679">SUM(AF65:AL65)/SUM(AF$58:AL$58)*AM$58</f>
        <v>32.345297299239348</v>
      </c>
      <c r="AN65" s="102">
        <f t="shared" ref="AN65" si="680">SUM(AG65:AM65)/SUM(AG$58:AM$58)*AN$58</f>
        <v>64.690504703741141</v>
      </c>
      <c r="AO65" s="102">
        <f t="shared" ref="AO65" si="681">SUM(AH65:AN65)/SUM(AH$58:AN$58)*AO$58</f>
        <v>0</v>
      </c>
      <c r="AP65" s="102">
        <f t="shared" ref="AP65" si="682">SUM(AI65:AO65)/SUM(AI$58:AO$58)*AP$58</f>
        <v>33.315685819265546</v>
      </c>
      <c r="AQ65" s="102">
        <f t="shared" ref="AQ65" si="683">SUM(AJ65:AP65)/SUM(AJ$58:AP$58)*AQ$58</f>
        <v>33.315661548155063</v>
      </c>
      <c r="AR65" s="102">
        <f t="shared" ref="AR65" si="684">SUM(AK65:AQ65)/SUM(AK$58:AQ$58)*AR$58</f>
        <v>33.315657478528124</v>
      </c>
      <c r="AS65" s="102">
        <f t="shared" ref="AS65" si="685">SUM(AL65:AR65)/SUM(AL$58:AR$58)*AS$58</f>
        <v>33.315652852125702</v>
      </c>
      <c r="AT65" s="102">
        <f t="shared" ref="AT65" si="686">SUM(AM65:AS65)/SUM(AM$58:AS$58)*AT$58</f>
        <v>33.315647962371713</v>
      </c>
      <c r="AU65" s="102">
        <f t="shared" ref="AU65" si="687">SUM(AN65:AT65)/SUM(AN$58:AT$58)*AU$58</f>
        <v>33.315646807708099</v>
      </c>
      <c r="AV65" s="102">
        <f t="shared" ref="AV65" si="688">SUM(AO65:AU65)/SUM(AO$58:AU$58)*AV$58</f>
        <v>33.315658744692378</v>
      </c>
      <c r="AW65" s="102">
        <f t="shared" ref="AW65" si="689">SUM(AP65:AV65)/SUM(AP$58:AV$58)*AW$58</f>
        <v>33.315658744692378</v>
      </c>
      <c r="AX65" s="102">
        <f t="shared" ref="AX65" si="690">SUM(AQ65:AW65)/SUM(AQ$58:AW$58)*AX$58</f>
        <v>33.315654876896204</v>
      </c>
      <c r="AY65" s="102">
        <f t="shared" ref="AY65" si="691">SUM(AR65:AX65)/SUM(AR$58:AX$58)*AY$58</f>
        <v>33.315653923859223</v>
      </c>
      <c r="AZ65" s="102">
        <f t="shared" ref="AZ65" si="692">SUM(AS65:AY65)/SUM(AS$58:AY$58)*AZ$58</f>
        <v>66.631306832098772</v>
      </c>
      <c r="BA65" s="102">
        <f t="shared" ref="BA65" si="693">SUM(AT65:AZ65)/SUM(AT$58:AZ$58)*BA$58</f>
        <v>0</v>
      </c>
      <c r="BB65" s="102">
        <f t="shared" ref="BB65" si="694">SUM(AU65:BA65)/SUM(AU$58:BA$58)*BB$58</f>
        <v>38.604514391975165</v>
      </c>
      <c r="BC65" s="102">
        <f t="shared" ref="BC65" si="695">SUM(AV65:BB65)/SUM(AV$58:BB$58)*BC$58</f>
        <v>38.604515600781646</v>
      </c>
      <c r="BD65" s="102">
        <f t="shared" ref="BD65" si="696">SUM(AW65:BC65)/SUM(AW$58:BC$58)*BD$58</f>
        <v>38.604515058297103</v>
      </c>
      <c r="BE65" s="102">
        <f t="shared" ref="BE65" si="697">SUM(AX65:BD65)/SUM(AX$58:BD$58)*BE$58</f>
        <v>38.60451445477058</v>
      </c>
      <c r="BF65" s="102">
        <f t="shared" ref="BF65" si="698">SUM(AY65:BE65)/SUM(AY$58:BE$58)*BF$58</f>
        <v>38.604514371753829</v>
      </c>
      <c r="BG65" s="102">
        <f t="shared" ref="BG65" si="699">SUM(AZ65:BF65)/SUM(AZ$58:BF$58)*BG$58</f>
        <v>38.604514421470839</v>
      </c>
      <c r="BH65" s="102">
        <f t="shared" ref="BH65" si="700">SUM(BA65:BG65)/SUM(BA$58:BG$58)*BH$58</f>
        <v>38.604514716508191</v>
      </c>
      <c r="BI65" s="102">
        <f t="shared" ref="BI65" si="701">SUM(BB65:BH65)/SUM(BB$58:BH$58)*BI$58</f>
        <v>38.604514716508191</v>
      </c>
      <c r="BJ65" s="102">
        <f t="shared" ref="BJ65" si="702">SUM(BC65:BI65)/SUM(BC$58:BI$58)*BJ$58</f>
        <v>38.60451476287006</v>
      </c>
      <c r="BK65" s="102">
        <f t="shared" ref="BK65" si="703">SUM(BD65:BJ65)/SUM(BD$58:BJ$58)*BK$58</f>
        <v>38.604514643168407</v>
      </c>
      <c r="BL65" s="102">
        <f t="shared" ref="BL65" si="704">SUM(BE65:BK65)/SUM(BE$58:BK$58)*BL$58</f>
        <v>77.209029167728602</v>
      </c>
      <c r="BM65" s="102">
        <f t="shared" ref="BM65" si="705">SUM(BF65:BL65)/SUM(BF$58:BL$58)*BM$58</f>
        <v>0</v>
      </c>
      <c r="BN65" s="102">
        <f t="shared" ref="BN65" si="706">SUM(BG65:BM65)/SUM(BG$58:BM$58)*BN$58</f>
        <v>39.762650071585995</v>
      </c>
      <c r="BO65" s="102">
        <f t="shared" ref="BO65" si="707">SUM(BH65:BN65)/SUM(BH$58:BN$58)*BO$58</f>
        <v>39.762650102520702</v>
      </c>
      <c r="BP65" s="102">
        <f t="shared" ref="BP65" si="708">SUM(BI65:BO65)/SUM(BI$58:BO$58)*BP$58</f>
        <v>39.762650094661964</v>
      </c>
      <c r="BQ65" s="102">
        <f t="shared" ref="BQ65" si="709">SUM(BJ65:BP65)/SUM(BJ$58:BP$58)*BQ$58</f>
        <v>39.76265008572804</v>
      </c>
      <c r="BR65" s="102">
        <f t="shared" ref="BR65" si="710">SUM(BK65:BQ65)/SUM(BK$58:BQ$58)*BR$58</f>
        <v>39.762650068870151</v>
      </c>
      <c r="BS65" s="102">
        <f t="shared" ref="BS65" si="711">SUM(BL65:BR65)/SUM(BL$58:BR$58)*BS$58</f>
        <v>39.762650066969009</v>
      </c>
      <c r="BT65" s="102">
        <f t="shared" ref="BT65" si="712">SUM(BM65:BS65)/SUM(BM$58:BS$58)*BT$58</f>
        <v>39.76265008172264</v>
      </c>
      <c r="BU65" s="102">
        <f t="shared" ref="BU65" si="713">SUM(BN65:BT65)/SUM(BN$58:BT$58)*BU$58</f>
        <v>39.762650081722633</v>
      </c>
      <c r="BV65" s="102">
        <f t="shared" ref="BV65" si="714">SUM(BO65:BU65)/SUM(BO$58:BU$58)*BV$58</f>
        <v>39.76265008317074</v>
      </c>
      <c r="BW65" s="102">
        <f t="shared" ref="BW65" si="715">SUM(BP65:BV65)/SUM(BP$58:BV$58)*BW$58</f>
        <v>39.762650080406452</v>
      </c>
      <c r="BX65" s="102">
        <f t="shared" ref="BX65" si="716">SUM(BQ65:BW65)/SUM(BQ$58:BW$58)*BX$58</f>
        <v>79.525300156739917</v>
      </c>
      <c r="BY65" s="8"/>
      <c r="BZ65" s="72">
        <f t="shared" si="502"/>
        <v>39.549999999999997</v>
      </c>
      <c r="CA65" s="72">
        <f t="shared" si="503"/>
        <v>282.04000000000002</v>
      </c>
      <c r="CB65" s="97"/>
      <c r="CC65" s="72">
        <f t="shared" si="504"/>
        <v>0</v>
      </c>
      <c r="CD65" s="72">
        <f t="shared" si="504"/>
        <v>0</v>
      </c>
      <c r="CE65" s="72">
        <f t="shared" si="504"/>
        <v>43.71</v>
      </c>
      <c r="CF65" s="72">
        <f t="shared" si="504"/>
        <v>346.73195134276739</v>
      </c>
      <c r="CG65" s="72">
        <f t="shared" si="504"/>
        <v>388.14377278447989</v>
      </c>
      <c r="CH65" s="72">
        <f t="shared" si="504"/>
        <v>399.78788559039322</v>
      </c>
      <c r="CI65" s="72">
        <f t="shared" si="504"/>
        <v>463.25417630583257</v>
      </c>
      <c r="CJ65" s="72">
        <f t="shared" si="504"/>
        <v>477.15180097409825</v>
      </c>
      <c r="CL65" s="13"/>
      <c r="CM65" s="13"/>
    </row>
    <row r="66" spans="1:92" x14ac:dyDescent="0.3">
      <c r="A66" s="97" t="str">
        <f>'DCS Detail'!A66</f>
        <v xml:space="preserve">         271.1 WC - Licensed Teachers</v>
      </c>
      <c r="B66" s="106" t="str">
        <f>IF('DCS Detail'!$B66="","",'DCS Detail'!$B66)</f>
        <v>Benefits</v>
      </c>
      <c r="C66" s="106"/>
      <c r="D66" s="106"/>
      <c r="E66" s="18">
        <v>242.56</v>
      </c>
      <c r="F66" s="18">
        <v>242.56</v>
      </c>
      <c r="G66" s="18">
        <v>242.56</v>
      </c>
      <c r="H66" s="18">
        <v>242.56</v>
      </c>
      <c r="I66" s="18">
        <v>242.56</v>
      </c>
      <c r="J66" s="18">
        <v>242.56</v>
      </c>
      <c r="K66" s="18">
        <v>242.56</v>
      </c>
      <c r="L66" s="18">
        <v>242.56000000000017</v>
      </c>
      <c r="M66" s="18">
        <v>242.56</v>
      </c>
      <c r="N66" s="18">
        <v>242.56</v>
      </c>
      <c r="O66" s="18">
        <v>242.56</v>
      </c>
      <c r="P66" s="18">
        <v>424.47</v>
      </c>
      <c r="Q66" s="18">
        <v>242.56</v>
      </c>
      <c r="R66" s="18">
        <v>222.35</v>
      </c>
      <c r="S66" s="18">
        <v>202.14</v>
      </c>
      <c r="T66" s="18">
        <v>202.14</v>
      </c>
      <c r="U66" s="18">
        <v>202.14</v>
      </c>
      <c r="V66" s="18">
        <v>202.14</v>
      </c>
      <c r="W66" s="18">
        <v>202.14</v>
      </c>
      <c r="X66" s="18">
        <v>202.14</v>
      </c>
      <c r="Y66" s="18">
        <v>202.14</v>
      </c>
      <c r="Z66" s="18">
        <v>202.14</v>
      </c>
      <c r="AA66" s="146">
        <v>202.14</v>
      </c>
      <c r="AB66" s="102">
        <f t="shared" ref="AB66" si="717">SUM(U66:AA66)/SUM(U$57:AA$57)*AB$57</f>
        <v>403.05784790732451</v>
      </c>
      <c r="AC66" s="102">
        <f t="shared" ref="AC66" si="718">SUM(V66:AB66)/SUM(V$57:AB$57)*AC$57</f>
        <v>0</v>
      </c>
      <c r="AD66" s="102">
        <f t="shared" ref="AD66" si="719">SUM(W66:AC66)/SUM(W$57:AC$57)*AD$57</f>
        <v>201.22368654998033</v>
      </c>
      <c r="AE66" s="102">
        <f t="shared" ref="AE66" si="720">SUM(X66:AD66)/SUM(X$57:AD$57)*AE$57</f>
        <v>200.16634836752689</v>
      </c>
      <c r="AF66" s="102">
        <f t="shared" ref="AF66" si="721">SUM(Y66:AE66)/SUM(Y$57:AE$57)*AF$57</f>
        <v>199.38295541643058</v>
      </c>
      <c r="AG66" s="102">
        <f t="shared" ref="AG66" si="722">SUM(Z66:AF66)/SUM(Z$57:AF$57)*AG$57</f>
        <v>198.55673867879895</v>
      </c>
      <c r="AH66" s="102">
        <f t="shared" ref="AH66" si="723">SUM(AA66:AG66)/SUM(AA$57:AG$57)*AH$57</f>
        <v>197.35908328610313</v>
      </c>
      <c r="AI66" s="102">
        <f t="shared" ref="AI66" si="724">SUM(AB66:AH66)/SUM(AB$57:AH$57)*AI$57</f>
        <v>199.96380860088064</v>
      </c>
      <c r="AJ66" s="102">
        <f t="shared" ref="AJ66" si="725">SUM(AC66:AI66)/SUM(AC$57:AI$57)*AJ$57</f>
        <v>199.44210348328676</v>
      </c>
      <c r="AK66" s="102">
        <f t="shared" ref="AK66" si="726">SUM(AD66:AJ66)/SUM(AD$57:AJ$57)*AK$57</f>
        <v>199.44210348328676</v>
      </c>
      <c r="AL66" s="102">
        <f t="shared" ref="AL66" si="727">SUM(AE66:AK66)/SUM(AE$57:AK$57)*AL$57</f>
        <v>199.18759161661623</v>
      </c>
      <c r="AM66" s="102">
        <f t="shared" ref="AM66" si="728">SUM(AF66:AL66)/SUM(AF$57:AL$57)*AM$57</f>
        <v>199.04776922362899</v>
      </c>
      <c r="AN66" s="102">
        <f t="shared" ref="AN66" si="729">SUM(AG66:AM66)/SUM(AG$57:AM$57)*AN$57</f>
        <v>397.99977096360033</v>
      </c>
      <c r="AO66" s="102">
        <f t="shared" ref="AO66" si="730">SUM(AH66:AN66)/SUM(AH$57:AN$57)*AO$57</f>
        <v>0</v>
      </c>
      <c r="AP66" s="102">
        <f t="shared" ref="AP66" si="731">SUM(AI66:AO66)/SUM(AI$57:AO$57)*AP$57</f>
        <v>205.27652025606267</v>
      </c>
      <c r="AQ66" s="102">
        <f t="shared" ref="AQ66" si="732">SUM(AJ66:AP66)/SUM(AJ$57:AP$57)*AQ$57</f>
        <v>205.17890964399382</v>
      </c>
      <c r="AR66" s="102">
        <f t="shared" ref="AR66" si="733">SUM(AK66:AQ66)/SUM(AK$57:AQ$57)*AR$57</f>
        <v>205.14400072844256</v>
      </c>
      <c r="AS66" s="102">
        <f t="shared" ref="AS66" si="734">SUM(AL66:AR66)/SUM(AL$57:AR$57)*AS$57</f>
        <v>205.10431583995975</v>
      </c>
      <c r="AT66" s="102">
        <f t="shared" ref="AT66" si="735">SUM(AM66:AS66)/SUM(AM$57:AS$57)*AT$57</f>
        <v>205.09604287294366</v>
      </c>
      <c r="AU66" s="102">
        <f t="shared" ref="AU66" si="736">SUM(AN66:AT66)/SUM(AN$57:AT$57)*AU$57</f>
        <v>205.10678980617521</v>
      </c>
      <c r="AV66" s="102">
        <f t="shared" ref="AV66" si="737">SUM(AO66:AU66)/SUM(AO$57:AU$57)*AV$57</f>
        <v>205.15109652459626</v>
      </c>
      <c r="AW66" s="102">
        <f t="shared" ref="AW66" si="738">SUM(AP66:AV66)/SUM(AP$57:AV$57)*AW$57</f>
        <v>205.15109652459626</v>
      </c>
      <c r="AX66" s="102">
        <f t="shared" ref="AX66" si="739">SUM(AQ66:AW66)/SUM(AQ$57:AW$57)*AX$57</f>
        <v>205.13317884867249</v>
      </c>
      <c r="AY66" s="102">
        <f t="shared" ref="AY66" si="740">SUM(AR66:AX66)/SUM(AR$57:AX$57)*AY$57</f>
        <v>205.1266458779123</v>
      </c>
      <c r="AZ66" s="102">
        <f t="shared" ref="AZ66" si="741">SUM(AS66:AY66)/SUM(AS$57:AY$57)*AZ$57</f>
        <v>410.24833322710168</v>
      </c>
      <c r="BA66" s="102">
        <f t="shared" ref="BA66" si="742">SUM(AT66:AZ66)/SUM(AT$57:AZ$57)*BA$57</f>
        <v>0</v>
      </c>
      <c r="BB66" s="102">
        <f t="shared" ref="BB66" si="743">SUM(AU66:BA66)/SUM(AU$57:BA$57)*BB$57</f>
        <v>237.69556955892736</v>
      </c>
      <c r="BC66" s="102">
        <f t="shared" ref="BC66" si="744">SUM(AV66:BB66)/SUM(AV$57:BB$57)*BC$57</f>
        <v>237.69949159434168</v>
      </c>
      <c r="BD66" s="102">
        <f t="shared" ref="BD66" si="745">SUM(AW66:BC66)/SUM(AW$57:BC$57)*BD$57</f>
        <v>237.69684840971104</v>
      </c>
      <c r="BE66" s="102">
        <f t="shared" ref="BE66" si="746">SUM(AX66:BD66)/SUM(AX$57:BD$57)*BE$57</f>
        <v>237.69390780604414</v>
      </c>
      <c r="BF66" s="102">
        <f t="shared" ref="BF66" si="747">SUM(AY66:BE66)/SUM(AY$57:BE$57)*BF$57</f>
        <v>237.69336252970425</v>
      </c>
      <c r="BG66" s="102">
        <f t="shared" ref="BG66" si="748">SUM(AZ66:BF66)/SUM(AZ$57:BF$57)*BG$57</f>
        <v>237.69372969809862</v>
      </c>
      <c r="BH66" s="102">
        <f t="shared" ref="BH66" si="749">SUM(BA66:BG66)/SUM(BA$57:BG$57)*BH$57</f>
        <v>237.6954849328045</v>
      </c>
      <c r="BI66" s="102">
        <f t="shared" ref="BI66" si="750">SUM(BB66:BH66)/SUM(BB$57:BH$57)*BI$57</f>
        <v>237.6954849328045</v>
      </c>
      <c r="BJ66" s="102">
        <f t="shared" ref="BJ66" si="751">SUM(BC66:BI66)/SUM(BC$57:BI$57)*BJ$57</f>
        <v>237.69547284335832</v>
      </c>
      <c r="BK66" s="102">
        <f t="shared" ref="BK66" si="752">SUM(BD66:BJ66)/SUM(BD$57:BJ$57)*BK$57</f>
        <v>237.69489873607503</v>
      </c>
      <c r="BL66" s="102">
        <f t="shared" ref="BL66" si="753">SUM(BE66:BK66)/SUM(BE$57:BK$57)*BL$57</f>
        <v>475.38924042253973</v>
      </c>
      <c r="BM66" s="102">
        <f t="shared" ref="BM66" si="754">SUM(BF66:BL66)/SUM(BF$57:BL$57)*BM$57</f>
        <v>0</v>
      </c>
      <c r="BN66" s="102">
        <f t="shared" ref="BN66" si="755">SUM(BG66:BM66)/SUM(BG$57:BM$57)*BN$57</f>
        <v>244.82574870180727</v>
      </c>
      <c r="BO66" s="102">
        <f t="shared" ref="BO66" si="756">SUM(BH66:BN66)/SUM(BH$57:BN$57)*BO$57</f>
        <v>244.82592041059334</v>
      </c>
      <c r="BP66" s="102">
        <f t="shared" ref="BP66" si="757">SUM(BI66:BO66)/SUM(BI$57:BO$57)*BP$57</f>
        <v>244.82585963577816</v>
      </c>
      <c r="BQ66" s="102">
        <f t="shared" ref="BQ66" si="758">SUM(BJ66:BP66)/SUM(BJ$57:BP$57)*BQ$57</f>
        <v>244.82579054621388</v>
      </c>
      <c r="BR66" s="102">
        <f t="shared" ref="BR66" si="759">SUM(BK66:BQ66)/SUM(BK$57:BQ$57)*BR$57</f>
        <v>244.82571379306151</v>
      </c>
      <c r="BS66" s="102">
        <f t="shared" ref="BS66" si="760">SUM(BL66:BR66)/SUM(BL$57:BR$57)*BS$57</f>
        <v>244.82570933081027</v>
      </c>
      <c r="BT66" s="102">
        <f t="shared" ref="BT66" si="761">SUM(BM66:BS66)/SUM(BM$57:BS$57)*BT$57</f>
        <v>244.82579040304404</v>
      </c>
      <c r="BU66" s="102">
        <f t="shared" ref="BU66" si="762">SUM(BN66:BT66)/SUM(BN$57:BT$57)*BU$57</f>
        <v>244.82579040304404</v>
      </c>
      <c r="BV66" s="102">
        <f t="shared" ref="BV66" si="763">SUM(BO66:BU66)/SUM(BO$57:BU$57)*BV$57</f>
        <v>244.8257963603636</v>
      </c>
      <c r="BW66" s="102">
        <f t="shared" ref="BW66" si="764">SUM(BP66:BV66)/SUM(BP$57:BV$57)*BW$57</f>
        <v>244.82577863890214</v>
      </c>
      <c r="BX66" s="102">
        <f t="shared" ref="BX66" si="765">SUM(BQ66:BW66)/SUM(BQ$57:BW$57)*BX$57</f>
        <v>489.65153413583988</v>
      </c>
      <c r="BY66" s="8"/>
      <c r="BZ66" s="72">
        <f t="shared" si="502"/>
        <v>202.14</v>
      </c>
      <c r="CA66" s="72">
        <f t="shared" si="503"/>
        <v>2284.1699999999992</v>
      </c>
      <c r="CB66" s="97"/>
      <c r="CC66" s="72">
        <f t="shared" si="504"/>
        <v>0</v>
      </c>
      <c r="CD66" s="72">
        <f t="shared" si="504"/>
        <v>0</v>
      </c>
      <c r="CE66" s="72">
        <f t="shared" si="504"/>
        <v>3092.63</v>
      </c>
      <c r="CF66" s="72">
        <f t="shared" si="504"/>
        <v>2687.2278479073238</v>
      </c>
      <c r="CG66" s="72">
        <f t="shared" si="504"/>
        <v>2391.7719596701395</v>
      </c>
      <c r="CH66" s="72">
        <f t="shared" si="504"/>
        <v>2461.7169301504564</v>
      </c>
      <c r="CI66" s="72">
        <f t="shared" si="504"/>
        <v>2852.3434914644095</v>
      </c>
      <c r="CJ66" s="72">
        <f t="shared" si="504"/>
        <v>2937.9094323594582</v>
      </c>
      <c r="CL66" s="13"/>
      <c r="CM66" s="13"/>
    </row>
    <row r="67" spans="1:92" x14ac:dyDescent="0.3">
      <c r="A67" s="97" t="str">
        <f>'DCS Detail'!A67</f>
        <v xml:space="preserve">         273.1 WC - Substitute Teachers</v>
      </c>
      <c r="B67" s="106" t="str">
        <f>IF('DCS Detail'!$B67="","",'DCS Detail'!$B67)</f>
        <v>Benefits</v>
      </c>
      <c r="C67" s="106"/>
      <c r="D67" s="106"/>
      <c r="E67" s="18">
        <v>0</v>
      </c>
      <c r="F67" s="18">
        <v>0</v>
      </c>
      <c r="G67" s="18">
        <v>0</v>
      </c>
      <c r="H67" s="18">
        <v>0</v>
      </c>
      <c r="I67" s="18">
        <v>0</v>
      </c>
      <c r="J67" s="18">
        <v>0</v>
      </c>
      <c r="K67" s="18">
        <v>0</v>
      </c>
      <c r="L67" s="18">
        <v>0</v>
      </c>
      <c r="M67" s="18">
        <v>0</v>
      </c>
      <c r="N67" s="18">
        <v>0</v>
      </c>
      <c r="O67" s="18">
        <v>0</v>
      </c>
      <c r="P67" s="18">
        <v>0</v>
      </c>
      <c r="Q67" s="18">
        <v>0</v>
      </c>
      <c r="R67" s="18">
        <v>10.11</v>
      </c>
      <c r="S67" s="18">
        <v>20.21</v>
      </c>
      <c r="T67" s="18">
        <v>20.21</v>
      </c>
      <c r="U67" s="18">
        <v>20.21</v>
      </c>
      <c r="V67" s="18">
        <v>20.21</v>
      </c>
      <c r="W67" s="18">
        <v>20.21</v>
      </c>
      <c r="X67" s="18">
        <v>20.21</v>
      </c>
      <c r="Y67" s="18">
        <v>20.21</v>
      </c>
      <c r="Z67" s="18">
        <v>20.21</v>
      </c>
      <c r="AA67" s="146">
        <v>20.21</v>
      </c>
      <c r="AB67" s="102">
        <f t="shared" ref="AB67" si="766">SUM(U67:AA67)/SUM(U$58:AA$58)*AB$58</f>
        <v>41.443510195450351</v>
      </c>
      <c r="AC67" s="102">
        <f t="shared" ref="AC67" si="767">SUM(V67:AB67)/SUM(V$58:AB$58)*AC$58</f>
        <v>0</v>
      </c>
      <c r="AD67" s="102">
        <f t="shared" ref="AD67" si="768">SUM(W67:AC67)/SUM(W$58:AC$58)*AD$58</f>
        <v>20.226281319399344</v>
      </c>
      <c r="AE67" s="102">
        <f t="shared" ref="AE67" si="769">SUM(X67:AD67)/SUM(X$58:AD$58)*AE$58</f>
        <v>20.12051820474726</v>
      </c>
      <c r="AF67" s="102">
        <f t="shared" ref="AF67" si="770">SUM(Y67:AE67)/SUM(Y$58:AE$58)*AF$58</f>
        <v>20.096038807383266</v>
      </c>
      <c r="AG67" s="102">
        <f t="shared" ref="AG67" si="771">SUM(Z67:AF67)/SUM(Z$58:AF$58)*AG$58</f>
        <v>19.810209033978126</v>
      </c>
      <c r="AH67" s="102">
        <f t="shared" ref="AH67" si="772">SUM(AA67:AG67)/SUM(AA$58:AG$58)*AH$58</f>
        <v>19.646987924336468</v>
      </c>
      <c r="AI67" s="102">
        <f t="shared" ref="AI67" si="773">SUM(AB67:AH67)/SUM(AB$58:AH$58)*AI$58</f>
        <v>20.191935069327826</v>
      </c>
      <c r="AJ67" s="102">
        <f t="shared" ref="AJ67" si="774">SUM(AC67:AI67)/SUM(AC$58:AI$58)*AJ$58</f>
        <v>20.015328393195382</v>
      </c>
      <c r="AK67" s="102">
        <f t="shared" ref="AK67" si="775">SUM(AD67:AJ67)/SUM(AD$58:AJ$58)*AK$58</f>
        <v>20.015328393195382</v>
      </c>
      <c r="AL67" s="102">
        <f t="shared" ref="AL67" si="776">SUM(AE67:AK67)/SUM(AE$58:AK$58)*AL$58</f>
        <v>19.985192260880524</v>
      </c>
      <c r="AM67" s="102">
        <f t="shared" ref="AM67" si="777">SUM(AF67:AL67)/SUM(AF$58:AL$58)*AM$58</f>
        <v>19.965859983185283</v>
      </c>
      <c r="AN67" s="102">
        <f t="shared" ref="AN67" si="778">SUM(AG67:AM67)/SUM(AG$58:AM$58)*AN$58</f>
        <v>39.894526016599706</v>
      </c>
      <c r="AO67" s="102">
        <f t="shared" ref="AO67" si="779">SUM(AH67:AN67)/SUM(AH$58:AN$58)*AO$58</f>
        <v>0</v>
      </c>
      <c r="AP67" s="102">
        <f t="shared" ref="AP67" si="780">SUM(AI67:AO67)/SUM(AI$58:AO$58)*AP$58</f>
        <v>20.61003074569652</v>
      </c>
      <c r="AQ67" s="102">
        <f t="shared" ref="AQ67" si="781">SUM(AJ67:AP67)/SUM(AJ$58:AP$58)*AQ$58</f>
        <v>20.58333623990546</v>
      </c>
      <c r="AR67" s="102">
        <f t="shared" ref="AR67" si="782">SUM(AK67:AQ67)/SUM(AK$58:AQ$58)*AR$58</f>
        <v>20.578739638618526</v>
      </c>
      <c r="AS67" s="102">
        <f t="shared" ref="AS67" si="783">SUM(AL67:AR67)/SUM(AL$58:AR$58)*AS$58</f>
        <v>20.573514165223216</v>
      </c>
      <c r="AT67" s="102">
        <f t="shared" ref="AT67" si="784">SUM(AM67:AS67)/SUM(AM$58:AS$58)*AT$58</f>
        <v>20.57193637540809</v>
      </c>
      <c r="AU67" s="102">
        <f t="shared" ref="AU67" si="785">SUM(AN67:AT67)/SUM(AN$58:AT$58)*AU$58</f>
        <v>20.572929465300007</v>
      </c>
      <c r="AV67" s="102">
        <f t="shared" ref="AV67" si="786">SUM(AO67:AU67)/SUM(AO$58:AU$58)*AV$58</f>
        <v>20.581747771691969</v>
      </c>
      <c r="AW67" s="102">
        <f t="shared" ref="AW67" si="787">SUM(AP67:AV67)/SUM(AP$58:AV$58)*AW$58</f>
        <v>20.581747771691969</v>
      </c>
      <c r="AX67" s="102">
        <f t="shared" ref="AX67" si="788">SUM(AQ67:AW67)/SUM(AQ$58:AW$58)*AX$58</f>
        <v>20.577707346834174</v>
      </c>
      <c r="AY67" s="102">
        <f t="shared" ref="AY67" si="789">SUM(AR67:AX67)/SUM(AR$58:AX$58)*AY$58</f>
        <v>20.576903219252561</v>
      </c>
      <c r="AZ67" s="102">
        <f t="shared" ref="AZ67" si="790">SUM(AS67:AY67)/SUM(AS$58:AY$58)*AZ$58</f>
        <v>41.153281747257708</v>
      </c>
      <c r="BA67" s="102">
        <f t="shared" ref="BA67" si="791">SUM(AT67:AZ67)/SUM(AT$58:AZ$58)*BA$58</f>
        <v>0</v>
      </c>
      <c r="BB67" s="102">
        <f t="shared" ref="BB67" si="792">SUM(AU67:BA67)/SUM(AU$58:BA$58)*BB$58</f>
        <v>23.844478956700055</v>
      </c>
      <c r="BC67" s="102">
        <f t="shared" ref="BC67" si="793">SUM(AV67:BB67)/SUM(AV$58:BB$58)*BC$58</f>
        <v>23.845260788553897</v>
      </c>
      <c r="BD67" s="102">
        <f t="shared" ref="BD67" si="794">SUM(AW67:BC67)/SUM(AW$58:BC$58)*BD$58</f>
        <v>23.844736095435454</v>
      </c>
      <c r="BE67" s="102">
        <f t="shared" ref="BE67" si="795">SUM(AX67:BD67)/SUM(AX$58:BD$58)*BE$58</f>
        <v>23.844152362278781</v>
      </c>
      <c r="BF67" s="102">
        <f t="shared" ref="BF67" si="796">SUM(AY67:BE67)/SUM(AY$58:BE$58)*BF$58</f>
        <v>23.844117519336368</v>
      </c>
      <c r="BG67" s="102">
        <f t="shared" ref="BG67" si="797">SUM(AZ67:BF67)/SUM(AZ$58:BF$58)*BG$58</f>
        <v>23.844198470614952</v>
      </c>
      <c r="BH67" s="102">
        <f t="shared" ref="BH67" si="798">SUM(BA67:BG67)/SUM(BA$58:BG$58)*BH$58</f>
        <v>23.844490698819918</v>
      </c>
      <c r="BI67" s="102">
        <f t="shared" ref="BI67" si="799">SUM(BB67:BH67)/SUM(BB$58:BH$58)*BI$58</f>
        <v>23.844490698819918</v>
      </c>
      <c r="BJ67" s="102">
        <f t="shared" ref="BJ67" si="800">SUM(BC67:BI67)/SUM(BC$58:BI$58)*BJ$58</f>
        <v>23.84449237626562</v>
      </c>
      <c r="BK67" s="102">
        <f t="shared" ref="BK67" si="801">SUM(BD67:BJ67)/SUM(BD$58:BJ$58)*BK$58</f>
        <v>23.844382603081577</v>
      </c>
      <c r="BL67" s="102">
        <f t="shared" ref="BL67" si="802">SUM(BE67:BK67)/SUM(BE$58:BK$58)*BL$58</f>
        <v>47.68866420834776</v>
      </c>
      <c r="BM67" s="102">
        <f t="shared" ref="BM67" si="803">SUM(BF67:BL67)/SUM(BF$58:BL$58)*BM$58</f>
        <v>0</v>
      </c>
      <c r="BN67" s="102">
        <f t="shared" ref="BN67" si="804">SUM(BG67:BM67)/SUM(BG$58:BM$58)*BN$58</f>
        <v>24.559720089661184</v>
      </c>
      <c r="BO67" s="102">
        <f t="shared" ref="BO67" si="805">SUM(BH67:BN67)/SUM(BH$58:BN$58)*BO$58</f>
        <v>24.559747922510084</v>
      </c>
      <c r="BP67" s="102">
        <f t="shared" ref="BP67" si="806">SUM(BI67:BO67)/SUM(BI$58:BO$58)*BP$58</f>
        <v>24.559736945559031</v>
      </c>
      <c r="BQ67" s="102">
        <f t="shared" ref="BQ67" si="807">SUM(BJ67:BP67)/SUM(BJ$58:BP$58)*BQ$58</f>
        <v>24.559724466824825</v>
      </c>
      <c r="BR67" s="102">
        <f t="shared" ref="BR67" si="808">SUM(BK67:BQ67)/SUM(BK$58:BQ$58)*BR$58</f>
        <v>24.559710045374157</v>
      </c>
      <c r="BS67" s="102">
        <f t="shared" ref="BS67" si="809">SUM(BL67:BR67)/SUM(BL$58:BR$58)*BS$58</f>
        <v>24.559709480926625</v>
      </c>
      <c r="BT67" s="102">
        <f t="shared" ref="BT67" si="810">SUM(BM67:BS67)/SUM(BM$58:BS$58)*BT$58</f>
        <v>24.559724825142649</v>
      </c>
      <c r="BU67" s="102">
        <f t="shared" ref="BU67" si="811">SUM(BN67:BT67)/SUM(BN$58:BT$58)*BU$58</f>
        <v>24.559724825142649</v>
      </c>
      <c r="BV67" s="102">
        <f t="shared" ref="BV67" si="812">SUM(BO67:BU67)/SUM(BO$58:BU$58)*BV$58</f>
        <v>24.559725501640003</v>
      </c>
      <c r="BW67" s="102">
        <f t="shared" ref="BW67" si="813">SUM(BP67:BV67)/SUM(BP$58:BV$58)*BW$58</f>
        <v>24.559722298658563</v>
      </c>
      <c r="BX67" s="102">
        <f t="shared" ref="BX67" si="814">SUM(BQ67:BW67)/SUM(BQ$58:BW$58)*BX$58</f>
        <v>49.119440412488423</v>
      </c>
      <c r="BY67" s="8"/>
      <c r="BZ67" s="72">
        <f t="shared" si="502"/>
        <v>20.21</v>
      </c>
      <c r="CA67" s="72">
        <f t="shared" si="503"/>
        <v>192.00000000000006</v>
      </c>
      <c r="CB67" s="97"/>
      <c r="CC67" s="72">
        <f t="shared" si="504"/>
        <v>0</v>
      </c>
      <c r="CD67" s="72">
        <f t="shared" si="504"/>
        <v>0</v>
      </c>
      <c r="CE67" s="72">
        <f t="shared" si="504"/>
        <v>0</v>
      </c>
      <c r="CF67" s="72">
        <f t="shared" si="504"/>
        <v>233.44351019545041</v>
      </c>
      <c r="CG67" s="72">
        <f t="shared" si="504"/>
        <v>239.96820540622858</v>
      </c>
      <c r="CH67" s="72">
        <f t="shared" si="504"/>
        <v>246.96187448688016</v>
      </c>
      <c r="CI67" s="72">
        <f t="shared" si="504"/>
        <v>286.13346477825434</v>
      </c>
      <c r="CJ67" s="72">
        <f t="shared" si="504"/>
        <v>294.71668681392816</v>
      </c>
      <c r="CL67" s="13"/>
      <c r="CM67" s="13"/>
    </row>
    <row r="68" spans="1:92" x14ac:dyDescent="0.3">
      <c r="A68" s="97" t="str">
        <f>'DCS Detail'!A68</f>
        <v xml:space="preserve">         535.1 Data Communication Internet Svc</v>
      </c>
      <c r="B68" s="106" t="str">
        <f>IF('DCS Detail'!$B68="","",'DCS Detail'!$B68)</f>
        <v>Utilities</v>
      </c>
      <c r="C68" s="106"/>
      <c r="D68" s="106"/>
      <c r="E68" s="18">
        <v>0</v>
      </c>
      <c r="F68" s="18">
        <v>0</v>
      </c>
      <c r="G68" s="18">
        <v>0</v>
      </c>
      <c r="H68" s="18">
        <v>0</v>
      </c>
      <c r="I68" s="18">
        <v>917.25</v>
      </c>
      <c r="J68" s="18">
        <v>0</v>
      </c>
      <c r="K68" s="18">
        <v>369.45</v>
      </c>
      <c r="L68" s="18">
        <v>0</v>
      </c>
      <c r="M68" s="18">
        <v>0</v>
      </c>
      <c r="N68" s="18">
        <v>0</v>
      </c>
      <c r="O68" s="18">
        <v>0</v>
      </c>
      <c r="P68" s="18">
        <v>21.56</v>
      </c>
      <c r="Q68" s="18">
        <v>236.49</v>
      </c>
      <c r="R68" s="18">
        <v>316.37</v>
      </c>
      <c r="S68" s="18">
        <v>0</v>
      </c>
      <c r="T68" s="18">
        <v>0</v>
      </c>
      <c r="U68" s="18">
        <v>0</v>
      </c>
      <c r="V68" s="18">
        <v>0</v>
      </c>
      <c r="W68" s="18">
        <v>0</v>
      </c>
      <c r="X68" s="18">
        <v>202.54</v>
      </c>
      <c r="Y68" s="18">
        <v>0</v>
      </c>
      <c r="Z68" s="18">
        <v>0</v>
      </c>
      <c r="AA68" s="146">
        <v>281.2</v>
      </c>
      <c r="AB68" s="120">
        <f t="shared" ref="AB68:AI72" si="815">P68*(1+AB$263)</f>
        <v>22.206799999999998</v>
      </c>
      <c r="AC68" s="120">
        <f t="shared" si="815"/>
        <v>243.58470000000003</v>
      </c>
      <c r="AD68" s="120">
        <f t="shared" si="815"/>
        <v>325.86110000000002</v>
      </c>
      <c r="AE68" s="120">
        <f t="shared" si="815"/>
        <v>0</v>
      </c>
      <c r="AF68" s="120">
        <f t="shared" si="815"/>
        <v>0</v>
      </c>
      <c r="AG68" s="120">
        <f t="shared" si="815"/>
        <v>0</v>
      </c>
      <c r="AH68" s="120">
        <f t="shared" si="815"/>
        <v>0</v>
      </c>
      <c r="AI68" s="120">
        <f t="shared" si="815"/>
        <v>0</v>
      </c>
      <c r="AJ68" s="120">
        <f t="shared" ref="AJ68:AS72" si="816">X68*(1+AJ$263)</f>
        <v>208.61619999999999</v>
      </c>
      <c r="AK68" s="120">
        <f t="shared" si="816"/>
        <v>0</v>
      </c>
      <c r="AL68" s="120">
        <f t="shared" si="816"/>
        <v>0</v>
      </c>
      <c r="AM68" s="120">
        <f t="shared" si="816"/>
        <v>289.63600000000002</v>
      </c>
      <c r="AN68" s="120">
        <f t="shared" si="816"/>
        <v>22.873003999999998</v>
      </c>
      <c r="AO68" s="120">
        <f t="shared" si="816"/>
        <v>250.89224100000004</v>
      </c>
      <c r="AP68" s="120">
        <f t="shared" si="816"/>
        <v>335.63693300000006</v>
      </c>
      <c r="AQ68" s="120">
        <f t="shared" si="816"/>
        <v>0</v>
      </c>
      <c r="AR68" s="120">
        <f t="shared" si="816"/>
        <v>0</v>
      </c>
      <c r="AS68" s="120">
        <f t="shared" si="816"/>
        <v>0</v>
      </c>
      <c r="AT68" s="120">
        <f t="shared" ref="AT68:BC72" si="817">AH68*(1+AT$263)</f>
        <v>0</v>
      </c>
      <c r="AU68" s="120">
        <f t="shared" si="817"/>
        <v>0</v>
      </c>
      <c r="AV68" s="120">
        <f t="shared" si="817"/>
        <v>214.874686</v>
      </c>
      <c r="AW68" s="120">
        <f t="shared" si="817"/>
        <v>0</v>
      </c>
      <c r="AX68" s="120">
        <f t="shared" si="817"/>
        <v>0</v>
      </c>
      <c r="AY68" s="120">
        <f t="shared" si="817"/>
        <v>298.32508000000001</v>
      </c>
      <c r="AZ68" s="120">
        <f t="shared" si="817"/>
        <v>23.559194119999997</v>
      </c>
      <c r="BA68" s="120">
        <f t="shared" si="817"/>
        <v>258.41900823000003</v>
      </c>
      <c r="BB68" s="120">
        <f t="shared" si="817"/>
        <v>345.70604099000008</v>
      </c>
      <c r="BC68" s="120">
        <f t="shared" si="817"/>
        <v>0</v>
      </c>
      <c r="BD68" s="120">
        <f t="shared" ref="BD68:BM72" si="818">AR68*(1+BD$263)</f>
        <v>0</v>
      </c>
      <c r="BE68" s="120">
        <f t="shared" si="818"/>
        <v>0</v>
      </c>
      <c r="BF68" s="120">
        <f t="shared" si="818"/>
        <v>0</v>
      </c>
      <c r="BG68" s="120">
        <f t="shared" si="818"/>
        <v>0</v>
      </c>
      <c r="BH68" s="120">
        <f t="shared" si="818"/>
        <v>221.32092657999999</v>
      </c>
      <c r="BI68" s="120">
        <f t="shared" si="818"/>
        <v>0</v>
      </c>
      <c r="BJ68" s="120">
        <f t="shared" si="818"/>
        <v>0</v>
      </c>
      <c r="BK68" s="120">
        <f t="shared" si="818"/>
        <v>307.27483240000004</v>
      </c>
      <c r="BL68" s="120">
        <f t="shared" si="818"/>
        <v>24.265969943599998</v>
      </c>
      <c r="BM68" s="120">
        <f t="shared" si="818"/>
        <v>266.17157847690004</v>
      </c>
      <c r="BN68" s="120">
        <f t="shared" ref="BN68:BW72" si="819">BB68*(1+BN$263)</f>
        <v>356.0772222197001</v>
      </c>
      <c r="BO68" s="120">
        <f t="shared" si="819"/>
        <v>0</v>
      </c>
      <c r="BP68" s="120">
        <f t="shared" si="819"/>
        <v>0</v>
      </c>
      <c r="BQ68" s="120">
        <f t="shared" si="819"/>
        <v>0</v>
      </c>
      <c r="BR68" s="120">
        <f t="shared" si="819"/>
        <v>0</v>
      </c>
      <c r="BS68" s="120">
        <f t="shared" si="819"/>
        <v>0</v>
      </c>
      <c r="BT68" s="120">
        <f t="shared" si="819"/>
        <v>227.9605543774</v>
      </c>
      <c r="BU68" s="120">
        <f t="shared" si="819"/>
        <v>0</v>
      </c>
      <c r="BV68" s="120">
        <f t="shared" si="819"/>
        <v>0</v>
      </c>
      <c r="BW68" s="120">
        <f t="shared" si="819"/>
        <v>316.49307737200007</v>
      </c>
      <c r="BX68" s="120">
        <f t="shared" ref="BX68:BX72" si="820">BL68*(1+BX$263)</f>
        <v>24.993949041907999</v>
      </c>
      <c r="BY68" s="8"/>
      <c r="BZ68" s="72">
        <f t="shared" si="502"/>
        <v>281.2</v>
      </c>
      <c r="CA68" s="72">
        <f t="shared" si="503"/>
        <v>1036.5999999999999</v>
      </c>
      <c r="CB68" s="97"/>
      <c r="CC68" s="72">
        <f t="shared" ref="CC68:CJ77" si="821">SUMIF($C$3:$BY$3,CC$3,$C68:$BY68)</f>
        <v>0</v>
      </c>
      <c r="CD68" s="72">
        <f t="shared" si="821"/>
        <v>0</v>
      </c>
      <c r="CE68" s="72">
        <f t="shared" si="821"/>
        <v>1308.26</v>
      </c>
      <c r="CF68" s="72">
        <f t="shared" si="821"/>
        <v>1058.8067999999998</v>
      </c>
      <c r="CG68" s="72">
        <f t="shared" si="821"/>
        <v>1090.5710040000001</v>
      </c>
      <c r="CH68" s="72">
        <f t="shared" si="821"/>
        <v>1123.2881341200002</v>
      </c>
      <c r="CI68" s="72">
        <f t="shared" si="821"/>
        <v>1156.9867781436001</v>
      </c>
      <c r="CJ68" s="72">
        <f t="shared" si="821"/>
        <v>1191.6963814879082</v>
      </c>
      <c r="CL68" s="13"/>
      <c r="CM68" s="13"/>
    </row>
    <row r="69" spans="1:92" x14ac:dyDescent="0.3">
      <c r="A69" s="97" t="str">
        <f>'DCS Detail'!A69</f>
        <v xml:space="preserve">         610.1 Classroom Supplies/Consumables</v>
      </c>
      <c r="B69" s="106" t="str">
        <f>IF('DCS Detail'!$B69="","",'DCS Detail'!$B69)</f>
        <v>Supplies</v>
      </c>
      <c r="C69" s="106"/>
      <c r="D69" s="106"/>
      <c r="E69" s="18">
        <v>386.59</v>
      </c>
      <c r="F69" s="18">
        <v>89.16</v>
      </c>
      <c r="G69" s="18">
        <v>52.87</v>
      </c>
      <c r="H69" s="18">
        <v>548.55999999999995</v>
      </c>
      <c r="I69" s="18">
        <v>40.18</v>
      </c>
      <c r="J69" s="18">
        <v>181.55</v>
      </c>
      <c r="K69" s="18">
        <v>167.96</v>
      </c>
      <c r="L69" s="18">
        <v>-85</v>
      </c>
      <c r="M69" s="18">
        <v>7.7</v>
      </c>
      <c r="N69" s="18">
        <v>0</v>
      </c>
      <c r="O69" s="18">
        <v>107.88</v>
      </c>
      <c r="P69" s="18">
        <v>616</v>
      </c>
      <c r="Q69" s="18">
        <v>257.16000000000003</v>
      </c>
      <c r="R69" s="18">
        <v>691.06</v>
      </c>
      <c r="S69" s="18">
        <v>480.06</v>
      </c>
      <c r="T69" s="18">
        <v>238.64</v>
      </c>
      <c r="U69" s="18">
        <v>631.35</v>
      </c>
      <c r="V69" s="18">
        <v>0</v>
      </c>
      <c r="W69" s="18">
        <v>351.14</v>
      </c>
      <c r="X69" s="18">
        <v>101.18</v>
      </c>
      <c r="Y69" s="18">
        <v>251.5</v>
      </c>
      <c r="Z69" s="18">
        <v>9.7200000000000006</v>
      </c>
      <c r="AA69" s="146">
        <v>208.66</v>
      </c>
      <c r="AB69" s="120">
        <f t="shared" si="815"/>
        <v>634.48</v>
      </c>
      <c r="AC69" s="120">
        <f t="shared" si="815"/>
        <v>264.87480000000005</v>
      </c>
      <c r="AD69" s="120">
        <f t="shared" si="815"/>
        <v>711.79179999999997</v>
      </c>
      <c r="AE69" s="120">
        <f t="shared" si="815"/>
        <v>494.46180000000004</v>
      </c>
      <c r="AF69" s="120">
        <f t="shared" si="815"/>
        <v>245.79919999999998</v>
      </c>
      <c r="AG69" s="120">
        <f t="shared" si="815"/>
        <v>650.29050000000007</v>
      </c>
      <c r="AH69" s="120">
        <f t="shared" si="815"/>
        <v>0</v>
      </c>
      <c r="AI69" s="120">
        <f t="shared" si="815"/>
        <v>361.67419999999998</v>
      </c>
      <c r="AJ69" s="120">
        <f t="shared" si="816"/>
        <v>104.21540000000002</v>
      </c>
      <c r="AK69" s="120">
        <f t="shared" si="816"/>
        <v>259.04500000000002</v>
      </c>
      <c r="AL69" s="120">
        <f t="shared" si="816"/>
        <v>10.011600000000001</v>
      </c>
      <c r="AM69" s="120">
        <f t="shared" si="816"/>
        <v>214.91980000000001</v>
      </c>
      <c r="AN69" s="120">
        <f t="shared" si="816"/>
        <v>653.51440000000002</v>
      </c>
      <c r="AO69" s="120">
        <f t="shared" si="816"/>
        <v>272.82104400000009</v>
      </c>
      <c r="AP69" s="120">
        <f t="shared" si="816"/>
        <v>733.14555399999995</v>
      </c>
      <c r="AQ69" s="120">
        <f t="shared" si="816"/>
        <v>509.29565400000007</v>
      </c>
      <c r="AR69" s="120">
        <f t="shared" si="816"/>
        <v>253.17317599999998</v>
      </c>
      <c r="AS69" s="120">
        <f t="shared" si="816"/>
        <v>669.79921500000012</v>
      </c>
      <c r="AT69" s="120">
        <f t="shared" si="817"/>
        <v>0</v>
      </c>
      <c r="AU69" s="120">
        <f t="shared" si="817"/>
        <v>372.52442600000001</v>
      </c>
      <c r="AV69" s="120">
        <f t="shared" si="817"/>
        <v>107.34186200000002</v>
      </c>
      <c r="AW69" s="120">
        <f t="shared" si="817"/>
        <v>266.81635</v>
      </c>
      <c r="AX69" s="120">
        <f t="shared" si="817"/>
        <v>10.311948000000001</v>
      </c>
      <c r="AY69" s="120">
        <f t="shared" si="817"/>
        <v>221.36739400000002</v>
      </c>
      <c r="AZ69" s="120">
        <f t="shared" si="817"/>
        <v>673.11983200000009</v>
      </c>
      <c r="BA69" s="120">
        <f t="shared" si="817"/>
        <v>281.00567532000008</v>
      </c>
      <c r="BB69" s="120">
        <f t="shared" si="817"/>
        <v>755.13992062</v>
      </c>
      <c r="BC69" s="120">
        <f t="shared" si="817"/>
        <v>524.57452362000004</v>
      </c>
      <c r="BD69" s="120">
        <f t="shared" si="818"/>
        <v>260.76837128</v>
      </c>
      <c r="BE69" s="120">
        <f t="shared" si="818"/>
        <v>689.89319145000013</v>
      </c>
      <c r="BF69" s="120">
        <f t="shared" si="818"/>
        <v>0</v>
      </c>
      <c r="BG69" s="120">
        <f t="shared" si="818"/>
        <v>383.70015878000004</v>
      </c>
      <c r="BH69" s="120">
        <f t="shared" si="818"/>
        <v>110.56211786000003</v>
      </c>
      <c r="BI69" s="120">
        <f t="shared" si="818"/>
        <v>274.82084050000003</v>
      </c>
      <c r="BJ69" s="120">
        <f t="shared" si="818"/>
        <v>10.621306440000001</v>
      </c>
      <c r="BK69" s="120">
        <f t="shared" si="818"/>
        <v>228.00841582000004</v>
      </c>
      <c r="BL69" s="120">
        <f t="shared" si="818"/>
        <v>693.31342696000013</v>
      </c>
      <c r="BM69" s="120">
        <f t="shared" si="818"/>
        <v>289.43584557960008</v>
      </c>
      <c r="BN69" s="120">
        <f t="shared" si="819"/>
        <v>777.79411823860005</v>
      </c>
      <c r="BO69" s="120">
        <f t="shared" si="819"/>
        <v>540.31175932860003</v>
      </c>
      <c r="BP69" s="120">
        <f t="shared" si="819"/>
        <v>268.59142241839999</v>
      </c>
      <c r="BQ69" s="120">
        <f t="shared" si="819"/>
        <v>710.58998719350018</v>
      </c>
      <c r="BR69" s="120">
        <f t="shared" si="819"/>
        <v>0</v>
      </c>
      <c r="BS69" s="120">
        <f t="shared" si="819"/>
        <v>395.21116354340006</v>
      </c>
      <c r="BT69" s="120">
        <f t="shared" si="819"/>
        <v>113.87898139580004</v>
      </c>
      <c r="BU69" s="120">
        <f t="shared" si="819"/>
        <v>283.06546571500002</v>
      </c>
      <c r="BV69" s="120">
        <f t="shared" si="819"/>
        <v>10.939945633200002</v>
      </c>
      <c r="BW69" s="120">
        <f t="shared" si="819"/>
        <v>234.84866829460006</v>
      </c>
      <c r="BX69" s="120">
        <f t="shared" si="820"/>
        <v>714.11282976880011</v>
      </c>
      <c r="BY69" s="8"/>
      <c r="BZ69" s="72">
        <f t="shared" si="502"/>
        <v>208.66</v>
      </c>
      <c r="CA69" s="72">
        <f t="shared" si="503"/>
        <v>3220.4699999999993</v>
      </c>
      <c r="CB69" s="97"/>
      <c r="CC69" s="72">
        <f t="shared" si="821"/>
        <v>0</v>
      </c>
      <c r="CD69" s="72">
        <f t="shared" si="821"/>
        <v>0</v>
      </c>
      <c r="CE69" s="72">
        <f t="shared" si="821"/>
        <v>2113.4499999999998</v>
      </c>
      <c r="CF69" s="72">
        <f t="shared" si="821"/>
        <v>3854.9499999999994</v>
      </c>
      <c r="CG69" s="72">
        <f t="shared" si="821"/>
        <v>3970.5985000000001</v>
      </c>
      <c r="CH69" s="72">
        <f t="shared" si="821"/>
        <v>4089.7164550000007</v>
      </c>
      <c r="CI69" s="72">
        <f t="shared" si="821"/>
        <v>4212.4079486500004</v>
      </c>
      <c r="CJ69" s="72">
        <f t="shared" si="821"/>
        <v>4338.7801871094998</v>
      </c>
      <c r="CL69" s="13"/>
      <c r="CM69" s="13"/>
    </row>
    <row r="70" spans="1:92" x14ac:dyDescent="0.3">
      <c r="A70" s="97" t="str">
        <f>'DCS Detail'!A70</f>
        <v xml:space="preserve">         612.1 General Equipment &amp; Supplies</v>
      </c>
      <c r="B70" s="106" t="str">
        <f>IF('DCS Detail'!$B70="","",'DCS Detail'!$B70)</f>
        <v>Supplies</v>
      </c>
      <c r="C70" s="106"/>
      <c r="D70" s="106"/>
      <c r="E70" s="18">
        <v>0</v>
      </c>
      <c r="F70" s="18">
        <v>79.66</v>
      </c>
      <c r="G70" s="18">
        <v>0</v>
      </c>
      <c r="H70" s="18">
        <v>1505.25</v>
      </c>
      <c r="I70" s="18">
        <v>0</v>
      </c>
      <c r="J70" s="18">
        <v>202.93</v>
      </c>
      <c r="K70" s="18">
        <v>9.99</v>
      </c>
      <c r="L70" s="18">
        <v>21.519999999999754</v>
      </c>
      <c r="M70" s="18">
        <v>-6.6900000000000546</v>
      </c>
      <c r="N70" s="18">
        <v>9.9</v>
      </c>
      <c r="O70" s="18">
        <v>0</v>
      </c>
      <c r="P70" s="18">
        <v>0</v>
      </c>
      <c r="Q70" s="18">
        <v>616.97</v>
      </c>
      <c r="R70" s="18">
        <v>-237.76</v>
      </c>
      <c r="S70" s="18">
        <v>0</v>
      </c>
      <c r="T70" s="18">
        <v>0</v>
      </c>
      <c r="U70" s="18">
        <v>18.84</v>
      </c>
      <c r="V70" s="18">
        <v>71.989999999999995</v>
      </c>
      <c r="W70" s="18">
        <v>0</v>
      </c>
      <c r="X70" s="18">
        <v>109.67</v>
      </c>
      <c r="Y70" s="18">
        <v>0</v>
      </c>
      <c r="Z70" s="18">
        <f>79.47+59</f>
        <v>138.47</v>
      </c>
      <c r="AA70" s="146">
        <v>-1.0200000000001168</v>
      </c>
      <c r="AB70" s="120">
        <f t="shared" si="815"/>
        <v>0</v>
      </c>
      <c r="AC70" s="120">
        <f t="shared" si="815"/>
        <v>635.47910000000002</v>
      </c>
      <c r="AD70" s="120">
        <f t="shared" si="815"/>
        <v>-244.89279999999999</v>
      </c>
      <c r="AE70" s="120">
        <f t="shared" si="815"/>
        <v>0</v>
      </c>
      <c r="AF70" s="120">
        <f t="shared" si="815"/>
        <v>0</v>
      </c>
      <c r="AG70" s="120">
        <f t="shared" si="815"/>
        <v>19.405200000000001</v>
      </c>
      <c r="AH70" s="120">
        <f t="shared" si="815"/>
        <v>74.149699999999996</v>
      </c>
      <c r="AI70" s="120">
        <f t="shared" si="815"/>
        <v>0</v>
      </c>
      <c r="AJ70" s="120">
        <f t="shared" si="816"/>
        <v>112.96010000000001</v>
      </c>
      <c r="AK70" s="120">
        <f t="shared" si="816"/>
        <v>0</v>
      </c>
      <c r="AL70" s="120">
        <f t="shared" si="816"/>
        <v>142.6241</v>
      </c>
      <c r="AM70" s="120">
        <f t="shared" si="816"/>
        <v>-1.0506000000001203</v>
      </c>
      <c r="AN70" s="120">
        <f t="shared" si="816"/>
        <v>0</v>
      </c>
      <c r="AO70" s="120">
        <f t="shared" si="816"/>
        <v>654.54347300000006</v>
      </c>
      <c r="AP70" s="120">
        <f t="shared" si="816"/>
        <v>-252.23958400000001</v>
      </c>
      <c r="AQ70" s="120">
        <f t="shared" si="816"/>
        <v>0</v>
      </c>
      <c r="AR70" s="120">
        <f t="shared" si="816"/>
        <v>0</v>
      </c>
      <c r="AS70" s="120">
        <f t="shared" si="816"/>
        <v>19.987356000000002</v>
      </c>
      <c r="AT70" s="120">
        <f t="shared" si="817"/>
        <v>76.374190999999996</v>
      </c>
      <c r="AU70" s="120">
        <f t="shared" si="817"/>
        <v>0</v>
      </c>
      <c r="AV70" s="120">
        <f t="shared" si="817"/>
        <v>116.34890300000002</v>
      </c>
      <c r="AW70" s="120">
        <f t="shared" si="817"/>
        <v>0</v>
      </c>
      <c r="AX70" s="120">
        <f t="shared" si="817"/>
        <v>146.90282300000001</v>
      </c>
      <c r="AY70" s="120">
        <f t="shared" si="817"/>
        <v>-1.082118000000124</v>
      </c>
      <c r="AZ70" s="120">
        <f t="shared" si="817"/>
        <v>0</v>
      </c>
      <c r="BA70" s="120">
        <f t="shared" si="817"/>
        <v>674.1797771900001</v>
      </c>
      <c r="BB70" s="120">
        <f t="shared" si="817"/>
        <v>-259.80677152000004</v>
      </c>
      <c r="BC70" s="120">
        <f t="shared" si="817"/>
        <v>0</v>
      </c>
      <c r="BD70" s="120">
        <f t="shared" si="818"/>
        <v>0</v>
      </c>
      <c r="BE70" s="120">
        <f t="shared" si="818"/>
        <v>20.586976680000003</v>
      </c>
      <c r="BF70" s="120">
        <f t="shared" si="818"/>
        <v>78.665416730000004</v>
      </c>
      <c r="BG70" s="120">
        <f t="shared" si="818"/>
        <v>0</v>
      </c>
      <c r="BH70" s="120">
        <f t="shared" si="818"/>
        <v>119.83937009000003</v>
      </c>
      <c r="BI70" s="120">
        <f t="shared" si="818"/>
        <v>0</v>
      </c>
      <c r="BJ70" s="120">
        <f t="shared" si="818"/>
        <v>151.30990769000002</v>
      </c>
      <c r="BK70" s="120">
        <f t="shared" si="818"/>
        <v>-1.1145815400001278</v>
      </c>
      <c r="BL70" s="120">
        <f t="shared" si="818"/>
        <v>0</v>
      </c>
      <c r="BM70" s="120">
        <f t="shared" si="818"/>
        <v>694.40517050570008</v>
      </c>
      <c r="BN70" s="120">
        <f t="shared" si="819"/>
        <v>-267.60097466560006</v>
      </c>
      <c r="BO70" s="120">
        <f t="shared" si="819"/>
        <v>0</v>
      </c>
      <c r="BP70" s="120">
        <f t="shared" si="819"/>
        <v>0</v>
      </c>
      <c r="BQ70" s="120">
        <f t="shared" si="819"/>
        <v>21.204585980400005</v>
      </c>
      <c r="BR70" s="120">
        <f t="shared" si="819"/>
        <v>81.025379231900004</v>
      </c>
      <c r="BS70" s="120">
        <f t="shared" si="819"/>
        <v>0</v>
      </c>
      <c r="BT70" s="120">
        <f t="shared" si="819"/>
        <v>123.43455119270004</v>
      </c>
      <c r="BU70" s="120">
        <f t="shared" si="819"/>
        <v>0</v>
      </c>
      <c r="BV70" s="120">
        <f t="shared" si="819"/>
        <v>155.84920492070003</v>
      </c>
      <c r="BW70" s="120">
        <f t="shared" si="819"/>
        <v>-1.1480189862001315</v>
      </c>
      <c r="BX70" s="120">
        <f t="shared" si="820"/>
        <v>0</v>
      </c>
      <c r="BY70" s="8"/>
      <c r="BZ70" s="72">
        <f t="shared" si="502"/>
        <v>-1.0200000000001168</v>
      </c>
      <c r="CA70" s="72">
        <f t="shared" si="503"/>
        <v>717.16</v>
      </c>
      <c r="CB70" s="97"/>
      <c r="CC70" s="72">
        <f t="shared" si="821"/>
        <v>0</v>
      </c>
      <c r="CD70" s="72">
        <f t="shared" si="821"/>
        <v>0</v>
      </c>
      <c r="CE70" s="72">
        <f t="shared" si="821"/>
        <v>1822.56</v>
      </c>
      <c r="CF70" s="72">
        <f t="shared" si="821"/>
        <v>717.16</v>
      </c>
      <c r="CG70" s="72">
        <f t="shared" si="821"/>
        <v>738.67479999999989</v>
      </c>
      <c r="CH70" s="72">
        <f t="shared" si="821"/>
        <v>760.83504399999993</v>
      </c>
      <c r="CI70" s="72">
        <f t="shared" si="821"/>
        <v>783.66009531999998</v>
      </c>
      <c r="CJ70" s="72">
        <f t="shared" si="821"/>
        <v>807.16989817959995</v>
      </c>
      <c r="CL70" s="13"/>
      <c r="CM70" s="13"/>
      <c r="CN70" s="13"/>
    </row>
    <row r="71" spans="1:92" x14ac:dyDescent="0.3">
      <c r="A71" s="97" t="str">
        <f>'DCS Detail'!A71</f>
        <v xml:space="preserve">         640.1 Curriculum - Textbooks</v>
      </c>
      <c r="B71" s="106" t="str">
        <f>IF('DCS Detail'!$B71="","",'DCS Detail'!$B71)</f>
        <v>Curriculum</v>
      </c>
      <c r="C71" s="106"/>
      <c r="D71" s="106"/>
      <c r="E71" s="18">
        <v>0</v>
      </c>
      <c r="F71" s="18">
        <v>1061.5899999999999</v>
      </c>
      <c r="G71" s="18">
        <v>9912.74</v>
      </c>
      <c r="H71" s="18">
        <f>7511.65*0.22</f>
        <v>1652.5629999999999</v>
      </c>
      <c r="I71" s="18">
        <v>599.5</v>
      </c>
      <c r="J71" s="18">
        <v>0</v>
      </c>
      <c r="K71" s="18">
        <v>0</v>
      </c>
      <c r="L71" s="18">
        <v>123.86700000000019</v>
      </c>
      <c r="M71" s="18">
        <v>0</v>
      </c>
      <c r="N71" s="18">
        <v>274.77999999999997</v>
      </c>
      <c r="O71" s="18">
        <v>0</v>
      </c>
      <c r="P71" s="18">
        <v>0</v>
      </c>
      <c r="Q71" s="18">
        <v>0</v>
      </c>
      <c r="R71" s="18">
        <v>3027.94</v>
      </c>
      <c r="S71" s="18">
        <v>15366.94</v>
      </c>
      <c r="T71" s="18">
        <v>1274.6300000000001</v>
      </c>
      <c r="U71" s="18">
        <v>0</v>
      </c>
      <c r="V71" s="18">
        <v>0</v>
      </c>
      <c r="W71" s="18">
        <v>0</v>
      </c>
      <c r="X71" s="18">
        <v>0</v>
      </c>
      <c r="Y71" s="18">
        <v>170.94</v>
      </c>
      <c r="Z71" s="18">
        <v>237.16</v>
      </c>
      <c r="AA71" s="146">
        <v>176</v>
      </c>
      <c r="AB71" s="120">
        <f t="shared" si="815"/>
        <v>0</v>
      </c>
      <c r="AC71" s="120">
        <f t="shared" si="815"/>
        <v>0</v>
      </c>
      <c r="AD71" s="120">
        <f t="shared" si="815"/>
        <v>3118.7782000000002</v>
      </c>
      <c r="AE71" s="120">
        <f t="shared" si="815"/>
        <v>15827.948200000001</v>
      </c>
      <c r="AF71" s="120">
        <f t="shared" si="815"/>
        <v>1312.8689000000002</v>
      </c>
      <c r="AG71" s="120">
        <f t="shared" si="815"/>
        <v>0</v>
      </c>
      <c r="AH71" s="120">
        <f t="shared" si="815"/>
        <v>0</v>
      </c>
      <c r="AI71" s="120">
        <f t="shared" si="815"/>
        <v>0</v>
      </c>
      <c r="AJ71" s="120">
        <f t="shared" si="816"/>
        <v>0</v>
      </c>
      <c r="AK71" s="120">
        <f t="shared" si="816"/>
        <v>176.06819999999999</v>
      </c>
      <c r="AL71" s="120">
        <f t="shared" si="816"/>
        <v>244.2748</v>
      </c>
      <c r="AM71" s="120">
        <f t="shared" si="816"/>
        <v>181.28</v>
      </c>
      <c r="AN71" s="120">
        <f t="shared" si="816"/>
        <v>0</v>
      </c>
      <c r="AO71" s="120">
        <f t="shared" si="816"/>
        <v>0</v>
      </c>
      <c r="AP71" s="120">
        <f t="shared" si="816"/>
        <v>3212.3415460000001</v>
      </c>
      <c r="AQ71" s="120">
        <f t="shared" si="816"/>
        <v>16302.786646</v>
      </c>
      <c r="AR71" s="120">
        <f t="shared" si="816"/>
        <v>1352.2549670000003</v>
      </c>
      <c r="AS71" s="120">
        <f t="shared" si="816"/>
        <v>0</v>
      </c>
      <c r="AT71" s="120">
        <f t="shared" si="817"/>
        <v>0</v>
      </c>
      <c r="AU71" s="120">
        <f t="shared" si="817"/>
        <v>0</v>
      </c>
      <c r="AV71" s="120">
        <f t="shared" si="817"/>
        <v>0</v>
      </c>
      <c r="AW71" s="120">
        <f t="shared" si="817"/>
        <v>181.350246</v>
      </c>
      <c r="AX71" s="120">
        <f t="shared" si="817"/>
        <v>251.60304400000001</v>
      </c>
      <c r="AY71" s="120">
        <f t="shared" si="817"/>
        <v>186.7184</v>
      </c>
      <c r="AZ71" s="120">
        <f t="shared" si="817"/>
        <v>0</v>
      </c>
      <c r="BA71" s="120">
        <f t="shared" si="817"/>
        <v>0</v>
      </c>
      <c r="BB71" s="120">
        <f t="shared" si="817"/>
        <v>3308.7117923800001</v>
      </c>
      <c r="BC71" s="120">
        <f t="shared" si="817"/>
        <v>16791.87024538</v>
      </c>
      <c r="BD71" s="120">
        <f t="shared" si="818"/>
        <v>1392.8226160100003</v>
      </c>
      <c r="BE71" s="120">
        <f t="shared" si="818"/>
        <v>0</v>
      </c>
      <c r="BF71" s="120">
        <f t="shared" si="818"/>
        <v>0</v>
      </c>
      <c r="BG71" s="120">
        <f t="shared" si="818"/>
        <v>0</v>
      </c>
      <c r="BH71" s="120">
        <f t="shared" si="818"/>
        <v>0</v>
      </c>
      <c r="BI71" s="120">
        <f t="shared" si="818"/>
        <v>186.79075338000001</v>
      </c>
      <c r="BJ71" s="120">
        <f t="shared" si="818"/>
        <v>259.15113532000004</v>
      </c>
      <c r="BK71" s="120">
        <f t="shared" si="818"/>
        <v>192.319952</v>
      </c>
      <c r="BL71" s="120">
        <f t="shared" si="818"/>
        <v>0</v>
      </c>
      <c r="BM71" s="120">
        <f t="shared" si="818"/>
        <v>0</v>
      </c>
      <c r="BN71" s="120">
        <f t="shared" si="819"/>
        <v>3407.9731461514002</v>
      </c>
      <c r="BO71" s="120">
        <f t="shared" si="819"/>
        <v>17295.626352741401</v>
      </c>
      <c r="BP71" s="120">
        <f t="shared" si="819"/>
        <v>1434.6072944903003</v>
      </c>
      <c r="BQ71" s="120">
        <f t="shared" si="819"/>
        <v>0</v>
      </c>
      <c r="BR71" s="120">
        <f t="shared" si="819"/>
        <v>0</v>
      </c>
      <c r="BS71" s="120">
        <f t="shared" si="819"/>
        <v>0</v>
      </c>
      <c r="BT71" s="120">
        <f t="shared" si="819"/>
        <v>0</v>
      </c>
      <c r="BU71" s="120">
        <f t="shared" si="819"/>
        <v>192.39447598140001</v>
      </c>
      <c r="BV71" s="120">
        <f t="shared" si="819"/>
        <v>266.92566937960004</v>
      </c>
      <c r="BW71" s="120">
        <f t="shared" si="819"/>
        <v>198.08955055999999</v>
      </c>
      <c r="BX71" s="120">
        <f t="shared" si="820"/>
        <v>0</v>
      </c>
      <c r="BY71" s="8"/>
      <c r="BZ71" s="72">
        <f t="shared" si="502"/>
        <v>176</v>
      </c>
      <c r="CA71" s="72">
        <f t="shared" si="503"/>
        <v>20253.61</v>
      </c>
      <c r="CB71" s="97"/>
      <c r="CC71" s="72">
        <f t="shared" si="821"/>
        <v>0</v>
      </c>
      <c r="CD71" s="72">
        <f t="shared" si="821"/>
        <v>0</v>
      </c>
      <c r="CE71" s="72">
        <f t="shared" si="821"/>
        <v>13625.04</v>
      </c>
      <c r="CF71" s="72">
        <f t="shared" si="821"/>
        <v>20253.61</v>
      </c>
      <c r="CG71" s="72">
        <f t="shared" si="821"/>
        <v>20861.2183</v>
      </c>
      <c r="CH71" s="72">
        <f t="shared" si="821"/>
        <v>21487.054849000004</v>
      </c>
      <c r="CI71" s="72">
        <f t="shared" si="821"/>
        <v>22131.666494469999</v>
      </c>
      <c r="CJ71" s="72">
        <f t="shared" si="821"/>
        <v>22795.616489304099</v>
      </c>
      <c r="CL71" s="13"/>
      <c r="CM71" s="13"/>
    </row>
    <row r="72" spans="1:92" x14ac:dyDescent="0.3">
      <c r="A72" s="97" t="str">
        <f>'DCS Detail'!A72</f>
        <v xml:space="preserve">         651.1 Educational Software</v>
      </c>
      <c r="B72" s="106" t="str">
        <f>IF('DCS Detail'!$B72="","",'DCS Detail'!$B72)</f>
        <v>Curriculum</v>
      </c>
      <c r="C72" s="106"/>
      <c r="D72" s="106"/>
      <c r="E72" s="18">
        <v>0</v>
      </c>
      <c r="F72" s="18">
        <v>0</v>
      </c>
      <c r="G72" s="18">
        <v>0</v>
      </c>
      <c r="H72" s="18">
        <v>0</v>
      </c>
      <c r="I72" s="18">
        <v>0</v>
      </c>
      <c r="J72" s="18">
        <v>0</v>
      </c>
      <c r="K72" s="18">
        <v>0</v>
      </c>
      <c r="L72" s="18">
        <v>0</v>
      </c>
      <c r="M72" s="18">
        <v>225</v>
      </c>
      <c r="N72" s="18">
        <v>0</v>
      </c>
      <c r="O72" s="18">
        <v>0</v>
      </c>
      <c r="P72" s="18">
        <v>0</v>
      </c>
      <c r="Q72" s="18">
        <v>0</v>
      </c>
      <c r="R72" s="18">
        <v>0</v>
      </c>
      <c r="S72" s="18">
        <v>0</v>
      </c>
      <c r="T72" s="18">
        <v>0</v>
      </c>
      <c r="U72" s="18">
        <v>271.63</v>
      </c>
      <c r="V72" s="18">
        <v>0</v>
      </c>
      <c r="W72" s="18">
        <v>0</v>
      </c>
      <c r="X72" s="18">
        <v>0</v>
      </c>
      <c r="Y72" s="18">
        <v>0</v>
      </c>
      <c r="Z72" s="18">
        <v>0</v>
      </c>
      <c r="AA72" s="146">
        <v>332.09</v>
      </c>
      <c r="AB72" s="120">
        <f t="shared" si="815"/>
        <v>0</v>
      </c>
      <c r="AC72" s="120">
        <f t="shared" si="815"/>
        <v>0</v>
      </c>
      <c r="AD72" s="120">
        <f t="shared" si="815"/>
        <v>0</v>
      </c>
      <c r="AE72" s="120">
        <f t="shared" si="815"/>
        <v>0</v>
      </c>
      <c r="AF72" s="120">
        <f t="shared" si="815"/>
        <v>0</v>
      </c>
      <c r="AG72" s="120">
        <f t="shared" si="815"/>
        <v>279.77890000000002</v>
      </c>
      <c r="AH72" s="120">
        <f t="shared" si="815"/>
        <v>0</v>
      </c>
      <c r="AI72" s="120">
        <f t="shared" si="815"/>
        <v>0</v>
      </c>
      <c r="AJ72" s="120">
        <f t="shared" si="816"/>
        <v>0</v>
      </c>
      <c r="AK72" s="120">
        <f t="shared" si="816"/>
        <v>0</v>
      </c>
      <c r="AL72" s="120">
        <f t="shared" si="816"/>
        <v>0</v>
      </c>
      <c r="AM72" s="120">
        <f t="shared" si="816"/>
        <v>342.05269999999996</v>
      </c>
      <c r="AN72" s="120">
        <f t="shared" si="816"/>
        <v>0</v>
      </c>
      <c r="AO72" s="120">
        <f t="shared" si="816"/>
        <v>0</v>
      </c>
      <c r="AP72" s="120">
        <f t="shared" si="816"/>
        <v>0</v>
      </c>
      <c r="AQ72" s="120">
        <f t="shared" si="816"/>
        <v>0</v>
      </c>
      <c r="AR72" s="120">
        <f t="shared" si="816"/>
        <v>0</v>
      </c>
      <c r="AS72" s="120">
        <f t="shared" si="816"/>
        <v>288.17226700000003</v>
      </c>
      <c r="AT72" s="120">
        <f t="shared" si="817"/>
        <v>0</v>
      </c>
      <c r="AU72" s="120">
        <f t="shared" si="817"/>
        <v>0</v>
      </c>
      <c r="AV72" s="120">
        <f t="shared" si="817"/>
        <v>0</v>
      </c>
      <c r="AW72" s="120">
        <f t="shared" si="817"/>
        <v>0</v>
      </c>
      <c r="AX72" s="120">
        <f t="shared" si="817"/>
        <v>0</v>
      </c>
      <c r="AY72" s="120">
        <f t="shared" si="817"/>
        <v>352.31428099999999</v>
      </c>
      <c r="AZ72" s="120">
        <f t="shared" si="817"/>
        <v>0</v>
      </c>
      <c r="BA72" s="120">
        <f t="shared" si="817"/>
        <v>0</v>
      </c>
      <c r="BB72" s="120">
        <f t="shared" si="817"/>
        <v>0</v>
      </c>
      <c r="BC72" s="120">
        <f t="shared" si="817"/>
        <v>0</v>
      </c>
      <c r="BD72" s="120">
        <f t="shared" si="818"/>
        <v>0</v>
      </c>
      <c r="BE72" s="120">
        <f t="shared" si="818"/>
        <v>296.81743501000005</v>
      </c>
      <c r="BF72" s="120">
        <f t="shared" si="818"/>
        <v>0</v>
      </c>
      <c r="BG72" s="120">
        <f t="shared" si="818"/>
        <v>0</v>
      </c>
      <c r="BH72" s="120">
        <f t="shared" si="818"/>
        <v>0</v>
      </c>
      <c r="BI72" s="120">
        <f t="shared" si="818"/>
        <v>0</v>
      </c>
      <c r="BJ72" s="120">
        <f t="shared" si="818"/>
        <v>0</v>
      </c>
      <c r="BK72" s="120">
        <f t="shared" si="818"/>
        <v>362.88370943000001</v>
      </c>
      <c r="BL72" s="120">
        <f t="shared" si="818"/>
        <v>0</v>
      </c>
      <c r="BM72" s="120">
        <f t="shared" si="818"/>
        <v>0</v>
      </c>
      <c r="BN72" s="120">
        <f t="shared" si="819"/>
        <v>0</v>
      </c>
      <c r="BO72" s="120">
        <f t="shared" si="819"/>
        <v>0</v>
      </c>
      <c r="BP72" s="120">
        <f t="shared" si="819"/>
        <v>0</v>
      </c>
      <c r="BQ72" s="120">
        <f t="shared" si="819"/>
        <v>305.72195806030004</v>
      </c>
      <c r="BR72" s="120">
        <f t="shared" si="819"/>
        <v>0</v>
      </c>
      <c r="BS72" s="120">
        <f t="shared" si="819"/>
        <v>0</v>
      </c>
      <c r="BT72" s="120">
        <f t="shared" si="819"/>
        <v>0</v>
      </c>
      <c r="BU72" s="120">
        <f t="shared" si="819"/>
        <v>0</v>
      </c>
      <c r="BV72" s="120">
        <f t="shared" si="819"/>
        <v>0</v>
      </c>
      <c r="BW72" s="120">
        <f t="shared" si="819"/>
        <v>373.77022071290003</v>
      </c>
      <c r="BX72" s="120">
        <f t="shared" si="820"/>
        <v>0</v>
      </c>
      <c r="BY72" s="8"/>
      <c r="BZ72" s="72">
        <f t="shared" si="502"/>
        <v>332.09</v>
      </c>
      <c r="CA72" s="72">
        <f t="shared" si="503"/>
        <v>603.72</v>
      </c>
      <c r="CB72" s="97"/>
      <c r="CC72" s="72">
        <f t="shared" si="821"/>
        <v>0</v>
      </c>
      <c r="CD72" s="72">
        <f t="shared" si="821"/>
        <v>0</v>
      </c>
      <c r="CE72" s="72">
        <f t="shared" si="821"/>
        <v>225</v>
      </c>
      <c r="CF72" s="72">
        <f t="shared" si="821"/>
        <v>603.72</v>
      </c>
      <c r="CG72" s="72">
        <f t="shared" si="821"/>
        <v>621.83159999999998</v>
      </c>
      <c r="CH72" s="72">
        <f t="shared" si="821"/>
        <v>640.48654800000008</v>
      </c>
      <c r="CI72" s="72">
        <f t="shared" si="821"/>
        <v>659.70114444000001</v>
      </c>
      <c r="CJ72" s="72">
        <f t="shared" si="821"/>
        <v>679.49217877320007</v>
      </c>
      <c r="CL72" s="13"/>
      <c r="CM72" s="13"/>
    </row>
    <row r="73" spans="1:92" x14ac:dyDescent="0.3">
      <c r="A73" s="97" t="str">
        <f>'DCS Detail'!A73</f>
        <v xml:space="preserve">         734.1 Classroom Computers &amp; Equipment</v>
      </c>
      <c r="B73" s="106" t="str">
        <f>IF('DCS Detail'!$B73="","",'DCS Detail'!$B73)</f>
        <v>Computers</v>
      </c>
      <c r="C73" s="139"/>
      <c r="D73" s="139"/>
      <c r="E73" s="121">
        <v>0</v>
      </c>
      <c r="F73" s="121">
        <v>0</v>
      </c>
      <c r="G73" s="121">
        <v>0</v>
      </c>
      <c r="H73" s="121">
        <v>0</v>
      </c>
      <c r="I73" s="121">
        <v>0</v>
      </c>
      <c r="J73" s="140">
        <v>31.23</v>
      </c>
      <c r="K73" s="121">
        <v>182.77</v>
      </c>
      <c r="L73" s="121">
        <v>158.39999999999998</v>
      </c>
      <c r="M73" s="121">
        <v>0</v>
      </c>
      <c r="N73" s="121">
        <v>166.32</v>
      </c>
      <c r="O73" s="121">
        <v>0</v>
      </c>
      <c r="P73" s="121">
        <v>9044.84</v>
      </c>
      <c r="Q73" s="121">
        <v>57.2</v>
      </c>
      <c r="R73" s="121">
        <v>0</v>
      </c>
      <c r="S73" s="121">
        <v>523.57000000000005</v>
      </c>
      <c r="T73" s="121">
        <v>354.64</v>
      </c>
      <c r="U73" s="121">
        <v>794.64</v>
      </c>
      <c r="V73" s="121">
        <v>0</v>
      </c>
      <c r="W73" s="121">
        <v>0</v>
      </c>
      <c r="X73" s="121">
        <v>0</v>
      </c>
      <c r="Y73" s="121">
        <v>0</v>
      </c>
      <c r="Z73" s="121">
        <v>0</v>
      </c>
      <c r="AA73" s="121">
        <v>0</v>
      </c>
      <c r="AB73" s="408">
        <v>0</v>
      </c>
      <c r="AC73" s="144">
        <f>Q73*(1+AC$263)</f>
        <v>58.916000000000004</v>
      </c>
      <c r="AD73" s="144">
        <f>R73*(1+AD$263)</f>
        <v>0</v>
      </c>
      <c r="AE73" s="408">
        <v>5000</v>
      </c>
      <c r="AF73" s="144">
        <f t="shared" ref="AF73:BX73" si="822">T73*(1+AF$263)</f>
        <v>365.2792</v>
      </c>
      <c r="AG73" s="144">
        <f t="shared" si="822"/>
        <v>818.47919999999999</v>
      </c>
      <c r="AH73" s="144">
        <f t="shared" si="822"/>
        <v>0</v>
      </c>
      <c r="AI73" s="144">
        <f t="shared" si="822"/>
        <v>0</v>
      </c>
      <c r="AJ73" s="144">
        <f t="shared" si="822"/>
        <v>0</v>
      </c>
      <c r="AK73" s="144">
        <f t="shared" si="822"/>
        <v>0</v>
      </c>
      <c r="AL73" s="144">
        <f t="shared" si="822"/>
        <v>0</v>
      </c>
      <c r="AM73" s="144">
        <f t="shared" si="822"/>
        <v>0</v>
      </c>
      <c r="AN73" s="144">
        <f t="shared" si="822"/>
        <v>0</v>
      </c>
      <c r="AO73" s="144">
        <f t="shared" si="822"/>
        <v>60.683480000000003</v>
      </c>
      <c r="AP73" s="144">
        <f t="shared" si="822"/>
        <v>0</v>
      </c>
      <c r="AQ73" s="144">
        <f t="shared" si="822"/>
        <v>5150</v>
      </c>
      <c r="AR73" s="144">
        <f t="shared" si="822"/>
        <v>376.23757599999999</v>
      </c>
      <c r="AS73" s="144">
        <f t="shared" si="822"/>
        <v>843.03357600000004</v>
      </c>
      <c r="AT73" s="144">
        <f t="shared" si="822"/>
        <v>0</v>
      </c>
      <c r="AU73" s="144">
        <f t="shared" si="822"/>
        <v>0</v>
      </c>
      <c r="AV73" s="144">
        <f t="shared" si="822"/>
        <v>0</v>
      </c>
      <c r="AW73" s="144">
        <f t="shared" si="822"/>
        <v>0</v>
      </c>
      <c r="AX73" s="144">
        <f t="shared" si="822"/>
        <v>0</v>
      </c>
      <c r="AY73" s="144">
        <f t="shared" si="822"/>
        <v>0</v>
      </c>
      <c r="AZ73" s="144">
        <f t="shared" si="822"/>
        <v>0</v>
      </c>
      <c r="BA73" s="144">
        <f t="shared" si="822"/>
        <v>62.503984400000007</v>
      </c>
      <c r="BB73" s="144">
        <f t="shared" si="822"/>
        <v>0</v>
      </c>
      <c r="BC73" s="144">
        <f t="shared" si="822"/>
        <v>5304.5</v>
      </c>
      <c r="BD73" s="144">
        <f t="shared" si="822"/>
        <v>387.52470327999998</v>
      </c>
      <c r="BE73" s="144">
        <f t="shared" si="822"/>
        <v>868.32458328000007</v>
      </c>
      <c r="BF73" s="144">
        <f t="shared" si="822"/>
        <v>0</v>
      </c>
      <c r="BG73" s="144">
        <f t="shared" si="822"/>
        <v>0</v>
      </c>
      <c r="BH73" s="144">
        <f t="shared" si="822"/>
        <v>0</v>
      </c>
      <c r="BI73" s="144">
        <f t="shared" si="822"/>
        <v>0</v>
      </c>
      <c r="BJ73" s="144">
        <f t="shared" si="822"/>
        <v>0</v>
      </c>
      <c r="BK73" s="144">
        <f t="shared" si="822"/>
        <v>0</v>
      </c>
      <c r="BL73" s="144">
        <f t="shared" si="822"/>
        <v>0</v>
      </c>
      <c r="BM73" s="144">
        <f t="shared" si="822"/>
        <v>64.379103932000007</v>
      </c>
      <c r="BN73" s="144">
        <f t="shared" si="822"/>
        <v>0</v>
      </c>
      <c r="BO73" s="144">
        <f t="shared" si="822"/>
        <v>5463.6350000000002</v>
      </c>
      <c r="BP73" s="144">
        <f t="shared" si="822"/>
        <v>399.15044437839998</v>
      </c>
      <c r="BQ73" s="144">
        <f t="shared" si="822"/>
        <v>894.37432077840015</v>
      </c>
      <c r="BR73" s="144">
        <f t="shared" si="822"/>
        <v>0</v>
      </c>
      <c r="BS73" s="144">
        <f t="shared" si="822"/>
        <v>0</v>
      </c>
      <c r="BT73" s="144">
        <f t="shared" si="822"/>
        <v>0</v>
      </c>
      <c r="BU73" s="144">
        <f t="shared" si="822"/>
        <v>0</v>
      </c>
      <c r="BV73" s="144">
        <f t="shared" si="822"/>
        <v>0</v>
      </c>
      <c r="BW73" s="144">
        <f t="shared" si="822"/>
        <v>0</v>
      </c>
      <c r="BX73" s="144">
        <f t="shared" si="822"/>
        <v>0</v>
      </c>
      <c r="BY73" s="8"/>
      <c r="BZ73" s="73">
        <f t="shared" si="502"/>
        <v>0</v>
      </c>
      <c r="CA73" s="73">
        <f t="shared" si="503"/>
        <v>1730.0500000000002</v>
      </c>
      <c r="CB73" s="97"/>
      <c r="CC73" s="73">
        <f t="shared" si="821"/>
        <v>0</v>
      </c>
      <c r="CD73" s="73">
        <f t="shared" si="821"/>
        <v>0</v>
      </c>
      <c r="CE73" s="73">
        <f t="shared" si="821"/>
        <v>9583.56</v>
      </c>
      <c r="CF73" s="73">
        <f t="shared" si="821"/>
        <v>1730.0500000000002</v>
      </c>
      <c r="CG73" s="73">
        <f t="shared" si="821"/>
        <v>6242.6743999999999</v>
      </c>
      <c r="CH73" s="73">
        <f t="shared" si="821"/>
        <v>6429.954631999999</v>
      </c>
      <c r="CI73" s="73">
        <f t="shared" si="821"/>
        <v>6622.8532709600004</v>
      </c>
      <c r="CJ73" s="73">
        <f t="shared" si="821"/>
        <v>6821.5388690888003</v>
      </c>
      <c r="CL73" s="13"/>
      <c r="CM73" s="13"/>
    </row>
    <row r="74" spans="1:92" x14ac:dyDescent="0.3">
      <c r="A74" s="97" t="str">
        <f>'DCS Detail'!A74</f>
        <v xml:space="preserve">      Total 1000 Instruction</v>
      </c>
      <c r="B74" s="106" t="str">
        <f>IF('DCS Detail'!$B74="","",'DCS Detail'!$B74)</f>
        <v/>
      </c>
      <c r="C74" s="36">
        <f>SUM(C55:C73)</f>
        <v>0</v>
      </c>
      <c r="D74" s="36">
        <f t="shared" ref="D74:AZ74" si="823">SUM(D55:D73)</f>
        <v>0</v>
      </c>
      <c r="E74" s="36">
        <f t="shared" si="823"/>
        <v>-21434.129999999997</v>
      </c>
      <c r="F74" s="36">
        <f t="shared" si="823"/>
        <v>23856.32</v>
      </c>
      <c r="G74" s="36">
        <f t="shared" si="823"/>
        <v>34806.35</v>
      </c>
      <c r="H74" s="36">
        <f t="shared" si="823"/>
        <v>30956.932999999997</v>
      </c>
      <c r="I74" s="36">
        <f t="shared" si="823"/>
        <v>28216.39</v>
      </c>
      <c r="J74" s="36">
        <f t="shared" si="823"/>
        <v>31100.6338</v>
      </c>
      <c r="K74" s="36">
        <f t="shared" si="823"/>
        <v>28043.596000000001</v>
      </c>
      <c r="L74" s="36">
        <f t="shared" si="823"/>
        <v>28092.577200000007</v>
      </c>
      <c r="M74" s="36">
        <f t="shared" si="823"/>
        <v>28102.659999999996</v>
      </c>
      <c r="N74" s="36">
        <f t="shared" si="823"/>
        <v>27102.48</v>
      </c>
      <c r="O74" s="36">
        <f t="shared" si="823"/>
        <v>28346.750000000004</v>
      </c>
      <c r="P74" s="36">
        <f t="shared" si="823"/>
        <v>75864.56</v>
      </c>
      <c r="Q74" s="36">
        <f t="shared" si="823"/>
        <v>2802.4399999999996</v>
      </c>
      <c r="R74" s="36">
        <f t="shared" ref="R74:S74" si="824">SUM(R55:R73)</f>
        <v>33030.46</v>
      </c>
      <c r="S74" s="36">
        <f t="shared" si="824"/>
        <v>44937.5</v>
      </c>
      <c r="T74" s="36">
        <f t="shared" ref="T74:U74" si="825">SUM(T55:T73)</f>
        <v>27761.199999999997</v>
      </c>
      <c r="U74" s="36">
        <f t="shared" si="825"/>
        <v>27309.07</v>
      </c>
      <c r="V74" s="36">
        <f t="shared" ref="V74:W74" si="826">SUM(V55:V73)</f>
        <v>28580.629999999997</v>
      </c>
      <c r="W74" s="36">
        <f t="shared" si="826"/>
        <v>27301.94</v>
      </c>
      <c r="X74" s="36">
        <f t="shared" si="823"/>
        <v>36865.479999999996</v>
      </c>
      <c r="Y74" s="36">
        <f t="shared" si="823"/>
        <v>18292.38</v>
      </c>
      <c r="Z74" s="36">
        <f t="shared" si="823"/>
        <v>42122.460000000014</v>
      </c>
      <c r="AA74" s="36">
        <f t="shared" si="823"/>
        <v>33553</v>
      </c>
      <c r="AB74" s="36">
        <f t="shared" si="823"/>
        <v>56572.679421354005</v>
      </c>
      <c r="AC74" s="36">
        <f t="shared" si="823"/>
        <v>1202.8545999999999</v>
      </c>
      <c r="AD74" s="36">
        <f t="shared" si="823"/>
        <v>31897.453110940583</v>
      </c>
      <c r="AE74" s="36">
        <f t="shared" si="823"/>
        <v>49275.210084093917</v>
      </c>
      <c r="AF74" s="36">
        <f t="shared" si="823"/>
        <v>29841.495365738603</v>
      </c>
      <c r="AG74" s="36">
        <f t="shared" si="823"/>
        <v>29665.084529414162</v>
      </c>
      <c r="AH74" s="36">
        <f t="shared" si="823"/>
        <v>28058.248219284142</v>
      </c>
      <c r="AI74" s="36">
        <f t="shared" si="823"/>
        <v>28312.172032975057</v>
      </c>
      <c r="AJ74" s="36">
        <f t="shared" si="823"/>
        <v>28373.790040407745</v>
      </c>
      <c r="AK74" s="36">
        <f t="shared" si="823"/>
        <v>28383.111540407743</v>
      </c>
      <c r="AL74" s="36">
        <f t="shared" si="823"/>
        <v>28339.492201760197</v>
      </c>
      <c r="AM74" s="36">
        <f t="shared" si="823"/>
        <v>28967.959832855373</v>
      </c>
      <c r="AN74" s="36">
        <f t="shared" si="823"/>
        <v>56565.366660315543</v>
      </c>
      <c r="AO74" s="36">
        <f t="shared" si="823"/>
        <v>1238.9402380000001</v>
      </c>
      <c r="AP74" s="36">
        <f t="shared" si="823"/>
        <v>32812.849124266184</v>
      </c>
      <c r="AQ74" s="36">
        <f t="shared" si="823"/>
        <v>50745.328896646257</v>
      </c>
      <c r="AR74" s="36">
        <f t="shared" si="823"/>
        <v>30764.460234346858</v>
      </c>
      <c r="AS74" s="36">
        <f t="shared" si="823"/>
        <v>30603.272997714543</v>
      </c>
      <c r="AT74" s="36">
        <f t="shared" si="823"/>
        <v>28858.854413886107</v>
      </c>
      <c r="AU74" s="36">
        <f t="shared" si="823"/>
        <v>29155.441660360942</v>
      </c>
      <c r="AV74" s="36">
        <f t="shared" si="823"/>
        <v>29221.512755703483</v>
      </c>
      <c r="AW74" s="36">
        <f t="shared" si="823"/>
        <v>29231.113900703487</v>
      </c>
      <c r="AX74" s="36">
        <f t="shared" si="823"/>
        <v>29191.619781051668</v>
      </c>
      <c r="AY74" s="36">
        <f t="shared" si="823"/>
        <v>29840.381484395297</v>
      </c>
      <c r="AZ74" s="36">
        <f t="shared" si="823"/>
        <v>58262.139901495859</v>
      </c>
      <c r="BA74" s="36">
        <f t="shared" ref="BA74:BX74" si="827">SUM(BA55:BA73)</f>
        <v>1276.1084451400002</v>
      </c>
      <c r="BB74" s="36">
        <f t="shared" si="827"/>
        <v>37501.855763525651</v>
      </c>
      <c r="BC74" s="36">
        <f t="shared" si="827"/>
        <v>55973.035502315455</v>
      </c>
      <c r="BD74" s="36">
        <f t="shared" si="827"/>
        <v>35393.185999422218</v>
      </c>
      <c r="BE74" s="36">
        <f t="shared" si="827"/>
        <v>35227.669772587331</v>
      </c>
      <c r="BF74" s="36">
        <f t="shared" si="827"/>
        <v>33430.709834332163</v>
      </c>
      <c r="BG74" s="36">
        <f t="shared" si="827"/>
        <v>33735.750509557183</v>
      </c>
      <c r="BH74" s="36">
        <f t="shared" si="827"/>
        <v>33803.790444158331</v>
      </c>
      <c r="BI74" s="36">
        <f t="shared" si="827"/>
        <v>33813.679623508331</v>
      </c>
      <c r="BJ74" s="36">
        <f t="shared" si="827"/>
        <v>33773.145128874428</v>
      </c>
      <c r="BK74" s="36">
        <f t="shared" si="827"/>
        <v>34441.43111412142</v>
      </c>
      <c r="BL74" s="36">
        <f t="shared" si="827"/>
        <v>67421.69367668622</v>
      </c>
      <c r="BM74" s="36">
        <f t="shared" si="827"/>
        <v>1314.3916984942002</v>
      </c>
      <c r="BN74" s="36">
        <f t="shared" si="827"/>
        <v>38626.865643788376</v>
      </c>
      <c r="BO74" s="36">
        <f t="shared" si="827"/>
        <v>57652.196704873575</v>
      </c>
      <c r="BP74" s="36">
        <f t="shared" si="827"/>
        <v>36454.971836567485</v>
      </c>
      <c r="BQ74" s="36">
        <f t="shared" si="827"/>
        <v>36284.512484241255</v>
      </c>
      <c r="BR74" s="36">
        <f t="shared" si="827"/>
        <v>34433.6465858175</v>
      </c>
      <c r="BS74" s="36">
        <f t="shared" si="827"/>
        <v>34747.832462016253</v>
      </c>
      <c r="BT74" s="36">
        <f t="shared" si="827"/>
        <v>34817.896176501788</v>
      </c>
      <c r="BU74" s="36">
        <f t="shared" si="827"/>
        <v>34828.082031232283</v>
      </c>
      <c r="BV74" s="36">
        <f t="shared" si="827"/>
        <v>34786.336903425319</v>
      </c>
      <c r="BW74" s="36">
        <f t="shared" si="827"/>
        <v>35474.675365829164</v>
      </c>
      <c r="BX74" s="36">
        <f t="shared" si="827"/>
        <v>69444.35028387545</v>
      </c>
      <c r="BY74" s="8"/>
      <c r="BZ74" s="72">
        <f t="shared" si="502"/>
        <v>33553</v>
      </c>
      <c r="CA74" s="72">
        <f t="shared" si="503"/>
        <v>322556.56</v>
      </c>
      <c r="CB74" s="97"/>
      <c r="CC74" s="72">
        <f t="shared" si="821"/>
        <v>0</v>
      </c>
      <c r="CD74" s="72">
        <f t="shared" si="821"/>
        <v>0</v>
      </c>
      <c r="CE74" s="72">
        <f t="shared" si="821"/>
        <v>343055.12</v>
      </c>
      <c r="CF74" s="72">
        <f t="shared" si="821"/>
        <v>379129.23942135402</v>
      </c>
      <c r="CG74" s="72">
        <f t="shared" si="821"/>
        <v>368882.23821819306</v>
      </c>
      <c r="CH74" s="72">
        <f t="shared" si="821"/>
        <v>379925.91538857063</v>
      </c>
      <c r="CI74" s="72">
        <f t="shared" si="821"/>
        <v>435792.05581422872</v>
      </c>
      <c r="CJ74" s="72">
        <f t="shared" si="821"/>
        <v>448865.75817666261</v>
      </c>
      <c r="CL74" s="13"/>
      <c r="CM74" s="13"/>
    </row>
    <row r="75" spans="1:92" x14ac:dyDescent="0.3">
      <c r="A75" s="97" t="str">
        <f>'DCS Detail'!A75</f>
        <v xml:space="preserve">      2100 Support Services - Student</v>
      </c>
      <c r="B75" s="106" t="str">
        <f>IF('DCS Detail'!$B75="","",'DCS Detail'!$B75)</f>
        <v/>
      </c>
      <c r="C75" s="106"/>
      <c r="D75" s="106"/>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46">
        <v>0</v>
      </c>
      <c r="AB75" s="18">
        <v>0</v>
      </c>
      <c r="AC75" s="18">
        <v>0</v>
      </c>
      <c r="AD75" s="18">
        <v>0</v>
      </c>
      <c r="AE75" s="18">
        <v>0</v>
      </c>
      <c r="AF75" s="18">
        <v>0</v>
      </c>
      <c r="AG75" s="18">
        <v>0</v>
      </c>
      <c r="AH75" s="18">
        <v>0</v>
      </c>
      <c r="AI75" s="18">
        <v>0</v>
      </c>
      <c r="AJ75" s="18">
        <v>0</v>
      </c>
      <c r="AK75" s="18">
        <v>0</v>
      </c>
      <c r="AL75" s="18">
        <v>0</v>
      </c>
      <c r="AM75" s="18">
        <v>0</v>
      </c>
      <c r="AN75" s="18">
        <v>0</v>
      </c>
      <c r="AO75" s="18">
        <v>0</v>
      </c>
      <c r="AP75" s="18">
        <v>0</v>
      </c>
      <c r="AQ75" s="18">
        <v>0</v>
      </c>
      <c r="AR75" s="18">
        <v>0</v>
      </c>
      <c r="AS75" s="18">
        <v>0</v>
      </c>
      <c r="AT75" s="18">
        <v>0</v>
      </c>
      <c r="AU75" s="18">
        <v>0</v>
      </c>
      <c r="AV75" s="18">
        <v>0</v>
      </c>
      <c r="AW75" s="18">
        <v>0</v>
      </c>
      <c r="AX75" s="18">
        <v>0</v>
      </c>
      <c r="AY75" s="18">
        <v>0</v>
      </c>
      <c r="AZ75" s="18">
        <v>0</v>
      </c>
      <c r="BA75" s="18">
        <v>0</v>
      </c>
      <c r="BB75" s="18">
        <v>0</v>
      </c>
      <c r="BC75" s="18">
        <v>0</v>
      </c>
      <c r="BD75" s="18">
        <v>0</v>
      </c>
      <c r="BE75" s="18">
        <v>0</v>
      </c>
      <c r="BF75" s="18">
        <v>0</v>
      </c>
      <c r="BG75" s="18">
        <v>0</v>
      </c>
      <c r="BH75" s="18">
        <v>0</v>
      </c>
      <c r="BI75" s="18">
        <v>0</v>
      </c>
      <c r="BJ75" s="18">
        <v>0</v>
      </c>
      <c r="BK75" s="18">
        <v>0</v>
      </c>
      <c r="BL75" s="18">
        <v>0</v>
      </c>
      <c r="BM75" s="18">
        <v>0</v>
      </c>
      <c r="BN75" s="18">
        <v>0</v>
      </c>
      <c r="BO75" s="18">
        <v>0</v>
      </c>
      <c r="BP75" s="18">
        <v>0</v>
      </c>
      <c r="BQ75" s="18">
        <v>0</v>
      </c>
      <c r="BR75" s="18">
        <v>0</v>
      </c>
      <c r="BS75" s="18">
        <v>0</v>
      </c>
      <c r="BT75" s="18">
        <v>0</v>
      </c>
      <c r="BU75" s="18">
        <v>0</v>
      </c>
      <c r="BV75" s="18">
        <v>0</v>
      </c>
      <c r="BW75" s="18">
        <v>0</v>
      </c>
      <c r="BX75" s="18">
        <v>0</v>
      </c>
      <c r="BY75" s="8"/>
      <c r="BZ75" s="72">
        <f t="shared" si="502"/>
        <v>0</v>
      </c>
      <c r="CA75" s="72">
        <f t="shared" si="503"/>
        <v>0</v>
      </c>
      <c r="CB75" s="97"/>
      <c r="CC75" s="72">
        <f t="shared" si="821"/>
        <v>0</v>
      </c>
      <c r="CD75" s="72">
        <f t="shared" si="821"/>
        <v>0</v>
      </c>
      <c r="CE75" s="72">
        <f t="shared" si="821"/>
        <v>0</v>
      </c>
      <c r="CF75" s="72">
        <f t="shared" si="821"/>
        <v>0</v>
      </c>
      <c r="CG75" s="72">
        <f t="shared" si="821"/>
        <v>0</v>
      </c>
      <c r="CH75" s="72">
        <f t="shared" si="821"/>
        <v>0</v>
      </c>
      <c r="CI75" s="72">
        <f t="shared" si="821"/>
        <v>0</v>
      </c>
      <c r="CJ75" s="72">
        <f t="shared" si="821"/>
        <v>0</v>
      </c>
      <c r="CL75" s="13"/>
      <c r="CM75" s="13"/>
    </row>
    <row r="76" spans="1:92" x14ac:dyDescent="0.3">
      <c r="A76" s="97" t="str">
        <f>'DCS Detail'!A76</f>
        <v xml:space="preserve">         422.1 Janitorial Service</v>
      </c>
      <c r="B76" s="106" t="str">
        <f>IF('DCS Detail'!$B76="","",'DCS Detail'!$B76)</f>
        <v>Cleaning Serv.</v>
      </c>
      <c r="C76" s="106"/>
      <c r="D76" s="106"/>
      <c r="E76" s="18">
        <v>0</v>
      </c>
      <c r="F76" s="18">
        <v>250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46">
        <v>0</v>
      </c>
      <c r="AB76" s="120">
        <f t="shared" ref="AB76:AB84" si="828">P76*(1+AB$263)</f>
        <v>0</v>
      </c>
      <c r="AC76" s="120">
        <f t="shared" ref="AC76:AC84" si="829">Q76*(1+AC$263)</f>
        <v>0</v>
      </c>
      <c r="AD76" s="120">
        <f t="shared" ref="AD76:AD84" si="830">R76*(1+AD$263)</f>
        <v>0</v>
      </c>
      <c r="AE76" s="120">
        <f t="shared" ref="AE76:AE84" si="831">S76*(1+AE$263)</f>
        <v>0</v>
      </c>
      <c r="AF76" s="120">
        <f t="shared" ref="AF76:AF84" si="832">T76*(1+AF$263)</f>
        <v>0</v>
      </c>
      <c r="AG76" s="120">
        <f t="shared" ref="AG76:AG84" si="833">U76*(1+AG$263)</f>
        <v>0</v>
      </c>
      <c r="AH76" s="120">
        <f t="shared" ref="AH76:AH84" si="834">V76*(1+AH$263)</f>
        <v>0</v>
      </c>
      <c r="AI76" s="120">
        <f t="shared" ref="AI76:AI84" si="835">W76*(1+AI$263)</f>
        <v>0</v>
      </c>
      <c r="AJ76" s="120">
        <f t="shared" ref="AJ76:AJ84" si="836">X76*(1+AJ$263)</f>
        <v>0</v>
      </c>
      <c r="AK76" s="120">
        <f t="shared" ref="AK76:AK84" si="837">Y76*(1+AK$263)</f>
        <v>0</v>
      </c>
      <c r="AL76" s="120">
        <f t="shared" ref="AL76:AL84" si="838">Z76*(1+AL$263)</f>
        <v>0</v>
      </c>
      <c r="AM76" s="120">
        <f t="shared" ref="AM76:AM84" si="839">AA76*(1+AM$263)</f>
        <v>0</v>
      </c>
      <c r="AN76" s="120">
        <f t="shared" ref="AN76:AN84" si="840">AB76*(1+AN$263)</f>
        <v>0</v>
      </c>
      <c r="AO76" s="120">
        <f t="shared" ref="AO76:AO84" si="841">AC76*(1+AO$263)</f>
        <v>0</v>
      </c>
      <c r="AP76" s="120">
        <f t="shared" ref="AP76:AP84" si="842">AD76*(1+AP$263)</f>
        <v>0</v>
      </c>
      <c r="AQ76" s="120">
        <f t="shared" ref="AQ76:AQ84" si="843">AE76*(1+AQ$263)</f>
        <v>0</v>
      </c>
      <c r="AR76" s="120">
        <f t="shared" ref="AR76:AR84" si="844">AF76*(1+AR$263)</f>
        <v>0</v>
      </c>
      <c r="AS76" s="120">
        <f t="shared" ref="AS76:AS84" si="845">AG76*(1+AS$263)</f>
        <v>0</v>
      </c>
      <c r="AT76" s="120">
        <f t="shared" ref="AT76:AT84" si="846">AH76*(1+AT$263)</f>
        <v>0</v>
      </c>
      <c r="AU76" s="120">
        <f t="shared" ref="AU76:AU84" si="847">AI76*(1+AU$263)</f>
        <v>0</v>
      </c>
      <c r="AV76" s="120">
        <f t="shared" ref="AV76:AV84" si="848">AJ76*(1+AV$263)</f>
        <v>0</v>
      </c>
      <c r="AW76" s="120">
        <f t="shared" ref="AW76:AW84" si="849">AK76*(1+AW$263)</f>
        <v>0</v>
      </c>
      <c r="AX76" s="120">
        <f t="shared" ref="AX76:AX84" si="850">AL76*(1+AX$263)</f>
        <v>0</v>
      </c>
      <c r="AY76" s="120">
        <f t="shared" ref="AY76:AY84" si="851">AM76*(1+AY$263)</f>
        <v>0</v>
      </c>
      <c r="AZ76" s="120">
        <f t="shared" ref="AZ76:AZ84" si="852">AN76*(1+AZ$263)</f>
        <v>0</v>
      </c>
      <c r="BA76" s="120">
        <f t="shared" ref="BA76:BA84" si="853">AO76*(1+BA$263)</f>
        <v>0</v>
      </c>
      <c r="BB76" s="120">
        <f t="shared" ref="BB76:BB84" si="854">AP76*(1+BB$263)</f>
        <v>0</v>
      </c>
      <c r="BC76" s="120">
        <f t="shared" ref="BC76:BC84" si="855">AQ76*(1+BC$263)</f>
        <v>0</v>
      </c>
      <c r="BD76" s="120">
        <f t="shared" ref="BD76:BD84" si="856">AR76*(1+BD$263)</f>
        <v>0</v>
      </c>
      <c r="BE76" s="120">
        <f t="shared" ref="BE76:BE84" si="857">AS76*(1+BE$263)</f>
        <v>0</v>
      </c>
      <c r="BF76" s="120">
        <f t="shared" ref="BF76:BF84" si="858">AT76*(1+BF$263)</f>
        <v>0</v>
      </c>
      <c r="BG76" s="120">
        <f t="shared" ref="BG76:BG84" si="859">AU76*(1+BG$263)</f>
        <v>0</v>
      </c>
      <c r="BH76" s="120">
        <f t="shared" ref="BH76:BH84" si="860">AV76*(1+BH$263)</f>
        <v>0</v>
      </c>
      <c r="BI76" s="120">
        <f t="shared" ref="BI76:BI84" si="861">AW76*(1+BI$263)</f>
        <v>0</v>
      </c>
      <c r="BJ76" s="120">
        <f t="shared" ref="BJ76:BJ84" si="862">AX76*(1+BJ$263)</f>
        <v>0</v>
      </c>
      <c r="BK76" s="120">
        <f t="shared" ref="BK76:BK84" si="863">AY76*(1+BK$263)</f>
        <v>0</v>
      </c>
      <c r="BL76" s="120">
        <f t="shared" ref="BL76:BL84" si="864">AZ76*(1+BL$263)</f>
        <v>0</v>
      </c>
      <c r="BM76" s="120">
        <f t="shared" ref="BM76:BM84" si="865">BA76*(1+BM$263)</f>
        <v>0</v>
      </c>
      <c r="BN76" s="120">
        <f t="shared" ref="BN76:BN84" si="866">BB76*(1+BN$263)</f>
        <v>0</v>
      </c>
      <c r="BO76" s="120">
        <f t="shared" ref="BO76:BO84" si="867">BC76*(1+BO$263)</f>
        <v>0</v>
      </c>
      <c r="BP76" s="120">
        <f t="shared" ref="BP76:BP84" si="868">BD76*(1+BP$263)</f>
        <v>0</v>
      </c>
      <c r="BQ76" s="120">
        <f t="shared" ref="BQ76:BQ84" si="869">BE76*(1+BQ$263)</f>
        <v>0</v>
      </c>
      <c r="BR76" s="120">
        <f t="shared" ref="BR76:BR84" si="870">BF76*(1+BR$263)</f>
        <v>0</v>
      </c>
      <c r="BS76" s="120">
        <f t="shared" ref="BS76:BS84" si="871">BG76*(1+BS$263)</f>
        <v>0</v>
      </c>
      <c r="BT76" s="120">
        <f t="shared" ref="BT76:BT84" si="872">BH76*(1+BT$263)</f>
        <v>0</v>
      </c>
      <c r="BU76" s="120">
        <f t="shared" ref="BU76:BU84" si="873">BI76*(1+BU$263)</f>
        <v>0</v>
      </c>
      <c r="BV76" s="120">
        <f t="shared" ref="BV76:BV84" si="874">BJ76*(1+BV$263)</f>
        <v>0</v>
      </c>
      <c r="BW76" s="120">
        <f t="shared" ref="BW76:BW84" si="875">BK76*(1+BW$263)</f>
        <v>0</v>
      </c>
      <c r="BX76" s="120">
        <f t="shared" ref="BX76:BX84" si="876">BL76*(1+BX$263)</f>
        <v>0</v>
      </c>
      <c r="BY76" s="8"/>
      <c r="BZ76" s="72">
        <f t="shared" si="502"/>
        <v>0</v>
      </c>
      <c r="CA76" s="72">
        <f t="shared" si="503"/>
        <v>0</v>
      </c>
      <c r="CB76" s="97"/>
      <c r="CC76" s="72">
        <f t="shared" si="821"/>
        <v>0</v>
      </c>
      <c r="CD76" s="72">
        <f t="shared" si="821"/>
        <v>0</v>
      </c>
      <c r="CE76" s="72">
        <f t="shared" si="821"/>
        <v>250</v>
      </c>
      <c r="CF76" s="72">
        <f t="shared" si="821"/>
        <v>0</v>
      </c>
      <c r="CG76" s="72">
        <f t="shared" si="821"/>
        <v>0</v>
      </c>
      <c r="CH76" s="72">
        <f t="shared" si="821"/>
        <v>0</v>
      </c>
      <c r="CI76" s="72">
        <f t="shared" si="821"/>
        <v>0</v>
      </c>
      <c r="CJ76" s="72">
        <f t="shared" si="821"/>
        <v>0</v>
      </c>
      <c r="CL76" s="13"/>
      <c r="CM76" s="13"/>
    </row>
    <row r="77" spans="1:92" x14ac:dyDescent="0.3">
      <c r="A77" s="97" t="str">
        <f>'DCS Detail'!A77</f>
        <v xml:space="preserve">         531.1 Postage</v>
      </c>
      <c r="B77" s="106" t="str">
        <f>IF('DCS Detail'!$B77="","",'DCS Detail'!$B77)</f>
        <v>Supplies</v>
      </c>
      <c r="C77" s="106"/>
      <c r="D77" s="106"/>
      <c r="E77" s="18">
        <v>0</v>
      </c>
      <c r="F77" s="18">
        <v>0</v>
      </c>
      <c r="G77" s="18">
        <v>7.79</v>
      </c>
      <c r="H77" s="18">
        <v>0</v>
      </c>
      <c r="I77" s="18">
        <v>0</v>
      </c>
      <c r="J77" s="18">
        <v>0</v>
      </c>
      <c r="K77" s="18">
        <v>5.72</v>
      </c>
      <c r="L77" s="18">
        <v>0</v>
      </c>
      <c r="M77" s="18">
        <v>0</v>
      </c>
      <c r="N77" s="18">
        <v>0</v>
      </c>
      <c r="O77" s="18">
        <v>0</v>
      </c>
      <c r="P77" s="18">
        <v>1.28</v>
      </c>
      <c r="Q77" s="18">
        <v>0</v>
      </c>
      <c r="R77" s="18">
        <v>0</v>
      </c>
      <c r="S77" s="18">
        <v>0</v>
      </c>
      <c r="T77" s="18">
        <v>0</v>
      </c>
      <c r="U77" s="18">
        <v>0</v>
      </c>
      <c r="V77" s="18">
        <v>0</v>
      </c>
      <c r="W77" s="18">
        <v>0</v>
      </c>
      <c r="X77" s="18">
        <v>0</v>
      </c>
      <c r="Y77" s="18">
        <v>0</v>
      </c>
      <c r="Z77" s="18">
        <v>0</v>
      </c>
      <c r="AA77" s="146">
        <v>0</v>
      </c>
      <c r="AB77" s="120">
        <f t="shared" si="828"/>
        <v>1.3184</v>
      </c>
      <c r="AC77" s="120">
        <f t="shared" si="829"/>
        <v>0</v>
      </c>
      <c r="AD77" s="120">
        <f t="shared" si="830"/>
        <v>0</v>
      </c>
      <c r="AE77" s="120">
        <f t="shared" si="831"/>
        <v>0</v>
      </c>
      <c r="AF77" s="120">
        <f t="shared" si="832"/>
        <v>0</v>
      </c>
      <c r="AG77" s="120">
        <f t="shared" si="833"/>
        <v>0</v>
      </c>
      <c r="AH77" s="120">
        <f t="shared" si="834"/>
        <v>0</v>
      </c>
      <c r="AI77" s="120">
        <f t="shared" si="835"/>
        <v>0</v>
      </c>
      <c r="AJ77" s="120">
        <f t="shared" si="836"/>
        <v>0</v>
      </c>
      <c r="AK77" s="120">
        <f t="shared" si="837"/>
        <v>0</v>
      </c>
      <c r="AL77" s="120">
        <f t="shared" si="838"/>
        <v>0</v>
      </c>
      <c r="AM77" s="120">
        <f t="shared" si="839"/>
        <v>0</v>
      </c>
      <c r="AN77" s="120">
        <f t="shared" si="840"/>
        <v>1.357952</v>
      </c>
      <c r="AO77" s="120">
        <f t="shared" si="841"/>
        <v>0</v>
      </c>
      <c r="AP77" s="120">
        <f t="shared" si="842"/>
        <v>0</v>
      </c>
      <c r="AQ77" s="120">
        <f t="shared" si="843"/>
        <v>0</v>
      </c>
      <c r="AR77" s="120">
        <f t="shared" si="844"/>
        <v>0</v>
      </c>
      <c r="AS77" s="120">
        <f t="shared" si="845"/>
        <v>0</v>
      </c>
      <c r="AT77" s="120">
        <f t="shared" si="846"/>
        <v>0</v>
      </c>
      <c r="AU77" s="120">
        <f t="shared" si="847"/>
        <v>0</v>
      </c>
      <c r="AV77" s="120">
        <f t="shared" si="848"/>
        <v>0</v>
      </c>
      <c r="AW77" s="120">
        <f t="shared" si="849"/>
        <v>0</v>
      </c>
      <c r="AX77" s="120">
        <f t="shared" si="850"/>
        <v>0</v>
      </c>
      <c r="AY77" s="120">
        <f t="shared" si="851"/>
        <v>0</v>
      </c>
      <c r="AZ77" s="120">
        <f t="shared" si="852"/>
        <v>1.3986905600000001</v>
      </c>
      <c r="BA77" s="120">
        <f t="shared" si="853"/>
        <v>0</v>
      </c>
      <c r="BB77" s="120">
        <f t="shared" si="854"/>
        <v>0</v>
      </c>
      <c r="BC77" s="120">
        <f t="shared" si="855"/>
        <v>0</v>
      </c>
      <c r="BD77" s="120">
        <f t="shared" si="856"/>
        <v>0</v>
      </c>
      <c r="BE77" s="120">
        <f t="shared" si="857"/>
        <v>0</v>
      </c>
      <c r="BF77" s="120">
        <f t="shared" si="858"/>
        <v>0</v>
      </c>
      <c r="BG77" s="120">
        <f t="shared" si="859"/>
        <v>0</v>
      </c>
      <c r="BH77" s="120">
        <f t="shared" si="860"/>
        <v>0</v>
      </c>
      <c r="BI77" s="120">
        <f t="shared" si="861"/>
        <v>0</v>
      </c>
      <c r="BJ77" s="120">
        <f t="shared" si="862"/>
        <v>0</v>
      </c>
      <c r="BK77" s="120">
        <f t="shared" si="863"/>
        <v>0</v>
      </c>
      <c r="BL77" s="120">
        <f t="shared" si="864"/>
        <v>1.4406512768000002</v>
      </c>
      <c r="BM77" s="120">
        <f t="shared" si="865"/>
        <v>0</v>
      </c>
      <c r="BN77" s="120">
        <f t="shared" si="866"/>
        <v>0</v>
      </c>
      <c r="BO77" s="120">
        <f t="shared" si="867"/>
        <v>0</v>
      </c>
      <c r="BP77" s="120">
        <f t="shared" si="868"/>
        <v>0</v>
      </c>
      <c r="BQ77" s="120">
        <f t="shared" si="869"/>
        <v>0</v>
      </c>
      <c r="BR77" s="120">
        <f t="shared" si="870"/>
        <v>0</v>
      </c>
      <c r="BS77" s="120">
        <f t="shared" si="871"/>
        <v>0</v>
      </c>
      <c r="BT77" s="120">
        <f t="shared" si="872"/>
        <v>0</v>
      </c>
      <c r="BU77" s="120">
        <f t="shared" si="873"/>
        <v>0</v>
      </c>
      <c r="BV77" s="120">
        <f t="shared" si="874"/>
        <v>0</v>
      </c>
      <c r="BW77" s="120">
        <f t="shared" si="875"/>
        <v>0</v>
      </c>
      <c r="BX77" s="120">
        <f t="shared" si="876"/>
        <v>1.4838708151040001</v>
      </c>
      <c r="BY77" s="8"/>
      <c r="BZ77" s="72">
        <f t="shared" si="502"/>
        <v>0</v>
      </c>
      <c r="CA77" s="72">
        <f t="shared" si="503"/>
        <v>0</v>
      </c>
      <c r="CB77" s="97"/>
      <c r="CC77" s="72">
        <f t="shared" si="821"/>
        <v>0</v>
      </c>
      <c r="CD77" s="72">
        <f t="shared" si="821"/>
        <v>0</v>
      </c>
      <c r="CE77" s="72">
        <f t="shared" si="821"/>
        <v>14.79</v>
      </c>
      <c r="CF77" s="72">
        <f t="shared" si="821"/>
        <v>1.3184</v>
      </c>
      <c r="CG77" s="72">
        <f t="shared" si="821"/>
        <v>1.357952</v>
      </c>
      <c r="CH77" s="72">
        <f t="shared" si="821"/>
        <v>1.3986905600000001</v>
      </c>
      <c r="CI77" s="72">
        <f t="shared" si="821"/>
        <v>1.4406512768000002</v>
      </c>
      <c r="CJ77" s="72">
        <f t="shared" si="821"/>
        <v>1.4838708151040001</v>
      </c>
      <c r="CL77" s="13"/>
      <c r="CM77" s="13"/>
    </row>
    <row r="78" spans="1:92" x14ac:dyDescent="0.3">
      <c r="A78" s="97" t="str">
        <f>'DCS Detail'!A78</f>
        <v xml:space="preserve">         610.2 Supplies</v>
      </c>
      <c r="B78" s="106" t="str">
        <f>IF('DCS Detail'!$B78="","",'DCS Detail'!$B78)</f>
        <v>Supplies</v>
      </c>
      <c r="C78" s="106"/>
      <c r="D78" s="106"/>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46">
        <v>0</v>
      </c>
      <c r="AB78" s="120">
        <f t="shared" si="828"/>
        <v>0</v>
      </c>
      <c r="AC78" s="120">
        <f t="shared" si="829"/>
        <v>0</v>
      </c>
      <c r="AD78" s="120">
        <f t="shared" si="830"/>
        <v>0</v>
      </c>
      <c r="AE78" s="120">
        <f t="shared" si="831"/>
        <v>0</v>
      </c>
      <c r="AF78" s="120">
        <f t="shared" si="832"/>
        <v>0</v>
      </c>
      <c r="AG78" s="120">
        <f t="shared" si="833"/>
        <v>0</v>
      </c>
      <c r="AH78" s="120">
        <f t="shared" si="834"/>
        <v>0</v>
      </c>
      <c r="AI78" s="120">
        <f t="shared" si="835"/>
        <v>0</v>
      </c>
      <c r="AJ78" s="120">
        <f t="shared" si="836"/>
        <v>0</v>
      </c>
      <c r="AK78" s="120">
        <f t="shared" si="837"/>
        <v>0</v>
      </c>
      <c r="AL78" s="120">
        <f t="shared" si="838"/>
        <v>0</v>
      </c>
      <c r="AM78" s="120">
        <f t="shared" si="839"/>
        <v>0</v>
      </c>
      <c r="AN78" s="120">
        <f t="shared" si="840"/>
        <v>0</v>
      </c>
      <c r="AO78" s="120">
        <f t="shared" si="841"/>
        <v>0</v>
      </c>
      <c r="AP78" s="120">
        <f t="shared" si="842"/>
        <v>0</v>
      </c>
      <c r="AQ78" s="120">
        <f t="shared" si="843"/>
        <v>0</v>
      </c>
      <c r="AR78" s="120">
        <f t="shared" si="844"/>
        <v>0</v>
      </c>
      <c r="AS78" s="120">
        <f t="shared" si="845"/>
        <v>0</v>
      </c>
      <c r="AT78" s="120">
        <f t="shared" si="846"/>
        <v>0</v>
      </c>
      <c r="AU78" s="120">
        <f t="shared" si="847"/>
        <v>0</v>
      </c>
      <c r="AV78" s="120">
        <f t="shared" si="848"/>
        <v>0</v>
      </c>
      <c r="AW78" s="120">
        <f t="shared" si="849"/>
        <v>0</v>
      </c>
      <c r="AX78" s="120">
        <f t="shared" si="850"/>
        <v>0</v>
      </c>
      <c r="AY78" s="120">
        <f t="shared" si="851"/>
        <v>0</v>
      </c>
      <c r="AZ78" s="120">
        <f t="shared" si="852"/>
        <v>0</v>
      </c>
      <c r="BA78" s="120">
        <f t="shared" si="853"/>
        <v>0</v>
      </c>
      <c r="BB78" s="120">
        <f t="shared" si="854"/>
        <v>0</v>
      </c>
      <c r="BC78" s="120">
        <f t="shared" si="855"/>
        <v>0</v>
      </c>
      <c r="BD78" s="120">
        <f t="shared" si="856"/>
        <v>0</v>
      </c>
      <c r="BE78" s="120">
        <f t="shared" si="857"/>
        <v>0</v>
      </c>
      <c r="BF78" s="120">
        <f t="shared" si="858"/>
        <v>0</v>
      </c>
      <c r="BG78" s="120">
        <f t="shared" si="859"/>
        <v>0</v>
      </c>
      <c r="BH78" s="120">
        <f t="shared" si="860"/>
        <v>0</v>
      </c>
      <c r="BI78" s="120">
        <f t="shared" si="861"/>
        <v>0</v>
      </c>
      <c r="BJ78" s="120">
        <f t="shared" si="862"/>
        <v>0</v>
      </c>
      <c r="BK78" s="120">
        <f t="shared" si="863"/>
        <v>0</v>
      </c>
      <c r="BL78" s="120">
        <f t="shared" si="864"/>
        <v>0</v>
      </c>
      <c r="BM78" s="120">
        <f t="shared" si="865"/>
        <v>0</v>
      </c>
      <c r="BN78" s="120">
        <f t="shared" si="866"/>
        <v>0</v>
      </c>
      <c r="BO78" s="120">
        <f t="shared" si="867"/>
        <v>0</v>
      </c>
      <c r="BP78" s="120">
        <f t="shared" si="868"/>
        <v>0</v>
      </c>
      <c r="BQ78" s="120">
        <f t="shared" si="869"/>
        <v>0</v>
      </c>
      <c r="BR78" s="120">
        <f t="shared" si="870"/>
        <v>0</v>
      </c>
      <c r="BS78" s="120">
        <f t="shared" si="871"/>
        <v>0</v>
      </c>
      <c r="BT78" s="120">
        <f t="shared" si="872"/>
        <v>0</v>
      </c>
      <c r="BU78" s="120">
        <f t="shared" si="873"/>
        <v>0</v>
      </c>
      <c r="BV78" s="120">
        <f t="shared" si="874"/>
        <v>0</v>
      </c>
      <c r="BW78" s="120">
        <f t="shared" si="875"/>
        <v>0</v>
      </c>
      <c r="BX78" s="120">
        <f t="shared" si="876"/>
        <v>0</v>
      </c>
      <c r="BY78" s="8"/>
      <c r="BZ78" s="72">
        <f t="shared" si="502"/>
        <v>0</v>
      </c>
      <c r="CA78" s="72">
        <f t="shared" si="503"/>
        <v>0</v>
      </c>
      <c r="CB78" s="97"/>
      <c r="CC78" s="72">
        <f t="shared" ref="CC78:CJ87" si="877">SUMIF($C$3:$BY$3,CC$3,$C78:$BY78)</f>
        <v>0</v>
      </c>
      <c r="CD78" s="72">
        <f t="shared" si="877"/>
        <v>0</v>
      </c>
      <c r="CE78" s="72">
        <f t="shared" si="877"/>
        <v>0</v>
      </c>
      <c r="CF78" s="72">
        <f t="shared" si="877"/>
        <v>0</v>
      </c>
      <c r="CG78" s="72">
        <f t="shared" si="877"/>
        <v>0</v>
      </c>
      <c r="CH78" s="72">
        <f t="shared" si="877"/>
        <v>0</v>
      </c>
      <c r="CI78" s="72">
        <f t="shared" si="877"/>
        <v>0</v>
      </c>
      <c r="CJ78" s="72">
        <f t="shared" si="877"/>
        <v>0</v>
      </c>
      <c r="CL78" s="13"/>
      <c r="CM78" s="13"/>
    </row>
    <row r="79" spans="1:92" x14ac:dyDescent="0.3">
      <c r="A79" s="97" t="str">
        <f>'DCS Detail'!A79</f>
        <v xml:space="preserve">         610.3 Field Trips and Awards</v>
      </c>
      <c r="B79" s="106" t="str">
        <f>IF('DCS Detail'!$B79="","",'DCS Detail'!$B79)</f>
        <v>Curriculum</v>
      </c>
      <c r="C79" s="106"/>
      <c r="D79" s="106"/>
      <c r="E79" s="18">
        <v>0</v>
      </c>
      <c r="F79" s="18">
        <v>0</v>
      </c>
      <c r="G79" s="18">
        <v>0</v>
      </c>
      <c r="H79" s="18">
        <v>0</v>
      </c>
      <c r="I79" s="18">
        <v>0</v>
      </c>
      <c r="J79" s="18">
        <v>0</v>
      </c>
      <c r="K79" s="18">
        <v>0</v>
      </c>
      <c r="L79" s="18">
        <v>0</v>
      </c>
      <c r="M79" s="18">
        <v>0</v>
      </c>
      <c r="N79" s="18">
        <v>0</v>
      </c>
      <c r="O79" s="18">
        <v>0</v>
      </c>
      <c r="P79" s="18">
        <v>0</v>
      </c>
      <c r="Q79" s="18">
        <v>0</v>
      </c>
      <c r="R79" s="18">
        <v>0</v>
      </c>
      <c r="S79" s="18">
        <v>0</v>
      </c>
      <c r="T79" s="18">
        <v>1140.8499999999999</v>
      </c>
      <c r="U79" s="18">
        <v>0</v>
      </c>
      <c r="V79" s="18">
        <v>0</v>
      </c>
      <c r="W79" s="18">
        <v>0</v>
      </c>
      <c r="X79" s="18">
        <v>0</v>
      </c>
      <c r="Y79" s="18">
        <v>4049</v>
      </c>
      <c r="Z79" s="18">
        <v>134.06</v>
      </c>
      <c r="AA79" s="146">
        <v>267.26</v>
      </c>
      <c r="AB79" s="120">
        <f t="shared" si="828"/>
        <v>0</v>
      </c>
      <c r="AC79" s="120">
        <f t="shared" si="829"/>
        <v>0</v>
      </c>
      <c r="AD79" s="120">
        <f t="shared" si="830"/>
        <v>0</v>
      </c>
      <c r="AE79" s="120">
        <f t="shared" si="831"/>
        <v>0</v>
      </c>
      <c r="AF79" s="120">
        <f t="shared" si="832"/>
        <v>1175.0754999999999</v>
      </c>
      <c r="AG79" s="120">
        <f t="shared" si="833"/>
        <v>0</v>
      </c>
      <c r="AH79" s="120">
        <f t="shared" si="834"/>
        <v>0</v>
      </c>
      <c r="AI79" s="120">
        <f t="shared" si="835"/>
        <v>0</v>
      </c>
      <c r="AJ79" s="120">
        <f t="shared" si="836"/>
        <v>0</v>
      </c>
      <c r="AK79" s="120">
        <f t="shared" si="837"/>
        <v>4170.47</v>
      </c>
      <c r="AL79" s="120">
        <f t="shared" si="838"/>
        <v>138.08180000000002</v>
      </c>
      <c r="AM79" s="120">
        <f t="shared" si="839"/>
        <v>275.27780000000001</v>
      </c>
      <c r="AN79" s="120">
        <f t="shared" si="840"/>
        <v>0</v>
      </c>
      <c r="AO79" s="120">
        <f t="shared" si="841"/>
        <v>0</v>
      </c>
      <c r="AP79" s="120">
        <f t="shared" si="842"/>
        <v>0</v>
      </c>
      <c r="AQ79" s="120">
        <f t="shared" si="843"/>
        <v>0</v>
      </c>
      <c r="AR79" s="120">
        <f t="shared" si="844"/>
        <v>1210.327765</v>
      </c>
      <c r="AS79" s="120">
        <f t="shared" si="845"/>
        <v>0</v>
      </c>
      <c r="AT79" s="120">
        <f t="shared" si="846"/>
        <v>0</v>
      </c>
      <c r="AU79" s="120">
        <f t="shared" si="847"/>
        <v>0</v>
      </c>
      <c r="AV79" s="120">
        <f t="shared" si="848"/>
        <v>0</v>
      </c>
      <c r="AW79" s="120">
        <f t="shared" si="849"/>
        <v>4295.5841</v>
      </c>
      <c r="AX79" s="120">
        <f t="shared" si="850"/>
        <v>142.22425400000003</v>
      </c>
      <c r="AY79" s="120">
        <f t="shared" si="851"/>
        <v>283.536134</v>
      </c>
      <c r="AZ79" s="120">
        <f t="shared" si="852"/>
        <v>0</v>
      </c>
      <c r="BA79" s="120">
        <f t="shared" si="853"/>
        <v>0</v>
      </c>
      <c r="BB79" s="120">
        <f t="shared" si="854"/>
        <v>0</v>
      </c>
      <c r="BC79" s="120">
        <f t="shared" si="855"/>
        <v>0</v>
      </c>
      <c r="BD79" s="120">
        <f t="shared" si="856"/>
        <v>1246.6375979500001</v>
      </c>
      <c r="BE79" s="120">
        <f t="shared" si="857"/>
        <v>0</v>
      </c>
      <c r="BF79" s="120">
        <f t="shared" si="858"/>
        <v>0</v>
      </c>
      <c r="BG79" s="120">
        <f t="shared" si="859"/>
        <v>0</v>
      </c>
      <c r="BH79" s="120">
        <f t="shared" si="860"/>
        <v>0</v>
      </c>
      <c r="BI79" s="120">
        <f t="shared" si="861"/>
        <v>4424.4516229999999</v>
      </c>
      <c r="BJ79" s="120">
        <f t="shared" si="862"/>
        <v>146.49098162000004</v>
      </c>
      <c r="BK79" s="120">
        <f t="shared" si="863"/>
        <v>292.04221802000001</v>
      </c>
      <c r="BL79" s="120">
        <f t="shared" si="864"/>
        <v>0</v>
      </c>
      <c r="BM79" s="120">
        <f t="shared" si="865"/>
        <v>0</v>
      </c>
      <c r="BN79" s="120">
        <f t="shared" si="866"/>
        <v>0</v>
      </c>
      <c r="BO79" s="120">
        <f t="shared" si="867"/>
        <v>0</v>
      </c>
      <c r="BP79" s="120">
        <f t="shared" si="868"/>
        <v>1284.0367258885001</v>
      </c>
      <c r="BQ79" s="120">
        <f t="shared" si="869"/>
        <v>0</v>
      </c>
      <c r="BR79" s="120">
        <f t="shared" si="870"/>
        <v>0</v>
      </c>
      <c r="BS79" s="120">
        <f t="shared" si="871"/>
        <v>0</v>
      </c>
      <c r="BT79" s="120">
        <f t="shared" si="872"/>
        <v>0</v>
      </c>
      <c r="BU79" s="120">
        <f t="shared" si="873"/>
        <v>4557.1851716900001</v>
      </c>
      <c r="BV79" s="120">
        <f t="shared" si="874"/>
        <v>150.88571106860005</v>
      </c>
      <c r="BW79" s="120">
        <f t="shared" si="875"/>
        <v>300.8034845606</v>
      </c>
      <c r="BX79" s="120">
        <f t="shared" si="876"/>
        <v>0</v>
      </c>
      <c r="BY79" s="8"/>
      <c r="BZ79" s="72">
        <f t="shared" si="502"/>
        <v>267.26</v>
      </c>
      <c r="CA79" s="72">
        <f t="shared" si="503"/>
        <v>5591.170000000001</v>
      </c>
      <c r="CB79" s="97"/>
      <c r="CC79" s="72">
        <f t="shared" si="877"/>
        <v>0</v>
      </c>
      <c r="CD79" s="72">
        <f t="shared" si="877"/>
        <v>0</v>
      </c>
      <c r="CE79" s="72">
        <f t="shared" si="877"/>
        <v>0</v>
      </c>
      <c r="CF79" s="72">
        <f t="shared" si="877"/>
        <v>5591.170000000001</v>
      </c>
      <c r="CG79" s="72">
        <f t="shared" si="877"/>
        <v>5758.9050999999999</v>
      </c>
      <c r="CH79" s="72">
        <f t="shared" si="877"/>
        <v>5931.6722529999997</v>
      </c>
      <c r="CI79" s="72">
        <f t="shared" si="877"/>
        <v>6109.6224205899998</v>
      </c>
      <c r="CJ79" s="72">
        <f t="shared" si="877"/>
        <v>6292.9110932077001</v>
      </c>
      <c r="CL79" s="13"/>
      <c r="CM79" s="13"/>
    </row>
    <row r="80" spans="1:92" x14ac:dyDescent="0.3">
      <c r="A80" s="97" t="str">
        <f>'DCS Detail'!A80</f>
        <v xml:space="preserve">         650.1 Fundraiser Supplies</v>
      </c>
      <c r="B80" s="106" t="str">
        <f>IF('DCS Detail'!$B80="","",'DCS Detail'!$B80)</f>
        <v>Supplies</v>
      </c>
      <c r="C80" s="106"/>
      <c r="D80" s="106"/>
      <c r="E80" s="18">
        <v>0</v>
      </c>
      <c r="F80" s="18">
        <v>0</v>
      </c>
      <c r="G80" s="18">
        <v>0</v>
      </c>
      <c r="H80" s="18">
        <v>0</v>
      </c>
      <c r="I80" s="18">
        <v>0</v>
      </c>
      <c r="J80" s="18">
        <v>0</v>
      </c>
      <c r="K80" s="18">
        <v>0</v>
      </c>
      <c r="L80" s="18">
        <v>0</v>
      </c>
      <c r="M80" s="18">
        <v>0</v>
      </c>
      <c r="N80" s="18">
        <v>0</v>
      </c>
      <c r="O80" s="18">
        <v>0</v>
      </c>
      <c r="P80" s="18">
        <v>0</v>
      </c>
      <c r="Q80" s="18">
        <v>0</v>
      </c>
      <c r="R80" s="18">
        <v>0</v>
      </c>
      <c r="S80" s="18">
        <v>0</v>
      </c>
      <c r="T80" s="18">
        <v>44</v>
      </c>
      <c r="U80" s="18">
        <v>0</v>
      </c>
      <c r="V80" s="18">
        <v>4.4000000000000004</v>
      </c>
      <c r="W80" s="18">
        <v>452.94</v>
      </c>
      <c r="X80" s="18">
        <v>-31.9</v>
      </c>
      <c r="Y80" s="18">
        <v>-66.709999999999994</v>
      </c>
      <c r="Z80" s="18">
        <v>-3.36</v>
      </c>
      <c r="AA80" s="146">
        <v>0</v>
      </c>
      <c r="AB80" s="120">
        <f t="shared" si="828"/>
        <v>0</v>
      </c>
      <c r="AC80" s="120">
        <f t="shared" si="829"/>
        <v>0</v>
      </c>
      <c r="AD80" s="120">
        <f t="shared" si="830"/>
        <v>0</v>
      </c>
      <c r="AE80" s="120">
        <f t="shared" si="831"/>
        <v>0</v>
      </c>
      <c r="AF80" s="120">
        <f t="shared" si="832"/>
        <v>45.32</v>
      </c>
      <c r="AG80" s="120">
        <f t="shared" si="833"/>
        <v>0</v>
      </c>
      <c r="AH80" s="120">
        <f t="shared" si="834"/>
        <v>4.5320000000000009</v>
      </c>
      <c r="AI80" s="120">
        <f t="shared" si="835"/>
        <v>466.52820000000003</v>
      </c>
      <c r="AJ80" s="120">
        <f t="shared" si="836"/>
        <v>-32.856999999999999</v>
      </c>
      <c r="AK80" s="120">
        <f t="shared" si="837"/>
        <v>-68.711299999999994</v>
      </c>
      <c r="AL80" s="120">
        <f t="shared" si="838"/>
        <v>-3.4607999999999999</v>
      </c>
      <c r="AM80" s="120">
        <f t="shared" si="839"/>
        <v>0</v>
      </c>
      <c r="AN80" s="120">
        <f t="shared" si="840"/>
        <v>0</v>
      </c>
      <c r="AO80" s="120">
        <f t="shared" si="841"/>
        <v>0</v>
      </c>
      <c r="AP80" s="120">
        <f t="shared" si="842"/>
        <v>0</v>
      </c>
      <c r="AQ80" s="120">
        <f t="shared" si="843"/>
        <v>0</v>
      </c>
      <c r="AR80" s="120">
        <f t="shared" si="844"/>
        <v>46.679600000000001</v>
      </c>
      <c r="AS80" s="120">
        <f t="shared" si="845"/>
        <v>0</v>
      </c>
      <c r="AT80" s="120">
        <f t="shared" si="846"/>
        <v>4.6679600000000008</v>
      </c>
      <c r="AU80" s="120">
        <f t="shared" si="847"/>
        <v>480.52404600000006</v>
      </c>
      <c r="AV80" s="120">
        <f t="shared" si="848"/>
        <v>-33.842709999999997</v>
      </c>
      <c r="AW80" s="120">
        <f t="shared" si="849"/>
        <v>-70.772638999999998</v>
      </c>
      <c r="AX80" s="120">
        <f t="shared" si="850"/>
        <v>-3.5646239999999998</v>
      </c>
      <c r="AY80" s="120">
        <f t="shared" si="851"/>
        <v>0</v>
      </c>
      <c r="AZ80" s="120">
        <f t="shared" si="852"/>
        <v>0</v>
      </c>
      <c r="BA80" s="120">
        <f t="shared" si="853"/>
        <v>0</v>
      </c>
      <c r="BB80" s="120">
        <f t="shared" si="854"/>
        <v>0</v>
      </c>
      <c r="BC80" s="120">
        <f t="shared" si="855"/>
        <v>0</v>
      </c>
      <c r="BD80" s="120">
        <f t="shared" si="856"/>
        <v>48.079988</v>
      </c>
      <c r="BE80" s="120">
        <f t="shared" si="857"/>
        <v>0</v>
      </c>
      <c r="BF80" s="120">
        <f t="shared" si="858"/>
        <v>4.8079988000000009</v>
      </c>
      <c r="BG80" s="120">
        <f t="shared" si="859"/>
        <v>494.93976738000009</v>
      </c>
      <c r="BH80" s="120">
        <f t="shared" si="860"/>
        <v>-34.857991299999995</v>
      </c>
      <c r="BI80" s="120">
        <f t="shared" si="861"/>
        <v>-72.895818169999998</v>
      </c>
      <c r="BJ80" s="120">
        <f t="shared" si="862"/>
        <v>-3.6715627199999998</v>
      </c>
      <c r="BK80" s="120">
        <f t="shared" si="863"/>
        <v>0</v>
      </c>
      <c r="BL80" s="120">
        <f t="shared" si="864"/>
        <v>0</v>
      </c>
      <c r="BM80" s="120">
        <f t="shared" si="865"/>
        <v>0</v>
      </c>
      <c r="BN80" s="120">
        <f t="shared" si="866"/>
        <v>0</v>
      </c>
      <c r="BO80" s="120">
        <f t="shared" si="867"/>
        <v>0</v>
      </c>
      <c r="BP80" s="120">
        <f t="shared" si="868"/>
        <v>49.522387639999998</v>
      </c>
      <c r="BQ80" s="120">
        <f t="shared" si="869"/>
        <v>0</v>
      </c>
      <c r="BR80" s="120">
        <f t="shared" si="870"/>
        <v>4.9522387640000014</v>
      </c>
      <c r="BS80" s="120">
        <f t="shared" si="871"/>
        <v>509.78796040140008</v>
      </c>
      <c r="BT80" s="120">
        <f t="shared" si="872"/>
        <v>-35.903731038999993</v>
      </c>
      <c r="BU80" s="120">
        <f t="shared" si="873"/>
        <v>-75.082692715099995</v>
      </c>
      <c r="BV80" s="120">
        <f t="shared" si="874"/>
        <v>-3.7817096015999998</v>
      </c>
      <c r="BW80" s="120">
        <f t="shared" si="875"/>
        <v>0</v>
      </c>
      <c r="BX80" s="120">
        <f t="shared" si="876"/>
        <v>0</v>
      </c>
      <c r="BY80" s="8"/>
      <c r="BZ80" s="72">
        <f t="shared" si="502"/>
        <v>0</v>
      </c>
      <c r="CA80" s="72">
        <f t="shared" si="503"/>
        <v>399.37</v>
      </c>
      <c r="CB80" s="97"/>
      <c r="CC80" s="72">
        <f t="shared" si="877"/>
        <v>0</v>
      </c>
      <c r="CD80" s="72">
        <f t="shared" si="877"/>
        <v>0</v>
      </c>
      <c r="CE80" s="72">
        <f t="shared" si="877"/>
        <v>0</v>
      </c>
      <c r="CF80" s="72">
        <f t="shared" si="877"/>
        <v>399.37</v>
      </c>
      <c r="CG80" s="72">
        <f t="shared" si="877"/>
        <v>411.35110000000009</v>
      </c>
      <c r="CH80" s="72">
        <f t="shared" si="877"/>
        <v>423.69163300000002</v>
      </c>
      <c r="CI80" s="72">
        <f t="shared" si="877"/>
        <v>436.40238199000009</v>
      </c>
      <c r="CJ80" s="72">
        <f t="shared" si="877"/>
        <v>449.49445344970007</v>
      </c>
      <c r="CL80" s="13"/>
      <c r="CM80" s="13"/>
    </row>
    <row r="81" spans="1:91" x14ac:dyDescent="0.3">
      <c r="A81" s="97" t="str">
        <f>'DCS Detail'!A81</f>
        <v xml:space="preserve">         890.3 Music Kits</v>
      </c>
      <c r="B81" s="106" t="str">
        <f>IF('DCS Detail'!$B81="","",'DCS Detail'!$B81)</f>
        <v>Curriculum</v>
      </c>
      <c r="C81" s="106"/>
      <c r="D81" s="106"/>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46">
        <v>0</v>
      </c>
      <c r="AB81" s="120">
        <f t="shared" si="828"/>
        <v>0</v>
      </c>
      <c r="AC81" s="120">
        <f t="shared" si="829"/>
        <v>0</v>
      </c>
      <c r="AD81" s="120">
        <f t="shared" si="830"/>
        <v>0</v>
      </c>
      <c r="AE81" s="120">
        <f t="shared" si="831"/>
        <v>0</v>
      </c>
      <c r="AF81" s="120">
        <f t="shared" si="832"/>
        <v>0</v>
      </c>
      <c r="AG81" s="120">
        <f t="shared" si="833"/>
        <v>0</v>
      </c>
      <c r="AH81" s="120">
        <f t="shared" si="834"/>
        <v>0</v>
      </c>
      <c r="AI81" s="120">
        <f t="shared" si="835"/>
        <v>0</v>
      </c>
      <c r="AJ81" s="120">
        <f t="shared" si="836"/>
        <v>0</v>
      </c>
      <c r="AK81" s="120">
        <f t="shared" si="837"/>
        <v>0</v>
      </c>
      <c r="AL81" s="120">
        <f t="shared" si="838"/>
        <v>0</v>
      </c>
      <c r="AM81" s="120">
        <f t="shared" si="839"/>
        <v>0</v>
      </c>
      <c r="AN81" s="120">
        <f t="shared" si="840"/>
        <v>0</v>
      </c>
      <c r="AO81" s="120">
        <f t="shared" si="841"/>
        <v>0</v>
      </c>
      <c r="AP81" s="120">
        <f t="shared" si="842"/>
        <v>0</v>
      </c>
      <c r="AQ81" s="120">
        <f t="shared" si="843"/>
        <v>0</v>
      </c>
      <c r="AR81" s="120">
        <f t="shared" si="844"/>
        <v>0</v>
      </c>
      <c r="AS81" s="120">
        <f t="shared" si="845"/>
        <v>0</v>
      </c>
      <c r="AT81" s="120">
        <f t="shared" si="846"/>
        <v>0</v>
      </c>
      <c r="AU81" s="120">
        <f t="shared" si="847"/>
        <v>0</v>
      </c>
      <c r="AV81" s="120">
        <f t="shared" si="848"/>
        <v>0</v>
      </c>
      <c r="AW81" s="120">
        <f t="shared" si="849"/>
        <v>0</v>
      </c>
      <c r="AX81" s="120">
        <f t="shared" si="850"/>
        <v>0</v>
      </c>
      <c r="AY81" s="120">
        <f t="shared" si="851"/>
        <v>0</v>
      </c>
      <c r="AZ81" s="120">
        <f t="shared" si="852"/>
        <v>0</v>
      </c>
      <c r="BA81" s="120">
        <f t="shared" si="853"/>
        <v>0</v>
      </c>
      <c r="BB81" s="120">
        <f t="shared" si="854"/>
        <v>0</v>
      </c>
      <c r="BC81" s="120">
        <f t="shared" si="855"/>
        <v>0</v>
      </c>
      <c r="BD81" s="120">
        <f t="shared" si="856"/>
        <v>0</v>
      </c>
      <c r="BE81" s="120">
        <f t="shared" si="857"/>
        <v>0</v>
      </c>
      <c r="BF81" s="120">
        <f t="shared" si="858"/>
        <v>0</v>
      </c>
      <c r="BG81" s="120">
        <f t="shared" si="859"/>
        <v>0</v>
      </c>
      <c r="BH81" s="120">
        <f t="shared" si="860"/>
        <v>0</v>
      </c>
      <c r="BI81" s="120">
        <f t="shared" si="861"/>
        <v>0</v>
      </c>
      <c r="BJ81" s="120">
        <f t="shared" si="862"/>
        <v>0</v>
      </c>
      <c r="BK81" s="120">
        <f t="shared" si="863"/>
        <v>0</v>
      </c>
      <c r="BL81" s="120">
        <f t="shared" si="864"/>
        <v>0</v>
      </c>
      <c r="BM81" s="120">
        <f t="shared" si="865"/>
        <v>0</v>
      </c>
      <c r="BN81" s="120">
        <f t="shared" si="866"/>
        <v>0</v>
      </c>
      <c r="BO81" s="120">
        <f t="shared" si="867"/>
        <v>0</v>
      </c>
      <c r="BP81" s="120">
        <f t="shared" si="868"/>
        <v>0</v>
      </c>
      <c r="BQ81" s="120">
        <f t="shared" si="869"/>
        <v>0</v>
      </c>
      <c r="BR81" s="120">
        <f t="shared" si="870"/>
        <v>0</v>
      </c>
      <c r="BS81" s="120">
        <f t="shared" si="871"/>
        <v>0</v>
      </c>
      <c r="BT81" s="120">
        <f t="shared" si="872"/>
        <v>0</v>
      </c>
      <c r="BU81" s="120">
        <f t="shared" si="873"/>
        <v>0</v>
      </c>
      <c r="BV81" s="120">
        <f t="shared" si="874"/>
        <v>0</v>
      </c>
      <c r="BW81" s="120">
        <f t="shared" si="875"/>
        <v>0</v>
      </c>
      <c r="BX81" s="120">
        <f t="shared" si="876"/>
        <v>0</v>
      </c>
      <c r="BY81" s="8"/>
      <c r="BZ81" s="72">
        <f t="shared" si="502"/>
        <v>0</v>
      </c>
      <c r="CA81" s="72">
        <f t="shared" si="503"/>
        <v>0</v>
      </c>
      <c r="CB81" s="97"/>
      <c r="CC81" s="72">
        <f t="shared" si="877"/>
        <v>0</v>
      </c>
      <c r="CD81" s="72">
        <f t="shared" si="877"/>
        <v>0</v>
      </c>
      <c r="CE81" s="72">
        <f t="shared" si="877"/>
        <v>0</v>
      </c>
      <c r="CF81" s="72">
        <f t="shared" si="877"/>
        <v>0</v>
      </c>
      <c r="CG81" s="72">
        <f t="shared" si="877"/>
        <v>0</v>
      </c>
      <c r="CH81" s="72">
        <f t="shared" si="877"/>
        <v>0</v>
      </c>
      <c r="CI81" s="72">
        <f t="shared" si="877"/>
        <v>0</v>
      </c>
      <c r="CJ81" s="72">
        <f t="shared" si="877"/>
        <v>0</v>
      </c>
      <c r="CL81" s="13"/>
      <c r="CM81" s="13"/>
    </row>
    <row r="82" spans="1:91" x14ac:dyDescent="0.3">
      <c r="A82" s="97" t="str">
        <f>'DCS Detail'!A82</f>
        <v xml:space="preserve">         890.5 Incentives - Student</v>
      </c>
      <c r="B82" s="106" t="str">
        <f>IF('DCS Detail'!$B82="","",'DCS Detail'!$B82)</f>
        <v>Curriculum</v>
      </c>
      <c r="C82" s="106"/>
      <c r="D82" s="106"/>
      <c r="E82" s="18">
        <v>0</v>
      </c>
      <c r="F82" s="18">
        <v>0</v>
      </c>
      <c r="G82" s="18">
        <v>243.89</v>
      </c>
      <c r="H82" s="18">
        <v>0</v>
      </c>
      <c r="I82" s="18">
        <v>0</v>
      </c>
      <c r="J82" s="18">
        <v>0</v>
      </c>
      <c r="K82" s="18">
        <v>0</v>
      </c>
      <c r="L82" s="18">
        <v>52.800000000000011</v>
      </c>
      <c r="M82" s="18">
        <v>220</v>
      </c>
      <c r="N82" s="18">
        <v>0</v>
      </c>
      <c r="O82" s="18">
        <v>68.62</v>
      </c>
      <c r="P82" s="18">
        <v>0</v>
      </c>
      <c r="Q82" s="18">
        <v>0</v>
      </c>
      <c r="R82" s="18">
        <v>0</v>
      </c>
      <c r="S82" s="18">
        <v>9.9</v>
      </c>
      <c r="T82" s="18">
        <v>0</v>
      </c>
      <c r="U82" s="18">
        <v>0</v>
      </c>
      <c r="V82" s="18">
        <v>0</v>
      </c>
      <c r="W82" s="18">
        <v>0</v>
      </c>
      <c r="X82" s="18">
        <v>44.69</v>
      </c>
      <c r="Y82" s="18">
        <v>55</v>
      </c>
      <c r="Z82" s="18">
        <v>0</v>
      </c>
      <c r="AA82" s="146">
        <v>256.8</v>
      </c>
      <c r="AB82" s="120">
        <f t="shared" si="828"/>
        <v>0</v>
      </c>
      <c r="AC82" s="120">
        <f t="shared" si="829"/>
        <v>0</v>
      </c>
      <c r="AD82" s="120">
        <f t="shared" si="830"/>
        <v>0</v>
      </c>
      <c r="AE82" s="120">
        <f t="shared" si="831"/>
        <v>10.197000000000001</v>
      </c>
      <c r="AF82" s="120">
        <f t="shared" si="832"/>
        <v>0</v>
      </c>
      <c r="AG82" s="120">
        <f t="shared" si="833"/>
        <v>0</v>
      </c>
      <c r="AH82" s="120">
        <f t="shared" si="834"/>
        <v>0</v>
      </c>
      <c r="AI82" s="120">
        <f t="shared" si="835"/>
        <v>0</v>
      </c>
      <c r="AJ82" s="120">
        <f t="shared" si="836"/>
        <v>46.030699999999996</v>
      </c>
      <c r="AK82" s="120">
        <f t="shared" si="837"/>
        <v>56.65</v>
      </c>
      <c r="AL82" s="120">
        <f t="shared" si="838"/>
        <v>0</v>
      </c>
      <c r="AM82" s="120">
        <f t="shared" si="839"/>
        <v>264.50400000000002</v>
      </c>
      <c r="AN82" s="120">
        <f t="shared" si="840"/>
        <v>0</v>
      </c>
      <c r="AO82" s="120">
        <f t="shared" si="841"/>
        <v>0</v>
      </c>
      <c r="AP82" s="120">
        <f t="shared" si="842"/>
        <v>0</v>
      </c>
      <c r="AQ82" s="120">
        <f t="shared" si="843"/>
        <v>10.502910000000002</v>
      </c>
      <c r="AR82" s="120">
        <f t="shared" si="844"/>
        <v>0</v>
      </c>
      <c r="AS82" s="120">
        <f t="shared" si="845"/>
        <v>0</v>
      </c>
      <c r="AT82" s="120">
        <f t="shared" si="846"/>
        <v>0</v>
      </c>
      <c r="AU82" s="120">
        <f t="shared" si="847"/>
        <v>0</v>
      </c>
      <c r="AV82" s="120">
        <f t="shared" si="848"/>
        <v>47.411620999999997</v>
      </c>
      <c r="AW82" s="120">
        <f t="shared" si="849"/>
        <v>58.349499999999999</v>
      </c>
      <c r="AX82" s="120">
        <f t="shared" si="850"/>
        <v>0</v>
      </c>
      <c r="AY82" s="120">
        <f t="shared" si="851"/>
        <v>272.43912</v>
      </c>
      <c r="AZ82" s="120">
        <f t="shared" si="852"/>
        <v>0</v>
      </c>
      <c r="BA82" s="120">
        <f t="shared" si="853"/>
        <v>0</v>
      </c>
      <c r="BB82" s="120">
        <f t="shared" si="854"/>
        <v>0</v>
      </c>
      <c r="BC82" s="120">
        <f t="shared" si="855"/>
        <v>10.817997300000002</v>
      </c>
      <c r="BD82" s="120">
        <f t="shared" si="856"/>
        <v>0</v>
      </c>
      <c r="BE82" s="120">
        <f t="shared" si="857"/>
        <v>0</v>
      </c>
      <c r="BF82" s="120">
        <f t="shared" si="858"/>
        <v>0</v>
      </c>
      <c r="BG82" s="120">
        <f t="shared" si="859"/>
        <v>0</v>
      </c>
      <c r="BH82" s="120">
        <f t="shared" si="860"/>
        <v>48.833969629999999</v>
      </c>
      <c r="BI82" s="120">
        <f t="shared" si="861"/>
        <v>60.099985000000004</v>
      </c>
      <c r="BJ82" s="120">
        <f t="shared" si="862"/>
        <v>0</v>
      </c>
      <c r="BK82" s="120">
        <f t="shared" si="863"/>
        <v>280.61229359999999</v>
      </c>
      <c r="BL82" s="120">
        <f t="shared" si="864"/>
        <v>0</v>
      </c>
      <c r="BM82" s="120">
        <f t="shared" si="865"/>
        <v>0</v>
      </c>
      <c r="BN82" s="120">
        <f t="shared" si="866"/>
        <v>0</v>
      </c>
      <c r="BO82" s="120">
        <f t="shared" si="867"/>
        <v>11.142537219000003</v>
      </c>
      <c r="BP82" s="120">
        <f t="shared" si="868"/>
        <v>0</v>
      </c>
      <c r="BQ82" s="120">
        <f t="shared" si="869"/>
        <v>0</v>
      </c>
      <c r="BR82" s="120">
        <f t="shared" si="870"/>
        <v>0</v>
      </c>
      <c r="BS82" s="120">
        <f t="shared" si="871"/>
        <v>0</v>
      </c>
      <c r="BT82" s="120">
        <f t="shared" si="872"/>
        <v>50.298988718899999</v>
      </c>
      <c r="BU82" s="120">
        <f t="shared" si="873"/>
        <v>61.902984550000006</v>
      </c>
      <c r="BV82" s="120">
        <f t="shared" si="874"/>
        <v>0</v>
      </c>
      <c r="BW82" s="120">
        <f t="shared" si="875"/>
        <v>289.03066240800001</v>
      </c>
      <c r="BX82" s="120">
        <f t="shared" si="876"/>
        <v>0</v>
      </c>
      <c r="BY82" s="8"/>
      <c r="BZ82" s="72">
        <f t="shared" si="502"/>
        <v>256.8</v>
      </c>
      <c r="CA82" s="72">
        <f t="shared" si="503"/>
        <v>366.39</v>
      </c>
      <c r="CB82" s="97"/>
      <c r="CC82" s="72">
        <f t="shared" si="877"/>
        <v>0</v>
      </c>
      <c r="CD82" s="72">
        <f t="shared" si="877"/>
        <v>0</v>
      </c>
      <c r="CE82" s="72">
        <f t="shared" si="877"/>
        <v>585.31000000000006</v>
      </c>
      <c r="CF82" s="72">
        <f t="shared" si="877"/>
        <v>366.39</v>
      </c>
      <c r="CG82" s="72">
        <f t="shared" si="877"/>
        <v>377.38170000000002</v>
      </c>
      <c r="CH82" s="72">
        <f t="shared" si="877"/>
        <v>388.70315099999999</v>
      </c>
      <c r="CI82" s="72">
        <f t="shared" si="877"/>
        <v>400.36424553000001</v>
      </c>
      <c r="CJ82" s="72">
        <f t="shared" si="877"/>
        <v>412.37517289590005</v>
      </c>
      <c r="CL82" s="13"/>
      <c r="CM82" s="13"/>
    </row>
    <row r="83" spans="1:91" x14ac:dyDescent="0.3">
      <c r="A83" s="97" t="str">
        <f>'DCS Detail'!A83</f>
        <v xml:space="preserve">         890.8 Yearbook Expenses</v>
      </c>
      <c r="B83" s="106" t="str">
        <f>IF('DCS Detail'!$B83="","",'DCS Detail'!$B83)</f>
        <v>Curriculum</v>
      </c>
      <c r="C83" s="106"/>
      <c r="D83" s="106"/>
      <c r="E83" s="18">
        <v>-384.22</v>
      </c>
      <c r="F83" s="18">
        <v>230.72</v>
      </c>
      <c r="G83" s="18">
        <v>0</v>
      </c>
      <c r="H83" s="18">
        <v>0</v>
      </c>
      <c r="I83" s="18">
        <v>0</v>
      </c>
      <c r="J83" s="18">
        <f>721.46*0.22</f>
        <v>158.72120000000001</v>
      </c>
      <c r="K83" s="18">
        <v>0</v>
      </c>
      <c r="L83" s="18">
        <v>-1.1999999999821043E-3</v>
      </c>
      <c r="M83" s="18">
        <v>254.73</v>
      </c>
      <c r="N83" s="18">
        <v>318.22000000000003</v>
      </c>
      <c r="O83" s="18">
        <v>0</v>
      </c>
      <c r="P83" s="18">
        <v>0</v>
      </c>
      <c r="Q83" s="18">
        <v>0</v>
      </c>
      <c r="R83" s="18">
        <v>0</v>
      </c>
      <c r="S83" s="18">
        <v>0</v>
      </c>
      <c r="T83" s="18">
        <v>0</v>
      </c>
      <c r="U83" s="18">
        <v>0</v>
      </c>
      <c r="V83" s="18">
        <v>0</v>
      </c>
      <c r="W83" s="18">
        <v>0</v>
      </c>
      <c r="X83" s="18">
        <v>0</v>
      </c>
      <c r="Y83" s="18">
        <v>0</v>
      </c>
      <c r="Z83" s="18">
        <v>0</v>
      </c>
      <c r="AA83" s="146">
        <v>0</v>
      </c>
      <c r="AB83" s="120">
        <f t="shared" si="828"/>
        <v>0</v>
      </c>
      <c r="AC83" s="120">
        <f t="shared" si="829"/>
        <v>0</v>
      </c>
      <c r="AD83" s="120">
        <f t="shared" si="830"/>
        <v>0</v>
      </c>
      <c r="AE83" s="120">
        <f t="shared" si="831"/>
        <v>0</v>
      </c>
      <c r="AF83" s="120">
        <f t="shared" si="832"/>
        <v>0</v>
      </c>
      <c r="AG83" s="120">
        <f t="shared" si="833"/>
        <v>0</v>
      </c>
      <c r="AH83" s="120">
        <f t="shared" si="834"/>
        <v>0</v>
      </c>
      <c r="AI83" s="120">
        <f t="shared" si="835"/>
        <v>0</v>
      </c>
      <c r="AJ83" s="120">
        <f t="shared" si="836"/>
        <v>0</v>
      </c>
      <c r="AK83" s="120">
        <f t="shared" si="837"/>
        <v>0</v>
      </c>
      <c r="AL83" s="120">
        <f t="shared" si="838"/>
        <v>0</v>
      </c>
      <c r="AM83" s="120">
        <f t="shared" si="839"/>
        <v>0</v>
      </c>
      <c r="AN83" s="120">
        <f t="shared" si="840"/>
        <v>0</v>
      </c>
      <c r="AO83" s="120">
        <f t="shared" si="841"/>
        <v>0</v>
      </c>
      <c r="AP83" s="120">
        <f t="shared" si="842"/>
        <v>0</v>
      </c>
      <c r="AQ83" s="120">
        <f t="shared" si="843"/>
        <v>0</v>
      </c>
      <c r="AR83" s="120">
        <f t="shared" si="844"/>
        <v>0</v>
      </c>
      <c r="AS83" s="120">
        <f t="shared" si="845"/>
        <v>0</v>
      </c>
      <c r="AT83" s="120">
        <f t="shared" si="846"/>
        <v>0</v>
      </c>
      <c r="AU83" s="120">
        <f t="shared" si="847"/>
        <v>0</v>
      </c>
      <c r="AV83" s="120">
        <f t="shared" si="848"/>
        <v>0</v>
      </c>
      <c r="AW83" s="120">
        <f t="shared" si="849"/>
        <v>0</v>
      </c>
      <c r="AX83" s="120">
        <f t="shared" si="850"/>
        <v>0</v>
      </c>
      <c r="AY83" s="120">
        <f t="shared" si="851"/>
        <v>0</v>
      </c>
      <c r="AZ83" s="120">
        <f t="shared" si="852"/>
        <v>0</v>
      </c>
      <c r="BA83" s="120">
        <f t="shared" si="853"/>
        <v>0</v>
      </c>
      <c r="BB83" s="120">
        <f t="shared" si="854"/>
        <v>0</v>
      </c>
      <c r="BC83" s="120">
        <f t="shared" si="855"/>
        <v>0</v>
      </c>
      <c r="BD83" s="120">
        <f t="shared" si="856"/>
        <v>0</v>
      </c>
      <c r="BE83" s="120">
        <f t="shared" si="857"/>
        <v>0</v>
      </c>
      <c r="BF83" s="120">
        <f t="shared" si="858"/>
        <v>0</v>
      </c>
      <c r="BG83" s="120">
        <f t="shared" si="859"/>
        <v>0</v>
      </c>
      <c r="BH83" s="120">
        <f t="shared" si="860"/>
        <v>0</v>
      </c>
      <c r="BI83" s="120">
        <f t="shared" si="861"/>
        <v>0</v>
      </c>
      <c r="BJ83" s="120">
        <f t="shared" si="862"/>
        <v>0</v>
      </c>
      <c r="BK83" s="120">
        <f t="shared" si="863"/>
        <v>0</v>
      </c>
      <c r="BL83" s="120">
        <f t="shared" si="864"/>
        <v>0</v>
      </c>
      <c r="BM83" s="120">
        <f t="shared" si="865"/>
        <v>0</v>
      </c>
      <c r="BN83" s="120">
        <f t="shared" si="866"/>
        <v>0</v>
      </c>
      <c r="BO83" s="120">
        <f t="shared" si="867"/>
        <v>0</v>
      </c>
      <c r="BP83" s="120">
        <f t="shared" si="868"/>
        <v>0</v>
      </c>
      <c r="BQ83" s="120">
        <f t="shared" si="869"/>
        <v>0</v>
      </c>
      <c r="BR83" s="120">
        <f t="shared" si="870"/>
        <v>0</v>
      </c>
      <c r="BS83" s="120">
        <f t="shared" si="871"/>
        <v>0</v>
      </c>
      <c r="BT83" s="120">
        <f t="shared" si="872"/>
        <v>0</v>
      </c>
      <c r="BU83" s="120">
        <f t="shared" si="873"/>
        <v>0</v>
      </c>
      <c r="BV83" s="120">
        <f t="shared" si="874"/>
        <v>0</v>
      </c>
      <c r="BW83" s="120">
        <f t="shared" si="875"/>
        <v>0</v>
      </c>
      <c r="BX83" s="120">
        <f t="shared" si="876"/>
        <v>0</v>
      </c>
      <c r="BY83" s="8"/>
      <c r="BZ83" s="72">
        <f t="shared" si="502"/>
        <v>0</v>
      </c>
      <c r="CA83" s="72">
        <f t="shared" si="503"/>
        <v>0</v>
      </c>
      <c r="CB83" s="97"/>
      <c r="CC83" s="72">
        <f t="shared" si="877"/>
        <v>0</v>
      </c>
      <c r="CD83" s="72">
        <f t="shared" si="877"/>
        <v>0</v>
      </c>
      <c r="CE83" s="72">
        <f t="shared" si="877"/>
        <v>578.17000000000007</v>
      </c>
      <c r="CF83" s="72">
        <f t="shared" si="877"/>
        <v>0</v>
      </c>
      <c r="CG83" s="72">
        <f t="shared" si="877"/>
        <v>0</v>
      </c>
      <c r="CH83" s="72">
        <f t="shared" si="877"/>
        <v>0</v>
      </c>
      <c r="CI83" s="72">
        <f t="shared" si="877"/>
        <v>0</v>
      </c>
      <c r="CJ83" s="72">
        <f t="shared" si="877"/>
        <v>0</v>
      </c>
      <c r="CL83" s="13"/>
      <c r="CM83" s="13"/>
    </row>
    <row r="84" spans="1:91" x14ac:dyDescent="0.3">
      <c r="A84" s="97" t="str">
        <f>'DCS Detail'!A84</f>
        <v xml:space="preserve">         890.9 Sports Expenses</v>
      </c>
      <c r="B84" s="106" t="str">
        <f>IF('DCS Detail'!$B84="","",'DCS Detail'!$B84)</f>
        <v>Curriculum</v>
      </c>
      <c r="C84" s="139"/>
      <c r="D84" s="139"/>
      <c r="E84" s="121">
        <v>0</v>
      </c>
      <c r="F84" s="121">
        <v>0</v>
      </c>
      <c r="G84" s="121">
        <v>0</v>
      </c>
      <c r="H84" s="121">
        <v>0</v>
      </c>
      <c r="I84" s="121">
        <v>0</v>
      </c>
      <c r="J84" s="121">
        <v>0</v>
      </c>
      <c r="K84" s="121">
        <v>0</v>
      </c>
      <c r="L84" s="121">
        <v>0</v>
      </c>
      <c r="M84" s="121">
        <v>0</v>
      </c>
      <c r="N84" s="121">
        <v>246.88</v>
      </c>
      <c r="O84" s="121">
        <v>508.48</v>
      </c>
      <c r="P84" s="121">
        <v>44</v>
      </c>
      <c r="Q84" s="121">
        <v>0</v>
      </c>
      <c r="R84" s="121">
        <v>0</v>
      </c>
      <c r="S84" s="121">
        <v>0</v>
      </c>
      <c r="T84" s="121">
        <v>1934.59</v>
      </c>
      <c r="U84" s="121">
        <v>0</v>
      </c>
      <c r="V84" s="121">
        <v>0</v>
      </c>
      <c r="W84" s="121">
        <v>718.53</v>
      </c>
      <c r="X84" s="121">
        <v>0</v>
      </c>
      <c r="Y84" s="121">
        <v>3981</v>
      </c>
      <c r="Z84" s="121">
        <v>2114.7399999999998</v>
      </c>
      <c r="AA84" s="121">
        <v>325.60000000000002</v>
      </c>
      <c r="AB84" s="144">
        <f t="shared" si="828"/>
        <v>45.32</v>
      </c>
      <c r="AC84" s="144">
        <f t="shared" si="829"/>
        <v>0</v>
      </c>
      <c r="AD84" s="144">
        <f t="shared" si="830"/>
        <v>0</v>
      </c>
      <c r="AE84" s="144">
        <f t="shared" si="831"/>
        <v>0</v>
      </c>
      <c r="AF84" s="144">
        <f t="shared" si="832"/>
        <v>1992.6277</v>
      </c>
      <c r="AG84" s="144">
        <f t="shared" si="833"/>
        <v>0</v>
      </c>
      <c r="AH84" s="144">
        <f t="shared" si="834"/>
        <v>0</v>
      </c>
      <c r="AI84" s="144">
        <f t="shared" si="835"/>
        <v>740.08590000000004</v>
      </c>
      <c r="AJ84" s="144">
        <f t="shared" si="836"/>
        <v>0</v>
      </c>
      <c r="AK84" s="144">
        <f t="shared" si="837"/>
        <v>4100.43</v>
      </c>
      <c r="AL84" s="144">
        <f t="shared" si="838"/>
        <v>2178.1821999999997</v>
      </c>
      <c r="AM84" s="144">
        <f t="shared" si="839"/>
        <v>335.36800000000005</v>
      </c>
      <c r="AN84" s="144">
        <f t="shared" si="840"/>
        <v>46.679600000000001</v>
      </c>
      <c r="AO84" s="144">
        <f t="shared" si="841"/>
        <v>0</v>
      </c>
      <c r="AP84" s="144">
        <f t="shared" si="842"/>
        <v>0</v>
      </c>
      <c r="AQ84" s="144">
        <f t="shared" si="843"/>
        <v>0</v>
      </c>
      <c r="AR84" s="144">
        <f t="shared" si="844"/>
        <v>2052.4065310000001</v>
      </c>
      <c r="AS84" s="144">
        <f t="shared" si="845"/>
        <v>0</v>
      </c>
      <c r="AT84" s="144">
        <f t="shared" si="846"/>
        <v>0</v>
      </c>
      <c r="AU84" s="144">
        <f t="shared" si="847"/>
        <v>762.28847700000006</v>
      </c>
      <c r="AV84" s="144">
        <f t="shared" si="848"/>
        <v>0</v>
      </c>
      <c r="AW84" s="144">
        <f t="shared" si="849"/>
        <v>4223.4429</v>
      </c>
      <c r="AX84" s="144">
        <f t="shared" si="850"/>
        <v>2243.527666</v>
      </c>
      <c r="AY84" s="144">
        <f t="shared" si="851"/>
        <v>345.42904000000004</v>
      </c>
      <c r="AZ84" s="144">
        <f t="shared" si="852"/>
        <v>48.079988</v>
      </c>
      <c r="BA84" s="144">
        <f t="shared" si="853"/>
        <v>0</v>
      </c>
      <c r="BB84" s="144">
        <f t="shared" si="854"/>
        <v>0</v>
      </c>
      <c r="BC84" s="144">
        <f t="shared" si="855"/>
        <v>0</v>
      </c>
      <c r="BD84" s="144">
        <f t="shared" si="856"/>
        <v>2113.97872693</v>
      </c>
      <c r="BE84" s="144">
        <f t="shared" si="857"/>
        <v>0</v>
      </c>
      <c r="BF84" s="144">
        <f t="shared" si="858"/>
        <v>0</v>
      </c>
      <c r="BG84" s="144">
        <f t="shared" si="859"/>
        <v>785.15713131000007</v>
      </c>
      <c r="BH84" s="144">
        <f t="shared" si="860"/>
        <v>0</v>
      </c>
      <c r="BI84" s="144">
        <f t="shared" si="861"/>
        <v>4350.1461870000003</v>
      </c>
      <c r="BJ84" s="144">
        <f t="shared" si="862"/>
        <v>2310.83349598</v>
      </c>
      <c r="BK84" s="144">
        <f t="shared" si="863"/>
        <v>355.79191120000007</v>
      </c>
      <c r="BL84" s="144">
        <f t="shared" si="864"/>
        <v>49.522387639999998</v>
      </c>
      <c r="BM84" s="144">
        <f t="shared" si="865"/>
        <v>0</v>
      </c>
      <c r="BN84" s="144">
        <f t="shared" si="866"/>
        <v>0</v>
      </c>
      <c r="BO84" s="144">
        <f t="shared" si="867"/>
        <v>0</v>
      </c>
      <c r="BP84" s="144">
        <f t="shared" si="868"/>
        <v>2177.3980887379003</v>
      </c>
      <c r="BQ84" s="144">
        <f t="shared" si="869"/>
        <v>0</v>
      </c>
      <c r="BR84" s="144">
        <f t="shared" si="870"/>
        <v>0</v>
      </c>
      <c r="BS84" s="144">
        <f t="shared" si="871"/>
        <v>808.71184524930004</v>
      </c>
      <c r="BT84" s="144">
        <f t="shared" si="872"/>
        <v>0</v>
      </c>
      <c r="BU84" s="144">
        <f t="shared" si="873"/>
        <v>4480.6505726100004</v>
      </c>
      <c r="BV84" s="144">
        <f t="shared" si="874"/>
        <v>2380.1585008594002</v>
      </c>
      <c r="BW84" s="144">
        <f t="shared" si="875"/>
        <v>366.46566853600007</v>
      </c>
      <c r="BX84" s="144">
        <f t="shared" si="876"/>
        <v>51.008059269199997</v>
      </c>
      <c r="BY84" s="8"/>
      <c r="BZ84" s="73">
        <f t="shared" si="502"/>
        <v>325.60000000000002</v>
      </c>
      <c r="CA84" s="73">
        <f t="shared" si="503"/>
        <v>9074.4600000000009</v>
      </c>
      <c r="CB84" s="97"/>
      <c r="CC84" s="73">
        <f t="shared" si="877"/>
        <v>0</v>
      </c>
      <c r="CD84" s="73">
        <f t="shared" si="877"/>
        <v>0</v>
      </c>
      <c r="CE84" s="73">
        <f t="shared" si="877"/>
        <v>799.36</v>
      </c>
      <c r="CF84" s="73">
        <f t="shared" si="877"/>
        <v>9119.7800000000007</v>
      </c>
      <c r="CG84" s="73">
        <f t="shared" si="877"/>
        <v>9393.3734000000004</v>
      </c>
      <c r="CH84" s="73">
        <f t="shared" si="877"/>
        <v>9675.174602000001</v>
      </c>
      <c r="CI84" s="73">
        <f t="shared" si="877"/>
        <v>9965.4298400600001</v>
      </c>
      <c r="CJ84" s="73">
        <f t="shared" si="877"/>
        <v>10264.392735261799</v>
      </c>
      <c r="CL84" s="13"/>
      <c r="CM84" s="13"/>
    </row>
    <row r="85" spans="1:91" x14ac:dyDescent="0.3">
      <c r="A85" s="97" t="str">
        <f>'DCS Detail'!A85</f>
        <v xml:space="preserve">      Total 2100 Support Services - Student</v>
      </c>
      <c r="B85" s="106" t="str">
        <f>IF('DCS Detail'!$B85="","",'DCS Detail'!$B85)</f>
        <v/>
      </c>
      <c r="C85" s="36">
        <f>SUM(C75:C83)</f>
        <v>0</v>
      </c>
      <c r="D85" s="36">
        <f t="shared" ref="D85" si="878">SUM(D75:D83)</f>
        <v>0</v>
      </c>
      <c r="E85" s="36">
        <f>SUM(E75:E84)</f>
        <v>-384.22</v>
      </c>
      <c r="F85" s="36">
        <f t="shared" ref="F85:AZ85" si="879">SUM(F75:F84)</f>
        <v>480.72</v>
      </c>
      <c r="G85" s="36">
        <f t="shared" si="879"/>
        <v>251.67999999999998</v>
      </c>
      <c r="H85" s="36">
        <f t="shared" si="879"/>
        <v>0</v>
      </c>
      <c r="I85" s="36">
        <f t="shared" si="879"/>
        <v>0</v>
      </c>
      <c r="J85" s="36">
        <f t="shared" si="879"/>
        <v>158.72120000000001</v>
      </c>
      <c r="K85" s="36">
        <f t="shared" si="879"/>
        <v>5.72</v>
      </c>
      <c r="L85" s="36">
        <f t="shared" si="879"/>
        <v>52.798800000000028</v>
      </c>
      <c r="M85" s="36">
        <f t="shared" si="879"/>
        <v>474.73</v>
      </c>
      <c r="N85" s="36">
        <f t="shared" si="879"/>
        <v>565.1</v>
      </c>
      <c r="O85" s="36">
        <f t="shared" si="879"/>
        <v>577.1</v>
      </c>
      <c r="P85" s="36">
        <f t="shared" si="879"/>
        <v>45.28</v>
      </c>
      <c r="Q85" s="36">
        <f t="shared" si="879"/>
        <v>0</v>
      </c>
      <c r="R85" s="36">
        <f t="shared" ref="R85:S85" si="880">SUM(R75:R84)</f>
        <v>0</v>
      </c>
      <c r="S85" s="36">
        <f t="shared" si="880"/>
        <v>9.9</v>
      </c>
      <c r="T85" s="36">
        <f t="shared" ref="T85:U85" si="881">SUM(T75:T84)</f>
        <v>3119.4399999999996</v>
      </c>
      <c r="U85" s="36">
        <f t="shared" si="881"/>
        <v>0</v>
      </c>
      <c r="V85" s="36">
        <f t="shared" ref="V85:W85" si="882">SUM(V75:V84)</f>
        <v>4.4000000000000004</v>
      </c>
      <c r="W85" s="36">
        <f t="shared" si="882"/>
        <v>1171.47</v>
      </c>
      <c r="X85" s="36">
        <f t="shared" si="879"/>
        <v>12.79</v>
      </c>
      <c r="Y85" s="36">
        <f t="shared" si="879"/>
        <v>8018.29</v>
      </c>
      <c r="Z85" s="36">
        <f t="shared" si="879"/>
        <v>2245.4399999999996</v>
      </c>
      <c r="AA85" s="36">
        <f t="shared" si="879"/>
        <v>849.66</v>
      </c>
      <c r="AB85" s="36">
        <f t="shared" si="879"/>
        <v>46.638399999999997</v>
      </c>
      <c r="AC85" s="36">
        <f t="shared" si="879"/>
        <v>0</v>
      </c>
      <c r="AD85" s="36">
        <f t="shared" si="879"/>
        <v>0</v>
      </c>
      <c r="AE85" s="36">
        <f t="shared" si="879"/>
        <v>10.197000000000001</v>
      </c>
      <c r="AF85" s="36">
        <f t="shared" si="879"/>
        <v>3213.0231999999996</v>
      </c>
      <c r="AG85" s="36">
        <f t="shared" si="879"/>
        <v>0</v>
      </c>
      <c r="AH85" s="36">
        <f t="shared" si="879"/>
        <v>4.5320000000000009</v>
      </c>
      <c r="AI85" s="36">
        <f t="shared" si="879"/>
        <v>1206.6141</v>
      </c>
      <c r="AJ85" s="36">
        <f t="shared" si="879"/>
        <v>13.173699999999997</v>
      </c>
      <c r="AK85" s="36">
        <f t="shared" si="879"/>
        <v>8258.8387000000002</v>
      </c>
      <c r="AL85" s="36">
        <f t="shared" si="879"/>
        <v>2312.8031999999998</v>
      </c>
      <c r="AM85" s="36">
        <f t="shared" si="879"/>
        <v>875.14980000000003</v>
      </c>
      <c r="AN85" s="36">
        <f t="shared" si="879"/>
        <v>48.037551999999998</v>
      </c>
      <c r="AO85" s="36">
        <f t="shared" si="879"/>
        <v>0</v>
      </c>
      <c r="AP85" s="36">
        <f t="shared" si="879"/>
        <v>0</v>
      </c>
      <c r="AQ85" s="36">
        <f t="shared" si="879"/>
        <v>10.502910000000002</v>
      </c>
      <c r="AR85" s="36">
        <f t="shared" si="879"/>
        <v>3309.413896</v>
      </c>
      <c r="AS85" s="36">
        <f t="shared" si="879"/>
        <v>0</v>
      </c>
      <c r="AT85" s="36">
        <f t="shared" si="879"/>
        <v>4.6679600000000008</v>
      </c>
      <c r="AU85" s="36">
        <f t="shared" si="879"/>
        <v>1242.8125230000001</v>
      </c>
      <c r="AV85" s="36">
        <f t="shared" si="879"/>
        <v>13.568911</v>
      </c>
      <c r="AW85" s="36">
        <f t="shared" si="879"/>
        <v>8506.6038609999996</v>
      </c>
      <c r="AX85" s="36">
        <f t="shared" si="879"/>
        <v>2382.1872960000001</v>
      </c>
      <c r="AY85" s="36">
        <f t="shared" si="879"/>
        <v>901.40429399999994</v>
      </c>
      <c r="AZ85" s="36">
        <f t="shared" si="879"/>
        <v>49.478678559999999</v>
      </c>
      <c r="BA85" s="36">
        <f t="shared" ref="BA85:BX85" si="883">SUM(BA75:BA84)</f>
        <v>0</v>
      </c>
      <c r="BB85" s="36">
        <f t="shared" si="883"/>
        <v>0</v>
      </c>
      <c r="BC85" s="36">
        <f t="shared" si="883"/>
        <v>10.817997300000002</v>
      </c>
      <c r="BD85" s="36">
        <f t="shared" si="883"/>
        <v>3408.6963128799998</v>
      </c>
      <c r="BE85" s="36">
        <f t="shared" si="883"/>
        <v>0</v>
      </c>
      <c r="BF85" s="36">
        <f t="shared" si="883"/>
        <v>4.8079988000000009</v>
      </c>
      <c r="BG85" s="36">
        <f t="shared" si="883"/>
        <v>1280.0968986900002</v>
      </c>
      <c r="BH85" s="36">
        <f t="shared" si="883"/>
        <v>13.975978330000004</v>
      </c>
      <c r="BI85" s="36">
        <f t="shared" si="883"/>
        <v>8761.8019768300001</v>
      </c>
      <c r="BJ85" s="36">
        <f t="shared" si="883"/>
        <v>2453.65291488</v>
      </c>
      <c r="BK85" s="36">
        <f t="shared" si="883"/>
        <v>928.44642282000007</v>
      </c>
      <c r="BL85" s="36">
        <f t="shared" si="883"/>
        <v>50.963038916799995</v>
      </c>
      <c r="BM85" s="36">
        <f t="shared" si="883"/>
        <v>0</v>
      </c>
      <c r="BN85" s="36">
        <f t="shared" si="883"/>
        <v>0</v>
      </c>
      <c r="BO85" s="36">
        <f t="shared" si="883"/>
        <v>11.142537219000003</v>
      </c>
      <c r="BP85" s="36">
        <f t="shared" si="883"/>
        <v>3510.9572022664006</v>
      </c>
      <c r="BQ85" s="36">
        <f t="shared" si="883"/>
        <v>0</v>
      </c>
      <c r="BR85" s="36">
        <f t="shared" si="883"/>
        <v>4.9522387640000014</v>
      </c>
      <c r="BS85" s="36">
        <f t="shared" si="883"/>
        <v>1318.4998056507002</v>
      </c>
      <c r="BT85" s="36">
        <f t="shared" si="883"/>
        <v>14.395257679900006</v>
      </c>
      <c r="BU85" s="36">
        <f t="shared" si="883"/>
        <v>9024.6560361349002</v>
      </c>
      <c r="BV85" s="36">
        <f t="shared" si="883"/>
        <v>2527.2625023264004</v>
      </c>
      <c r="BW85" s="36">
        <f t="shared" si="883"/>
        <v>956.29981550460002</v>
      </c>
      <c r="BX85" s="36">
        <f t="shared" si="883"/>
        <v>52.491930084303995</v>
      </c>
      <c r="BY85" s="8"/>
      <c r="BZ85" s="72">
        <f t="shared" si="502"/>
        <v>849.66</v>
      </c>
      <c r="CA85" s="72">
        <f t="shared" si="503"/>
        <v>15431.39</v>
      </c>
      <c r="CB85" s="97"/>
      <c r="CC85" s="72">
        <f t="shared" si="877"/>
        <v>0</v>
      </c>
      <c r="CD85" s="72">
        <f t="shared" si="877"/>
        <v>0</v>
      </c>
      <c r="CE85" s="72">
        <f t="shared" si="877"/>
        <v>2227.63</v>
      </c>
      <c r="CF85" s="72">
        <f t="shared" si="877"/>
        <v>15478.028399999999</v>
      </c>
      <c r="CG85" s="72">
        <f t="shared" si="877"/>
        <v>15942.369252</v>
      </c>
      <c r="CH85" s="72">
        <f t="shared" si="877"/>
        <v>16420.640329559999</v>
      </c>
      <c r="CI85" s="72">
        <f t="shared" si="877"/>
        <v>16913.259539446801</v>
      </c>
      <c r="CJ85" s="72">
        <f t="shared" si="877"/>
        <v>17420.657325630204</v>
      </c>
      <c r="CL85" s="13"/>
      <c r="CM85" s="13"/>
    </row>
    <row r="86" spans="1:91" x14ac:dyDescent="0.3">
      <c r="A86" s="97" t="str">
        <f>'DCS Detail'!A86</f>
        <v xml:space="preserve">      2200 Support Services - Instruction</v>
      </c>
      <c r="B86" s="106" t="str">
        <f>IF('DCS Detail'!$B86="","",'DCS Detail'!$B86)</f>
        <v/>
      </c>
      <c r="C86" s="106"/>
      <c r="D86" s="106"/>
      <c r="E86" s="18">
        <v>0</v>
      </c>
      <c r="F86" s="18">
        <v>0</v>
      </c>
      <c r="G86" s="18">
        <v>0</v>
      </c>
      <c r="H86" s="18">
        <v>0</v>
      </c>
      <c r="I86" s="18">
        <v>0</v>
      </c>
      <c r="J86" s="18">
        <v>0</v>
      </c>
      <c r="K86" s="18">
        <v>0</v>
      </c>
      <c r="L86" s="18">
        <v>0</v>
      </c>
      <c r="M86" s="18">
        <v>0</v>
      </c>
      <c r="N86" s="18">
        <v>0</v>
      </c>
      <c r="O86" s="18">
        <v>0</v>
      </c>
      <c r="P86" s="18">
        <v>0</v>
      </c>
      <c r="Q86" s="18">
        <v>0</v>
      </c>
      <c r="R86" s="18">
        <v>0</v>
      </c>
      <c r="S86" s="18">
        <v>0</v>
      </c>
      <c r="T86" s="18">
        <v>0</v>
      </c>
      <c r="U86" s="18">
        <v>0</v>
      </c>
      <c r="V86" s="18">
        <v>0</v>
      </c>
      <c r="W86" s="18">
        <v>0</v>
      </c>
      <c r="X86" s="18">
        <v>0</v>
      </c>
      <c r="Y86" s="18">
        <v>0</v>
      </c>
      <c r="Z86" s="18">
        <v>0</v>
      </c>
      <c r="AA86" s="146">
        <v>0</v>
      </c>
      <c r="AB86" s="18">
        <v>0</v>
      </c>
      <c r="AC86" s="18">
        <v>0</v>
      </c>
      <c r="AD86" s="18">
        <v>0</v>
      </c>
      <c r="AE86" s="18">
        <v>0</v>
      </c>
      <c r="AF86" s="18">
        <v>0</v>
      </c>
      <c r="AG86" s="18">
        <v>0</v>
      </c>
      <c r="AH86" s="18">
        <v>0</v>
      </c>
      <c r="AI86" s="18">
        <v>0</v>
      </c>
      <c r="AJ86" s="18">
        <v>0</v>
      </c>
      <c r="AK86" s="18">
        <v>0</v>
      </c>
      <c r="AL86" s="18">
        <v>0</v>
      </c>
      <c r="AM86" s="18">
        <v>0</v>
      </c>
      <c r="AN86" s="18">
        <v>0</v>
      </c>
      <c r="AO86" s="18">
        <v>0</v>
      </c>
      <c r="AP86" s="18">
        <v>0</v>
      </c>
      <c r="AQ86" s="18">
        <v>0</v>
      </c>
      <c r="AR86" s="18">
        <v>0</v>
      </c>
      <c r="AS86" s="18">
        <v>0</v>
      </c>
      <c r="AT86" s="18">
        <v>0</v>
      </c>
      <c r="AU86" s="18">
        <v>0</v>
      </c>
      <c r="AV86" s="18">
        <v>0</v>
      </c>
      <c r="AW86" s="18">
        <v>0</v>
      </c>
      <c r="AX86" s="18">
        <v>0</v>
      </c>
      <c r="AY86" s="18">
        <v>0</v>
      </c>
      <c r="AZ86" s="18">
        <v>0</v>
      </c>
      <c r="BA86" s="18">
        <v>0</v>
      </c>
      <c r="BB86" s="18">
        <v>0</v>
      </c>
      <c r="BC86" s="18">
        <v>0</v>
      </c>
      <c r="BD86" s="18">
        <v>0</v>
      </c>
      <c r="BE86" s="18">
        <v>0</v>
      </c>
      <c r="BF86" s="18">
        <v>0</v>
      </c>
      <c r="BG86" s="18">
        <v>0</v>
      </c>
      <c r="BH86" s="18">
        <v>0</v>
      </c>
      <c r="BI86" s="18">
        <v>0</v>
      </c>
      <c r="BJ86" s="18">
        <v>0</v>
      </c>
      <c r="BK86" s="18">
        <v>0</v>
      </c>
      <c r="BL86" s="18">
        <v>0</v>
      </c>
      <c r="BM86" s="18">
        <v>0</v>
      </c>
      <c r="BN86" s="18">
        <v>0</v>
      </c>
      <c r="BO86" s="18">
        <v>0</v>
      </c>
      <c r="BP86" s="18">
        <v>0</v>
      </c>
      <c r="BQ86" s="18">
        <v>0</v>
      </c>
      <c r="BR86" s="18">
        <v>0</v>
      </c>
      <c r="BS86" s="18">
        <v>0</v>
      </c>
      <c r="BT86" s="18">
        <v>0</v>
      </c>
      <c r="BU86" s="18">
        <v>0</v>
      </c>
      <c r="BV86" s="18">
        <v>0</v>
      </c>
      <c r="BW86" s="18">
        <v>0</v>
      </c>
      <c r="BX86" s="18">
        <v>0</v>
      </c>
      <c r="BY86" s="8"/>
      <c r="BZ86" s="72">
        <f t="shared" si="502"/>
        <v>0</v>
      </c>
      <c r="CA86" s="72">
        <f t="shared" si="503"/>
        <v>0</v>
      </c>
      <c r="CB86" s="97"/>
      <c r="CC86" s="72">
        <f t="shared" si="877"/>
        <v>0</v>
      </c>
      <c r="CD86" s="72">
        <f t="shared" si="877"/>
        <v>0</v>
      </c>
      <c r="CE86" s="72">
        <f t="shared" si="877"/>
        <v>0</v>
      </c>
      <c r="CF86" s="72">
        <f t="shared" si="877"/>
        <v>0</v>
      </c>
      <c r="CG86" s="72">
        <f t="shared" si="877"/>
        <v>0</v>
      </c>
      <c r="CH86" s="72">
        <f t="shared" si="877"/>
        <v>0</v>
      </c>
      <c r="CI86" s="72">
        <f t="shared" si="877"/>
        <v>0</v>
      </c>
      <c r="CJ86" s="72">
        <f t="shared" si="877"/>
        <v>0</v>
      </c>
      <c r="CL86" s="13"/>
      <c r="CM86" s="13"/>
    </row>
    <row r="87" spans="1:91" x14ac:dyDescent="0.3">
      <c r="A87" s="97" t="str">
        <f>'DCS Detail'!A87</f>
        <v xml:space="preserve">         112.1 Wages - Support Staff</v>
      </c>
      <c r="B87" s="106" t="str">
        <f>IF('DCS Detail'!$B87="","",'DCS Detail'!$B87)</f>
        <v>Salaries</v>
      </c>
      <c r="C87" s="106"/>
      <c r="D87" s="106"/>
      <c r="E87" s="18">
        <v>-3819.94</v>
      </c>
      <c r="F87" s="18">
        <v>2943.05</v>
      </c>
      <c r="G87" s="18">
        <v>2814.04</v>
      </c>
      <c r="H87" s="18">
        <v>3179.82</v>
      </c>
      <c r="I87" s="18">
        <v>3972.37</v>
      </c>
      <c r="J87" s="18">
        <v>3581.18</v>
      </c>
      <c r="K87" s="18">
        <v>3412.77</v>
      </c>
      <c r="L87" s="18">
        <v>4087.2099999999991</v>
      </c>
      <c r="M87" s="18">
        <v>4037.05</v>
      </c>
      <c r="N87" s="18">
        <v>4165.12</v>
      </c>
      <c r="O87" s="18">
        <v>3995.22</v>
      </c>
      <c r="P87" s="18">
        <v>8161.15</v>
      </c>
      <c r="Q87" s="18">
        <v>0</v>
      </c>
      <c r="R87" s="18">
        <v>5488.89</v>
      </c>
      <c r="S87" s="18">
        <v>7055.35</v>
      </c>
      <c r="T87" s="18">
        <v>6588.62</v>
      </c>
      <c r="U87" s="18">
        <v>6758.26</v>
      </c>
      <c r="V87" s="18">
        <v>6191.48</v>
      </c>
      <c r="W87" s="18">
        <v>5561.57</v>
      </c>
      <c r="X87" s="18">
        <v>6913.74</v>
      </c>
      <c r="Y87" s="18">
        <v>6595.38</v>
      </c>
      <c r="Z87" s="18">
        <v>6435.18</v>
      </c>
      <c r="AA87" s="146">
        <v>7027.46</v>
      </c>
      <c r="AB87" s="102">
        <f t="shared" ref="AB87:AZ87" si="884">AB267*AB274</f>
        <v>12444.526666666667</v>
      </c>
      <c r="AC87" s="102">
        <f t="shared" si="884"/>
        <v>0</v>
      </c>
      <c r="AD87" s="102">
        <f t="shared" si="884"/>
        <v>6222.2633333333333</v>
      </c>
      <c r="AE87" s="102">
        <f t="shared" si="884"/>
        <v>6222.2633333333333</v>
      </c>
      <c r="AF87" s="102">
        <f t="shared" si="884"/>
        <v>6222.2633333333333</v>
      </c>
      <c r="AG87" s="102">
        <f t="shared" si="884"/>
        <v>6222.2633333333333</v>
      </c>
      <c r="AH87" s="102">
        <f t="shared" si="884"/>
        <v>6222.2633333333333</v>
      </c>
      <c r="AI87" s="102">
        <f t="shared" si="884"/>
        <v>6222.2633333333333</v>
      </c>
      <c r="AJ87" s="102">
        <f t="shared" si="884"/>
        <v>6222.2633333333333</v>
      </c>
      <c r="AK87" s="102">
        <f t="shared" si="884"/>
        <v>6222.2633333333333</v>
      </c>
      <c r="AL87" s="102">
        <f t="shared" si="884"/>
        <v>6222.2633333333333</v>
      </c>
      <c r="AM87" s="102">
        <f t="shared" si="884"/>
        <v>6222.2633333333333</v>
      </c>
      <c r="AN87" s="102">
        <f t="shared" si="884"/>
        <v>12444.526666666667</v>
      </c>
      <c r="AO87" s="102">
        <f t="shared" si="884"/>
        <v>0</v>
      </c>
      <c r="AP87" s="102">
        <f t="shared" si="884"/>
        <v>6408.9312333333337</v>
      </c>
      <c r="AQ87" s="102">
        <f t="shared" si="884"/>
        <v>6408.9312333333337</v>
      </c>
      <c r="AR87" s="102">
        <f t="shared" si="884"/>
        <v>6408.9312333333337</v>
      </c>
      <c r="AS87" s="102">
        <f t="shared" si="884"/>
        <v>6408.9312333333337</v>
      </c>
      <c r="AT87" s="102">
        <f t="shared" si="884"/>
        <v>6408.9312333333337</v>
      </c>
      <c r="AU87" s="102">
        <f t="shared" si="884"/>
        <v>6408.9312333333337</v>
      </c>
      <c r="AV87" s="102">
        <f t="shared" si="884"/>
        <v>6408.9312333333337</v>
      </c>
      <c r="AW87" s="102">
        <f t="shared" si="884"/>
        <v>6408.9312333333337</v>
      </c>
      <c r="AX87" s="102">
        <f t="shared" si="884"/>
        <v>6408.9312333333337</v>
      </c>
      <c r="AY87" s="102">
        <f t="shared" si="884"/>
        <v>6408.9312333333337</v>
      </c>
      <c r="AZ87" s="102">
        <f t="shared" si="884"/>
        <v>12817.862466666667</v>
      </c>
      <c r="BA87" s="102">
        <f t="shared" ref="BA87:BX87" si="885">BA267*BA274</f>
        <v>0</v>
      </c>
      <c r="BB87" s="102">
        <f t="shared" si="885"/>
        <v>6601.1991703333342</v>
      </c>
      <c r="BC87" s="102">
        <f t="shared" si="885"/>
        <v>6601.1991703333342</v>
      </c>
      <c r="BD87" s="102">
        <f t="shared" si="885"/>
        <v>6601.1991703333342</v>
      </c>
      <c r="BE87" s="102">
        <f t="shared" si="885"/>
        <v>6601.1991703333342</v>
      </c>
      <c r="BF87" s="102">
        <f t="shared" si="885"/>
        <v>6601.1991703333342</v>
      </c>
      <c r="BG87" s="102">
        <f t="shared" si="885"/>
        <v>6601.1991703333342</v>
      </c>
      <c r="BH87" s="102">
        <f t="shared" si="885"/>
        <v>6601.1991703333342</v>
      </c>
      <c r="BI87" s="102">
        <f t="shared" si="885"/>
        <v>6601.1991703333342</v>
      </c>
      <c r="BJ87" s="102">
        <f t="shared" si="885"/>
        <v>6601.1991703333342</v>
      </c>
      <c r="BK87" s="102">
        <f t="shared" si="885"/>
        <v>6601.1991703333342</v>
      </c>
      <c r="BL87" s="102">
        <f t="shared" si="885"/>
        <v>13202.398340666668</v>
      </c>
      <c r="BM87" s="102">
        <f t="shared" si="885"/>
        <v>0</v>
      </c>
      <c r="BN87" s="102">
        <f t="shared" si="885"/>
        <v>6799.2351454433347</v>
      </c>
      <c r="BO87" s="102">
        <f t="shared" si="885"/>
        <v>6799.2351454433347</v>
      </c>
      <c r="BP87" s="102">
        <f t="shared" si="885"/>
        <v>6799.2351454433347</v>
      </c>
      <c r="BQ87" s="102">
        <f t="shared" si="885"/>
        <v>6799.2351454433347</v>
      </c>
      <c r="BR87" s="102">
        <f t="shared" si="885"/>
        <v>6799.2351454433347</v>
      </c>
      <c r="BS87" s="102">
        <f t="shared" si="885"/>
        <v>6799.2351454433347</v>
      </c>
      <c r="BT87" s="102">
        <f t="shared" si="885"/>
        <v>6799.2351454433347</v>
      </c>
      <c r="BU87" s="102">
        <f t="shared" si="885"/>
        <v>6799.2351454433347</v>
      </c>
      <c r="BV87" s="102">
        <f t="shared" si="885"/>
        <v>6799.2351454433347</v>
      </c>
      <c r="BW87" s="102">
        <f t="shared" si="885"/>
        <v>6799.2351454433347</v>
      </c>
      <c r="BX87" s="102">
        <f t="shared" si="885"/>
        <v>13598.470290886669</v>
      </c>
      <c r="BY87" s="8"/>
      <c r="BZ87" s="72">
        <f t="shared" si="502"/>
        <v>7027.46</v>
      </c>
      <c r="CA87" s="72">
        <f t="shared" si="503"/>
        <v>64615.929999999993</v>
      </c>
      <c r="CB87" s="97"/>
      <c r="CC87" s="72">
        <f t="shared" si="877"/>
        <v>0</v>
      </c>
      <c r="CD87" s="72">
        <f t="shared" si="877"/>
        <v>0</v>
      </c>
      <c r="CE87" s="72">
        <f t="shared" si="877"/>
        <v>40529.040000000001</v>
      </c>
      <c r="CF87" s="72">
        <f t="shared" si="877"/>
        <v>77060.456666666665</v>
      </c>
      <c r="CG87" s="72">
        <f t="shared" si="877"/>
        <v>74667.160000000018</v>
      </c>
      <c r="CH87" s="72">
        <f t="shared" si="877"/>
        <v>76907.174800000023</v>
      </c>
      <c r="CI87" s="72">
        <f t="shared" si="877"/>
        <v>79214.390044000014</v>
      </c>
      <c r="CJ87" s="72">
        <f t="shared" si="877"/>
        <v>81590.821745320034</v>
      </c>
      <c r="CL87" s="13"/>
      <c r="CM87" s="13"/>
    </row>
    <row r="88" spans="1:91" x14ac:dyDescent="0.3">
      <c r="A88" s="97" t="str">
        <f>'DCS Detail'!A88</f>
        <v xml:space="preserve">         212.1 Medical Ins. - Support Staff</v>
      </c>
      <c r="B88" s="106" t="str">
        <f>IF('DCS Detail'!$B88="","",'DCS Detail'!$B88)</f>
        <v>Benefits</v>
      </c>
      <c r="C88" s="106"/>
      <c r="D88" s="106"/>
      <c r="E88" s="18">
        <v>0</v>
      </c>
      <c r="F88" s="18">
        <v>0</v>
      </c>
      <c r="G88" s="18">
        <v>0</v>
      </c>
      <c r="H88" s="18">
        <v>0</v>
      </c>
      <c r="I88" s="18">
        <v>0</v>
      </c>
      <c r="J88" s="18">
        <v>0</v>
      </c>
      <c r="K88" s="18">
        <v>0</v>
      </c>
      <c r="L88" s="18">
        <v>0</v>
      </c>
      <c r="M88" s="18">
        <v>0</v>
      </c>
      <c r="N88" s="18">
        <v>0</v>
      </c>
      <c r="O88" s="18">
        <v>0</v>
      </c>
      <c r="P88" s="18">
        <v>0</v>
      </c>
      <c r="Q88" s="18">
        <v>0</v>
      </c>
      <c r="R88" s="18">
        <v>0</v>
      </c>
      <c r="S88" s="18">
        <v>0</v>
      </c>
      <c r="T88" s="18">
        <v>0</v>
      </c>
      <c r="U88" s="18">
        <v>0</v>
      </c>
      <c r="V88" s="18">
        <v>0</v>
      </c>
      <c r="W88" s="18">
        <v>0</v>
      </c>
      <c r="X88" s="18">
        <v>0</v>
      </c>
      <c r="Y88" s="18">
        <v>0</v>
      </c>
      <c r="Z88" s="18">
        <v>0</v>
      </c>
      <c r="AA88" s="146">
        <v>0</v>
      </c>
      <c r="AB88" s="18">
        <v>0</v>
      </c>
      <c r="AC88" s="18">
        <v>0</v>
      </c>
      <c r="AD88" s="18">
        <v>0</v>
      </c>
      <c r="AE88" s="18">
        <v>0</v>
      </c>
      <c r="AF88" s="18">
        <v>0</v>
      </c>
      <c r="AG88" s="18">
        <v>0</v>
      </c>
      <c r="AH88" s="18">
        <v>0</v>
      </c>
      <c r="AI88" s="18">
        <v>0</v>
      </c>
      <c r="AJ88" s="18">
        <v>0</v>
      </c>
      <c r="AK88" s="18">
        <v>0</v>
      </c>
      <c r="AL88" s="18">
        <v>0</v>
      </c>
      <c r="AM88" s="18">
        <v>0</v>
      </c>
      <c r="AN88" s="18">
        <v>0</v>
      </c>
      <c r="AO88" s="18">
        <v>0</v>
      </c>
      <c r="AP88" s="18">
        <v>0</v>
      </c>
      <c r="AQ88" s="18">
        <v>0</v>
      </c>
      <c r="AR88" s="18">
        <v>0</v>
      </c>
      <c r="AS88" s="18">
        <v>0</v>
      </c>
      <c r="AT88" s="18">
        <v>0</v>
      </c>
      <c r="AU88" s="18">
        <v>0</v>
      </c>
      <c r="AV88" s="18">
        <v>0</v>
      </c>
      <c r="AW88" s="18">
        <v>0</v>
      </c>
      <c r="AX88" s="18">
        <v>0</v>
      </c>
      <c r="AY88" s="18">
        <v>0</v>
      </c>
      <c r="AZ88" s="18">
        <v>0</v>
      </c>
      <c r="BA88" s="18">
        <v>0</v>
      </c>
      <c r="BB88" s="18">
        <v>0</v>
      </c>
      <c r="BC88" s="18">
        <v>0</v>
      </c>
      <c r="BD88" s="18">
        <v>0</v>
      </c>
      <c r="BE88" s="18">
        <v>0</v>
      </c>
      <c r="BF88" s="18">
        <v>0</v>
      </c>
      <c r="BG88" s="18">
        <v>0</v>
      </c>
      <c r="BH88" s="18">
        <v>0</v>
      </c>
      <c r="BI88" s="18">
        <v>0</v>
      </c>
      <c r="BJ88" s="18">
        <v>0</v>
      </c>
      <c r="BK88" s="18">
        <v>0</v>
      </c>
      <c r="BL88" s="18">
        <v>0</v>
      </c>
      <c r="BM88" s="18">
        <v>0</v>
      </c>
      <c r="BN88" s="18">
        <v>0</v>
      </c>
      <c r="BO88" s="18">
        <v>0</v>
      </c>
      <c r="BP88" s="18">
        <v>0</v>
      </c>
      <c r="BQ88" s="18">
        <v>0</v>
      </c>
      <c r="BR88" s="18">
        <v>0</v>
      </c>
      <c r="BS88" s="18">
        <v>0</v>
      </c>
      <c r="BT88" s="18">
        <v>0</v>
      </c>
      <c r="BU88" s="18">
        <v>0</v>
      </c>
      <c r="BV88" s="18">
        <v>0</v>
      </c>
      <c r="BW88" s="18">
        <v>0</v>
      </c>
      <c r="BX88" s="18">
        <v>0</v>
      </c>
      <c r="BY88" s="8"/>
      <c r="BZ88" s="72">
        <f t="shared" si="502"/>
        <v>0</v>
      </c>
      <c r="CA88" s="72">
        <f t="shared" si="503"/>
        <v>0</v>
      </c>
      <c r="CB88" s="97"/>
      <c r="CC88" s="72">
        <f t="shared" ref="CC88:CJ97" si="886">SUMIF($C$3:$BY$3,CC$3,$C88:$BY88)</f>
        <v>0</v>
      </c>
      <c r="CD88" s="72">
        <f t="shared" si="886"/>
        <v>0</v>
      </c>
      <c r="CE88" s="72">
        <f t="shared" si="886"/>
        <v>0</v>
      </c>
      <c r="CF88" s="72">
        <f t="shared" si="886"/>
        <v>0</v>
      </c>
      <c r="CG88" s="72">
        <f t="shared" si="886"/>
        <v>0</v>
      </c>
      <c r="CH88" s="72">
        <f t="shared" si="886"/>
        <v>0</v>
      </c>
      <c r="CI88" s="72">
        <f t="shared" si="886"/>
        <v>0</v>
      </c>
      <c r="CJ88" s="72">
        <f t="shared" si="886"/>
        <v>0</v>
      </c>
      <c r="CL88" s="13"/>
      <c r="CM88" s="13"/>
    </row>
    <row r="89" spans="1:91" x14ac:dyDescent="0.3">
      <c r="A89" s="97" t="str">
        <f>'DCS Detail'!A89</f>
        <v xml:space="preserve">         222.1 Payroll Tax - Support Staff</v>
      </c>
      <c r="B89" s="106" t="str">
        <f>IF('DCS Detail'!$B89="","",'DCS Detail'!$B89)</f>
        <v>Benefits</v>
      </c>
      <c r="C89" s="106"/>
      <c r="D89" s="106"/>
      <c r="E89" s="18">
        <v>-121.9</v>
      </c>
      <c r="F89" s="18">
        <v>97.13</v>
      </c>
      <c r="G89" s="18">
        <v>96.95</v>
      </c>
      <c r="H89" s="18">
        <v>128.30000000000001</v>
      </c>
      <c r="I89" s="18">
        <v>165.42</v>
      </c>
      <c r="J89" s="18">
        <v>133.30000000000001</v>
      </c>
      <c r="K89" s="18">
        <v>117.98</v>
      </c>
      <c r="L89" s="18">
        <v>150.82000000000005</v>
      </c>
      <c r="M89" s="18">
        <v>143.54</v>
      </c>
      <c r="N89" s="18">
        <v>136.62</v>
      </c>
      <c r="O89" s="18">
        <v>115.76</v>
      </c>
      <c r="P89" s="18">
        <v>167.11</v>
      </c>
      <c r="Q89" s="18">
        <v>0</v>
      </c>
      <c r="R89" s="18">
        <v>227.95</v>
      </c>
      <c r="S89" s="18">
        <v>306.69</v>
      </c>
      <c r="T89" s="18">
        <v>230.53</v>
      </c>
      <c r="U89" s="18">
        <v>217.25</v>
      </c>
      <c r="V89" s="18">
        <v>199.02</v>
      </c>
      <c r="W89" s="18">
        <v>197.89</v>
      </c>
      <c r="X89" s="18">
        <v>311.33999999999997</v>
      </c>
      <c r="Y89" s="18">
        <v>273.24</v>
      </c>
      <c r="Z89" s="18">
        <v>251.32</v>
      </c>
      <c r="AA89" s="146">
        <v>311.24</v>
      </c>
      <c r="AB89" s="102">
        <f t="shared" ref="AB89:AZ89" si="887">SUM(U89:AA89)/SUM(U$87:AA$87)*AB$87</f>
        <v>481.90557097399096</v>
      </c>
      <c r="AC89" s="102">
        <f t="shared" si="887"/>
        <v>0</v>
      </c>
      <c r="AD89" s="102">
        <f t="shared" si="887"/>
        <v>252.73934905080765</v>
      </c>
      <c r="AE89" s="102">
        <f t="shared" si="887"/>
        <v>256.55857403642102</v>
      </c>
      <c r="AF89" s="102">
        <f t="shared" si="887"/>
        <v>252.9218480291637</v>
      </c>
      <c r="AG89" s="102">
        <f t="shared" si="887"/>
        <v>252.2026941208596</v>
      </c>
      <c r="AH89" s="102">
        <f t="shared" si="887"/>
        <v>253.53698457526147</v>
      </c>
      <c r="AI89" s="102">
        <f t="shared" si="887"/>
        <v>249.98071725521484</v>
      </c>
      <c r="AJ89" s="102">
        <f t="shared" si="887"/>
        <v>252.99002784462135</v>
      </c>
      <c r="AK89" s="102">
        <f t="shared" si="887"/>
        <v>252.99002784462135</v>
      </c>
      <c r="AL89" s="102">
        <f t="shared" si="887"/>
        <v>253.02583910088049</v>
      </c>
      <c r="AM89" s="102">
        <f t="shared" si="887"/>
        <v>252.52116268151758</v>
      </c>
      <c r="AN89" s="102">
        <f t="shared" si="887"/>
        <v>504.92784383513623</v>
      </c>
      <c r="AO89" s="102">
        <f t="shared" si="887"/>
        <v>0</v>
      </c>
      <c r="AP89" s="102">
        <f t="shared" si="887"/>
        <v>259.91838387412167</v>
      </c>
      <c r="AQ89" s="102">
        <f t="shared" si="887"/>
        <v>260.26521817017431</v>
      </c>
      <c r="AR89" s="102">
        <f t="shared" si="887"/>
        <v>260.22066993932651</v>
      </c>
      <c r="AS89" s="102">
        <f t="shared" si="887"/>
        <v>260.17002695757287</v>
      </c>
      <c r="AT89" s="102">
        <f t="shared" si="887"/>
        <v>260.10730401988548</v>
      </c>
      <c r="AU89" s="102">
        <f t="shared" si="887"/>
        <v>260.10877345455992</v>
      </c>
      <c r="AV89" s="102">
        <f t="shared" si="887"/>
        <v>260.13172940260682</v>
      </c>
      <c r="AW89" s="102">
        <f t="shared" si="887"/>
        <v>260.13172940260682</v>
      </c>
      <c r="AX89" s="102">
        <f t="shared" si="887"/>
        <v>260.1622073352475</v>
      </c>
      <c r="AY89" s="102">
        <f t="shared" si="887"/>
        <v>260.14749150168655</v>
      </c>
      <c r="AZ89" s="102">
        <f t="shared" si="887"/>
        <v>520.27407487833318</v>
      </c>
      <c r="BA89" s="102">
        <f t="shared" ref="BA89:BA92" si="888">SUM(AT89:AZ89)/SUM(AT$87:AZ$87)*BA$87</f>
        <v>0</v>
      </c>
      <c r="BB89" s="102">
        <f t="shared" ref="BB89:BB92" si="889">SUM(AU89:BA89)/SUM(AU$87:BA$87)*BB$87</f>
        <v>267.9406694506132</v>
      </c>
      <c r="BC89" s="102">
        <f t="shared" ref="BC89:BC92" si="890">SUM(AV89:BB89)/SUM(AV$87:BB$87)*BC$87</f>
        <v>267.94474239405787</v>
      </c>
      <c r="BD89" s="102">
        <f t="shared" ref="BD89:BD92" si="891">SUM(AW89:BC89)/SUM(AW$87:BC$87)*BD$87</f>
        <v>267.94602583731188</v>
      </c>
      <c r="BE89" s="102">
        <f t="shared" ref="BE89:BE92" si="892">SUM(AX89:BD89)/SUM(AX$87:BD$87)*BE$87</f>
        <v>267.94748487153288</v>
      </c>
      <c r="BF89" s="102">
        <f t="shared" ref="BF89:BF92" si="893">SUM(AY89:BE89)/SUM(AY$87:BE$87)*BF$87</f>
        <v>267.94473365190197</v>
      </c>
      <c r="BG89" s="102">
        <f t="shared" ref="BG89:BG92" si="894">SUM(AZ89:BF89)/SUM(AZ$87:BF$87)*BG$87</f>
        <v>267.94372909318372</v>
      </c>
      <c r="BH89" s="102">
        <f t="shared" ref="BH89:BH92" si="895">SUM(BA89:BG89)/SUM(BA$87:BG$87)*BH$87</f>
        <v>267.9445642164336</v>
      </c>
      <c r="BI89" s="102">
        <f t="shared" ref="BI89:BI92" si="896">SUM(BB89:BH89)/SUM(BB$87:BH$87)*BI$87</f>
        <v>267.9445642164336</v>
      </c>
      <c r="BJ89" s="102">
        <f t="shared" ref="BJ89:BJ92" si="897">SUM(BC89:BI89)/SUM(BC$87:BI$87)*BJ$87</f>
        <v>267.94512061155081</v>
      </c>
      <c r="BK89" s="102">
        <f t="shared" ref="BK89:BK92" si="898">SUM(BD89:BJ89)/SUM(BD$87:BJ$87)*BK$87</f>
        <v>267.94517464262123</v>
      </c>
      <c r="BL89" s="102">
        <f t="shared" ref="BL89:BL92" si="899">SUM(BE89:BK89)/SUM(BE$87:BK$87)*BL$87</f>
        <v>535.89010608675937</v>
      </c>
      <c r="BM89" s="102">
        <f t="shared" ref="BM89:BM92" si="900">SUM(BF89:BL89)/SUM(BF$87:BL$87)*BM$87</f>
        <v>0</v>
      </c>
      <c r="BN89" s="102">
        <f t="shared" ref="BN89:BN92" si="901">SUM(BG89:BM89)/SUM(BG$87:BM$87)*BN$87</f>
        <v>275.98309380471306</v>
      </c>
      <c r="BO89" s="102">
        <f t="shared" ref="BO89:BO92" si="902">SUM(BH89:BN89)/SUM(BH$87:BN$87)*BO$87</f>
        <v>275.98324356840214</v>
      </c>
      <c r="BP89" s="102">
        <f t="shared" ref="BP89:BP92" si="903">SUM(BI89:BO89)/SUM(BI$87:BO$87)*BP$87</f>
        <v>275.98329207059413</v>
      </c>
      <c r="BQ89" s="102">
        <f t="shared" ref="BQ89:BQ92" si="904">SUM(BJ89:BP89)/SUM(BJ$87:BP$87)*BQ$87</f>
        <v>275.98334720848794</v>
      </c>
      <c r="BR89" s="102">
        <f t="shared" ref="BR89:BR92" si="905">SUM(BK89:BQ89)/SUM(BK$87:BQ$87)*BR$87</f>
        <v>275.98332936840239</v>
      </c>
      <c r="BS89" s="102">
        <f t="shared" ref="BS89:BS92" si="906">SUM(BL89:BR89)/SUM(BL$87:BR$87)*BS$87</f>
        <v>275.98330132455663</v>
      </c>
      <c r="BT89" s="102">
        <f t="shared" ref="BT89:BT92" si="907">SUM(BM89:BS89)/SUM(BM$87:BS$87)*BT$87</f>
        <v>275.98326789085934</v>
      </c>
      <c r="BU89" s="102">
        <f t="shared" ref="BU89:BU92" si="908">SUM(BN89:BT89)/SUM(BN$87:BT$87)*BU$87</f>
        <v>275.98326789085934</v>
      </c>
      <c r="BV89" s="102">
        <f t="shared" ref="BV89:BV92" si="909">SUM(BO89:BU89)/SUM(BO$87:BU$87)*BV$87</f>
        <v>275.98329276030876</v>
      </c>
      <c r="BW89" s="102">
        <f t="shared" ref="BW89:BW92" si="910">SUM(BP89:BV89)/SUM(BP$87:BV$87)*BW$87</f>
        <v>275.98329978772404</v>
      </c>
      <c r="BX89" s="102">
        <f t="shared" ref="BX89:BX92" si="911">SUM(BQ89:BW89)/SUM(BQ$87:BW$87)*BX$87</f>
        <v>551.96660178034244</v>
      </c>
      <c r="BY89" s="8"/>
      <c r="BZ89" s="72">
        <f t="shared" si="502"/>
        <v>311.24</v>
      </c>
      <c r="CA89" s="72">
        <f t="shared" si="503"/>
        <v>2526.4700000000003</v>
      </c>
      <c r="CB89" s="97"/>
      <c r="CC89" s="72">
        <f t="shared" si="886"/>
        <v>0</v>
      </c>
      <c r="CD89" s="72">
        <f t="shared" si="886"/>
        <v>0</v>
      </c>
      <c r="CE89" s="72">
        <f t="shared" si="886"/>
        <v>1331.0299999999997</v>
      </c>
      <c r="CF89" s="72">
        <f t="shared" si="886"/>
        <v>3008.3755709739912</v>
      </c>
      <c r="CG89" s="72">
        <f t="shared" si="886"/>
        <v>3034.3950683745052</v>
      </c>
      <c r="CH89" s="72">
        <f t="shared" si="886"/>
        <v>3121.6376089361215</v>
      </c>
      <c r="CI89" s="72">
        <f t="shared" si="886"/>
        <v>3215.3369150724002</v>
      </c>
      <c r="CJ89" s="72">
        <f t="shared" si="886"/>
        <v>3311.7993374552502</v>
      </c>
      <c r="CL89" s="13"/>
      <c r="CM89" s="13"/>
    </row>
    <row r="90" spans="1:91" x14ac:dyDescent="0.3">
      <c r="A90" s="97" t="str">
        <f>'DCS Detail'!A90</f>
        <v xml:space="preserve">         232.1 PERS - Support Staff</v>
      </c>
      <c r="B90" s="106" t="str">
        <f>IF('DCS Detail'!$B90="","",'DCS Detail'!$B90)</f>
        <v>Benefits</v>
      </c>
      <c r="C90" s="106"/>
      <c r="D90" s="106"/>
      <c r="E90" s="18">
        <v>-388.53</v>
      </c>
      <c r="F90" s="18">
        <v>388.53</v>
      </c>
      <c r="G90" s="18">
        <v>318.55</v>
      </c>
      <c r="H90" s="18">
        <v>318.55</v>
      </c>
      <c r="I90" s="18">
        <v>318.55</v>
      </c>
      <c r="J90" s="18">
        <v>318.55</v>
      </c>
      <c r="K90" s="18">
        <v>318.55</v>
      </c>
      <c r="L90" s="18">
        <v>318.54999999999995</v>
      </c>
      <c r="M90" s="18">
        <v>318.55</v>
      </c>
      <c r="N90" s="18">
        <v>318.55</v>
      </c>
      <c r="O90" s="18">
        <v>318.55</v>
      </c>
      <c r="P90" s="18">
        <v>789.42</v>
      </c>
      <c r="Q90" s="18">
        <v>0</v>
      </c>
      <c r="R90" s="18">
        <v>406.05</v>
      </c>
      <c r="S90" s="18">
        <v>753.24</v>
      </c>
      <c r="T90" s="18">
        <v>344.2</v>
      </c>
      <c r="U90" s="18">
        <v>340.84</v>
      </c>
      <c r="V90" s="18">
        <v>152.31</v>
      </c>
      <c r="W90" s="18">
        <v>156.51</v>
      </c>
      <c r="X90" s="18">
        <v>154.83000000000001</v>
      </c>
      <c r="Y90" s="18">
        <v>153.16</v>
      </c>
      <c r="Z90" s="18">
        <v>154.83000000000001</v>
      </c>
      <c r="AA90" s="146">
        <v>243.25</v>
      </c>
      <c r="AB90" s="102">
        <f>SUM(U90:AA90)/SUM(U$87:AA$87)*AB$87</f>
        <v>370.93842033530279</v>
      </c>
      <c r="AC90" s="102">
        <f t="shared" ref="AC90:AC92" si="912">SUM(V90:AB90)/SUM(V$87:AB$87)*AC$87</f>
        <v>0</v>
      </c>
      <c r="AD90" s="102">
        <f t="shared" ref="AD90:AD92" si="913">SUM(W90:AC90)/SUM(W$87:AC$87)*AD$87</f>
        <v>170.64566892827949</v>
      </c>
      <c r="AE90" s="102">
        <f t="shared" ref="AE90:AE92" si="914">SUM(X90:AD90)/SUM(X$87:AD$87)*AE$87</f>
        <v>170.10251842593996</v>
      </c>
      <c r="AF90" s="102">
        <f t="shared" ref="AF90:AF92" si="915">SUM(Y90:AE90)/SUM(Y$87:AE$87)*AF$87</f>
        <v>174.83367305007096</v>
      </c>
      <c r="AG90" s="102">
        <f t="shared" ref="AG90:AG92" si="916">SUM(Z90:AF90)/SUM(Z$87:AF$87)*AG$87</f>
        <v>179.32267679555358</v>
      </c>
      <c r="AH90" s="102">
        <f t="shared" ref="AH90:AH92" si="917">SUM(AA90:AG90)/SUM(AA$87:AG$87)*AH$87</f>
        <v>183.61880401351803</v>
      </c>
      <c r="AI90" s="102">
        <f t="shared" ref="AI90:AI92" si="918">SUM(AB90:AH90)/SUM(AB$87:AH$87)*AI$87</f>
        <v>178.49453736409495</v>
      </c>
      <c r="AJ90" s="102">
        <f t="shared" ref="AJ90:AJ92" si="919">SUM(AC90:AI90)/SUM(AC$87:AI$87)*AJ$87</f>
        <v>176.16964642957615</v>
      </c>
      <c r="AK90" s="102">
        <f t="shared" ref="AK90:AK92" si="920">SUM(AD90:AJ90)/SUM(AD$87:AJ$87)*AK$87</f>
        <v>176.16964642957615</v>
      </c>
      <c r="AL90" s="102">
        <f t="shared" ref="AL90:AL92" si="921">SUM(AE90:AK90)/SUM(AE$87:AK$87)*AL$87</f>
        <v>176.95878607261852</v>
      </c>
      <c r="AM90" s="102">
        <f t="shared" ref="AM90:AM92" si="922">SUM(AF90:AL90)/SUM(AF$87:AL$87)*AM$87</f>
        <v>177.93825287928689</v>
      </c>
      <c r="AN90" s="102">
        <f t="shared" ref="AN90:AN92" si="923">SUM(AG90:AM90)/SUM(AG$87:AM$87)*AN$87</f>
        <v>356.7635285669212</v>
      </c>
      <c r="AO90" s="102">
        <f t="shared" ref="AO90:AO92" si="924">SUM(AH90:AN90)/SUM(AH$87:AN$87)*AO$87</f>
        <v>0</v>
      </c>
      <c r="AP90" s="102">
        <f t="shared" ref="AP90:AP92" si="925">SUM(AI90:AO90)/SUM(AI$87:AO$87)*AP$87</f>
        <v>182.82417566776232</v>
      </c>
      <c r="AQ90" s="102">
        <f t="shared" ref="AQ90:AQ92" si="926">SUM(AJ90:AP90)/SUM(AJ$87:AP$87)*AQ$87</f>
        <v>182.67834383031484</v>
      </c>
      <c r="AR90" s="102">
        <f t="shared" ref="AR90:AR92" si="927">SUM(AK90:AQ90)/SUM(AK$87:AQ$87)*AR$87</f>
        <v>182.85165941216346</v>
      </c>
      <c r="AS90" s="102">
        <f t="shared" ref="AS90:AS92" si="928">SUM(AL90:AR90)/SUM(AL$87:AR$87)*AS$87</f>
        <v>183.04868671677562</v>
      </c>
      <c r="AT90" s="102">
        <f t="shared" ref="AT90:AT92" si="929">SUM(AM90:AS90)/SUM(AM$87:AS$87)*AT$87</f>
        <v>183.15839697828943</v>
      </c>
      <c r="AU90" s="102">
        <f t="shared" ref="AU90:AU92" si="930">SUM(AN90:AT90)/SUM(AN$87:AT$87)*AU$87</f>
        <v>183.14189299404106</v>
      </c>
      <c r="AV90" s="102">
        <f t="shared" ref="AV90:AV92" si="931">SUM(AO90:AU90)/SUM(AO$87:AU$87)*AV$87</f>
        <v>182.95052593322444</v>
      </c>
      <c r="AW90" s="102">
        <f t="shared" ref="AW90:AW92" si="932">SUM(AP90:AV90)/SUM(AP$87:AV$87)*AW$87</f>
        <v>182.95052593322444</v>
      </c>
      <c r="AX90" s="102">
        <f t="shared" ref="AX90:AX92" si="933">SUM(AQ90:AW90)/SUM(AQ$87:AW$87)*AX$87</f>
        <v>182.96857597114763</v>
      </c>
      <c r="AY90" s="102">
        <f t="shared" ref="AY90:AY92" si="934">SUM(AR90:AX90)/SUM(AR$87:AX$87)*AY$87</f>
        <v>183.01003770555229</v>
      </c>
      <c r="AZ90" s="102">
        <f t="shared" ref="AZ90:AZ92" si="935">SUM(AS90:AY90)/SUM(AS$87:AY$87)*AZ$87</f>
        <v>366.06532635207282</v>
      </c>
      <c r="BA90" s="102">
        <f t="shared" si="888"/>
        <v>0</v>
      </c>
      <c r="BB90" s="102">
        <f t="shared" si="889"/>
        <v>188.50278449084865</v>
      </c>
      <c r="BC90" s="102">
        <f t="shared" si="890"/>
        <v>188.48381360990788</v>
      </c>
      <c r="BD90" s="102">
        <f t="shared" si="891"/>
        <v>188.49015523861706</v>
      </c>
      <c r="BE90" s="102">
        <f t="shared" si="892"/>
        <v>188.49736448084496</v>
      </c>
      <c r="BF90" s="102">
        <f t="shared" si="893"/>
        <v>188.50294470985662</v>
      </c>
      <c r="BG90" s="102">
        <f t="shared" si="894"/>
        <v>188.50330916763809</v>
      </c>
      <c r="BH90" s="102">
        <f t="shared" si="895"/>
        <v>188.49672861628551</v>
      </c>
      <c r="BI90" s="102">
        <f t="shared" si="896"/>
        <v>188.49672861628551</v>
      </c>
      <c r="BJ90" s="102">
        <f t="shared" si="897"/>
        <v>188.4958634913479</v>
      </c>
      <c r="BK90" s="102">
        <f t="shared" si="898"/>
        <v>188.49758490298225</v>
      </c>
      <c r="BL90" s="102">
        <f t="shared" si="899"/>
        <v>376.99729256721167</v>
      </c>
      <c r="BM90" s="102">
        <f t="shared" si="900"/>
        <v>0</v>
      </c>
      <c r="BN90" s="102">
        <f t="shared" si="901"/>
        <v>194.15316179751477</v>
      </c>
      <c r="BO90" s="102">
        <f t="shared" si="902"/>
        <v>194.15241547530246</v>
      </c>
      <c r="BP90" s="102">
        <f t="shared" si="903"/>
        <v>194.15252666517898</v>
      </c>
      <c r="BQ90" s="102">
        <f t="shared" si="904"/>
        <v>194.15265306721074</v>
      </c>
      <c r="BR90" s="102">
        <f t="shared" si="905"/>
        <v>194.15292184124479</v>
      </c>
      <c r="BS90" s="102">
        <f t="shared" si="906"/>
        <v>194.1529790987515</v>
      </c>
      <c r="BT90" s="102">
        <f t="shared" si="907"/>
        <v>194.15277632420054</v>
      </c>
      <c r="BU90" s="102">
        <f t="shared" si="908"/>
        <v>194.15277632420052</v>
      </c>
      <c r="BV90" s="102">
        <f t="shared" si="909"/>
        <v>194.15272125658419</v>
      </c>
      <c r="BW90" s="102">
        <f t="shared" si="910"/>
        <v>194.15276493962443</v>
      </c>
      <c r="BX90" s="102">
        <f t="shared" si="911"/>
        <v>388.30559795766186</v>
      </c>
      <c r="BY90" s="8"/>
      <c r="BZ90" s="72">
        <f t="shared" ref="BZ90:BZ121" si="936">SUMIF($B$252:$BY$252,1,$B90:$BY90)</f>
        <v>243.25</v>
      </c>
      <c r="CA90" s="72">
        <f t="shared" ref="CA90:CA121" si="937">SUMIF($B$253:$BY$253,1,$B90:$BY90)</f>
        <v>2859.2199999999993</v>
      </c>
      <c r="CB90" s="97"/>
      <c r="CC90" s="72">
        <f t="shared" si="886"/>
        <v>0</v>
      </c>
      <c r="CD90" s="72">
        <f t="shared" si="886"/>
        <v>0</v>
      </c>
      <c r="CE90" s="72">
        <f t="shared" si="886"/>
        <v>3656.3700000000003</v>
      </c>
      <c r="CF90" s="72">
        <f t="shared" si="886"/>
        <v>3230.1584203353023</v>
      </c>
      <c r="CG90" s="72">
        <f t="shared" si="886"/>
        <v>2121.017738955436</v>
      </c>
      <c r="CH90" s="72">
        <f t="shared" si="886"/>
        <v>2195.6481474945685</v>
      </c>
      <c r="CI90" s="72">
        <f t="shared" si="886"/>
        <v>2261.9645698918257</v>
      </c>
      <c r="CJ90" s="72">
        <f t="shared" si="886"/>
        <v>2329.8332947474746</v>
      </c>
      <c r="CL90" s="13"/>
      <c r="CM90" s="13"/>
    </row>
    <row r="91" spans="1:91" x14ac:dyDescent="0.3">
      <c r="A91" s="97" t="str">
        <f>'DCS Detail'!A91</f>
        <v xml:space="preserve">         262.1 SUI - Support Staff</v>
      </c>
      <c r="B91" s="106" t="str">
        <f>IF('DCS Detail'!$B91="","",'DCS Detail'!$B91)</f>
        <v>Benefits</v>
      </c>
      <c r="C91" s="106"/>
      <c r="D91" s="106"/>
      <c r="E91" s="18">
        <v>-68.760000000000005</v>
      </c>
      <c r="F91" s="18">
        <v>52.97</v>
      </c>
      <c r="G91" s="18">
        <v>48.03</v>
      </c>
      <c r="H91" s="18">
        <v>59.06</v>
      </c>
      <c r="I91" s="18">
        <v>71.5</v>
      </c>
      <c r="J91" s="18">
        <v>64.459999999999994</v>
      </c>
      <c r="K91" s="18">
        <v>61.43</v>
      </c>
      <c r="L91" s="18">
        <v>73.569999999999993</v>
      </c>
      <c r="M91" s="18">
        <v>60.55</v>
      </c>
      <c r="N91" s="18">
        <v>62.48</v>
      </c>
      <c r="O91" s="18">
        <v>59.93</v>
      </c>
      <c r="P91" s="18">
        <v>122.42</v>
      </c>
      <c r="Q91" s="18">
        <v>0</v>
      </c>
      <c r="R91" s="18">
        <v>82.33</v>
      </c>
      <c r="S91" s="18">
        <v>105.83</v>
      </c>
      <c r="T91" s="18">
        <v>98.83</v>
      </c>
      <c r="U91" s="18">
        <v>101.38</v>
      </c>
      <c r="V91" s="18">
        <v>86.19</v>
      </c>
      <c r="W91" s="18">
        <v>83.42</v>
      </c>
      <c r="X91" s="18">
        <v>103.71</v>
      </c>
      <c r="Y91" s="18">
        <v>98.93</v>
      </c>
      <c r="Z91" s="18">
        <v>96.53</v>
      </c>
      <c r="AA91" s="146">
        <v>105.41</v>
      </c>
      <c r="AB91" s="102">
        <f>SUM(U91:AA91)/SUM(U$87:AA$87)*AB$87</f>
        <v>184.8412800675064</v>
      </c>
      <c r="AC91" s="102">
        <f t="shared" si="912"/>
        <v>0</v>
      </c>
      <c r="AD91" s="102">
        <f t="shared" si="913"/>
        <v>93.081261233593153</v>
      </c>
      <c r="AE91" s="102">
        <f t="shared" si="914"/>
        <v>93.050952268304982</v>
      </c>
      <c r="AF91" s="102">
        <f t="shared" si="915"/>
        <v>93.00688177788976</v>
      </c>
      <c r="AG91" s="102">
        <f t="shared" si="916"/>
        <v>92.958584884649923</v>
      </c>
      <c r="AH91" s="102">
        <f t="shared" si="917"/>
        <v>92.903810395849248</v>
      </c>
      <c r="AI91" s="102">
        <f t="shared" si="918"/>
        <v>92.834681518256204</v>
      </c>
      <c r="AJ91" s="102">
        <f t="shared" si="919"/>
        <v>92.972695346423876</v>
      </c>
      <c r="AK91" s="102">
        <f t="shared" si="920"/>
        <v>92.972695346423876</v>
      </c>
      <c r="AL91" s="102">
        <f t="shared" si="921"/>
        <v>92.957185933971104</v>
      </c>
      <c r="AM91" s="102">
        <f t="shared" si="922"/>
        <v>92.943790743351983</v>
      </c>
      <c r="AN91" s="102">
        <f t="shared" si="923"/>
        <v>185.86955547683604</v>
      </c>
      <c r="AO91" s="102">
        <f t="shared" si="924"/>
        <v>0</v>
      </c>
      <c r="AP91" s="102">
        <f t="shared" si="925"/>
        <v>95.723874642317298</v>
      </c>
      <c r="AQ91" s="102">
        <f t="shared" si="926"/>
        <v>95.738690101565297</v>
      </c>
      <c r="AR91" s="102">
        <f t="shared" si="927"/>
        <v>95.735405950679834</v>
      </c>
      <c r="AS91" s="102">
        <f t="shared" si="928"/>
        <v>95.731672487190849</v>
      </c>
      <c r="AT91" s="102">
        <f t="shared" si="929"/>
        <v>95.729674028651615</v>
      </c>
      <c r="AU91" s="102">
        <f t="shared" si="930"/>
        <v>95.729334107392759</v>
      </c>
      <c r="AV91" s="102">
        <f t="shared" si="931"/>
        <v>95.731441886299606</v>
      </c>
      <c r="AW91" s="102">
        <f t="shared" si="932"/>
        <v>95.731441886299606</v>
      </c>
      <c r="AX91" s="102">
        <f t="shared" si="933"/>
        <v>95.732522921154242</v>
      </c>
      <c r="AY91" s="102">
        <f t="shared" si="934"/>
        <v>95.731641895381202</v>
      </c>
      <c r="AZ91" s="102">
        <f t="shared" si="935"/>
        <v>191.46220834639138</v>
      </c>
      <c r="BA91" s="102">
        <f t="shared" si="888"/>
        <v>0</v>
      </c>
      <c r="BB91" s="102">
        <f t="shared" si="889"/>
        <v>98.603164110600915</v>
      </c>
      <c r="BC91" s="102">
        <f t="shared" si="890"/>
        <v>98.603441490399817</v>
      </c>
      <c r="BD91" s="102">
        <f t="shared" si="891"/>
        <v>98.603449471633724</v>
      </c>
      <c r="BE91" s="102">
        <f t="shared" si="892"/>
        <v>98.603458544799466</v>
      </c>
      <c r="BF91" s="102">
        <f t="shared" si="893"/>
        <v>98.603312468396453</v>
      </c>
      <c r="BG91" s="102">
        <f t="shared" si="894"/>
        <v>98.603273491634738</v>
      </c>
      <c r="BH91" s="102">
        <f t="shared" si="895"/>
        <v>98.603349929577519</v>
      </c>
      <c r="BI91" s="102">
        <f t="shared" si="896"/>
        <v>98.603349929577533</v>
      </c>
      <c r="BJ91" s="102">
        <f t="shared" si="897"/>
        <v>98.603376475145609</v>
      </c>
      <c r="BK91" s="102">
        <f t="shared" si="898"/>
        <v>98.603367187252161</v>
      </c>
      <c r="BL91" s="102">
        <f t="shared" si="899"/>
        <v>197.20671086468099</v>
      </c>
      <c r="BM91" s="102">
        <f t="shared" si="900"/>
        <v>0</v>
      </c>
      <c r="BN91" s="102">
        <f t="shared" si="901"/>
        <v>101.56144724488637</v>
      </c>
      <c r="BO91" s="102">
        <f t="shared" si="902"/>
        <v>101.56145799147279</v>
      </c>
      <c r="BP91" s="102">
        <f t="shared" si="903"/>
        <v>101.56145906286201</v>
      </c>
      <c r="BQ91" s="102">
        <f t="shared" si="904"/>
        <v>101.5614602808306</v>
      </c>
      <c r="BR91" s="102">
        <f t="shared" si="905"/>
        <v>101.56145782457084</v>
      </c>
      <c r="BS91" s="102">
        <f t="shared" si="906"/>
        <v>101.56145637306052</v>
      </c>
      <c r="BT91" s="102">
        <f t="shared" si="907"/>
        <v>101.56145646294718</v>
      </c>
      <c r="BU91" s="102">
        <f t="shared" si="908"/>
        <v>101.56145646294716</v>
      </c>
      <c r="BV91" s="102">
        <f t="shared" si="909"/>
        <v>101.56145777981301</v>
      </c>
      <c r="BW91" s="102">
        <f t="shared" si="910"/>
        <v>101.56145774957591</v>
      </c>
      <c r="BX91" s="102">
        <f t="shared" si="911"/>
        <v>203.12291512392721</v>
      </c>
      <c r="BY91" s="8"/>
      <c r="BZ91" s="72">
        <f t="shared" si="936"/>
        <v>105.41</v>
      </c>
      <c r="CA91" s="72">
        <f t="shared" si="937"/>
        <v>962.56000000000006</v>
      </c>
      <c r="CB91" s="97"/>
      <c r="CC91" s="72">
        <f t="shared" si="886"/>
        <v>0</v>
      </c>
      <c r="CD91" s="72">
        <f t="shared" si="886"/>
        <v>0</v>
      </c>
      <c r="CE91" s="72">
        <f t="shared" si="886"/>
        <v>667.64</v>
      </c>
      <c r="CF91" s="72">
        <f t="shared" si="886"/>
        <v>1147.4012800675064</v>
      </c>
      <c r="CG91" s="72">
        <f t="shared" si="886"/>
        <v>1115.5520949255501</v>
      </c>
      <c r="CH91" s="72">
        <f t="shared" si="886"/>
        <v>1148.7779082533239</v>
      </c>
      <c r="CI91" s="72">
        <f t="shared" si="886"/>
        <v>1183.2402539636992</v>
      </c>
      <c r="CJ91" s="72">
        <f t="shared" si="886"/>
        <v>1218.7374823568935</v>
      </c>
      <c r="CL91" s="13"/>
      <c r="CM91" s="13"/>
    </row>
    <row r="92" spans="1:91" x14ac:dyDescent="0.3">
      <c r="A92" s="97" t="str">
        <f>'DCS Detail'!A92</f>
        <v xml:space="preserve">         272.1 WC - Support Staff</v>
      </c>
      <c r="B92" s="106" t="str">
        <f>IF('DCS Detail'!$B92="","",'DCS Detail'!$B92)</f>
        <v>Benefits</v>
      </c>
      <c r="C92" s="106"/>
      <c r="D92" s="106"/>
      <c r="E92" s="18">
        <v>80.849999999999994</v>
      </c>
      <c r="F92" s="18">
        <v>50.53</v>
      </c>
      <c r="G92" s="18">
        <v>40.43</v>
      </c>
      <c r="H92" s="18">
        <v>40.43</v>
      </c>
      <c r="I92" s="18">
        <v>40.43</v>
      </c>
      <c r="J92" s="18">
        <v>40.43</v>
      </c>
      <c r="K92" s="18">
        <v>40.43</v>
      </c>
      <c r="L92" s="18">
        <v>40.42999999999995</v>
      </c>
      <c r="M92" s="18">
        <v>40.43</v>
      </c>
      <c r="N92" s="18">
        <v>40.43</v>
      </c>
      <c r="O92" s="18">
        <v>40.43</v>
      </c>
      <c r="P92" s="18">
        <v>60.64</v>
      </c>
      <c r="Q92" s="18">
        <v>40.43</v>
      </c>
      <c r="R92" s="18">
        <v>56.51</v>
      </c>
      <c r="S92" s="18">
        <v>78.8</v>
      </c>
      <c r="T92" s="18">
        <v>50.75</v>
      </c>
      <c r="U92" s="18">
        <v>45.47</v>
      </c>
      <c r="V92" s="18">
        <v>31.26</v>
      </c>
      <c r="W92" s="18">
        <v>28.11</v>
      </c>
      <c r="X92" s="18">
        <v>31.53</v>
      </c>
      <c r="Y92" s="18">
        <v>26.92</v>
      </c>
      <c r="Z92" s="18">
        <v>28.35</v>
      </c>
      <c r="AA92" s="146">
        <v>27.35</v>
      </c>
      <c r="AB92" s="102">
        <f>SUM(U92:AA92)/SUM(U$87:AA$87)*AB$87</f>
        <v>59.91739112450707</v>
      </c>
      <c r="AC92" s="102">
        <f t="shared" si="912"/>
        <v>0</v>
      </c>
      <c r="AD92" s="102">
        <f t="shared" si="913"/>
        <v>27.969340045394468</v>
      </c>
      <c r="AE92" s="102">
        <f t="shared" si="914"/>
        <v>27.545260406936723</v>
      </c>
      <c r="AF92" s="102">
        <f t="shared" si="915"/>
        <v>27.417394590812869</v>
      </c>
      <c r="AG92" s="102">
        <f t="shared" si="916"/>
        <v>27.716331638350923</v>
      </c>
      <c r="AH92" s="102">
        <f t="shared" si="917"/>
        <v>27.760478879544618</v>
      </c>
      <c r="AI92" s="102">
        <f t="shared" si="918"/>
        <v>28.332313812220953</v>
      </c>
      <c r="AJ92" s="102">
        <f t="shared" si="919"/>
        <v>27.790186562210089</v>
      </c>
      <c r="AK92" s="102">
        <f t="shared" si="920"/>
        <v>27.790186562210089</v>
      </c>
      <c r="AL92" s="102">
        <f t="shared" si="921"/>
        <v>27.764593207469467</v>
      </c>
      <c r="AM92" s="102">
        <f t="shared" si="922"/>
        <v>27.795926464688428</v>
      </c>
      <c r="AN92" s="102">
        <f t="shared" si="923"/>
        <v>55.700004893341301</v>
      </c>
      <c r="AO92" s="102">
        <f t="shared" si="924"/>
        <v>0</v>
      </c>
      <c r="AP92" s="102">
        <f t="shared" si="925"/>
        <v>28.718343978172076</v>
      </c>
      <c r="AQ92" s="102">
        <f t="shared" si="926"/>
        <v>28.652349774983524</v>
      </c>
      <c r="AR92" s="102">
        <f t="shared" si="927"/>
        <v>28.656380598766408</v>
      </c>
      <c r="AS92" s="102">
        <f t="shared" si="928"/>
        <v>28.660962889272756</v>
      </c>
      <c r="AT92" s="102">
        <f t="shared" si="929"/>
        <v>28.669871861966467</v>
      </c>
      <c r="AU92" s="102">
        <f t="shared" si="930"/>
        <v>28.67547572257309</v>
      </c>
      <c r="AV92" s="102">
        <f t="shared" si="931"/>
        <v>28.672230804289054</v>
      </c>
      <c r="AW92" s="102">
        <f t="shared" si="932"/>
        <v>28.672230804289054</v>
      </c>
      <c r="AX92" s="102">
        <f t="shared" si="933"/>
        <v>28.66564320802005</v>
      </c>
      <c r="AY92" s="102">
        <f t="shared" si="934"/>
        <v>28.667542269882407</v>
      </c>
      <c r="AZ92" s="102">
        <f t="shared" si="935"/>
        <v>57.338273588655099</v>
      </c>
      <c r="BA92" s="102">
        <f t="shared" si="888"/>
        <v>0</v>
      </c>
      <c r="BB92" s="102">
        <f t="shared" si="889"/>
        <v>29.530305469948576</v>
      </c>
      <c r="BC92" s="102">
        <f t="shared" si="890"/>
        <v>29.529532422394986</v>
      </c>
      <c r="BD92" s="102">
        <f t="shared" si="891"/>
        <v>29.529126571683562</v>
      </c>
      <c r="BE92" s="102">
        <f t="shared" si="892"/>
        <v>29.528665195557441</v>
      </c>
      <c r="BF92" s="102">
        <f t="shared" si="893"/>
        <v>29.529093944335081</v>
      </c>
      <c r="BG92" s="102">
        <f t="shared" si="894"/>
        <v>29.529307287881398</v>
      </c>
      <c r="BH92" s="102">
        <f t="shared" si="895"/>
        <v>29.529338481966839</v>
      </c>
      <c r="BI92" s="102">
        <f t="shared" si="896"/>
        <v>29.529338481966839</v>
      </c>
      <c r="BJ92" s="102">
        <f t="shared" si="897"/>
        <v>29.529200340826595</v>
      </c>
      <c r="BK92" s="102">
        <f t="shared" si="898"/>
        <v>29.529152900602536</v>
      </c>
      <c r="BL92" s="102">
        <f t="shared" si="899"/>
        <v>59.058313323753353</v>
      </c>
      <c r="BM92" s="102">
        <f t="shared" si="900"/>
        <v>0</v>
      </c>
      <c r="BN92" s="102">
        <f t="shared" si="901"/>
        <v>30.415112905929643</v>
      </c>
      <c r="BO92" s="102">
        <f t="shared" si="902"/>
        <v>30.415102436429184</v>
      </c>
      <c r="BP92" s="102">
        <f t="shared" si="903"/>
        <v>30.415085977506145</v>
      </c>
      <c r="BQ92" s="102">
        <f t="shared" si="904"/>
        <v>30.415067266798147</v>
      </c>
      <c r="BR92" s="102">
        <f t="shared" si="905"/>
        <v>30.415065990919882</v>
      </c>
      <c r="BS92" s="102">
        <f t="shared" si="906"/>
        <v>30.415071375996707</v>
      </c>
      <c r="BT92" s="102">
        <f t="shared" si="907"/>
        <v>30.41508432559662</v>
      </c>
      <c r="BU92" s="102">
        <f t="shared" si="908"/>
        <v>30.415084325596613</v>
      </c>
      <c r="BV92" s="102">
        <f t="shared" si="909"/>
        <v>30.415080242691896</v>
      </c>
      <c r="BW92" s="102">
        <f t="shared" si="910"/>
        <v>30.415077072157995</v>
      </c>
      <c r="BX92" s="102">
        <f t="shared" si="911"/>
        <v>60.830151599930815</v>
      </c>
      <c r="BY92" s="8"/>
      <c r="BZ92" s="72">
        <f t="shared" si="936"/>
        <v>27.35</v>
      </c>
      <c r="CA92" s="72">
        <f t="shared" si="937"/>
        <v>445.48000000000008</v>
      </c>
      <c r="CB92" s="97"/>
      <c r="CC92" s="72">
        <f t="shared" si="886"/>
        <v>0</v>
      </c>
      <c r="CD92" s="72">
        <f t="shared" si="886"/>
        <v>0</v>
      </c>
      <c r="CE92" s="72">
        <f t="shared" si="886"/>
        <v>555.89</v>
      </c>
      <c r="CF92" s="72">
        <f t="shared" si="886"/>
        <v>505.39739112450712</v>
      </c>
      <c r="CG92" s="72">
        <f t="shared" si="886"/>
        <v>333.58201706317993</v>
      </c>
      <c r="CH92" s="72">
        <f t="shared" si="886"/>
        <v>344.04930550086999</v>
      </c>
      <c r="CI92" s="72">
        <f t="shared" si="886"/>
        <v>354.35137442091718</v>
      </c>
      <c r="CJ92" s="72">
        <f t="shared" si="886"/>
        <v>364.98098351955366</v>
      </c>
      <c r="CL92" s="13"/>
      <c r="CM92" s="13"/>
    </row>
    <row r="93" spans="1:91" x14ac:dyDescent="0.3">
      <c r="A93" s="97" t="str">
        <f>'DCS Detail'!A93</f>
        <v xml:space="preserve">         340.8 Contracted Services</v>
      </c>
      <c r="B93" s="106" t="str">
        <f>IF('DCS Detail'!$B93="","",'DCS Detail'!$B93)</f>
        <v>Prof. Serv.</v>
      </c>
      <c r="C93" s="106"/>
      <c r="D93" s="106"/>
      <c r="E93" s="18">
        <v>0</v>
      </c>
      <c r="F93" s="18">
        <v>0</v>
      </c>
      <c r="G93" s="18">
        <v>0</v>
      </c>
      <c r="H93" s="18">
        <v>0</v>
      </c>
      <c r="I93" s="18">
        <v>0</v>
      </c>
      <c r="J93" s="18">
        <v>0</v>
      </c>
      <c r="K93" s="18">
        <v>919.88</v>
      </c>
      <c r="L93" s="18">
        <v>0</v>
      </c>
      <c r="M93" s="18">
        <v>176</v>
      </c>
      <c r="N93" s="18">
        <v>330</v>
      </c>
      <c r="O93" s="18">
        <v>0</v>
      </c>
      <c r="P93" s="18">
        <v>1144</v>
      </c>
      <c r="Q93" s="18">
        <v>0</v>
      </c>
      <c r="R93" s="18">
        <v>0</v>
      </c>
      <c r="S93" s="18">
        <v>616</v>
      </c>
      <c r="T93" s="18">
        <v>319</v>
      </c>
      <c r="U93" s="18">
        <v>800</v>
      </c>
      <c r="V93" s="18">
        <v>3907.05</v>
      </c>
      <c r="W93" s="18">
        <v>975.7</v>
      </c>
      <c r="X93" s="18">
        <v>2107.5</v>
      </c>
      <c r="Y93" s="18">
        <v>1429</v>
      </c>
      <c r="Z93" s="18">
        <v>3970</v>
      </c>
      <c r="AA93" s="146">
        <v>1172</v>
      </c>
      <c r="AB93" s="18">
        <v>2107.5</v>
      </c>
      <c r="AC93" s="18">
        <v>0</v>
      </c>
      <c r="AD93" s="18">
        <v>0</v>
      </c>
      <c r="AE93" s="18">
        <v>500</v>
      </c>
      <c r="AF93" s="18">
        <v>500</v>
      </c>
      <c r="AG93" s="18">
        <v>500</v>
      </c>
      <c r="AH93" s="18">
        <v>500</v>
      </c>
      <c r="AI93" s="18">
        <v>500</v>
      </c>
      <c r="AJ93" s="18">
        <v>500</v>
      </c>
      <c r="AK93" s="18">
        <v>500</v>
      </c>
      <c r="AL93" s="18">
        <v>500</v>
      </c>
      <c r="AM93" s="18">
        <v>500</v>
      </c>
      <c r="AN93" s="18">
        <v>500</v>
      </c>
      <c r="AO93" s="120">
        <f t="shared" ref="AO93:AX95" si="938">AC93*(1+AO$263)</f>
        <v>0</v>
      </c>
      <c r="AP93" s="120">
        <f t="shared" si="938"/>
        <v>0</v>
      </c>
      <c r="AQ93" s="120">
        <f t="shared" si="938"/>
        <v>515</v>
      </c>
      <c r="AR93" s="120">
        <f t="shared" si="938"/>
        <v>515</v>
      </c>
      <c r="AS93" s="120">
        <f t="shared" si="938"/>
        <v>515</v>
      </c>
      <c r="AT93" s="120">
        <f t="shared" si="938"/>
        <v>515</v>
      </c>
      <c r="AU93" s="120">
        <f t="shared" si="938"/>
        <v>515</v>
      </c>
      <c r="AV93" s="120">
        <f t="shared" si="938"/>
        <v>515</v>
      </c>
      <c r="AW93" s="120">
        <f t="shared" si="938"/>
        <v>515</v>
      </c>
      <c r="AX93" s="120">
        <f t="shared" si="938"/>
        <v>515</v>
      </c>
      <c r="AY93" s="120">
        <f t="shared" ref="AY93:BH95" si="939">AM93*(1+AY$263)</f>
        <v>515</v>
      </c>
      <c r="AZ93" s="120">
        <f t="shared" si="939"/>
        <v>515</v>
      </c>
      <c r="BA93" s="120">
        <f t="shared" si="939"/>
        <v>0</v>
      </c>
      <c r="BB93" s="120">
        <f t="shared" si="939"/>
        <v>0</v>
      </c>
      <c r="BC93" s="120">
        <f t="shared" si="939"/>
        <v>530.45000000000005</v>
      </c>
      <c r="BD93" s="120">
        <f t="shared" si="939"/>
        <v>530.45000000000005</v>
      </c>
      <c r="BE93" s="120">
        <f t="shared" si="939"/>
        <v>530.45000000000005</v>
      </c>
      <c r="BF93" s="120">
        <f t="shared" si="939"/>
        <v>530.45000000000005</v>
      </c>
      <c r="BG93" s="120">
        <f t="shared" si="939"/>
        <v>530.45000000000005</v>
      </c>
      <c r="BH93" s="120">
        <f t="shared" si="939"/>
        <v>530.45000000000005</v>
      </c>
      <c r="BI93" s="120">
        <f t="shared" ref="BI93:BR95" si="940">AW93*(1+BI$263)</f>
        <v>530.45000000000005</v>
      </c>
      <c r="BJ93" s="120">
        <f t="shared" si="940"/>
        <v>530.45000000000005</v>
      </c>
      <c r="BK93" s="120">
        <f t="shared" si="940"/>
        <v>530.45000000000005</v>
      </c>
      <c r="BL93" s="120">
        <f t="shared" si="940"/>
        <v>530.45000000000005</v>
      </c>
      <c r="BM93" s="120">
        <f t="shared" si="940"/>
        <v>0</v>
      </c>
      <c r="BN93" s="120">
        <f t="shared" si="940"/>
        <v>0</v>
      </c>
      <c r="BO93" s="120">
        <f t="shared" si="940"/>
        <v>546.36350000000004</v>
      </c>
      <c r="BP93" s="120">
        <f t="shared" si="940"/>
        <v>546.36350000000004</v>
      </c>
      <c r="BQ93" s="120">
        <f t="shared" si="940"/>
        <v>546.36350000000004</v>
      </c>
      <c r="BR93" s="120">
        <f t="shared" si="940"/>
        <v>546.36350000000004</v>
      </c>
      <c r="BS93" s="120">
        <f t="shared" ref="BS93:BX95" si="941">BG93*(1+BS$263)</f>
        <v>546.36350000000004</v>
      </c>
      <c r="BT93" s="120">
        <f t="shared" si="941"/>
        <v>546.36350000000004</v>
      </c>
      <c r="BU93" s="120">
        <f t="shared" si="941"/>
        <v>546.36350000000004</v>
      </c>
      <c r="BV93" s="120">
        <f t="shared" si="941"/>
        <v>546.36350000000004</v>
      </c>
      <c r="BW93" s="120">
        <f t="shared" si="941"/>
        <v>546.36350000000004</v>
      </c>
      <c r="BX93" s="120">
        <f t="shared" si="941"/>
        <v>546.36350000000004</v>
      </c>
      <c r="BY93" s="8"/>
      <c r="BZ93" s="72">
        <f t="shared" si="936"/>
        <v>1172</v>
      </c>
      <c r="CA93" s="72">
        <f t="shared" si="937"/>
        <v>15296.25</v>
      </c>
      <c r="CB93" s="97"/>
      <c r="CC93" s="72">
        <f t="shared" si="886"/>
        <v>0</v>
      </c>
      <c r="CD93" s="72">
        <f t="shared" si="886"/>
        <v>0</v>
      </c>
      <c r="CE93" s="72">
        <f t="shared" si="886"/>
        <v>2569.88</v>
      </c>
      <c r="CF93" s="72">
        <f t="shared" si="886"/>
        <v>17403.75</v>
      </c>
      <c r="CG93" s="72">
        <f t="shared" si="886"/>
        <v>5000</v>
      </c>
      <c r="CH93" s="72">
        <f t="shared" si="886"/>
        <v>5150</v>
      </c>
      <c r="CI93" s="72">
        <f t="shared" si="886"/>
        <v>5304.4999999999991</v>
      </c>
      <c r="CJ93" s="72">
        <f t="shared" si="886"/>
        <v>5463.6350000000011</v>
      </c>
      <c r="CL93" s="13"/>
      <c r="CM93" s="13"/>
    </row>
    <row r="94" spans="1:91" x14ac:dyDescent="0.3">
      <c r="A94" s="97" t="str">
        <f>'DCS Detail'!A94</f>
        <v xml:space="preserve">         350.2 Instructional Contracted Ser</v>
      </c>
      <c r="B94" s="106" t="str">
        <f>IF('DCS Detail'!$B94="","",'DCS Detail'!$B94)</f>
        <v>Prof. Serv.</v>
      </c>
      <c r="C94" s="106"/>
      <c r="D94" s="106"/>
      <c r="E94" s="18">
        <v>-742.5</v>
      </c>
      <c r="F94" s="18">
        <v>0</v>
      </c>
      <c r="G94" s="18">
        <v>0</v>
      </c>
      <c r="H94" s="18">
        <v>0</v>
      </c>
      <c r="I94" s="18">
        <v>0</v>
      </c>
      <c r="J94" s="18">
        <v>0</v>
      </c>
      <c r="K94" s="18">
        <v>0</v>
      </c>
      <c r="L94" s="18">
        <v>0</v>
      </c>
      <c r="M94" s="18">
        <v>0</v>
      </c>
      <c r="N94" s="18">
        <v>0</v>
      </c>
      <c r="O94" s="18">
        <v>691</v>
      </c>
      <c r="P94" s="18">
        <v>0</v>
      </c>
      <c r="Q94" s="18">
        <v>0</v>
      </c>
      <c r="R94" s="18">
        <v>0</v>
      </c>
      <c r="S94" s="18">
        <v>691</v>
      </c>
      <c r="T94" s="18">
        <v>0</v>
      </c>
      <c r="U94" s="18">
        <v>66</v>
      </c>
      <c r="V94" s="18">
        <v>0</v>
      </c>
      <c r="W94" s="18">
        <v>0</v>
      </c>
      <c r="X94" s="18">
        <v>0</v>
      </c>
      <c r="Y94" s="18">
        <v>0</v>
      </c>
      <c r="Z94" s="18">
        <v>0</v>
      </c>
      <c r="AA94" s="146">
        <v>0</v>
      </c>
      <c r="AB94" s="120">
        <f t="shared" ref="AB94:AN95" si="942">P94*(1+AB$263)</f>
        <v>0</v>
      </c>
      <c r="AC94" s="120">
        <f t="shared" si="942"/>
        <v>0</v>
      </c>
      <c r="AD94" s="120">
        <f t="shared" si="942"/>
        <v>0</v>
      </c>
      <c r="AE94" s="120">
        <f t="shared" si="942"/>
        <v>711.73</v>
      </c>
      <c r="AF94" s="120">
        <f t="shared" si="942"/>
        <v>0</v>
      </c>
      <c r="AG94" s="120">
        <f t="shared" si="942"/>
        <v>67.98</v>
      </c>
      <c r="AH94" s="120">
        <f t="shared" si="942"/>
        <v>0</v>
      </c>
      <c r="AI94" s="120">
        <f t="shared" si="942"/>
        <v>0</v>
      </c>
      <c r="AJ94" s="120">
        <f t="shared" si="942"/>
        <v>0</v>
      </c>
      <c r="AK94" s="120">
        <f t="shared" si="942"/>
        <v>0</v>
      </c>
      <c r="AL94" s="120">
        <f t="shared" si="942"/>
        <v>0</v>
      </c>
      <c r="AM94" s="120">
        <f t="shared" si="942"/>
        <v>0</v>
      </c>
      <c r="AN94" s="120">
        <f t="shared" si="942"/>
        <v>0</v>
      </c>
      <c r="AO94" s="120">
        <f t="shared" si="938"/>
        <v>0</v>
      </c>
      <c r="AP94" s="120">
        <f t="shared" si="938"/>
        <v>0</v>
      </c>
      <c r="AQ94" s="120">
        <f t="shared" si="938"/>
        <v>733.08190000000002</v>
      </c>
      <c r="AR94" s="120">
        <f t="shared" si="938"/>
        <v>0</v>
      </c>
      <c r="AS94" s="120">
        <f t="shared" si="938"/>
        <v>70.019400000000005</v>
      </c>
      <c r="AT94" s="120">
        <f t="shared" si="938"/>
        <v>0</v>
      </c>
      <c r="AU94" s="120">
        <f t="shared" si="938"/>
        <v>0</v>
      </c>
      <c r="AV94" s="120">
        <f t="shared" si="938"/>
        <v>0</v>
      </c>
      <c r="AW94" s="120">
        <f t="shared" si="938"/>
        <v>0</v>
      </c>
      <c r="AX94" s="120">
        <f t="shared" si="938"/>
        <v>0</v>
      </c>
      <c r="AY94" s="120">
        <f t="shared" si="939"/>
        <v>0</v>
      </c>
      <c r="AZ94" s="120">
        <f t="shared" si="939"/>
        <v>0</v>
      </c>
      <c r="BA94" s="120">
        <f t="shared" si="939"/>
        <v>0</v>
      </c>
      <c r="BB94" s="120">
        <f t="shared" si="939"/>
        <v>0</v>
      </c>
      <c r="BC94" s="120">
        <f t="shared" si="939"/>
        <v>755.07435700000008</v>
      </c>
      <c r="BD94" s="120">
        <f t="shared" si="939"/>
        <v>0</v>
      </c>
      <c r="BE94" s="120">
        <f t="shared" si="939"/>
        <v>72.119982000000007</v>
      </c>
      <c r="BF94" s="120">
        <f t="shared" si="939"/>
        <v>0</v>
      </c>
      <c r="BG94" s="120">
        <f t="shared" si="939"/>
        <v>0</v>
      </c>
      <c r="BH94" s="120">
        <f t="shared" si="939"/>
        <v>0</v>
      </c>
      <c r="BI94" s="120">
        <f t="shared" si="940"/>
        <v>0</v>
      </c>
      <c r="BJ94" s="120">
        <f t="shared" si="940"/>
        <v>0</v>
      </c>
      <c r="BK94" s="120">
        <f t="shared" si="940"/>
        <v>0</v>
      </c>
      <c r="BL94" s="120">
        <f t="shared" si="940"/>
        <v>0</v>
      </c>
      <c r="BM94" s="120">
        <f t="shared" si="940"/>
        <v>0</v>
      </c>
      <c r="BN94" s="120">
        <f t="shared" si="940"/>
        <v>0</v>
      </c>
      <c r="BO94" s="120">
        <f t="shared" si="940"/>
        <v>777.7265877100001</v>
      </c>
      <c r="BP94" s="120">
        <f t="shared" si="940"/>
        <v>0</v>
      </c>
      <c r="BQ94" s="120">
        <f t="shared" si="940"/>
        <v>74.283581460000008</v>
      </c>
      <c r="BR94" s="120">
        <f t="shared" si="940"/>
        <v>0</v>
      </c>
      <c r="BS94" s="120">
        <f t="shared" si="941"/>
        <v>0</v>
      </c>
      <c r="BT94" s="120">
        <f t="shared" si="941"/>
        <v>0</v>
      </c>
      <c r="BU94" s="120">
        <f t="shared" si="941"/>
        <v>0</v>
      </c>
      <c r="BV94" s="120">
        <f t="shared" si="941"/>
        <v>0</v>
      </c>
      <c r="BW94" s="120">
        <f t="shared" si="941"/>
        <v>0</v>
      </c>
      <c r="BX94" s="120">
        <f t="shared" si="941"/>
        <v>0</v>
      </c>
      <c r="BY94" s="8"/>
      <c r="BZ94" s="72">
        <f t="shared" si="936"/>
        <v>0</v>
      </c>
      <c r="CA94" s="72">
        <f t="shared" si="937"/>
        <v>757</v>
      </c>
      <c r="CB94" s="97"/>
      <c r="CC94" s="72">
        <f t="shared" si="886"/>
        <v>0</v>
      </c>
      <c r="CD94" s="72">
        <f t="shared" si="886"/>
        <v>0</v>
      </c>
      <c r="CE94" s="72">
        <f t="shared" si="886"/>
        <v>-51.5</v>
      </c>
      <c r="CF94" s="72">
        <f t="shared" si="886"/>
        <v>757</v>
      </c>
      <c r="CG94" s="72">
        <f t="shared" si="886"/>
        <v>779.71</v>
      </c>
      <c r="CH94" s="72">
        <f t="shared" si="886"/>
        <v>803.10130000000004</v>
      </c>
      <c r="CI94" s="72">
        <f t="shared" si="886"/>
        <v>827.19433900000013</v>
      </c>
      <c r="CJ94" s="72">
        <f t="shared" si="886"/>
        <v>852.01016917000015</v>
      </c>
      <c r="CL94" s="13"/>
      <c r="CM94" s="13"/>
    </row>
    <row r="95" spans="1:91" x14ac:dyDescent="0.3">
      <c r="A95" s="97" t="str">
        <f>'DCS Detail'!A95</f>
        <v xml:space="preserve">         892.5 Incentives - Staff</v>
      </c>
      <c r="B95" s="106" t="str">
        <f>IF('DCS Detail'!$B95="","",'DCS Detail'!$B95)</f>
        <v>Salaries</v>
      </c>
      <c r="C95" s="139"/>
      <c r="D95" s="139"/>
      <c r="E95" s="121">
        <v>0</v>
      </c>
      <c r="F95" s="121">
        <v>0</v>
      </c>
      <c r="G95" s="121">
        <v>0</v>
      </c>
      <c r="H95" s="121">
        <v>0</v>
      </c>
      <c r="I95" s="121">
        <v>0</v>
      </c>
      <c r="J95" s="121">
        <v>814</v>
      </c>
      <c r="K95" s="121">
        <v>0</v>
      </c>
      <c r="L95" s="121">
        <v>0</v>
      </c>
      <c r="M95" s="121">
        <v>0</v>
      </c>
      <c r="N95" s="121">
        <v>0</v>
      </c>
      <c r="O95" s="121">
        <v>0</v>
      </c>
      <c r="P95" s="121">
        <v>0</v>
      </c>
      <c r="Q95" s="121">
        <v>0</v>
      </c>
      <c r="R95" s="121">
        <v>0</v>
      </c>
      <c r="S95" s="121">
        <v>0</v>
      </c>
      <c r="T95" s="121">
        <v>0</v>
      </c>
      <c r="U95" s="121">
        <v>0</v>
      </c>
      <c r="V95" s="121">
        <v>0</v>
      </c>
      <c r="W95" s="121">
        <v>0</v>
      </c>
      <c r="X95" s="121">
        <v>0</v>
      </c>
      <c r="Y95" s="121">
        <v>0</v>
      </c>
      <c r="Z95" s="121">
        <v>0</v>
      </c>
      <c r="AA95" s="121">
        <v>22</v>
      </c>
      <c r="AB95" s="144">
        <f t="shared" si="942"/>
        <v>0</v>
      </c>
      <c r="AC95" s="144">
        <f t="shared" si="942"/>
        <v>0</v>
      </c>
      <c r="AD95" s="144">
        <f t="shared" si="942"/>
        <v>0</v>
      </c>
      <c r="AE95" s="144">
        <f t="shared" si="942"/>
        <v>0</v>
      </c>
      <c r="AF95" s="144">
        <f t="shared" si="942"/>
        <v>0</v>
      </c>
      <c r="AG95" s="144">
        <f t="shared" si="942"/>
        <v>0</v>
      </c>
      <c r="AH95" s="144">
        <f t="shared" si="942"/>
        <v>0</v>
      </c>
      <c r="AI95" s="144">
        <f t="shared" si="942"/>
        <v>0</v>
      </c>
      <c r="AJ95" s="144">
        <f t="shared" si="942"/>
        <v>0</v>
      </c>
      <c r="AK95" s="144">
        <f t="shared" si="942"/>
        <v>0</v>
      </c>
      <c r="AL95" s="144">
        <f t="shared" si="942"/>
        <v>0</v>
      </c>
      <c r="AM95" s="144">
        <f t="shared" si="942"/>
        <v>22.66</v>
      </c>
      <c r="AN95" s="144">
        <f t="shared" si="942"/>
        <v>0</v>
      </c>
      <c r="AO95" s="144">
        <f t="shared" si="938"/>
        <v>0</v>
      </c>
      <c r="AP95" s="144">
        <f t="shared" si="938"/>
        <v>0</v>
      </c>
      <c r="AQ95" s="144">
        <f t="shared" si="938"/>
        <v>0</v>
      </c>
      <c r="AR95" s="144">
        <f t="shared" si="938"/>
        <v>0</v>
      </c>
      <c r="AS95" s="144">
        <f t="shared" si="938"/>
        <v>0</v>
      </c>
      <c r="AT95" s="144">
        <f t="shared" si="938"/>
        <v>0</v>
      </c>
      <c r="AU95" s="144">
        <f t="shared" si="938"/>
        <v>0</v>
      </c>
      <c r="AV95" s="144">
        <f t="shared" si="938"/>
        <v>0</v>
      </c>
      <c r="AW95" s="144">
        <f t="shared" si="938"/>
        <v>0</v>
      </c>
      <c r="AX95" s="144">
        <f t="shared" si="938"/>
        <v>0</v>
      </c>
      <c r="AY95" s="144">
        <f t="shared" si="939"/>
        <v>23.3398</v>
      </c>
      <c r="AZ95" s="144">
        <f t="shared" si="939"/>
        <v>0</v>
      </c>
      <c r="BA95" s="144">
        <f t="shared" si="939"/>
        <v>0</v>
      </c>
      <c r="BB95" s="144">
        <f t="shared" si="939"/>
        <v>0</v>
      </c>
      <c r="BC95" s="144">
        <f t="shared" si="939"/>
        <v>0</v>
      </c>
      <c r="BD95" s="144">
        <f t="shared" si="939"/>
        <v>0</v>
      </c>
      <c r="BE95" s="144">
        <f t="shared" si="939"/>
        <v>0</v>
      </c>
      <c r="BF95" s="144">
        <f t="shared" si="939"/>
        <v>0</v>
      </c>
      <c r="BG95" s="144">
        <f t="shared" si="939"/>
        <v>0</v>
      </c>
      <c r="BH95" s="144">
        <f t="shared" si="939"/>
        <v>0</v>
      </c>
      <c r="BI95" s="144">
        <f t="shared" si="940"/>
        <v>0</v>
      </c>
      <c r="BJ95" s="144">
        <f t="shared" si="940"/>
        <v>0</v>
      </c>
      <c r="BK95" s="144">
        <f t="shared" si="940"/>
        <v>24.039994</v>
      </c>
      <c r="BL95" s="144">
        <f t="shared" si="940"/>
        <v>0</v>
      </c>
      <c r="BM95" s="144">
        <f t="shared" si="940"/>
        <v>0</v>
      </c>
      <c r="BN95" s="144">
        <f t="shared" si="940"/>
        <v>0</v>
      </c>
      <c r="BO95" s="144">
        <f t="shared" si="940"/>
        <v>0</v>
      </c>
      <c r="BP95" s="144">
        <f t="shared" si="940"/>
        <v>0</v>
      </c>
      <c r="BQ95" s="144">
        <f t="shared" si="940"/>
        <v>0</v>
      </c>
      <c r="BR95" s="144">
        <f t="shared" si="940"/>
        <v>0</v>
      </c>
      <c r="BS95" s="144">
        <f t="shared" si="941"/>
        <v>0</v>
      </c>
      <c r="BT95" s="144">
        <f t="shared" si="941"/>
        <v>0</v>
      </c>
      <c r="BU95" s="144">
        <f t="shared" si="941"/>
        <v>0</v>
      </c>
      <c r="BV95" s="144">
        <f t="shared" si="941"/>
        <v>0</v>
      </c>
      <c r="BW95" s="144">
        <f t="shared" si="941"/>
        <v>24.761193819999999</v>
      </c>
      <c r="BX95" s="144">
        <f t="shared" si="941"/>
        <v>0</v>
      </c>
      <c r="BY95" s="8"/>
      <c r="BZ95" s="73">
        <f t="shared" si="936"/>
        <v>22</v>
      </c>
      <c r="CA95" s="73">
        <f t="shared" si="937"/>
        <v>22</v>
      </c>
      <c r="CB95" s="97"/>
      <c r="CC95" s="73">
        <f t="shared" si="886"/>
        <v>0</v>
      </c>
      <c r="CD95" s="73">
        <f t="shared" si="886"/>
        <v>0</v>
      </c>
      <c r="CE95" s="73">
        <f t="shared" si="886"/>
        <v>814</v>
      </c>
      <c r="CF95" s="73">
        <f t="shared" si="886"/>
        <v>22</v>
      </c>
      <c r="CG95" s="73">
        <f t="shared" si="886"/>
        <v>22.66</v>
      </c>
      <c r="CH95" s="73">
        <f t="shared" si="886"/>
        <v>23.3398</v>
      </c>
      <c r="CI95" s="73">
        <f t="shared" si="886"/>
        <v>24.039994</v>
      </c>
      <c r="CJ95" s="73">
        <f t="shared" si="886"/>
        <v>24.761193819999999</v>
      </c>
      <c r="CL95" s="13"/>
      <c r="CM95" s="13"/>
    </row>
    <row r="96" spans="1:91" x14ac:dyDescent="0.3">
      <c r="A96" s="97" t="str">
        <f>'DCS Detail'!A96</f>
        <v xml:space="preserve">      Total 2200 Support Services - Instruction</v>
      </c>
      <c r="B96" s="106" t="str">
        <f>IF('DCS Detail'!$B96="","",'DCS Detail'!$B96)</f>
        <v/>
      </c>
      <c r="C96" s="36">
        <f>SUM(C86:C95)</f>
        <v>0</v>
      </c>
      <c r="D96" s="36">
        <f t="shared" ref="D96:AZ96" si="943">SUM(D86:D95)</f>
        <v>0</v>
      </c>
      <c r="E96" s="36">
        <f t="shared" si="943"/>
        <v>-5060.78</v>
      </c>
      <c r="F96" s="36">
        <f t="shared" si="943"/>
        <v>3532.21</v>
      </c>
      <c r="G96" s="36">
        <f t="shared" si="943"/>
        <v>3318</v>
      </c>
      <c r="H96" s="36">
        <f t="shared" si="943"/>
        <v>3726.1600000000003</v>
      </c>
      <c r="I96" s="36">
        <f t="shared" si="943"/>
        <v>4568.2700000000004</v>
      </c>
      <c r="J96" s="36">
        <f t="shared" si="943"/>
        <v>4951.92</v>
      </c>
      <c r="K96" s="36">
        <f t="shared" si="943"/>
        <v>4871.04</v>
      </c>
      <c r="L96" s="36">
        <f t="shared" si="943"/>
        <v>4670.579999999999</v>
      </c>
      <c r="M96" s="36">
        <f t="shared" si="943"/>
        <v>4776.1200000000008</v>
      </c>
      <c r="N96" s="36">
        <f t="shared" si="943"/>
        <v>5053.2</v>
      </c>
      <c r="O96" s="36">
        <f t="shared" si="943"/>
        <v>5220.8900000000003</v>
      </c>
      <c r="P96" s="36">
        <f t="shared" si="943"/>
        <v>10444.74</v>
      </c>
      <c r="Q96" s="36">
        <f t="shared" si="943"/>
        <v>40.43</v>
      </c>
      <c r="R96" s="36">
        <f t="shared" ref="R96:S96" si="944">SUM(R86:R95)</f>
        <v>6261.7300000000005</v>
      </c>
      <c r="S96" s="36">
        <f t="shared" si="944"/>
        <v>9606.91</v>
      </c>
      <c r="T96" s="36">
        <f t="shared" ref="T96:U96" si="945">SUM(T86:T95)</f>
        <v>7631.9299999999994</v>
      </c>
      <c r="U96" s="36">
        <f t="shared" si="945"/>
        <v>8329.2000000000007</v>
      </c>
      <c r="V96" s="36">
        <f t="shared" ref="V96:W96" si="946">SUM(V86:V95)</f>
        <v>10567.310000000001</v>
      </c>
      <c r="W96" s="36">
        <f t="shared" si="946"/>
        <v>7003.2</v>
      </c>
      <c r="X96" s="36">
        <f t="shared" si="943"/>
        <v>9622.65</v>
      </c>
      <c r="Y96" s="36">
        <f t="shared" si="943"/>
        <v>8576.630000000001</v>
      </c>
      <c r="Z96" s="36">
        <f t="shared" si="943"/>
        <v>10936.21</v>
      </c>
      <c r="AA96" s="36">
        <f t="shared" si="943"/>
        <v>8908.7099999999991</v>
      </c>
      <c r="AB96" s="36">
        <f t="shared" si="943"/>
        <v>15649.629329167974</v>
      </c>
      <c r="AC96" s="36">
        <f t="shared" si="943"/>
        <v>0</v>
      </c>
      <c r="AD96" s="36">
        <f t="shared" si="943"/>
        <v>6766.6989525914078</v>
      </c>
      <c r="AE96" s="36">
        <f t="shared" si="943"/>
        <v>7981.2506384709359</v>
      </c>
      <c r="AF96" s="36">
        <f t="shared" si="943"/>
        <v>7270.443130781272</v>
      </c>
      <c r="AG96" s="36">
        <f t="shared" si="943"/>
        <v>7342.4436207727476</v>
      </c>
      <c r="AH96" s="36">
        <f t="shared" si="943"/>
        <v>7280.0834111975064</v>
      </c>
      <c r="AI96" s="36">
        <f t="shared" si="943"/>
        <v>7271.90558328312</v>
      </c>
      <c r="AJ96" s="36">
        <f t="shared" si="943"/>
        <v>7272.1858895161649</v>
      </c>
      <c r="AK96" s="36">
        <f t="shared" si="943"/>
        <v>7272.1858895161649</v>
      </c>
      <c r="AL96" s="36">
        <f t="shared" si="943"/>
        <v>7272.9697376482727</v>
      </c>
      <c r="AM96" s="36">
        <f t="shared" si="943"/>
        <v>7296.1224661021779</v>
      </c>
      <c r="AN96" s="36">
        <f t="shared" si="943"/>
        <v>14047.787599438901</v>
      </c>
      <c r="AO96" s="36">
        <f t="shared" si="943"/>
        <v>0</v>
      </c>
      <c r="AP96" s="36">
        <f t="shared" si="943"/>
        <v>6976.1160114957074</v>
      </c>
      <c r="AQ96" s="36">
        <f t="shared" si="943"/>
        <v>8224.347735210371</v>
      </c>
      <c r="AR96" s="36">
        <f t="shared" si="943"/>
        <v>7491.3953492342698</v>
      </c>
      <c r="AS96" s="36">
        <f t="shared" si="943"/>
        <v>7561.5619823841462</v>
      </c>
      <c r="AT96" s="36">
        <f t="shared" si="943"/>
        <v>7491.596480222127</v>
      </c>
      <c r="AU96" s="36">
        <f t="shared" si="943"/>
        <v>7491.5867096119009</v>
      </c>
      <c r="AV96" s="36">
        <f t="shared" si="943"/>
        <v>7491.4171613597537</v>
      </c>
      <c r="AW96" s="36">
        <f t="shared" si="943"/>
        <v>7491.4171613597537</v>
      </c>
      <c r="AX96" s="36">
        <f t="shared" si="943"/>
        <v>7491.460182768903</v>
      </c>
      <c r="AY96" s="36">
        <f t="shared" si="943"/>
        <v>7514.8277467058369</v>
      </c>
      <c r="AZ96" s="36">
        <f t="shared" si="943"/>
        <v>14468.002349832119</v>
      </c>
      <c r="BA96" s="36">
        <f t="shared" ref="BA96:BX96" si="947">SUM(BA86:BA95)</f>
        <v>0</v>
      </c>
      <c r="BB96" s="36">
        <f t="shared" si="947"/>
        <v>7185.7760938553465</v>
      </c>
      <c r="BC96" s="36">
        <f t="shared" si="947"/>
        <v>8471.2850572500956</v>
      </c>
      <c r="BD96" s="36">
        <f t="shared" si="947"/>
        <v>7716.2179274525806</v>
      </c>
      <c r="BE96" s="36">
        <f t="shared" si="947"/>
        <v>7788.3461254260692</v>
      </c>
      <c r="BF96" s="36">
        <f t="shared" si="947"/>
        <v>7716.2292551078235</v>
      </c>
      <c r="BG96" s="36">
        <f t="shared" si="947"/>
        <v>7716.2287893736711</v>
      </c>
      <c r="BH96" s="36">
        <f t="shared" si="947"/>
        <v>7716.2231515775975</v>
      </c>
      <c r="BI96" s="36">
        <f t="shared" si="947"/>
        <v>7716.2231515775975</v>
      </c>
      <c r="BJ96" s="36">
        <f t="shared" si="947"/>
        <v>7716.2227312522054</v>
      </c>
      <c r="BK96" s="36">
        <f t="shared" si="947"/>
        <v>7740.264443966792</v>
      </c>
      <c r="BL96" s="36">
        <f t="shared" si="947"/>
        <v>14902.000763509075</v>
      </c>
      <c r="BM96" s="36">
        <f t="shared" si="947"/>
        <v>0</v>
      </c>
      <c r="BN96" s="36">
        <f t="shared" si="947"/>
        <v>7401.3479611963794</v>
      </c>
      <c r="BO96" s="36">
        <f t="shared" si="947"/>
        <v>8725.4374526249412</v>
      </c>
      <c r="BP96" s="36">
        <f t="shared" si="947"/>
        <v>7947.7110092194762</v>
      </c>
      <c r="BQ96" s="36">
        <f t="shared" si="947"/>
        <v>8021.9947547266638</v>
      </c>
      <c r="BR96" s="36">
        <f t="shared" si="947"/>
        <v>7947.7114204684731</v>
      </c>
      <c r="BS96" s="36">
        <f t="shared" si="947"/>
        <v>7947.7114536157005</v>
      </c>
      <c r="BT96" s="36">
        <f t="shared" si="947"/>
        <v>7947.7112304469383</v>
      </c>
      <c r="BU96" s="36">
        <f t="shared" si="947"/>
        <v>7947.7112304469383</v>
      </c>
      <c r="BV96" s="36">
        <f t="shared" si="947"/>
        <v>7947.711197482733</v>
      </c>
      <c r="BW96" s="36">
        <f t="shared" si="947"/>
        <v>7972.4724388124177</v>
      </c>
      <c r="BX96" s="36">
        <f t="shared" si="947"/>
        <v>15349.059057348531</v>
      </c>
      <c r="BY96" s="8"/>
      <c r="BZ96" s="72">
        <f t="shared" si="936"/>
        <v>8908.7099999999991</v>
      </c>
      <c r="CA96" s="72">
        <f t="shared" si="937"/>
        <v>87484.91</v>
      </c>
      <c r="CB96" s="97"/>
      <c r="CC96" s="72">
        <f t="shared" si="886"/>
        <v>0</v>
      </c>
      <c r="CD96" s="72">
        <f t="shared" si="886"/>
        <v>0</v>
      </c>
      <c r="CE96" s="72">
        <f t="shared" si="886"/>
        <v>50072.349999999991</v>
      </c>
      <c r="CF96" s="72">
        <f t="shared" si="886"/>
        <v>103134.53932916798</v>
      </c>
      <c r="CG96" s="72">
        <f t="shared" si="886"/>
        <v>87074.076919318686</v>
      </c>
      <c r="CH96" s="72">
        <f t="shared" si="886"/>
        <v>89693.728870184903</v>
      </c>
      <c r="CI96" s="72">
        <f t="shared" si="886"/>
        <v>92385.017490348851</v>
      </c>
      <c r="CJ96" s="72">
        <f t="shared" si="886"/>
        <v>95156.5792063892</v>
      </c>
      <c r="CL96" s="13"/>
      <c r="CM96" s="13"/>
    </row>
    <row r="97" spans="1:92" x14ac:dyDescent="0.3">
      <c r="A97" s="97" t="str">
        <f>'DCS Detail'!A97</f>
        <v xml:space="preserve">      2220 Library/Media</v>
      </c>
      <c r="B97" s="106" t="str">
        <f>IF('DCS Detail'!$B97="","",'DCS Detail'!$B97)</f>
        <v>Computers</v>
      </c>
      <c r="C97" s="106"/>
      <c r="D97" s="106"/>
      <c r="E97" s="18">
        <v>0</v>
      </c>
      <c r="F97" s="18">
        <v>0</v>
      </c>
      <c r="G97" s="18">
        <v>0</v>
      </c>
      <c r="H97" s="18">
        <v>0</v>
      </c>
      <c r="I97" s="18">
        <v>0</v>
      </c>
      <c r="J97" s="18">
        <v>0</v>
      </c>
      <c r="K97" s="18">
        <v>0</v>
      </c>
      <c r="L97" s="18">
        <v>0</v>
      </c>
      <c r="M97" s="18">
        <v>718</v>
      </c>
      <c r="N97" s="18">
        <v>0</v>
      </c>
      <c r="O97" s="18">
        <v>0</v>
      </c>
      <c r="P97" s="18">
        <v>0</v>
      </c>
      <c r="Q97" s="18">
        <v>0</v>
      </c>
      <c r="R97" s="18">
        <v>0</v>
      </c>
      <c r="S97" s="18">
        <v>0</v>
      </c>
      <c r="T97" s="18">
        <v>967.75</v>
      </c>
      <c r="U97" s="18">
        <v>0</v>
      </c>
      <c r="V97" s="18">
        <v>0</v>
      </c>
      <c r="W97" s="18">
        <v>0</v>
      </c>
      <c r="X97" s="18">
        <v>0</v>
      </c>
      <c r="Y97" s="18">
        <v>0</v>
      </c>
      <c r="Z97" s="18">
        <v>0</v>
      </c>
      <c r="AA97" s="146">
        <v>0</v>
      </c>
      <c r="AB97" s="18">
        <v>0</v>
      </c>
      <c r="AC97" s="18">
        <v>0</v>
      </c>
      <c r="AD97" s="18">
        <v>0</v>
      </c>
      <c r="AE97" s="18">
        <v>0</v>
      </c>
      <c r="AF97" s="18">
        <v>0</v>
      </c>
      <c r="AG97" s="18">
        <v>0</v>
      </c>
      <c r="AH97" s="18">
        <v>0</v>
      </c>
      <c r="AI97" s="18">
        <v>0</v>
      </c>
      <c r="AJ97" s="18">
        <v>0</v>
      </c>
      <c r="AK97" s="18">
        <v>0</v>
      </c>
      <c r="AL97" s="18">
        <v>0</v>
      </c>
      <c r="AM97" s="18">
        <v>0</v>
      </c>
      <c r="AN97" s="18">
        <v>0</v>
      </c>
      <c r="AO97" s="18">
        <v>0</v>
      </c>
      <c r="AP97" s="18">
        <v>0</v>
      </c>
      <c r="AQ97" s="18">
        <v>0</v>
      </c>
      <c r="AR97" s="18">
        <v>0</v>
      </c>
      <c r="AS97" s="18">
        <v>0</v>
      </c>
      <c r="AT97" s="18">
        <v>0</v>
      </c>
      <c r="AU97" s="18">
        <v>0</v>
      </c>
      <c r="AV97" s="18">
        <v>0</v>
      </c>
      <c r="AW97" s="18">
        <v>0</v>
      </c>
      <c r="AX97" s="18">
        <v>0</v>
      </c>
      <c r="AY97" s="18">
        <v>0</v>
      </c>
      <c r="AZ97" s="18">
        <v>0</v>
      </c>
      <c r="BA97" s="18">
        <v>0</v>
      </c>
      <c r="BB97" s="18">
        <v>0</v>
      </c>
      <c r="BC97" s="18">
        <v>0</v>
      </c>
      <c r="BD97" s="18">
        <v>0</v>
      </c>
      <c r="BE97" s="18">
        <v>0</v>
      </c>
      <c r="BF97" s="18">
        <v>0</v>
      </c>
      <c r="BG97" s="18">
        <v>0</v>
      </c>
      <c r="BH97" s="18">
        <v>0</v>
      </c>
      <c r="BI97" s="18">
        <v>0</v>
      </c>
      <c r="BJ97" s="18">
        <v>0</v>
      </c>
      <c r="BK97" s="18">
        <v>0</v>
      </c>
      <c r="BL97" s="18">
        <v>0</v>
      </c>
      <c r="BM97" s="18">
        <v>0</v>
      </c>
      <c r="BN97" s="18">
        <v>0</v>
      </c>
      <c r="BO97" s="18">
        <v>0</v>
      </c>
      <c r="BP97" s="18">
        <v>0</v>
      </c>
      <c r="BQ97" s="18">
        <v>0</v>
      </c>
      <c r="BR97" s="18">
        <v>0</v>
      </c>
      <c r="BS97" s="18">
        <v>0</v>
      </c>
      <c r="BT97" s="18">
        <v>0</v>
      </c>
      <c r="BU97" s="18">
        <v>0</v>
      </c>
      <c r="BV97" s="18">
        <v>0</v>
      </c>
      <c r="BW97" s="18">
        <v>0</v>
      </c>
      <c r="BX97" s="18">
        <v>0</v>
      </c>
      <c r="BY97" s="8"/>
      <c r="BZ97" s="72">
        <f t="shared" si="936"/>
        <v>0</v>
      </c>
      <c r="CA97" s="72">
        <f t="shared" si="937"/>
        <v>967.75</v>
      </c>
      <c r="CB97" s="97"/>
      <c r="CC97" s="72">
        <f t="shared" si="886"/>
        <v>0</v>
      </c>
      <c r="CD97" s="72">
        <f t="shared" si="886"/>
        <v>0</v>
      </c>
      <c r="CE97" s="72">
        <f t="shared" si="886"/>
        <v>718</v>
      </c>
      <c r="CF97" s="72">
        <f t="shared" si="886"/>
        <v>967.75</v>
      </c>
      <c r="CG97" s="72">
        <f t="shared" si="886"/>
        <v>0</v>
      </c>
      <c r="CH97" s="72">
        <f t="shared" si="886"/>
        <v>0</v>
      </c>
      <c r="CI97" s="72">
        <f t="shared" si="886"/>
        <v>0</v>
      </c>
      <c r="CJ97" s="72">
        <f t="shared" si="886"/>
        <v>0</v>
      </c>
      <c r="CL97" s="13"/>
      <c r="CM97" s="13"/>
    </row>
    <row r="98" spans="1:92" x14ac:dyDescent="0.3">
      <c r="A98" s="97" t="str">
        <f>'DCS Detail'!A98</f>
        <v xml:space="preserve">         652.3 Computer/Technology</v>
      </c>
      <c r="B98" s="106" t="str">
        <f>IF('DCS Detail'!$B98="","",'DCS Detail'!$B98)</f>
        <v>Computers</v>
      </c>
      <c r="C98" s="121"/>
      <c r="D98" s="121"/>
      <c r="E98" s="121">
        <v>16.690000000000001</v>
      </c>
      <c r="F98" s="121">
        <v>165</v>
      </c>
      <c r="G98" s="121">
        <v>0</v>
      </c>
      <c r="H98" s="121">
        <v>1801</v>
      </c>
      <c r="I98" s="121">
        <v>725.77</v>
      </c>
      <c r="J98" s="121">
        <v>0</v>
      </c>
      <c r="K98" s="121">
        <v>0</v>
      </c>
      <c r="L98" s="121">
        <v>1205.9899999999998</v>
      </c>
      <c r="M98" s="121">
        <v>49.5</v>
      </c>
      <c r="N98" s="121">
        <v>0</v>
      </c>
      <c r="O98" s="121">
        <v>383.24</v>
      </c>
      <c r="P98" s="121">
        <v>0</v>
      </c>
      <c r="Q98" s="121">
        <v>161.91999999999999</v>
      </c>
      <c r="R98" s="121">
        <v>990</v>
      </c>
      <c r="S98" s="121">
        <v>0</v>
      </c>
      <c r="T98" s="121">
        <v>54.76</v>
      </c>
      <c r="U98" s="121">
        <v>0</v>
      </c>
      <c r="V98" s="121">
        <v>0</v>
      </c>
      <c r="W98" s="121">
        <v>0</v>
      </c>
      <c r="X98" s="121">
        <v>0</v>
      </c>
      <c r="Y98" s="121">
        <v>0</v>
      </c>
      <c r="Z98" s="121">
        <v>0</v>
      </c>
      <c r="AA98" s="121">
        <v>0</v>
      </c>
      <c r="AB98" s="144">
        <f t="shared" ref="AB98:BD98" si="948">P98*(1+AB$263)</f>
        <v>0</v>
      </c>
      <c r="AC98" s="144">
        <f t="shared" si="948"/>
        <v>166.77759999999998</v>
      </c>
      <c r="AD98" s="144">
        <f t="shared" si="948"/>
        <v>1019.7</v>
      </c>
      <c r="AE98" s="144">
        <f t="shared" si="948"/>
        <v>0</v>
      </c>
      <c r="AF98" s="144">
        <f t="shared" si="948"/>
        <v>56.402799999999999</v>
      </c>
      <c r="AG98" s="144">
        <f t="shared" si="948"/>
        <v>0</v>
      </c>
      <c r="AH98" s="144">
        <f t="shared" si="948"/>
        <v>0</v>
      </c>
      <c r="AI98" s="144">
        <f t="shared" si="948"/>
        <v>0</v>
      </c>
      <c r="AJ98" s="144">
        <f t="shared" si="948"/>
        <v>0</v>
      </c>
      <c r="AK98" s="144">
        <f t="shared" si="948"/>
        <v>0</v>
      </c>
      <c r="AL98" s="144">
        <f t="shared" si="948"/>
        <v>0</v>
      </c>
      <c r="AM98" s="144">
        <f t="shared" si="948"/>
        <v>0</v>
      </c>
      <c r="AN98" s="144">
        <f t="shared" si="948"/>
        <v>0</v>
      </c>
      <c r="AO98" s="144">
        <f t="shared" si="948"/>
        <v>171.78092799999999</v>
      </c>
      <c r="AP98" s="144">
        <f t="shared" si="948"/>
        <v>1050.2910000000002</v>
      </c>
      <c r="AQ98" s="144">
        <f t="shared" si="948"/>
        <v>0</v>
      </c>
      <c r="AR98" s="144">
        <f t="shared" si="948"/>
        <v>58.094884</v>
      </c>
      <c r="AS98" s="144">
        <f t="shared" si="948"/>
        <v>0</v>
      </c>
      <c r="AT98" s="144">
        <f t="shared" si="948"/>
        <v>0</v>
      </c>
      <c r="AU98" s="144">
        <f t="shared" si="948"/>
        <v>0</v>
      </c>
      <c r="AV98" s="144">
        <f t="shared" si="948"/>
        <v>0</v>
      </c>
      <c r="AW98" s="144">
        <f t="shared" si="948"/>
        <v>0</v>
      </c>
      <c r="AX98" s="144">
        <f t="shared" si="948"/>
        <v>0</v>
      </c>
      <c r="AY98" s="144">
        <f t="shared" si="948"/>
        <v>0</v>
      </c>
      <c r="AZ98" s="144">
        <f t="shared" si="948"/>
        <v>0</v>
      </c>
      <c r="BA98" s="144">
        <f t="shared" si="948"/>
        <v>176.93435583999999</v>
      </c>
      <c r="BB98" s="144">
        <f t="shared" si="948"/>
        <v>1081.7997300000002</v>
      </c>
      <c r="BC98" s="144">
        <f t="shared" si="948"/>
        <v>0</v>
      </c>
      <c r="BD98" s="144">
        <f t="shared" si="948"/>
        <v>59.837730520000001</v>
      </c>
      <c r="BE98" s="144">
        <f t="shared" ref="BE98:BX98" si="949">AS98*(1+BE$263)</f>
        <v>0</v>
      </c>
      <c r="BF98" s="144">
        <f t="shared" si="949"/>
        <v>0</v>
      </c>
      <c r="BG98" s="144">
        <f t="shared" si="949"/>
        <v>0</v>
      </c>
      <c r="BH98" s="144">
        <f t="shared" si="949"/>
        <v>0</v>
      </c>
      <c r="BI98" s="144">
        <f t="shared" si="949"/>
        <v>0</v>
      </c>
      <c r="BJ98" s="144">
        <f t="shared" si="949"/>
        <v>0</v>
      </c>
      <c r="BK98" s="144">
        <f t="shared" si="949"/>
        <v>0</v>
      </c>
      <c r="BL98" s="144">
        <f t="shared" si="949"/>
        <v>0</v>
      </c>
      <c r="BM98" s="144">
        <f t="shared" si="949"/>
        <v>182.2423865152</v>
      </c>
      <c r="BN98" s="144">
        <f t="shared" si="949"/>
        <v>1114.2537219000003</v>
      </c>
      <c r="BO98" s="144">
        <f t="shared" si="949"/>
        <v>0</v>
      </c>
      <c r="BP98" s="144">
        <f t="shared" si="949"/>
        <v>61.632862435600003</v>
      </c>
      <c r="BQ98" s="144">
        <f t="shared" si="949"/>
        <v>0</v>
      </c>
      <c r="BR98" s="144">
        <f t="shared" si="949"/>
        <v>0</v>
      </c>
      <c r="BS98" s="144">
        <f t="shared" si="949"/>
        <v>0</v>
      </c>
      <c r="BT98" s="144">
        <f t="shared" si="949"/>
        <v>0</v>
      </c>
      <c r="BU98" s="144">
        <f t="shared" si="949"/>
        <v>0</v>
      </c>
      <c r="BV98" s="144">
        <f t="shared" si="949"/>
        <v>0</v>
      </c>
      <c r="BW98" s="144">
        <f t="shared" si="949"/>
        <v>0</v>
      </c>
      <c r="BX98" s="144">
        <f t="shared" si="949"/>
        <v>0</v>
      </c>
      <c r="BY98" s="8"/>
      <c r="BZ98" s="73">
        <f t="shared" si="936"/>
        <v>0</v>
      </c>
      <c r="CA98" s="73">
        <f t="shared" si="937"/>
        <v>1206.68</v>
      </c>
      <c r="CB98" s="97"/>
      <c r="CC98" s="73">
        <f t="shared" ref="CC98:CC163" si="950">SUMIF($C$3:$BY$3,CC$3,$C98:$BY98)</f>
        <v>0</v>
      </c>
      <c r="CD98" s="73">
        <f t="shared" ref="CD98:CJ107" si="951">SUMIF($C$3:$BY$3,CD$3,$C98:$BY98)</f>
        <v>0</v>
      </c>
      <c r="CE98" s="73">
        <f t="shared" si="951"/>
        <v>4347.1899999999996</v>
      </c>
      <c r="CF98" s="73">
        <f t="shared" si="951"/>
        <v>1206.68</v>
      </c>
      <c r="CG98" s="73">
        <f t="shared" si="951"/>
        <v>1242.8804</v>
      </c>
      <c r="CH98" s="73">
        <f t="shared" si="951"/>
        <v>1280.1668120000002</v>
      </c>
      <c r="CI98" s="73">
        <f t="shared" si="951"/>
        <v>1318.5718163600002</v>
      </c>
      <c r="CJ98" s="73">
        <f t="shared" si="951"/>
        <v>1358.1289708508002</v>
      </c>
      <c r="CL98" s="13"/>
      <c r="CM98" s="13"/>
    </row>
    <row r="99" spans="1:92" x14ac:dyDescent="0.3">
      <c r="A99" s="97" t="str">
        <f>'DCS Detail'!A99</f>
        <v xml:space="preserve">      Total 2220 Library/Media</v>
      </c>
      <c r="B99" s="106" t="str">
        <f>IF('DCS Detail'!$B99="","",'DCS Detail'!$B99)</f>
        <v/>
      </c>
      <c r="C99" s="36">
        <f>SUM(C97:C98)</f>
        <v>0</v>
      </c>
      <c r="D99" s="36">
        <f t="shared" ref="D99:X99" si="952">SUM(D97:D98)</f>
        <v>0</v>
      </c>
      <c r="E99" s="36">
        <f t="shared" si="952"/>
        <v>16.690000000000001</v>
      </c>
      <c r="F99" s="36">
        <f t="shared" si="952"/>
        <v>165</v>
      </c>
      <c r="G99" s="36">
        <f t="shared" si="952"/>
        <v>0</v>
      </c>
      <c r="H99" s="36">
        <f t="shared" si="952"/>
        <v>1801</v>
      </c>
      <c r="I99" s="36">
        <f t="shared" si="952"/>
        <v>725.77</v>
      </c>
      <c r="J99" s="36">
        <f t="shared" si="952"/>
        <v>0</v>
      </c>
      <c r="K99" s="36">
        <f t="shared" si="952"/>
        <v>0</v>
      </c>
      <c r="L99" s="36">
        <f t="shared" si="952"/>
        <v>1205.9899999999998</v>
      </c>
      <c r="M99" s="36">
        <f t="shared" si="952"/>
        <v>767.5</v>
      </c>
      <c r="N99" s="36">
        <f t="shared" si="952"/>
        <v>0</v>
      </c>
      <c r="O99" s="36">
        <f t="shared" si="952"/>
        <v>383.24</v>
      </c>
      <c r="P99" s="36">
        <f t="shared" si="952"/>
        <v>0</v>
      </c>
      <c r="Q99" s="36">
        <f t="shared" si="952"/>
        <v>161.91999999999999</v>
      </c>
      <c r="R99" s="36">
        <f t="shared" ref="R99:S99" si="953">SUM(R97:R98)</f>
        <v>990</v>
      </c>
      <c r="S99" s="36">
        <f t="shared" si="953"/>
        <v>0</v>
      </c>
      <c r="T99" s="36">
        <f t="shared" ref="T99:U99" si="954">SUM(T97:T98)</f>
        <v>1022.51</v>
      </c>
      <c r="U99" s="36">
        <f t="shared" si="954"/>
        <v>0</v>
      </c>
      <c r="V99" s="36">
        <f t="shared" ref="V99:W99" si="955">SUM(V97:V98)</f>
        <v>0</v>
      </c>
      <c r="W99" s="36">
        <f t="shared" si="955"/>
        <v>0</v>
      </c>
      <c r="X99" s="36">
        <f t="shared" si="952"/>
        <v>0</v>
      </c>
      <c r="Y99" s="36">
        <f t="shared" ref="Y99:AZ99" si="956">SUM(Y97:Y98)</f>
        <v>0</v>
      </c>
      <c r="Z99" s="36">
        <f t="shared" si="956"/>
        <v>0</v>
      </c>
      <c r="AA99" s="36">
        <f t="shared" si="956"/>
        <v>0</v>
      </c>
      <c r="AB99" s="36">
        <f t="shared" si="956"/>
        <v>0</v>
      </c>
      <c r="AC99" s="36">
        <f t="shared" si="956"/>
        <v>166.77759999999998</v>
      </c>
      <c r="AD99" s="36">
        <f t="shared" si="956"/>
        <v>1019.7</v>
      </c>
      <c r="AE99" s="36">
        <f t="shared" si="956"/>
        <v>0</v>
      </c>
      <c r="AF99" s="36">
        <f t="shared" si="956"/>
        <v>56.402799999999999</v>
      </c>
      <c r="AG99" s="36">
        <f t="shared" si="956"/>
        <v>0</v>
      </c>
      <c r="AH99" s="36">
        <f t="shared" si="956"/>
        <v>0</v>
      </c>
      <c r="AI99" s="36">
        <f t="shared" si="956"/>
        <v>0</v>
      </c>
      <c r="AJ99" s="36">
        <f t="shared" si="956"/>
        <v>0</v>
      </c>
      <c r="AK99" s="36">
        <f t="shared" si="956"/>
        <v>0</v>
      </c>
      <c r="AL99" s="36">
        <f t="shared" si="956"/>
        <v>0</v>
      </c>
      <c r="AM99" s="36">
        <f t="shared" si="956"/>
        <v>0</v>
      </c>
      <c r="AN99" s="36">
        <f t="shared" si="956"/>
        <v>0</v>
      </c>
      <c r="AO99" s="36">
        <f t="shared" si="956"/>
        <v>171.78092799999999</v>
      </c>
      <c r="AP99" s="36">
        <f t="shared" si="956"/>
        <v>1050.2910000000002</v>
      </c>
      <c r="AQ99" s="36">
        <f t="shared" si="956"/>
        <v>0</v>
      </c>
      <c r="AR99" s="36">
        <f t="shared" si="956"/>
        <v>58.094884</v>
      </c>
      <c r="AS99" s="36">
        <f t="shared" si="956"/>
        <v>0</v>
      </c>
      <c r="AT99" s="36">
        <f t="shared" si="956"/>
        <v>0</v>
      </c>
      <c r="AU99" s="36">
        <f t="shared" si="956"/>
        <v>0</v>
      </c>
      <c r="AV99" s="36">
        <f t="shared" si="956"/>
        <v>0</v>
      </c>
      <c r="AW99" s="36">
        <f t="shared" si="956"/>
        <v>0</v>
      </c>
      <c r="AX99" s="36">
        <f t="shared" si="956"/>
        <v>0</v>
      </c>
      <c r="AY99" s="36">
        <f t="shared" si="956"/>
        <v>0</v>
      </c>
      <c r="AZ99" s="36">
        <f t="shared" si="956"/>
        <v>0</v>
      </c>
      <c r="BA99" s="36">
        <f t="shared" ref="BA99:BX99" si="957">SUM(BA97:BA98)</f>
        <v>176.93435583999999</v>
      </c>
      <c r="BB99" s="36">
        <f t="shared" si="957"/>
        <v>1081.7997300000002</v>
      </c>
      <c r="BC99" s="36">
        <f t="shared" si="957"/>
        <v>0</v>
      </c>
      <c r="BD99" s="36">
        <f t="shared" si="957"/>
        <v>59.837730520000001</v>
      </c>
      <c r="BE99" s="36">
        <f t="shared" si="957"/>
        <v>0</v>
      </c>
      <c r="BF99" s="36">
        <f t="shared" si="957"/>
        <v>0</v>
      </c>
      <c r="BG99" s="36">
        <f t="shared" si="957"/>
        <v>0</v>
      </c>
      <c r="BH99" s="36">
        <f t="shared" si="957"/>
        <v>0</v>
      </c>
      <c r="BI99" s="36">
        <f t="shared" si="957"/>
        <v>0</v>
      </c>
      <c r="BJ99" s="36">
        <f t="shared" si="957"/>
        <v>0</v>
      </c>
      <c r="BK99" s="36">
        <f t="shared" si="957"/>
        <v>0</v>
      </c>
      <c r="BL99" s="36">
        <f t="shared" si="957"/>
        <v>0</v>
      </c>
      <c r="BM99" s="36">
        <f t="shared" si="957"/>
        <v>182.2423865152</v>
      </c>
      <c r="BN99" s="36">
        <f t="shared" si="957"/>
        <v>1114.2537219000003</v>
      </c>
      <c r="BO99" s="36">
        <f t="shared" si="957"/>
        <v>0</v>
      </c>
      <c r="BP99" s="36">
        <f t="shared" si="957"/>
        <v>61.632862435600003</v>
      </c>
      <c r="BQ99" s="36">
        <f t="shared" si="957"/>
        <v>0</v>
      </c>
      <c r="BR99" s="36">
        <f t="shared" si="957"/>
        <v>0</v>
      </c>
      <c r="BS99" s="36">
        <f t="shared" si="957"/>
        <v>0</v>
      </c>
      <c r="BT99" s="36">
        <f t="shared" si="957"/>
        <v>0</v>
      </c>
      <c r="BU99" s="36">
        <f t="shared" si="957"/>
        <v>0</v>
      </c>
      <c r="BV99" s="36">
        <f t="shared" si="957"/>
        <v>0</v>
      </c>
      <c r="BW99" s="36">
        <f t="shared" si="957"/>
        <v>0</v>
      </c>
      <c r="BX99" s="36">
        <f t="shared" si="957"/>
        <v>0</v>
      </c>
      <c r="BY99" s="8"/>
      <c r="BZ99" s="72">
        <f t="shared" si="936"/>
        <v>0</v>
      </c>
      <c r="CA99" s="72">
        <f t="shared" si="937"/>
        <v>2174.4300000000003</v>
      </c>
      <c r="CB99" s="97"/>
      <c r="CC99" s="72">
        <f t="shared" si="950"/>
        <v>0</v>
      </c>
      <c r="CD99" s="72">
        <f t="shared" si="951"/>
        <v>0</v>
      </c>
      <c r="CE99" s="72">
        <f t="shared" si="951"/>
        <v>5065.1899999999996</v>
      </c>
      <c r="CF99" s="72">
        <f t="shared" si="951"/>
        <v>2174.4300000000003</v>
      </c>
      <c r="CG99" s="72">
        <f t="shared" si="951"/>
        <v>1242.8804</v>
      </c>
      <c r="CH99" s="72">
        <f t="shared" si="951"/>
        <v>1280.1668120000002</v>
      </c>
      <c r="CI99" s="72">
        <f t="shared" si="951"/>
        <v>1318.5718163600002</v>
      </c>
      <c r="CJ99" s="72">
        <f t="shared" si="951"/>
        <v>1358.1289708508002</v>
      </c>
      <c r="CL99" s="13"/>
      <c r="CM99" s="13"/>
    </row>
    <row r="100" spans="1:92" x14ac:dyDescent="0.3">
      <c r="A100" s="97" t="str">
        <f>'DCS Detail'!A100</f>
        <v xml:space="preserve">      2300 Support - General Admin</v>
      </c>
      <c r="B100" s="106" t="str">
        <f>IF('DCS Detail'!$B100="","",'DCS Detail'!$B100)</f>
        <v>Misc.</v>
      </c>
      <c r="C100" s="106"/>
      <c r="D100" s="106"/>
      <c r="E100" s="18">
        <v>56.8</v>
      </c>
      <c r="F100" s="18">
        <v>0</v>
      </c>
      <c r="G100" s="18">
        <v>0</v>
      </c>
      <c r="H100" s="18">
        <v>0</v>
      </c>
      <c r="I100" s="18">
        <v>0</v>
      </c>
      <c r="J100" s="18">
        <v>0</v>
      </c>
      <c r="K100" s="18">
        <v>0</v>
      </c>
      <c r="L100" s="18">
        <v>0</v>
      </c>
      <c r="M100" s="18">
        <v>0</v>
      </c>
      <c r="N100" s="18">
        <v>0</v>
      </c>
      <c r="O100" s="18">
        <v>0</v>
      </c>
      <c r="P100" s="18">
        <v>0</v>
      </c>
      <c r="Q100" s="18">
        <v>0</v>
      </c>
      <c r="R100" s="18">
        <v>0</v>
      </c>
      <c r="S100" s="18">
        <v>0</v>
      </c>
      <c r="T100" s="18">
        <v>0</v>
      </c>
      <c r="U100" s="18">
        <v>0</v>
      </c>
      <c r="V100" s="18">
        <v>0</v>
      </c>
      <c r="W100" s="18">
        <v>0</v>
      </c>
      <c r="X100" s="18">
        <v>0</v>
      </c>
      <c r="Y100" s="18">
        <v>0</v>
      </c>
      <c r="Z100" s="18">
        <v>0</v>
      </c>
      <c r="AA100" s="146">
        <v>0</v>
      </c>
      <c r="AB100" s="18">
        <v>0</v>
      </c>
      <c r="AC100" s="18">
        <v>0</v>
      </c>
      <c r="AD100" s="18">
        <v>0</v>
      </c>
      <c r="AE100" s="18">
        <v>0</v>
      </c>
      <c r="AF100" s="18">
        <v>0</v>
      </c>
      <c r="AG100" s="18">
        <v>0</v>
      </c>
      <c r="AH100" s="18">
        <v>0</v>
      </c>
      <c r="AI100" s="18">
        <v>0</v>
      </c>
      <c r="AJ100" s="18">
        <v>0</v>
      </c>
      <c r="AK100" s="18">
        <v>0</v>
      </c>
      <c r="AL100" s="18">
        <v>0</v>
      </c>
      <c r="AM100" s="18">
        <v>0</v>
      </c>
      <c r="AN100" s="18">
        <v>0</v>
      </c>
      <c r="AO100" s="18">
        <v>0</v>
      </c>
      <c r="AP100" s="18">
        <v>0</v>
      </c>
      <c r="AQ100" s="18">
        <v>0</v>
      </c>
      <c r="AR100" s="18">
        <v>0</v>
      </c>
      <c r="AS100" s="18">
        <v>0</v>
      </c>
      <c r="AT100" s="18">
        <v>0</v>
      </c>
      <c r="AU100" s="18">
        <v>0</v>
      </c>
      <c r="AV100" s="18">
        <v>0</v>
      </c>
      <c r="AW100" s="18">
        <v>0</v>
      </c>
      <c r="AX100" s="18">
        <v>0</v>
      </c>
      <c r="AY100" s="18">
        <v>0</v>
      </c>
      <c r="AZ100" s="18">
        <v>0</v>
      </c>
      <c r="BA100" s="18">
        <v>0</v>
      </c>
      <c r="BB100" s="18">
        <v>0</v>
      </c>
      <c r="BC100" s="18">
        <v>0</v>
      </c>
      <c r="BD100" s="18">
        <v>0</v>
      </c>
      <c r="BE100" s="18">
        <v>0</v>
      </c>
      <c r="BF100" s="18">
        <v>0</v>
      </c>
      <c r="BG100" s="18">
        <v>0</v>
      </c>
      <c r="BH100" s="18">
        <v>0</v>
      </c>
      <c r="BI100" s="18">
        <v>0</v>
      </c>
      <c r="BJ100" s="18">
        <v>0</v>
      </c>
      <c r="BK100" s="18">
        <v>0</v>
      </c>
      <c r="BL100" s="18">
        <v>0</v>
      </c>
      <c r="BM100" s="18">
        <v>0</v>
      </c>
      <c r="BN100" s="18">
        <v>0</v>
      </c>
      <c r="BO100" s="18">
        <v>0</v>
      </c>
      <c r="BP100" s="18">
        <v>0</v>
      </c>
      <c r="BQ100" s="18">
        <v>0</v>
      </c>
      <c r="BR100" s="18">
        <v>0</v>
      </c>
      <c r="BS100" s="18">
        <v>0</v>
      </c>
      <c r="BT100" s="18">
        <v>0</v>
      </c>
      <c r="BU100" s="18">
        <v>0</v>
      </c>
      <c r="BV100" s="18">
        <v>0</v>
      </c>
      <c r="BW100" s="18">
        <v>0</v>
      </c>
      <c r="BX100" s="18">
        <v>0</v>
      </c>
      <c r="BY100" s="8"/>
      <c r="BZ100" s="72">
        <f t="shared" si="936"/>
        <v>0</v>
      </c>
      <c r="CA100" s="72">
        <f t="shared" si="937"/>
        <v>0</v>
      </c>
      <c r="CB100" s="97"/>
      <c r="CC100" s="72">
        <f t="shared" si="950"/>
        <v>0</v>
      </c>
      <c r="CD100" s="72">
        <f t="shared" si="951"/>
        <v>0</v>
      </c>
      <c r="CE100" s="72">
        <f t="shared" si="951"/>
        <v>56.8</v>
      </c>
      <c r="CF100" s="72">
        <f t="shared" si="951"/>
        <v>0</v>
      </c>
      <c r="CG100" s="72">
        <f t="shared" si="951"/>
        <v>0</v>
      </c>
      <c r="CH100" s="72">
        <f t="shared" si="951"/>
        <v>0</v>
      </c>
      <c r="CI100" s="72">
        <f t="shared" si="951"/>
        <v>0</v>
      </c>
      <c r="CJ100" s="72">
        <f t="shared" si="951"/>
        <v>0</v>
      </c>
      <c r="CL100" s="13"/>
      <c r="CM100" s="13"/>
    </row>
    <row r="101" spans="1:92" x14ac:dyDescent="0.3">
      <c r="A101" s="97" t="str">
        <f>'DCS Detail'!A101</f>
        <v xml:space="preserve">         115.1 Wages - Nurse</v>
      </c>
      <c r="B101" s="106" t="str">
        <f>IF('DCS Detail'!$B101="","",'DCS Detail'!$B101)</f>
        <v>Salaries</v>
      </c>
      <c r="C101" s="106"/>
      <c r="D101" s="106"/>
      <c r="E101" s="18">
        <v>0</v>
      </c>
      <c r="F101" s="18">
        <v>231.82</v>
      </c>
      <c r="G101" s="18">
        <v>445.5</v>
      </c>
      <c r="H101" s="18">
        <v>323.39999999999998</v>
      </c>
      <c r="I101" s="18">
        <v>198</v>
      </c>
      <c r="J101" s="18">
        <v>0</v>
      </c>
      <c r="K101" s="18">
        <v>0</v>
      </c>
      <c r="L101" s="18">
        <v>0</v>
      </c>
      <c r="M101" s="18">
        <v>0</v>
      </c>
      <c r="N101" s="18">
        <v>198</v>
      </c>
      <c r="O101" s="18">
        <v>44</v>
      </c>
      <c r="P101" s="18">
        <v>0</v>
      </c>
      <c r="Q101" s="18">
        <v>0</v>
      </c>
      <c r="R101" s="18">
        <v>66</v>
      </c>
      <c r="S101" s="18">
        <v>0</v>
      </c>
      <c r="T101" s="18">
        <v>0</v>
      </c>
      <c r="U101" s="18">
        <v>297</v>
      </c>
      <c r="V101" s="18">
        <v>0</v>
      </c>
      <c r="W101" s="18">
        <v>198</v>
      </c>
      <c r="X101" s="18">
        <v>0</v>
      </c>
      <c r="Y101" s="18">
        <v>0</v>
      </c>
      <c r="Z101" s="18">
        <v>231</v>
      </c>
      <c r="AA101" s="146">
        <v>0</v>
      </c>
      <c r="AB101" s="120">
        <f t="shared" ref="AB101:AI105" si="958">P101*(1+AB$263)</f>
        <v>0</v>
      </c>
      <c r="AC101" s="120">
        <f t="shared" si="958"/>
        <v>0</v>
      </c>
      <c r="AD101" s="120">
        <f t="shared" si="958"/>
        <v>67.98</v>
      </c>
      <c r="AE101" s="120">
        <f t="shared" si="958"/>
        <v>0</v>
      </c>
      <c r="AF101" s="120">
        <f t="shared" si="958"/>
        <v>0</v>
      </c>
      <c r="AG101" s="120">
        <f t="shared" si="958"/>
        <v>305.91000000000003</v>
      </c>
      <c r="AH101" s="120">
        <f t="shared" si="958"/>
        <v>0</v>
      </c>
      <c r="AI101" s="120">
        <f t="shared" si="958"/>
        <v>203.94</v>
      </c>
      <c r="AJ101" s="120">
        <f t="shared" ref="AJ101:AS105" si="959">X101*(1+AJ$263)</f>
        <v>0</v>
      </c>
      <c r="AK101" s="120">
        <f t="shared" si="959"/>
        <v>0</v>
      </c>
      <c r="AL101" s="120">
        <f t="shared" si="959"/>
        <v>237.93</v>
      </c>
      <c r="AM101" s="120">
        <f t="shared" si="959"/>
        <v>0</v>
      </c>
      <c r="AN101" s="120">
        <f t="shared" si="959"/>
        <v>0</v>
      </c>
      <c r="AO101" s="120">
        <f t="shared" si="959"/>
        <v>0</v>
      </c>
      <c r="AP101" s="120">
        <f t="shared" si="959"/>
        <v>70.019400000000005</v>
      </c>
      <c r="AQ101" s="120">
        <f t="shared" si="959"/>
        <v>0</v>
      </c>
      <c r="AR101" s="120">
        <f t="shared" si="959"/>
        <v>0</v>
      </c>
      <c r="AS101" s="120">
        <f t="shared" si="959"/>
        <v>315.08730000000003</v>
      </c>
      <c r="AT101" s="120">
        <f t="shared" ref="AT101:BC105" si="960">AH101*(1+AT$263)</f>
        <v>0</v>
      </c>
      <c r="AU101" s="120">
        <f t="shared" si="960"/>
        <v>210.0582</v>
      </c>
      <c r="AV101" s="120">
        <f t="shared" si="960"/>
        <v>0</v>
      </c>
      <c r="AW101" s="120">
        <f t="shared" si="960"/>
        <v>0</v>
      </c>
      <c r="AX101" s="120">
        <f t="shared" si="960"/>
        <v>245.06790000000001</v>
      </c>
      <c r="AY101" s="120">
        <f t="shared" si="960"/>
        <v>0</v>
      </c>
      <c r="AZ101" s="120">
        <f t="shared" si="960"/>
        <v>0</v>
      </c>
      <c r="BA101" s="120">
        <f t="shared" si="960"/>
        <v>0</v>
      </c>
      <c r="BB101" s="120">
        <f t="shared" si="960"/>
        <v>72.119982000000007</v>
      </c>
      <c r="BC101" s="120">
        <f t="shared" si="960"/>
        <v>0</v>
      </c>
      <c r="BD101" s="120">
        <f t="shared" ref="BD101:BM105" si="961">AR101*(1+BD$263)</f>
        <v>0</v>
      </c>
      <c r="BE101" s="120">
        <f t="shared" si="961"/>
        <v>324.53991900000005</v>
      </c>
      <c r="BF101" s="120">
        <f t="shared" si="961"/>
        <v>0</v>
      </c>
      <c r="BG101" s="120">
        <f t="shared" si="961"/>
        <v>216.35994600000001</v>
      </c>
      <c r="BH101" s="120">
        <f t="shared" si="961"/>
        <v>0</v>
      </c>
      <c r="BI101" s="120">
        <f t="shared" si="961"/>
        <v>0</v>
      </c>
      <c r="BJ101" s="120">
        <f t="shared" si="961"/>
        <v>252.419937</v>
      </c>
      <c r="BK101" s="120">
        <f t="shared" si="961"/>
        <v>0</v>
      </c>
      <c r="BL101" s="120">
        <f t="shared" si="961"/>
        <v>0</v>
      </c>
      <c r="BM101" s="120">
        <f t="shared" si="961"/>
        <v>0</v>
      </c>
      <c r="BN101" s="120">
        <f t="shared" ref="BN101:BW105" si="962">BB101*(1+BN$263)</f>
        <v>74.283581460000008</v>
      </c>
      <c r="BO101" s="120">
        <f t="shared" si="962"/>
        <v>0</v>
      </c>
      <c r="BP101" s="120">
        <f t="shared" si="962"/>
        <v>0</v>
      </c>
      <c r="BQ101" s="120">
        <f t="shared" si="962"/>
        <v>334.27611657000006</v>
      </c>
      <c r="BR101" s="120">
        <f t="shared" si="962"/>
        <v>0</v>
      </c>
      <c r="BS101" s="120">
        <f t="shared" si="962"/>
        <v>222.85074438000001</v>
      </c>
      <c r="BT101" s="120">
        <f t="shared" si="962"/>
        <v>0</v>
      </c>
      <c r="BU101" s="120">
        <f t="shared" si="962"/>
        <v>0</v>
      </c>
      <c r="BV101" s="120">
        <f t="shared" si="962"/>
        <v>259.99253511000001</v>
      </c>
      <c r="BW101" s="120">
        <f t="shared" si="962"/>
        <v>0</v>
      </c>
      <c r="BX101" s="120">
        <f t="shared" ref="BX101:BX105" si="963">BL101*(1+BX$263)</f>
        <v>0</v>
      </c>
      <c r="BY101" s="8"/>
      <c r="BZ101" s="72">
        <f t="shared" si="936"/>
        <v>0</v>
      </c>
      <c r="CA101" s="72">
        <f t="shared" si="937"/>
        <v>792</v>
      </c>
      <c r="CB101" s="97"/>
      <c r="CC101" s="72">
        <f t="shared" si="950"/>
        <v>0</v>
      </c>
      <c r="CD101" s="72">
        <f t="shared" si="951"/>
        <v>0</v>
      </c>
      <c r="CE101" s="72">
        <f t="shared" si="951"/>
        <v>1440.7199999999998</v>
      </c>
      <c r="CF101" s="72">
        <f t="shared" si="951"/>
        <v>792</v>
      </c>
      <c r="CG101" s="72">
        <f t="shared" si="951"/>
        <v>815.76</v>
      </c>
      <c r="CH101" s="72">
        <f t="shared" si="951"/>
        <v>840.2328</v>
      </c>
      <c r="CI101" s="72">
        <f t="shared" si="951"/>
        <v>865.43978400000003</v>
      </c>
      <c r="CJ101" s="72">
        <f t="shared" si="951"/>
        <v>891.40297752000015</v>
      </c>
      <c r="CL101" s="13"/>
      <c r="CM101" s="13"/>
    </row>
    <row r="102" spans="1:92" x14ac:dyDescent="0.3">
      <c r="A102" s="97" t="str">
        <f>'DCS Detail'!A102</f>
        <v xml:space="preserve">         225.1 Payroll Tax - Nurse</v>
      </c>
      <c r="B102" s="106" t="str">
        <f>IF('DCS Detail'!$B102="","",'DCS Detail'!$B102)</f>
        <v>Benefits</v>
      </c>
      <c r="C102" s="106"/>
      <c r="D102" s="106"/>
      <c r="E102" s="18">
        <v>0</v>
      </c>
      <c r="F102" s="18">
        <v>19.13</v>
      </c>
      <c r="G102" s="18">
        <v>36.75</v>
      </c>
      <c r="H102" s="18">
        <v>26.68</v>
      </c>
      <c r="I102" s="18">
        <v>16.329999999999998</v>
      </c>
      <c r="J102" s="18">
        <v>0</v>
      </c>
      <c r="K102" s="18">
        <v>0</v>
      </c>
      <c r="L102" s="18">
        <v>0</v>
      </c>
      <c r="M102" s="18">
        <v>0</v>
      </c>
      <c r="N102" s="18">
        <v>16.329999999999998</v>
      </c>
      <c r="O102" s="18">
        <v>3.63</v>
      </c>
      <c r="P102" s="18">
        <v>0</v>
      </c>
      <c r="Q102" s="18">
        <v>0</v>
      </c>
      <c r="R102" s="18">
        <v>5.45</v>
      </c>
      <c r="S102" s="18">
        <v>0</v>
      </c>
      <c r="T102" s="18">
        <v>0</v>
      </c>
      <c r="U102" s="18">
        <v>24.5</v>
      </c>
      <c r="V102" s="18">
        <v>0</v>
      </c>
      <c r="W102" s="18">
        <v>16.329999999999998</v>
      </c>
      <c r="X102" s="18">
        <v>0</v>
      </c>
      <c r="Y102" s="18">
        <v>0</v>
      </c>
      <c r="Z102" s="18">
        <v>19.059999999999999</v>
      </c>
      <c r="AA102" s="146">
        <v>0</v>
      </c>
      <c r="AB102" s="120">
        <f t="shared" si="958"/>
        <v>0</v>
      </c>
      <c r="AC102" s="120">
        <f t="shared" si="958"/>
        <v>0</v>
      </c>
      <c r="AD102" s="120">
        <f t="shared" si="958"/>
        <v>5.6135000000000002</v>
      </c>
      <c r="AE102" s="120">
        <f t="shared" si="958"/>
        <v>0</v>
      </c>
      <c r="AF102" s="120">
        <f t="shared" si="958"/>
        <v>0</v>
      </c>
      <c r="AG102" s="120">
        <f t="shared" si="958"/>
        <v>25.234999999999999</v>
      </c>
      <c r="AH102" s="120">
        <f t="shared" si="958"/>
        <v>0</v>
      </c>
      <c r="AI102" s="120">
        <f t="shared" si="958"/>
        <v>16.819899999999997</v>
      </c>
      <c r="AJ102" s="120">
        <f t="shared" si="959"/>
        <v>0</v>
      </c>
      <c r="AK102" s="120">
        <f t="shared" si="959"/>
        <v>0</v>
      </c>
      <c r="AL102" s="120">
        <f t="shared" si="959"/>
        <v>19.631799999999998</v>
      </c>
      <c r="AM102" s="120">
        <f t="shared" si="959"/>
        <v>0</v>
      </c>
      <c r="AN102" s="120">
        <f t="shared" si="959"/>
        <v>0</v>
      </c>
      <c r="AO102" s="120">
        <f t="shared" si="959"/>
        <v>0</v>
      </c>
      <c r="AP102" s="120">
        <f t="shared" si="959"/>
        <v>5.7819050000000001</v>
      </c>
      <c r="AQ102" s="120">
        <f t="shared" si="959"/>
        <v>0</v>
      </c>
      <c r="AR102" s="120">
        <f t="shared" si="959"/>
        <v>0</v>
      </c>
      <c r="AS102" s="120">
        <f t="shared" si="959"/>
        <v>25.992049999999999</v>
      </c>
      <c r="AT102" s="120">
        <f t="shared" si="960"/>
        <v>0</v>
      </c>
      <c r="AU102" s="120">
        <f t="shared" si="960"/>
        <v>17.324496999999997</v>
      </c>
      <c r="AV102" s="120">
        <f t="shared" si="960"/>
        <v>0</v>
      </c>
      <c r="AW102" s="120">
        <f t="shared" si="960"/>
        <v>0</v>
      </c>
      <c r="AX102" s="120">
        <f t="shared" si="960"/>
        <v>20.220753999999999</v>
      </c>
      <c r="AY102" s="120">
        <f t="shared" si="960"/>
        <v>0</v>
      </c>
      <c r="AZ102" s="120">
        <f t="shared" si="960"/>
        <v>0</v>
      </c>
      <c r="BA102" s="120">
        <f t="shared" si="960"/>
        <v>0</v>
      </c>
      <c r="BB102" s="120">
        <f t="shared" si="960"/>
        <v>5.95536215</v>
      </c>
      <c r="BC102" s="120">
        <f t="shared" si="960"/>
        <v>0</v>
      </c>
      <c r="BD102" s="120">
        <f t="shared" si="961"/>
        <v>0</v>
      </c>
      <c r="BE102" s="120">
        <f t="shared" si="961"/>
        <v>26.771811499999998</v>
      </c>
      <c r="BF102" s="120">
        <f t="shared" si="961"/>
        <v>0</v>
      </c>
      <c r="BG102" s="120">
        <f t="shared" si="961"/>
        <v>17.844231909999998</v>
      </c>
      <c r="BH102" s="120">
        <f t="shared" si="961"/>
        <v>0</v>
      </c>
      <c r="BI102" s="120">
        <f t="shared" si="961"/>
        <v>0</v>
      </c>
      <c r="BJ102" s="120">
        <f t="shared" si="961"/>
        <v>20.827376619999999</v>
      </c>
      <c r="BK102" s="120">
        <f t="shared" si="961"/>
        <v>0</v>
      </c>
      <c r="BL102" s="120">
        <f t="shared" si="961"/>
        <v>0</v>
      </c>
      <c r="BM102" s="120">
        <f t="shared" si="961"/>
        <v>0</v>
      </c>
      <c r="BN102" s="120">
        <f t="shared" si="962"/>
        <v>6.1340230145000003</v>
      </c>
      <c r="BO102" s="120">
        <f t="shared" si="962"/>
        <v>0</v>
      </c>
      <c r="BP102" s="120">
        <f t="shared" si="962"/>
        <v>0</v>
      </c>
      <c r="BQ102" s="120">
        <f t="shared" si="962"/>
        <v>27.574965844999998</v>
      </c>
      <c r="BR102" s="120">
        <f t="shared" si="962"/>
        <v>0</v>
      </c>
      <c r="BS102" s="120">
        <f t="shared" si="962"/>
        <v>18.379558867299998</v>
      </c>
      <c r="BT102" s="120">
        <f t="shared" si="962"/>
        <v>0</v>
      </c>
      <c r="BU102" s="120">
        <f t="shared" si="962"/>
        <v>0</v>
      </c>
      <c r="BV102" s="120">
        <f t="shared" si="962"/>
        <v>21.4521979186</v>
      </c>
      <c r="BW102" s="120">
        <f t="shared" si="962"/>
        <v>0</v>
      </c>
      <c r="BX102" s="120">
        <f t="shared" si="963"/>
        <v>0</v>
      </c>
      <c r="BY102" s="8"/>
      <c r="BZ102" s="72">
        <f t="shared" si="936"/>
        <v>0</v>
      </c>
      <c r="CA102" s="72">
        <f t="shared" si="937"/>
        <v>65.34</v>
      </c>
      <c r="CB102" s="97"/>
      <c r="CC102" s="72">
        <f t="shared" si="950"/>
        <v>0</v>
      </c>
      <c r="CD102" s="72">
        <f t="shared" si="951"/>
        <v>0</v>
      </c>
      <c r="CE102" s="72">
        <f t="shared" si="951"/>
        <v>118.85</v>
      </c>
      <c r="CF102" s="72">
        <f t="shared" si="951"/>
        <v>65.34</v>
      </c>
      <c r="CG102" s="72">
        <f t="shared" si="951"/>
        <v>67.30019999999999</v>
      </c>
      <c r="CH102" s="72">
        <f t="shared" si="951"/>
        <v>69.319205999999994</v>
      </c>
      <c r="CI102" s="72">
        <f t="shared" si="951"/>
        <v>71.398782179999998</v>
      </c>
      <c r="CJ102" s="72">
        <f t="shared" si="951"/>
        <v>73.540745645399994</v>
      </c>
      <c r="CL102" s="13"/>
      <c r="CM102" s="13"/>
    </row>
    <row r="103" spans="1:92" x14ac:dyDescent="0.3">
      <c r="A103" s="97" t="str">
        <f>'DCS Detail'!A103</f>
        <v xml:space="preserve">         265.1 SUI - Nurse</v>
      </c>
      <c r="B103" s="106" t="str">
        <f>IF('DCS Detail'!$B103="","",'DCS Detail'!$B103)</f>
        <v>Benefits</v>
      </c>
      <c r="C103" s="106"/>
      <c r="D103" s="106"/>
      <c r="E103" s="18">
        <v>0</v>
      </c>
      <c r="F103" s="18">
        <v>4.17</v>
      </c>
      <c r="G103" s="18">
        <v>8.02</v>
      </c>
      <c r="H103" s="18">
        <v>5.82</v>
      </c>
      <c r="I103" s="18">
        <v>3.56</v>
      </c>
      <c r="J103" s="18">
        <v>0</v>
      </c>
      <c r="K103" s="18">
        <v>0</v>
      </c>
      <c r="L103" s="18">
        <v>0</v>
      </c>
      <c r="M103" s="18">
        <v>0</v>
      </c>
      <c r="N103" s="18">
        <v>2.97</v>
      </c>
      <c r="O103" s="18">
        <v>0.66</v>
      </c>
      <c r="P103" s="18">
        <v>0</v>
      </c>
      <c r="Q103" s="18">
        <v>0</v>
      </c>
      <c r="R103" s="18">
        <v>0.99</v>
      </c>
      <c r="S103" s="18">
        <v>0</v>
      </c>
      <c r="T103" s="18">
        <v>0</v>
      </c>
      <c r="U103" s="18">
        <v>4.45</v>
      </c>
      <c r="V103" s="18">
        <v>0</v>
      </c>
      <c r="W103" s="18">
        <v>2.97</v>
      </c>
      <c r="X103" s="18">
        <v>0</v>
      </c>
      <c r="Y103" s="18">
        <v>0</v>
      </c>
      <c r="Z103" s="18">
        <v>3.47</v>
      </c>
      <c r="AA103" s="146">
        <v>0</v>
      </c>
      <c r="AB103" s="120">
        <f t="shared" si="958"/>
        <v>0</v>
      </c>
      <c r="AC103" s="120">
        <f t="shared" si="958"/>
        <v>0</v>
      </c>
      <c r="AD103" s="120">
        <f t="shared" si="958"/>
        <v>1.0197000000000001</v>
      </c>
      <c r="AE103" s="120">
        <f t="shared" si="958"/>
        <v>0</v>
      </c>
      <c r="AF103" s="120">
        <f t="shared" si="958"/>
        <v>0</v>
      </c>
      <c r="AG103" s="120">
        <f t="shared" si="958"/>
        <v>4.5834999999999999</v>
      </c>
      <c r="AH103" s="120">
        <f t="shared" si="958"/>
        <v>0</v>
      </c>
      <c r="AI103" s="120">
        <f t="shared" si="958"/>
        <v>3.0591000000000004</v>
      </c>
      <c r="AJ103" s="120">
        <f t="shared" si="959"/>
        <v>0</v>
      </c>
      <c r="AK103" s="120">
        <f t="shared" si="959"/>
        <v>0</v>
      </c>
      <c r="AL103" s="120">
        <f t="shared" si="959"/>
        <v>3.5741000000000005</v>
      </c>
      <c r="AM103" s="120">
        <f t="shared" si="959"/>
        <v>0</v>
      </c>
      <c r="AN103" s="120">
        <f t="shared" si="959"/>
        <v>0</v>
      </c>
      <c r="AO103" s="120">
        <f t="shared" si="959"/>
        <v>0</v>
      </c>
      <c r="AP103" s="120">
        <f t="shared" si="959"/>
        <v>1.0502910000000001</v>
      </c>
      <c r="AQ103" s="120">
        <f t="shared" si="959"/>
        <v>0</v>
      </c>
      <c r="AR103" s="120">
        <f t="shared" si="959"/>
        <v>0</v>
      </c>
      <c r="AS103" s="120">
        <f t="shared" si="959"/>
        <v>4.7210049999999999</v>
      </c>
      <c r="AT103" s="120">
        <f t="shared" si="960"/>
        <v>0</v>
      </c>
      <c r="AU103" s="120">
        <f t="shared" si="960"/>
        <v>3.1508730000000003</v>
      </c>
      <c r="AV103" s="120">
        <f t="shared" si="960"/>
        <v>0</v>
      </c>
      <c r="AW103" s="120">
        <f t="shared" si="960"/>
        <v>0</v>
      </c>
      <c r="AX103" s="120">
        <f t="shared" si="960"/>
        <v>3.6813230000000008</v>
      </c>
      <c r="AY103" s="120">
        <f t="shared" si="960"/>
        <v>0</v>
      </c>
      <c r="AZ103" s="120">
        <f t="shared" si="960"/>
        <v>0</v>
      </c>
      <c r="BA103" s="120">
        <f t="shared" si="960"/>
        <v>0</v>
      </c>
      <c r="BB103" s="120">
        <f t="shared" si="960"/>
        <v>1.0817997300000002</v>
      </c>
      <c r="BC103" s="120">
        <f t="shared" si="960"/>
        <v>0</v>
      </c>
      <c r="BD103" s="120">
        <f t="shared" si="961"/>
        <v>0</v>
      </c>
      <c r="BE103" s="120">
        <f t="shared" si="961"/>
        <v>4.86263515</v>
      </c>
      <c r="BF103" s="120">
        <f t="shared" si="961"/>
        <v>0</v>
      </c>
      <c r="BG103" s="120">
        <f t="shared" si="961"/>
        <v>3.2453991900000005</v>
      </c>
      <c r="BH103" s="120">
        <f t="shared" si="961"/>
        <v>0</v>
      </c>
      <c r="BI103" s="120">
        <f t="shared" si="961"/>
        <v>0</v>
      </c>
      <c r="BJ103" s="120">
        <f t="shared" si="961"/>
        <v>3.791762690000001</v>
      </c>
      <c r="BK103" s="120">
        <f t="shared" si="961"/>
        <v>0</v>
      </c>
      <c r="BL103" s="120">
        <f t="shared" si="961"/>
        <v>0</v>
      </c>
      <c r="BM103" s="120">
        <f t="shared" si="961"/>
        <v>0</v>
      </c>
      <c r="BN103" s="120">
        <f t="shared" si="962"/>
        <v>1.1142537219000002</v>
      </c>
      <c r="BO103" s="120">
        <f t="shared" si="962"/>
        <v>0</v>
      </c>
      <c r="BP103" s="120">
        <f t="shared" si="962"/>
        <v>0</v>
      </c>
      <c r="BQ103" s="120">
        <f t="shared" si="962"/>
        <v>5.0085142045</v>
      </c>
      <c r="BR103" s="120">
        <f t="shared" si="962"/>
        <v>0</v>
      </c>
      <c r="BS103" s="120">
        <f t="shared" si="962"/>
        <v>3.3427611657000007</v>
      </c>
      <c r="BT103" s="120">
        <f t="shared" si="962"/>
        <v>0</v>
      </c>
      <c r="BU103" s="120">
        <f t="shared" si="962"/>
        <v>0</v>
      </c>
      <c r="BV103" s="120">
        <f t="shared" si="962"/>
        <v>3.9055155707000013</v>
      </c>
      <c r="BW103" s="120">
        <f t="shared" si="962"/>
        <v>0</v>
      </c>
      <c r="BX103" s="120">
        <f t="shared" si="963"/>
        <v>0</v>
      </c>
      <c r="BY103" s="8"/>
      <c r="BZ103" s="72">
        <f t="shared" si="936"/>
        <v>0</v>
      </c>
      <c r="CA103" s="72">
        <f t="shared" si="937"/>
        <v>11.88</v>
      </c>
      <c r="CB103" s="97"/>
      <c r="CC103" s="72">
        <f t="shared" si="950"/>
        <v>0</v>
      </c>
      <c r="CD103" s="72">
        <f t="shared" si="951"/>
        <v>0</v>
      </c>
      <c r="CE103" s="72">
        <f t="shared" si="951"/>
        <v>25.199999999999996</v>
      </c>
      <c r="CF103" s="72">
        <f t="shared" si="951"/>
        <v>11.88</v>
      </c>
      <c r="CG103" s="72">
        <f t="shared" si="951"/>
        <v>12.2364</v>
      </c>
      <c r="CH103" s="72">
        <f t="shared" si="951"/>
        <v>12.603492000000001</v>
      </c>
      <c r="CI103" s="72">
        <f t="shared" si="951"/>
        <v>12.98159676</v>
      </c>
      <c r="CJ103" s="72">
        <f t="shared" si="951"/>
        <v>13.371044662800003</v>
      </c>
      <c r="CL103" s="13"/>
      <c r="CM103" s="13"/>
    </row>
    <row r="104" spans="1:92" x14ac:dyDescent="0.3">
      <c r="A104" s="97" t="str">
        <f>'DCS Detail'!A104</f>
        <v xml:space="preserve">         340.1 Audit</v>
      </c>
      <c r="B104" s="106" t="str">
        <f>IF('DCS Detail'!$B104="","",'DCS Detail'!$B104)</f>
        <v>Prof. Serv.</v>
      </c>
      <c r="C104" s="106"/>
      <c r="D104" s="106"/>
      <c r="E104" s="18">
        <v>0</v>
      </c>
      <c r="F104" s="18">
        <v>0</v>
      </c>
      <c r="G104" s="18">
        <v>0</v>
      </c>
      <c r="H104" s="18">
        <v>1416.25</v>
      </c>
      <c r="I104" s="18">
        <v>1416.25</v>
      </c>
      <c r="J104" s="18">
        <v>0</v>
      </c>
      <c r="K104" s="18">
        <v>1554.85</v>
      </c>
      <c r="L104" s="18">
        <v>1479.9799999999996</v>
      </c>
      <c r="M104" s="18">
        <v>0</v>
      </c>
      <c r="N104" s="18">
        <v>0</v>
      </c>
      <c r="O104" s="18">
        <v>0</v>
      </c>
      <c r="P104" s="18">
        <v>0</v>
      </c>
      <c r="Q104" s="18">
        <v>0</v>
      </c>
      <c r="R104" s="18">
        <v>0</v>
      </c>
      <c r="S104" s="18">
        <v>0</v>
      </c>
      <c r="T104" s="18">
        <v>0</v>
      </c>
      <c r="U104" s="18">
        <v>7484.4</v>
      </c>
      <c r="V104" s="18">
        <v>0</v>
      </c>
      <c r="W104" s="18">
        <v>0</v>
      </c>
      <c r="X104" s="18">
        <v>0</v>
      </c>
      <c r="Y104" s="18">
        <v>0</v>
      </c>
      <c r="Z104" s="18">
        <v>0</v>
      </c>
      <c r="AA104" s="146">
        <v>0</v>
      </c>
      <c r="AB104" s="120">
        <f t="shared" si="958"/>
        <v>0</v>
      </c>
      <c r="AC104" s="120">
        <f t="shared" si="958"/>
        <v>0</v>
      </c>
      <c r="AD104" s="120">
        <f t="shared" si="958"/>
        <v>0</v>
      </c>
      <c r="AE104" s="120">
        <f t="shared" si="958"/>
        <v>0</v>
      </c>
      <c r="AF104" s="120">
        <f t="shared" si="958"/>
        <v>0</v>
      </c>
      <c r="AG104" s="120">
        <f t="shared" si="958"/>
        <v>7708.9319999999998</v>
      </c>
      <c r="AH104" s="120">
        <f t="shared" si="958"/>
        <v>0</v>
      </c>
      <c r="AI104" s="120">
        <f t="shared" si="958"/>
        <v>0</v>
      </c>
      <c r="AJ104" s="120">
        <f t="shared" si="959"/>
        <v>0</v>
      </c>
      <c r="AK104" s="120">
        <f t="shared" si="959"/>
        <v>0</v>
      </c>
      <c r="AL104" s="120">
        <f t="shared" si="959"/>
        <v>0</v>
      </c>
      <c r="AM104" s="120">
        <f t="shared" si="959"/>
        <v>0</v>
      </c>
      <c r="AN104" s="120">
        <f t="shared" si="959"/>
        <v>0</v>
      </c>
      <c r="AO104" s="120">
        <f t="shared" si="959"/>
        <v>0</v>
      </c>
      <c r="AP104" s="120">
        <f t="shared" si="959"/>
        <v>0</v>
      </c>
      <c r="AQ104" s="120">
        <f t="shared" si="959"/>
        <v>0</v>
      </c>
      <c r="AR104" s="120">
        <f t="shared" si="959"/>
        <v>0</v>
      </c>
      <c r="AS104" s="120">
        <f t="shared" si="959"/>
        <v>7940.1999599999999</v>
      </c>
      <c r="AT104" s="120">
        <f t="shared" si="960"/>
        <v>0</v>
      </c>
      <c r="AU104" s="120">
        <f t="shared" si="960"/>
        <v>0</v>
      </c>
      <c r="AV104" s="120">
        <f t="shared" si="960"/>
        <v>0</v>
      </c>
      <c r="AW104" s="120">
        <f t="shared" si="960"/>
        <v>0</v>
      </c>
      <c r="AX104" s="120">
        <f t="shared" si="960"/>
        <v>0</v>
      </c>
      <c r="AY104" s="120">
        <f t="shared" si="960"/>
        <v>0</v>
      </c>
      <c r="AZ104" s="120">
        <f t="shared" si="960"/>
        <v>0</v>
      </c>
      <c r="BA104" s="120">
        <f t="shared" si="960"/>
        <v>0</v>
      </c>
      <c r="BB104" s="120">
        <f t="shared" si="960"/>
        <v>0</v>
      </c>
      <c r="BC104" s="120">
        <f t="shared" si="960"/>
        <v>0</v>
      </c>
      <c r="BD104" s="120">
        <f t="shared" si="961"/>
        <v>0</v>
      </c>
      <c r="BE104" s="120">
        <f t="shared" si="961"/>
        <v>8178.4059588</v>
      </c>
      <c r="BF104" s="120">
        <f t="shared" si="961"/>
        <v>0</v>
      </c>
      <c r="BG104" s="120">
        <f t="shared" si="961"/>
        <v>0</v>
      </c>
      <c r="BH104" s="120">
        <f t="shared" si="961"/>
        <v>0</v>
      </c>
      <c r="BI104" s="120">
        <f t="shared" si="961"/>
        <v>0</v>
      </c>
      <c r="BJ104" s="120">
        <f t="shared" si="961"/>
        <v>0</v>
      </c>
      <c r="BK104" s="120">
        <f t="shared" si="961"/>
        <v>0</v>
      </c>
      <c r="BL104" s="120">
        <f t="shared" si="961"/>
        <v>0</v>
      </c>
      <c r="BM104" s="120">
        <f t="shared" si="961"/>
        <v>0</v>
      </c>
      <c r="BN104" s="120">
        <f t="shared" si="962"/>
        <v>0</v>
      </c>
      <c r="BO104" s="120">
        <f t="shared" si="962"/>
        <v>0</v>
      </c>
      <c r="BP104" s="120">
        <f t="shared" si="962"/>
        <v>0</v>
      </c>
      <c r="BQ104" s="120">
        <f t="shared" si="962"/>
        <v>8423.7581375640002</v>
      </c>
      <c r="BR104" s="120">
        <f t="shared" si="962"/>
        <v>0</v>
      </c>
      <c r="BS104" s="120">
        <f t="shared" si="962"/>
        <v>0</v>
      </c>
      <c r="BT104" s="120">
        <f t="shared" si="962"/>
        <v>0</v>
      </c>
      <c r="BU104" s="120">
        <f t="shared" si="962"/>
        <v>0</v>
      </c>
      <c r="BV104" s="120">
        <f t="shared" si="962"/>
        <v>0</v>
      </c>
      <c r="BW104" s="120">
        <f t="shared" si="962"/>
        <v>0</v>
      </c>
      <c r="BX104" s="120">
        <f t="shared" si="963"/>
        <v>0</v>
      </c>
      <c r="BY104" s="8"/>
      <c r="BZ104" s="72">
        <f t="shared" si="936"/>
        <v>0</v>
      </c>
      <c r="CA104" s="72">
        <f t="shared" si="937"/>
        <v>7484.4</v>
      </c>
      <c r="CB104" s="97"/>
      <c r="CC104" s="72">
        <f t="shared" si="950"/>
        <v>0</v>
      </c>
      <c r="CD104" s="72">
        <f t="shared" si="951"/>
        <v>0</v>
      </c>
      <c r="CE104" s="72">
        <f t="shared" si="951"/>
        <v>5867.33</v>
      </c>
      <c r="CF104" s="72">
        <f t="shared" si="951"/>
        <v>7484.4</v>
      </c>
      <c r="CG104" s="72">
        <f t="shared" si="951"/>
        <v>7708.9319999999998</v>
      </c>
      <c r="CH104" s="72">
        <f t="shared" si="951"/>
        <v>7940.1999599999999</v>
      </c>
      <c r="CI104" s="72">
        <f t="shared" si="951"/>
        <v>8178.4059588</v>
      </c>
      <c r="CJ104" s="72">
        <f t="shared" si="951"/>
        <v>8423.7581375640002</v>
      </c>
      <c r="CL104" s="13"/>
      <c r="CM104" s="13"/>
    </row>
    <row r="105" spans="1:92" x14ac:dyDescent="0.3">
      <c r="A105" s="97" t="str">
        <f>'DCS Detail'!A105</f>
        <v xml:space="preserve">         340.2 Legal</v>
      </c>
      <c r="B105" s="106" t="str">
        <f>IF('DCS Detail'!$B105="","",'DCS Detail'!$B105)</f>
        <v>Prof. Serv.</v>
      </c>
      <c r="C105" s="106"/>
      <c r="D105" s="106"/>
      <c r="E105" s="18">
        <v>0</v>
      </c>
      <c r="F105" s="18">
        <v>0</v>
      </c>
      <c r="G105" s="18">
        <v>600.6</v>
      </c>
      <c r="H105" s="18">
        <v>0</v>
      </c>
      <c r="I105" s="18">
        <v>0</v>
      </c>
      <c r="J105" s="18">
        <v>0</v>
      </c>
      <c r="K105" s="18">
        <v>594</v>
      </c>
      <c r="L105" s="18">
        <v>0</v>
      </c>
      <c r="M105" s="18">
        <v>0</v>
      </c>
      <c r="N105" s="18">
        <v>0</v>
      </c>
      <c r="O105" s="18">
        <v>0</v>
      </c>
      <c r="P105" s="18">
        <v>359.04</v>
      </c>
      <c r="Q105" s="18">
        <v>0</v>
      </c>
      <c r="R105" s="18">
        <v>733.15</v>
      </c>
      <c r="S105" s="18">
        <v>1295.25</v>
      </c>
      <c r="T105" s="18">
        <v>2139.31</v>
      </c>
      <c r="U105" s="18">
        <v>69.3</v>
      </c>
      <c r="V105" s="18">
        <v>0</v>
      </c>
      <c r="W105" s="18">
        <v>2765.1</v>
      </c>
      <c r="X105" s="18">
        <v>0</v>
      </c>
      <c r="Y105" s="18">
        <v>0</v>
      </c>
      <c r="Z105" s="18">
        <v>584.32000000000005</v>
      </c>
      <c r="AA105" s="146">
        <v>369.64</v>
      </c>
      <c r="AB105" s="120">
        <f t="shared" si="958"/>
        <v>369.81120000000004</v>
      </c>
      <c r="AC105" s="120">
        <f t="shared" si="958"/>
        <v>0</v>
      </c>
      <c r="AD105" s="120">
        <f t="shared" si="958"/>
        <v>755.14449999999999</v>
      </c>
      <c r="AE105" s="120">
        <f t="shared" si="958"/>
        <v>1334.1075000000001</v>
      </c>
      <c r="AF105" s="120">
        <f t="shared" si="958"/>
        <v>2203.4893000000002</v>
      </c>
      <c r="AG105" s="120">
        <f t="shared" si="958"/>
        <v>71.379000000000005</v>
      </c>
      <c r="AH105" s="120">
        <f t="shared" si="958"/>
        <v>0</v>
      </c>
      <c r="AI105" s="120">
        <f t="shared" si="958"/>
        <v>2848.0529999999999</v>
      </c>
      <c r="AJ105" s="120">
        <f t="shared" si="959"/>
        <v>0</v>
      </c>
      <c r="AK105" s="120">
        <f t="shared" si="959"/>
        <v>0</v>
      </c>
      <c r="AL105" s="120">
        <f t="shared" si="959"/>
        <v>601.84960000000012</v>
      </c>
      <c r="AM105" s="120">
        <f t="shared" si="959"/>
        <v>380.72919999999999</v>
      </c>
      <c r="AN105" s="120">
        <f t="shared" si="959"/>
        <v>380.90553600000004</v>
      </c>
      <c r="AO105" s="120">
        <f t="shared" si="959"/>
        <v>0</v>
      </c>
      <c r="AP105" s="120">
        <f t="shared" si="959"/>
        <v>777.79883500000005</v>
      </c>
      <c r="AQ105" s="120">
        <f t="shared" si="959"/>
        <v>1374.1307250000002</v>
      </c>
      <c r="AR105" s="120">
        <f t="shared" si="959"/>
        <v>2269.5939790000002</v>
      </c>
      <c r="AS105" s="120">
        <f t="shared" si="959"/>
        <v>73.520370000000014</v>
      </c>
      <c r="AT105" s="120">
        <f t="shared" si="960"/>
        <v>0</v>
      </c>
      <c r="AU105" s="120">
        <f t="shared" si="960"/>
        <v>2933.4945899999998</v>
      </c>
      <c r="AV105" s="120">
        <f t="shared" si="960"/>
        <v>0</v>
      </c>
      <c r="AW105" s="120">
        <f t="shared" si="960"/>
        <v>0</v>
      </c>
      <c r="AX105" s="120">
        <f t="shared" si="960"/>
        <v>619.90508800000009</v>
      </c>
      <c r="AY105" s="120">
        <f t="shared" si="960"/>
        <v>392.15107599999999</v>
      </c>
      <c r="AZ105" s="120">
        <f t="shared" si="960"/>
        <v>392.33270208000005</v>
      </c>
      <c r="BA105" s="120">
        <f t="shared" si="960"/>
        <v>0</v>
      </c>
      <c r="BB105" s="120">
        <f t="shared" si="960"/>
        <v>801.13280005000013</v>
      </c>
      <c r="BC105" s="120">
        <f t="shared" si="960"/>
        <v>1415.3546467500003</v>
      </c>
      <c r="BD105" s="120">
        <f t="shared" si="961"/>
        <v>2337.6817983700003</v>
      </c>
      <c r="BE105" s="120">
        <f t="shared" si="961"/>
        <v>75.725981100000013</v>
      </c>
      <c r="BF105" s="120">
        <f t="shared" si="961"/>
        <v>0</v>
      </c>
      <c r="BG105" s="120">
        <f t="shared" si="961"/>
        <v>3021.4994277000001</v>
      </c>
      <c r="BH105" s="120">
        <f t="shared" si="961"/>
        <v>0</v>
      </c>
      <c r="BI105" s="120">
        <f t="shared" si="961"/>
        <v>0</v>
      </c>
      <c r="BJ105" s="120">
        <f t="shared" si="961"/>
        <v>638.50224064000008</v>
      </c>
      <c r="BK105" s="120">
        <f t="shared" si="961"/>
        <v>403.91560828000001</v>
      </c>
      <c r="BL105" s="120">
        <f t="shared" si="961"/>
        <v>404.10268314240005</v>
      </c>
      <c r="BM105" s="120">
        <f t="shared" si="961"/>
        <v>0</v>
      </c>
      <c r="BN105" s="120">
        <f t="shared" si="962"/>
        <v>825.16678405150014</v>
      </c>
      <c r="BO105" s="120">
        <f t="shared" si="962"/>
        <v>1457.8152861525002</v>
      </c>
      <c r="BP105" s="120">
        <f t="shared" si="962"/>
        <v>2407.8122523211005</v>
      </c>
      <c r="BQ105" s="120">
        <f t="shared" si="962"/>
        <v>77.997760533000019</v>
      </c>
      <c r="BR105" s="120">
        <f t="shared" si="962"/>
        <v>0</v>
      </c>
      <c r="BS105" s="120">
        <f t="shared" si="962"/>
        <v>3112.1444105310002</v>
      </c>
      <c r="BT105" s="120">
        <f t="shared" si="962"/>
        <v>0</v>
      </c>
      <c r="BU105" s="120">
        <f t="shared" si="962"/>
        <v>0</v>
      </c>
      <c r="BV105" s="120">
        <f t="shared" si="962"/>
        <v>657.65730785920005</v>
      </c>
      <c r="BW105" s="120">
        <f t="shared" si="962"/>
        <v>416.03307652840004</v>
      </c>
      <c r="BX105" s="120">
        <f t="shared" si="963"/>
        <v>416.22576363667207</v>
      </c>
      <c r="BY105" s="8"/>
      <c r="BZ105" s="72">
        <f t="shared" si="936"/>
        <v>369.64</v>
      </c>
      <c r="CA105" s="72">
        <f t="shared" si="937"/>
        <v>7956.0700000000006</v>
      </c>
      <c r="CB105" s="97"/>
      <c r="CC105" s="72">
        <f t="shared" si="950"/>
        <v>0</v>
      </c>
      <c r="CD105" s="72">
        <f t="shared" si="951"/>
        <v>0</v>
      </c>
      <c r="CE105" s="72">
        <f t="shared" si="951"/>
        <v>1553.6399999999999</v>
      </c>
      <c r="CF105" s="72">
        <f t="shared" si="951"/>
        <v>8325.8811999999998</v>
      </c>
      <c r="CG105" s="72">
        <f t="shared" si="951"/>
        <v>8575.6576359999999</v>
      </c>
      <c r="CH105" s="72">
        <f t="shared" si="951"/>
        <v>8832.9273650800005</v>
      </c>
      <c r="CI105" s="72">
        <f t="shared" si="951"/>
        <v>9097.9151860324018</v>
      </c>
      <c r="CJ105" s="72">
        <f t="shared" si="951"/>
        <v>9370.8526416133718</v>
      </c>
      <c r="CL105" s="13"/>
      <c r="CM105" s="13"/>
    </row>
    <row r="106" spans="1:92" x14ac:dyDescent="0.3">
      <c r="A106" s="97" t="str">
        <f>'DCS Detail'!A106</f>
        <v xml:space="preserve">         340.4 Financial Consultant</v>
      </c>
      <c r="B106" s="106" t="str">
        <f>IF('DCS Detail'!$B106="","",'DCS Detail'!$B106)</f>
        <v>Prof. Serv.</v>
      </c>
      <c r="C106" s="106"/>
      <c r="D106" s="106"/>
      <c r="E106" s="18">
        <v>660</v>
      </c>
      <c r="F106" s="18">
        <v>0</v>
      </c>
      <c r="G106" s="18">
        <v>0</v>
      </c>
      <c r="H106" s="18">
        <v>330</v>
      </c>
      <c r="I106" s="18">
        <v>330</v>
      </c>
      <c r="J106" s="18">
        <v>330</v>
      </c>
      <c r="K106" s="18">
        <v>330</v>
      </c>
      <c r="L106" s="18">
        <v>330</v>
      </c>
      <c r="M106" s="18">
        <v>330</v>
      </c>
      <c r="N106" s="18">
        <v>330</v>
      </c>
      <c r="O106" s="18">
        <v>3639.9</v>
      </c>
      <c r="P106" s="18">
        <v>660</v>
      </c>
      <c r="Q106" s="18">
        <v>990</v>
      </c>
      <c r="R106" s="18">
        <v>660</v>
      </c>
      <c r="S106" s="18">
        <v>11000</v>
      </c>
      <c r="T106" s="18">
        <v>1320</v>
      </c>
      <c r="U106" s="18">
        <v>660</v>
      </c>
      <c r="V106" s="18">
        <v>0</v>
      </c>
      <c r="W106" s="18">
        <v>660</v>
      </c>
      <c r="X106" s="18">
        <v>1375</v>
      </c>
      <c r="Y106" s="18">
        <v>0</v>
      </c>
      <c r="Z106" s="18">
        <v>0</v>
      </c>
      <c r="AA106" s="146">
        <v>1980</v>
      </c>
      <c r="AB106" s="138">
        <f t="shared" ref="AB106:BD106" si="964">IF(AB47&gt;0,AB47*0.05,P106*(1+AB$263))</f>
        <v>679.80000000000007</v>
      </c>
      <c r="AC106" s="138">
        <f t="shared" si="964"/>
        <v>1019.7</v>
      </c>
      <c r="AD106" s="138">
        <f t="shared" si="964"/>
        <v>679.80000000000007</v>
      </c>
      <c r="AE106" s="138">
        <f t="shared" si="964"/>
        <v>5500</v>
      </c>
      <c r="AF106" s="138">
        <f t="shared" si="964"/>
        <v>1359.6000000000001</v>
      </c>
      <c r="AG106" s="138">
        <f t="shared" si="964"/>
        <v>679.80000000000007</v>
      </c>
      <c r="AH106" s="138">
        <f t="shared" si="964"/>
        <v>0</v>
      </c>
      <c r="AI106" s="138">
        <f t="shared" si="964"/>
        <v>679.80000000000007</v>
      </c>
      <c r="AJ106" s="138">
        <f t="shared" si="964"/>
        <v>1416.25</v>
      </c>
      <c r="AK106" s="138">
        <f t="shared" si="964"/>
        <v>0</v>
      </c>
      <c r="AL106" s="138">
        <f t="shared" si="964"/>
        <v>0</v>
      </c>
      <c r="AM106" s="138">
        <f t="shared" si="964"/>
        <v>2039.4</v>
      </c>
      <c r="AN106" s="138">
        <f t="shared" si="964"/>
        <v>700.19400000000007</v>
      </c>
      <c r="AO106" s="138">
        <f t="shared" si="964"/>
        <v>1050.2910000000002</v>
      </c>
      <c r="AP106" s="138">
        <f t="shared" si="964"/>
        <v>700.19400000000007</v>
      </c>
      <c r="AQ106" s="138">
        <f t="shared" si="964"/>
        <v>5500</v>
      </c>
      <c r="AR106" s="138">
        <f t="shared" si="964"/>
        <v>1400.3880000000001</v>
      </c>
      <c r="AS106" s="138">
        <f t="shared" si="964"/>
        <v>700.19400000000007</v>
      </c>
      <c r="AT106" s="138">
        <f t="shared" si="964"/>
        <v>0</v>
      </c>
      <c r="AU106" s="138">
        <f t="shared" si="964"/>
        <v>700.19400000000007</v>
      </c>
      <c r="AV106" s="138">
        <f t="shared" si="964"/>
        <v>1458.7375</v>
      </c>
      <c r="AW106" s="138">
        <f t="shared" si="964"/>
        <v>0</v>
      </c>
      <c r="AX106" s="138">
        <f t="shared" si="964"/>
        <v>0</v>
      </c>
      <c r="AY106" s="138">
        <f t="shared" si="964"/>
        <v>2100.5820000000003</v>
      </c>
      <c r="AZ106" s="138">
        <f t="shared" si="964"/>
        <v>721.19982000000005</v>
      </c>
      <c r="BA106" s="138">
        <f t="shared" si="964"/>
        <v>1081.7997300000002</v>
      </c>
      <c r="BB106" s="138">
        <f t="shared" si="964"/>
        <v>721.19982000000005</v>
      </c>
      <c r="BC106" s="138">
        <f t="shared" si="964"/>
        <v>5500</v>
      </c>
      <c r="BD106" s="138">
        <f t="shared" si="964"/>
        <v>1442.3996400000001</v>
      </c>
      <c r="BE106" s="138">
        <f t="shared" ref="BE106:BX106" si="965">IF(BE47&gt;0,BE47*0.05,AS106*(1+BE$263))</f>
        <v>721.19982000000005</v>
      </c>
      <c r="BF106" s="138">
        <f t="shared" si="965"/>
        <v>0</v>
      </c>
      <c r="BG106" s="138">
        <f t="shared" si="965"/>
        <v>721.19982000000005</v>
      </c>
      <c r="BH106" s="138">
        <f t="shared" si="965"/>
        <v>1502.4996249999999</v>
      </c>
      <c r="BI106" s="138">
        <f t="shared" si="965"/>
        <v>0</v>
      </c>
      <c r="BJ106" s="138">
        <f t="shared" si="965"/>
        <v>0</v>
      </c>
      <c r="BK106" s="138">
        <f t="shared" si="965"/>
        <v>2163.5994600000004</v>
      </c>
      <c r="BL106" s="138">
        <f t="shared" si="965"/>
        <v>742.83581460000005</v>
      </c>
      <c r="BM106" s="138">
        <f t="shared" si="965"/>
        <v>1114.2537219000003</v>
      </c>
      <c r="BN106" s="138">
        <f t="shared" si="965"/>
        <v>742.83581460000005</v>
      </c>
      <c r="BO106" s="138">
        <f t="shared" si="965"/>
        <v>5500</v>
      </c>
      <c r="BP106" s="138">
        <f t="shared" si="965"/>
        <v>1485.6716292000001</v>
      </c>
      <c r="BQ106" s="138">
        <f t="shared" si="965"/>
        <v>742.83581460000005</v>
      </c>
      <c r="BR106" s="138">
        <f t="shared" si="965"/>
        <v>0</v>
      </c>
      <c r="BS106" s="138">
        <f t="shared" si="965"/>
        <v>742.83581460000005</v>
      </c>
      <c r="BT106" s="138">
        <f t="shared" si="965"/>
        <v>1547.57461375</v>
      </c>
      <c r="BU106" s="138">
        <f t="shared" si="965"/>
        <v>0</v>
      </c>
      <c r="BV106" s="138">
        <f t="shared" si="965"/>
        <v>0</v>
      </c>
      <c r="BW106" s="138">
        <f t="shared" si="965"/>
        <v>2228.5074438000006</v>
      </c>
      <c r="BX106" s="138">
        <f t="shared" si="965"/>
        <v>765.12088903800009</v>
      </c>
      <c r="BY106" s="8"/>
      <c r="BZ106" s="72">
        <f t="shared" si="936"/>
        <v>1980</v>
      </c>
      <c r="CA106" s="72">
        <f t="shared" si="937"/>
        <v>18645</v>
      </c>
      <c r="CB106" s="97"/>
      <c r="CC106" s="72">
        <f t="shared" si="950"/>
        <v>0</v>
      </c>
      <c r="CD106" s="72">
        <f t="shared" si="951"/>
        <v>0</v>
      </c>
      <c r="CE106" s="72">
        <f t="shared" si="951"/>
        <v>7269.9</v>
      </c>
      <c r="CF106" s="72">
        <f t="shared" si="951"/>
        <v>19324.8</v>
      </c>
      <c r="CG106" s="72">
        <f t="shared" si="951"/>
        <v>14074.543999999998</v>
      </c>
      <c r="CH106" s="72">
        <f t="shared" si="951"/>
        <v>14331.78032</v>
      </c>
      <c r="CI106" s="72">
        <f t="shared" si="951"/>
        <v>14596.733729600001</v>
      </c>
      <c r="CJ106" s="72">
        <f t="shared" si="951"/>
        <v>14869.635741488</v>
      </c>
      <c r="CL106" s="13"/>
      <c r="CM106" s="13"/>
      <c r="CN106" s="13"/>
    </row>
    <row r="107" spans="1:92" x14ac:dyDescent="0.3">
      <c r="A107" s="97" t="str">
        <f>'DCS Detail'!A107</f>
        <v xml:space="preserve">         340.5 Payroll Service</v>
      </c>
      <c r="B107" s="106" t="str">
        <f>IF('DCS Detail'!$B107="","",'DCS Detail'!$B107)</f>
        <v>Prof. Serv.</v>
      </c>
      <c r="C107" s="106"/>
      <c r="D107" s="106"/>
      <c r="E107" s="18">
        <v>148.72</v>
      </c>
      <c r="F107" s="18">
        <v>155.69999999999999</v>
      </c>
      <c r="G107" s="18">
        <v>203.85</v>
      </c>
      <c r="H107" s="103">
        <v>202.76</v>
      </c>
      <c r="I107" s="18">
        <v>108.11</v>
      </c>
      <c r="J107" s="18">
        <v>260.07</v>
      </c>
      <c r="K107" s="18">
        <v>162.76</v>
      </c>
      <c r="L107" s="18">
        <v>298.03999999999996</v>
      </c>
      <c r="M107" s="18">
        <v>259.5</v>
      </c>
      <c r="N107" s="18">
        <v>0</v>
      </c>
      <c r="O107" s="18">
        <v>0</v>
      </c>
      <c r="P107" s="18">
        <v>124.81</v>
      </c>
      <c r="Q107" s="18">
        <v>-124.81</v>
      </c>
      <c r="R107" s="18">
        <v>0</v>
      </c>
      <c r="S107" s="18">
        <v>0</v>
      </c>
      <c r="T107" s="18">
        <v>0</v>
      </c>
      <c r="U107" s="18">
        <v>0</v>
      </c>
      <c r="V107" s="18">
        <v>0</v>
      </c>
      <c r="W107" s="18">
        <v>0</v>
      </c>
      <c r="X107" s="18">
        <v>0</v>
      </c>
      <c r="Y107" s="18">
        <v>0</v>
      </c>
      <c r="Z107" s="18">
        <v>0</v>
      </c>
      <c r="AA107" s="146">
        <v>0</v>
      </c>
      <c r="AB107" s="120">
        <f t="shared" ref="AB107:AI112" si="966">P107*(1+AB$263)</f>
        <v>128.55430000000001</v>
      </c>
      <c r="AC107" s="120">
        <f t="shared" si="966"/>
        <v>-128.55430000000001</v>
      </c>
      <c r="AD107" s="120">
        <f t="shared" si="966"/>
        <v>0</v>
      </c>
      <c r="AE107" s="120">
        <f t="shared" si="966"/>
        <v>0</v>
      </c>
      <c r="AF107" s="120">
        <f t="shared" si="966"/>
        <v>0</v>
      </c>
      <c r="AG107" s="120">
        <f t="shared" si="966"/>
        <v>0</v>
      </c>
      <c r="AH107" s="120">
        <f t="shared" si="966"/>
        <v>0</v>
      </c>
      <c r="AI107" s="120">
        <f t="shared" si="966"/>
        <v>0</v>
      </c>
      <c r="AJ107" s="120">
        <f t="shared" ref="AJ107:AS112" si="967">X107*(1+AJ$263)</f>
        <v>0</v>
      </c>
      <c r="AK107" s="120">
        <f t="shared" si="967"/>
        <v>0</v>
      </c>
      <c r="AL107" s="120">
        <f t="shared" si="967"/>
        <v>0</v>
      </c>
      <c r="AM107" s="120">
        <f t="shared" si="967"/>
        <v>0</v>
      </c>
      <c r="AN107" s="120">
        <f t="shared" si="967"/>
        <v>132.41092900000001</v>
      </c>
      <c r="AO107" s="120">
        <f t="shared" si="967"/>
        <v>-132.41092900000001</v>
      </c>
      <c r="AP107" s="120">
        <f t="shared" si="967"/>
        <v>0</v>
      </c>
      <c r="AQ107" s="120">
        <f t="shared" si="967"/>
        <v>0</v>
      </c>
      <c r="AR107" s="120">
        <f t="shared" si="967"/>
        <v>0</v>
      </c>
      <c r="AS107" s="120">
        <f t="shared" si="967"/>
        <v>0</v>
      </c>
      <c r="AT107" s="120">
        <f t="shared" ref="AT107:BC112" si="968">AH107*(1+AT$263)</f>
        <v>0</v>
      </c>
      <c r="AU107" s="120">
        <f t="shared" si="968"/>
        <v>0</v>
      </c>
      <c r="AV107" s="120">
        <f t="shared" si="968"/>
        <v>0</v>
      </c>
      <c r="AW107" s="120">
        <f t="shared" si="968"/>
        <v>0</v>
      </c>
      <c r="AX107" s="120">
        <f t="shared" si="968"/>
        <v>0</v>
      </c>
      <c r="AY107" s="120">
        <f t="shared" si="968"/>
        <v>0</v>
      </c>
      <c r="AZ107" s="120">
        <f t="shared" si="968"/>
        <v>136.38325687000003</v>
      </c>
      <c r="BA107" s="120">
        <f t="shared" si="968"/>
        <v>-136.38325687000003</v>
      </c>
      <c r="BB107" s="120">
        <f t="shared" si="968"/>
        <v>0</v>
      </c>
      <c r="BC107" s="120">
        <f t="shared" si="968"/>
        <v>0</v>
      </c>
      <c r="BD107" s="120">
        <f t="shared" ref="BD107:BM112" si="969">AR107*(1+BD$263)</f>
        <v>0</v>
      </c>
      <c r="BE107" s="120">
        <f t="shared" si="969"/>
        <v>0</v>
      </c>
      <c r="BF107" s="120">
        <f t="shared" si="969"/>
        <v>0</v>
      </c>
      <c r="BG107" s="120">
        <f t="shared" si="969"/>
        <v>0</v>
      </c>
      <c r="BH107" s="120">
        <f t="shared" si="969"/>
        <v>0</v>
      </c>
      <c r="BI107" s="120">
        <f t="shared" si="969"/>
        <v>0</v>
      </c>
      <c r="BJ107" s="120">
        <f t="shared" si="969"/>
        <v>0</v>
      </c>
      <c r="BK107" s="120">
        <f t="shared" si="969"/>
        <v>0</v>
      </c>
      <c r="BL107" s="120">
        <f t="shared" si="969"/>
        <v>140.47475457610003</v>
      </c>
      <c r="BM107" s="120">
        <f t="shared" si="969"/>
        <v>-140.47475457610003</v>
      </c>
      <c r="BN107" s="120">
        <f t="shared" ref="BN107:BW112" si="970">BB107*(1+BN$263)</f>
        <v>0</v>
      </c>
      <c r="BO107" s="120">
        <f t="shared" si="970"/>
        <v>0</v>
      </c>
      <c r="BP107" s="120">
        <f t="shared" si="970"/>
        <v>0</v>
      </c>
      <c r="BQ107" s="120">
        <f t="shared" si="970"/>
        <v>0</v>
      </c>
      <c r="BR107" s="120">
        <f t="shared" si="970"/>
        <v>0</v>
      </c>
      <c r="BS107" s="120">
        <f t="shared" si="970"/>
        <v>0</v>
      </c>
      <c r="BT107" s="120">
        <f t="shared" si="970"/>
        <v>0</v>
      </c>
      <c r="BU107" s="120">
        <f t="shared" si="970"/>
        <v>0</v>
      </c>
      <c r="BV107" s="120">
        <f t="shared" si="970"/>
        <v>0</v>
      </c>
      <c r="BW107" s="120">
        <f t="shared" si="970"/>
        <v>0</v>
      </c>
      <c r="BX107" s="120">
        <f t="shared" ref="BX107:BX112" si="971">BL107*(1+BX$263)</f>
        <v>144.68899721338303</v>
      </c>
      <c r="BY107" s="8"/>
      <c r="BZ107" s="72">
        <f t="shared" si="936"/>
        <v>0</v>
      </c>
      <c r="CA107" s="72">
        <f t="shared" si="937"/>
        <v>-124.81</v>
      </c>
      <c r="CB107" s="97"/>
      <c r="CC107" s="72">
        <f t="shared" si="950"/>
        <v>0</v>
      </c>
      <c r="CD107" s="72">
        <f t="shared" si="951"/>
        <v>0</v>
      </c>
      <c r="CE107" s="72">
        <f t="shared" si="951"/>
        <v>1924.32</v>
      </c>
      <c r="CF107" s="72">
        <f t="shared" si="951"/>
        <v>3.7443000000000097</v>
      </c>
      <c r="CG107" s="72">
        <f t="shared" si="951"/>
        <v>3.8566289999999981</v>
      </c>
      <c r="CH107" s="72">
        <f t="shared" si="951"/>
        <v>3.9723278700000151</v>
      </c>
      <c r="CI107" s="72">
        <f t="shared" si="951"/>
        <v>4.0914977061000002</v>
      </c>
      <c r="CJ107" s="72">
        <f t="shared" si="951"/>
        <v>4.2142426372830073</v>
      </c>
      <c r="CL107" s="13"/>
      <c r="CM107" s="13"/>
    </row>
    <row r="108" spans="1:92" x14ac:dyDescent="0.3">
      <c r="A108" s="97" t="str">
        <f>'DCS Detail'!A108</f>
        <v xml:space="preserve">         340.7 IT Consult/Website</v>
      </c>
      <c r="B108" s="106" t="str">
        <f>IF('DCS Detail'!$B108="","",'DCS Detail'!$B108)</f>
        <v>Prof. Serv.</v>
      </c>
      <c r="C108" s="106"/>
      <c r="D108" s="106"/>
      <c r="E108" s="18">
        <v>0</v>
      </c>
      <c r="F108" s="18">
        <v>0</v>
      </c>
      <c r="G108" s="18">
        <v>0</v>
      </c>
      <c r="H108" s="18">
        <v>0</v>
      </c>
      <c r="I108" s="18">
        <v>0</v>
      </c>
      <c r="J108" s="18">
        <v>0</v>
      </c>
      <c r="K108" s="18">
        <v>0</v>
      </c>
      <c r="L108" s="18">
        <v>0</v>
      </c>
      <c r="M108" s="18">
        <v>0</v>
      </c>
      <c r="N108" s="18">
        <v>858</v>
      </c>
      <c r="O108" s="18">
        <v>0</v>
      </c>
      <c r="P108" s="18">
        <v>0</v>
      </c>
      <c r="Q108" s="18">
        <v>0</v>
      </c>
      <c r="R108" s="18">
        <v>0</v>
      </c>
      <c r="S108" s="18">
        <v>0</v>
      </c>
      <c r="T108" s="18">
        <v>0</v>
      </c>
      <c r="U108" s="18">
        <v>0</v>
      </c>
      <c r="V108" s="18">
        <v>0</v>
      </c>
      <c r="W108" s="18">
        <v>0</v>
      </c>
      <c r="X108" s="18">
        <v>0</v>
      </c>
      <c r="Y108" s="18">
        <v>0</v>
      </c>
      <c r="Z108" s="18">
        <v>0</v>
      </c>
      <c r="AA108" s="146">
        <v>0</v>
      </c>
      <c r="AB108" s="120">
        <f t="shared" si="966"/>
        <v>0</v>
      </c>
      <c r="AC108" s="120">
        <f t="shared" si="966"/>
        <v>0</v>
      </c>
      <c r="AD108" s="120">
        <f t="shared" si="966"/>
        <v>0</v>
      </c>
      <c r="AE108" s="120">
        <f t="shared" si="966"/>
        <v>0</v>
      </c>
      <c r="AF108" s="120">
        <f t="shared" si="966"/>
        <v>0</v>
      </c>
      <c r="AG108" s="120">
        <f t="shared" si="966"/>
        <v>0</v>
      </c>
      <c r="AH108" s="120">
        <f t="shared" si="966"/>
        <v>0</v>
      </c>
      <c r="AI108" s="120">
        <f t="shared" si="966"/>
        <v>0</v>
      </c>
      <c r="AJ108" s="120">
        <f t="shared" si="967"/>
        <v>0</v>
      </c>
      <c r="AK108" s="120">
        <f t="shared" si="967"/>
        <v>0</v>
      </c>
      <c r="AL108" s="120">
        <f t="shared" si="967"/>
        <v>0</v>
      </c>
      <c r="AM108" s="120">
        <f t="shared" si="967"/>
        <v>0</v>
      </c>
      <c r="AN108" s="120">
        <f t="shared" si="967"/>
        <v>0</v>
      </c>
      <c r="AO108" s="120">
        <f t="shared" si="967"/>
        <v>0</v>
      </c>
      <c r="AP108" s="120">
        <f t="shared" si="967"/>
        <v>0</v>
      </c>
      <c r="AQ108" s="120">
        <f t="shared" si="967"/>
        <v>0</v>
      </c>
      <c r="AR108" s="120">
        <f t="shared" si="967"/>
        <v>0</v>
      </c>
      <c r="AS108" s="120">
        <f t="shared" si="967"/>
        <v>0</v>
      </c>
      <c r="AT108" s="120">
        <f t="shared" si="968"/>
        <v>0</v>
      </c>
      <c r="AU108" s="120">
        <f t="shared" si="968"/>
        <v>0</v>
      </c>
      <c r="AV108" s="120">
        <f t="shared" si="968"/>
        <v>0</v>
      </c>
      <c r="AW108" s="120">
        <f t="shared" si="968"/>
        <v>0</v>
      </c>
      <c r="AX108" s="120">
        <f t="shared" si="968"/>
        <v>0</v>
      </c>
      <c r="AY108" s="120">
        <f t="shared" si="968"/>
        <v>0</v>
      </c>
      <c r="AZ108" s="120">
        <f t="shared" si="968"/>
        <v>0</v>
      </c>
      <c r="BA108" s="120">
        <f t="shared" si="968"/>
        <v>0</v>
      </c>
      <c r="BB108" s="120">
        <f t="shared" si="968"/>
        <v>0</v>
      </c>
      <c r="BC108" s="120">
        <f t="shared" si="968"/>
        <v>0</v>
      </c>
      <c r="BD108" s="120">
        <f t="shared" si="969"/>
        <v>0</v>
      </c>
      <c r="BE108" s="120">
        <f t="shared" si="969"/>
        <v>0</v>
      </c>
      <c r="BF108" s="120">
        <f t="shared" si="969"/>
        <v>0</v>
      </c>
      <c r="BG108" s="120">
        <f t="shared" si="969"/>
        <v>0</v>
      </c>
      <c r="BH108" s="120">
        <f t="shared" si="969"/>
        <v>0</v>
      </c>
      <c r="BI108" s="120">
        <f t="shared" si="969"/>
        <v>0</v>
      </c>
      <c r="BJ108" s="120">
        <f t="shared" si="969"/>
        <v>0</v>
      </c>
      <c r="BK108" s="120">
        <f t="shared" si="969"/>
        <v>0</v>
      </c>
      <c r="BL108" s="120">
        <f t="shared" si="969"/>
        <v>0</v>
      </c>
      <c r="BM108" s="120">
        <f t="shared" si="969"/>
        <v>0</v>
      </c>
      <c r="BN108" s="120">
        <f t="shared" si="970"/>
        <v>0</v>
      </c>
      <c r="BO108" s="120">
        <f t="shared" si="970"/>
        <v>0</v>
      </c>
      <c r="BP108" s="120">
        <f t="shared" si="970"/>
        <v>0</v>
      </c>
      <c r="BQ108" s="120">
        <f t="shared" si="970"/>
        <v>0</v>
      </c>
      <c r="BR108" s="120">
        <f t="shared" si="970"/>
        <v>0</v>
      </c>
      <c r="BS108" s="120">
        <f t="shared" si="970"/>
        <v>0</v>
      </c>
      <c r="BT108" s="120">
        <f t="shared" si="970"/>
        <v>0</v>
      </c>
      <c r="BU108" s="120">
        <f t="shared" si="970"/>
        <v>0</v>
      </c>
      <c r="BV108" s="120">
        <f t="shared" si="970"/>
        <v>0</v>
      </c>
      <c r="BW108" s="120">
        <f t="shared" si="970"/>
        <v>0</v>
      </c>
      <c r="BX108" s="120">
        <f t="shared" si="971"/>
        <v>0</v>
      </c>
      <c r="BY108" s="8"/>
      <c r="BZ108" s="72">
        <f t="shared" si="936"/>
        <v>0</v>
      </c>
      <c r="CA108" s="72">
        <f t="shared" si="937"/>
        <v>0</v>
      </c>
      <c r="CB108" s="97"/>
      <c r="CC108" s="72">
        <f t="shared" si="950"/>
        <v>0</v>
      </c>
      <c r="CD108" s="72">
        <f t="shared" ref="CD108:CJ117" si="972">SUMIF($C$3:$BY$3,CD$3,$C108:$BY108)</f>
        <v>0</v>
      </c>
      <c r="CE108" s="72">
        <f t="shared" si="972"/>
        <v>858</v>
      </c>
      <c r="CF108" s="72">
        <f t="shared" si="972"/>
        <v>0</v>
      </c>
      <c r="CG108" s="72">
        <f t="shared" si="972"/>
        <v>0</v>
      </c>
      <c r="CH108" s="72">
        <f t="shared" si="972"/>
        <v>0</v>
      </c>
      <c r="CI108" s="72">
        <f t="shared" si="972"/>
        <v>0</v>
      </c>
      <c r="CJ108" s="72">
        <f t="shared" si="972"/>
        <v>0</v>
      </c>
      <c r="CL108" s="13"/>
      <c r="CM108" s="13"/>
    </row>
    <row r="109" spans="1:92" x14ac:dyDescent="0.3">
      <c r="A109" s="97" t="str">
        <f>'DCS Detail'!A109</f>
        <v xml:space="preserve">         600.3 General Office Supplies</v>
      </c>
      <c r="B109" s="106" t="str">
        <f>IF('DCS Detail'!$B109="","",'DCS Detail'!$B109)</f>
        <v>Supplies</v>
      </c>
      <c r="C109" s="106"/>
      <c r="D109" s="106"/>
      <c r="E109" s="18">
        <v>86.61</v>
      </c>
      <c r="F109" s="18">
        <v>16.14</v>
      </c>
      <c r="G109" s="18">
        <v>427.17</v>
      </c>
      <c r="H109" s="18">
        <v>6.31</v>
      </c>
      <c r="I109" s="18">
        <v>93.75</v>
      </c>
      <c r="J109" s="18">
        <v>-9.86</v>
      </c>
      <c r="K109" s="18">
        <v>76.81</v>
      </c>
      <c r="L109" s="18">
        <v>14.389999999999986</v>
      </c>
      <c r="M109" s="18">
        <v>112.44</v>
      </c>
      <c r="N109" s="18">
        <v>64.45</v>
      </c>
      <c r="O109" s="18">
        <v>149.07</v>
      </c>
      <c r="P109" s="18">
        <v>0</v>
      </c>
      <c r="Q109" s="18">
        <v>0</v>
      </c>
      <c r="R109" s="18">
        <v>0</v>
      </c>
      <c r="S109" s="18">
        <v>2.79</v>
      </c>
      <c r="T109" s="18">
        <v>0</v>
      </c>
      <c r="U109" s="18">
        <v>0</v>
      </c>
      <c r="V109" s="18">
        <v>0</v>
      </c>
      <c r="W109" s="18">
        <v>0</v>
      </c>
      <c r="X109" s="18">
        <v>0</v>
      </c>
      <c r="Y109" s="18">
        <v>4.41</v>
      </c>
      <c r="Z109" s="18">
        <v>0</v>
      </c>
      <c r="AA109" s="146">
        <v>4.83</v>
      </c>
      <c r="AB109" s="120">
        <f t="shared" si="966"/>
        <v>0</v>
      </c>
      <c r="AC109" s="120">
        <f t="shared" si="966"/>
        <v>0</v>
      </c>
      <c r="AD109" s="120">
        <f t="shared" si="966"/>
        <v>0</v>
      </c>
      <c r="AE109" s="120">
        <f t="shared" si="966"/>
        <v>2.8736999999999999</v>
      </c>
      <c r="AF109" s="120">
        <f t="shared" si="966"/>
        <v>0</v>
      </c>
      <c r="AG109" s="120">
        <f t="shared" si="966"/>
        <v>0</v>
      </c>
      <c r="AH109" s="120">
        <f t="shared" si="966"/>
        <v>0</v>
      </c>
      <c r="AI109" s="120">
        <f t="shared" si="966"/>
        <v>0</v>
      </c>
      <c r="AJ109" s="120">
        <f t="shared" si="967"/>
        <v>0</v>
      </c>
      <c r="AK109" s="120">
        <f t="shared" si="967"/>
        <v>4.5423</v>
      </c>
      <c r="AL109" s="120">
        <f t="shared" si="967"/>
        <v>0</v>
      </c>
      <c r="AM109" s="120">
        <f t="shared" si="967"/>
        <v>4.9748999999999999</v>
      </c>
      <c r="AN109" s="120">
        <f t="shared" si="967"/>
        <v>0</v>
      </c>
      <c r="AO109" s="120">
        <f t="shared" si="967"/>
        <v>0</v>
      </c>
      <c r="AP109" s="120">
        <f t="shared" si="967"/>
        <v>0</v>
      </c>
      <c r="AQ109" s="120">
        <f t="shared" si="967"/>
        <v>2.959911</v>
      </c>
      <c r="AR109" s="120">
        <f t="shared" si="967"/>
        <v>0</v>
      </c>
      <c r="AS109" s="120">
        <f t="shared" si="967"/>
        <v>0</v>
      </c>
      <c r="AT109" s="120">
        <f t="shared" si="968"/>
        <v>0</v>
      </c>
      <c r="AU109" s="120">
        <f t="shared" si="968"/>
        <v>0</v>
      </c>
      <c r="AV109" s="120">
        <f t="shared" si="968"/>
        <v>0</v>
      </c>
      <c r="AW109" s="120">
        <f t="shared" si="968"/>
        <v>4.6785690000000004</v>
      </c>
      <c r="AX109" s="120">
        <f t="shared" si="968"/>
        <v>0</v>
      </c>
      <c r="AY109" s="120">
        <f t="shared" si="968"/>
        <v>5.1241469999999998</v>
      </c>
      <c r="AZ109" s="120">
        <f t="shared" si="968"/>
        <v>0</v>
      </c>
      <c r="BA109" s="120">
        <f t="shared" si="968"/>
        <v>0</v>
      </c>
      <c r="BB109" s="120">
        <f t="shared" si="968"/>
        <v>0</v>
      </c>
      <c r="BC109" s="120">
        <f t="shared" si="968"/>
        <v>3.0487083300000002</v>
      </c>
      <c r="BD109" s="120">
        <f t="shared" si="969"/>
        <v>0</v>
      </c>
      <c r="BE109" s="120">
        <f t="shared" si="969"/>
        <v>0</v>
      </c>
      <c r="BF109" s="120">
        <f t="shared" si="969"/>
        <v>0</v>
      </c>
      <c r="BG109" s="120">
        <f t="shared" si="969"/>
        <v>0</v>
      </c>
      <c r="BH109" s="120">
        <f t="shared" si="969"/>
        <v>0</v>
      </c>
      <c r="BI109" s="120">
        <f t="shared" si="969"/>
        <v>4.8189260700000007</v>
      </c>
      <c r="BJ109" s="120">
        <f t="shared" si="969"/>
        <v>0</v>
      </c>
      <c r="BK109" s="120">
        <f t="shared" si="969"/>
        <v>5.2778714099999995</v>
      </c>
      <c r="BL109" s="120">
        <f t="shared" si="969"/>
        <v>0</v>
      </c>
      <c r="BM109" s="120">
        <f t="shared" si="969"/>
        <v>0</v>
      </c>
      <c r="BN109" s="120">
        <f t="shared" si="970"/>
        <v>0</v>
      </c>
      <c r="BO109" s="120">
        <f t="shared" si="970"/>
        <v>3.1401695799000002</v>
      </c>
      <c r="BP109" s="120">
        <f t="shared" si="970"/>
        <v>0</v>
      </c>
      <c r="BQ109" s="120">
        <f t="shared" si="970"/>
        <v>0</v>
      </c>
      <c r="BR109" s="120">
        <f t="shared" si="970"/>
        <v>0</v>
      </c>
      <c r="BS109" s="120">
        <f t="shared" si="970"/>
        <v>0</v>
      </c>
      <c r="BT109" s="120">
        <f t="shared" si="970"/>
        <v>0</v>
      </c>
      <c r="BU109" s="120">
        <f t="shared" si="970"/>
        <v>4.9634938521000009</v>
      </c>
      <c r="BV109" s="120">
        <f t="shared" si="970"/>
        <v>0</v>
      </c>
      <c r="BW109" s="120">
        <f t="shared" si="970"/>
        <v>5.4362075523</v>
      </c>
      <c r="BX109" s="120">
        <f t="shared" si="971"/>
        <v>0</v>
      </c>
      <c r="BY109" s="8"/>
      <c r="BZ109" s="72">
        <f t="shared" si="936"/>
        <v>4.83</v>
      </c>
      <c r="CA109" s="72">
        <f t="shared" si="937"/>
        <v>12.030000000000001</v>
      </c>
      <c r="CB109" s="97"/>
      <c r="CC109" s="72">
        <f t="shared" si="950"/>
        <v>0</v>
      </c>
      <c r="CD109" s="72">
        <f t="shared" si="972"/>
        <v>0</v>
      </c>
      <c r="CE109" s="72">
        <f t="shared" si="972"/>
        <v>1037.28</v>
      </c>
      <c r="CF109" s="72">
        <f t="shared" si="972"/>
        <v>12.030000000000001</v>
      </c>
      <c r="CG109" s="72">
        <f t="shared" si="972"/>
        <v>12.3909</v>
      </c>
      <c r="CH109" s="72">
        <f t="shared" si="972"/>
        <v>12.762627</v>
      </c>
      <c r="CI109" s="72">
        <f t="shared" si="972"/>
        <v>13.14550581</v>
      </c>
      <c r="CJ109" s="72">
        <f t="shared" si="972"/>
        <v>13.539870984300002</v>
      </c>
      <c r="CL109" s="13"/>
      <c r="CM109" s="13"/>
    </row>
    <row r="110" spans="1:92" x14ac:dyDescent="0.3">
      <c r="A110" s="97" t="str">
        <f>'DCS Detail'!A110</f>
        <v xml:space="preserve">         890 SUNSHINE COMMITTEE EXPENSE</v>
      </c>
      <c r="B110" s="106" t="str">
        <f>IF('DCS Detail'!$B110="","",'DCS Detail'!$B110)</f>
        <v>Misc.</v>
      </c>
      <c r="C110" s="106"/>
      <c r="D110" s="106"/>
      <c r="E110" s="18">
        <v>0</v>
      </c>
      <c r="F110" s="18">
        <v>0</v>
      </c>
      <c r="G110" s="18">
        <v>10.99</v>
      </c>
      <c r="H110" s="18">
        <v>6.53</v>
      </c>
      <c r="I110" s="18">
        <v>0</v>
      </c>
      <c r="J110" s="18">
        <v>0</v>
      </c>
      <c r="K110" s="18">
        <v>0</v>
      </c>
      <c r="L110" s="18">
        <v>5.240000000000002</v>
      </c>
      <c r="M110" s="18">
        <v>0</v>
      </c>
      <c r="N110" s="18">
        <v>0</v>
      </c>
      <c r="O110" s="18">
        <v>0</v>
      </c>
      <c r="P110" s="18">
        <v>0</v>
      </c>
      <c r="Q110" s="18">
        <v>10.64</v>
      </c>
      <c r="R110" s="18">
        <v>0</v>
      </c>
      <c r="S110" s="18">
        <v>0</v>
      </c>
      <c r="T110" s="18">
        <v>0</v>
      </c>
      <c r="U110" s="18">
        <v>11.44</v>
      </c>
      <c r="V110" s="18">
        <v>0</v>
      </c>
      <c r="W110" s="18">
        <v>0</v>
      </c>
      <c r="X110" s="18">
        <v>0</v>
      </c>
      <c r="Y110" s="18">
        <v>0</v>
      </c>
      <c r="Z110" s="18">
        <v>0</v>
      </c>
      <c r="AA110" s="146">
        <v>0</v>
      </c>
      <c r="AB110" s="120">
        <f t="shared" si="966"/>
        <v>0</v>
      </c>
      <c r="AC110" s="120">
        <f t="shared" si="966"/>
        <v>10.959200000000001</v>
      </c>
      <c r="AD110" s="120">
        <f t="shared" si="966"/>
        <v>0</v>
      </c>
      <c r="AE110" s="120">
        <f t="shared" si="966"/>
        <v>0</v>
      </c>
      <c r="AF110" s="120">
        <f t="shared" si="966"/>
        <v>0</v>
      </c>
      <c r="AG110" s="120">
        <f t="shared" si="966"/>
        <v>11.783199999999999</v>
      </c>
      <c r="AH110" s="120">
        <f t="shared" si="966"/>
        <v>0</v>
      </c>
      <c r="AI110" s="120">
        <f t="shared" si="966"/>
        <v>0</v>
      </c>
      <c r="AJ110" s="120">
        <f t="shared" si="967"/>
        <v>0</v>
      </c>
      <c r="AK110" s="120">
        <f t="shared" si="967"/>
        <v>0</v>
      </c>
      <c r="AL110" s="120">
        <f t="shared" si="967"/>
        <v>0</v>
      </c>
      <c r="AM110" s="120">
        <f t="shared" si="967"/>
        <v>0</v>
      </c>
      <c r="AN110" s="120">
        <f t="shared" si="967"/>
        <v>0</v>
      </c>
      <c r="AO110" s="120">
        <f t="shared" si="967"/>
        <v>11.287976</v>
      </c>
      <c r="AP110" s="120">
        <f t="shared" si="967"/>
        <v>0</v>
      </c>
      <c r="AQ110" s="120">
        <f t="shared" si="967"/>
        <v>0</v>
      </c>
      <c r="AR110" s="120">
        <f t="shared" si="967"/>
        <v>0</v>
      </c>
      <c r="AS110" s="120">
        <f t="shared" si="967"/>
        <v>12.136695999999999</v>
      </c>
      <c r="AT110" s="120">
        <f t="shared" si="968"/>
        <v>0</v>
      </c>
      <c r="AU110" s="120">
        <f t="shared" si="968"/>
        <v>0</v>
      </c>
      <c r="AV110" s="120">
        <f t="shared" si="968"/>
        <v>0</v>
      </c>
      <c r="AW110" s="120">
        <f t="shared" si="968"/>
        <v>0</v>
      </c>
      <c r="AX110" s="120">
        <f t="shared" si="968"/>
        <v>0</v>
      </c>
      <c r="AY110" s="120">
        <f t="shared" si="968"/>
        <v>0</v>
      </c>
      <c r="AZ110" s="120">
        <f t="shared" si="968"/>
        <v>0</v>
      </c>
      <c r="BA110" s="120">
        <f t="shared" si="968"/>
        <v>11.626615280000001</v>
      </c>
      <c r="BB110" s="120">
        <f t="shared" si="968"/>
        <v>0</v>
      </c>
      <c r="BC110" s="120">
        <f t="shared" si="968"/>
        <v>0</v>
      </c>
      <c r="BD110" s="120">
        <f t="shared" si="969"/>
        <v>0</v>
      </c>
      <c r="BE110" s="120">
        <f t="shared" si="969"/>
        <v>12.500796879999999</v>
      </c>
      <c r="BF110" s="120">
        <f t="shared" si="969"/>
        <v>0</v>
      </c>
      <c r="BG110" s="120">
        <f t="shared" si="969"/>
        <v>0</v>
      </c>
      <c r="BH110" s="120">
        <f t="shared" si="969"/>
        <v>0</v>
      </c>
      <c r="BI110" s="120">
        <f t="shared" si="969"/>
        <v>0</v>
      </c>
      <c r="BJ110" s="120">
        <f t="shared" si="969"/>
        <v>0</v>
      </c>
      <c r="BK110" s="120">
        <f t="shared" si="969"/>
        <v>0</v>
      </c>
      <c r="BL110" s="120">
        <f t="shared" si="969"/>
        <v>0</v>
      </c>
      <c r="BM110" s="120">
        <f t="shared" si="969"/>
        <v>11.975413738400002</v>
      </c>
      <c r="BN110" s="120">
        <f t="shared" si="970"/>
        <v>0</v>
      </c>
      <c r="BO110" s="120">
        <f t="shared" si="970"/>
        <v>0</v>
      </c>
      <c r="BP110" s="120">
        <f t="shared" si="970"/>
        <v>0</v>
      </c>
      <c r="BQ110" s="120">
        <f t="shared" si="970"/>
        <v>12.8758207864</v>
      </c>
      <c r="BR110" s="120">
        <f t="shared" si="970"/>
        <v>0</v>
      </c>
      <c r="BS110" s="120">
        <f t="shared" si="970"/>
        <v>0</v>
      </c>
      <c r="BT110" s="120">
        <f t="shared" si="970"/>
        <v>0</v>
      </c>
      <c r="BU110" s="120">
        <f t="shared" si="970"/>
        <v>0</v>
      </c>
      <c r="BV110" s="120">
        <f t="shared" si="970"/>
        <v>0</v>
      </c>
      <c r="BW110" s="120">
        <f t="shared" si="970"/>
        <v>0</v>
      </c>
      <c r="BX110" s="120">
        <f t="shared" si="971"/>
        <v>0</v>
      </c>
      <c r="BY110" s="8"/>
      <c r="BZ110" s="72">
        <f t="shared" si="936"/>
        <v>0</v>
      </c>
      <c r="CA110" s="72">
        <f t="shared" si="937"/>
        <v>22.08</v>
      </c>
      <c r="CB110" s="97"/>
      <c r="CC110" s="72">
        <f t="shared" si="950"/>
        <v>0</v>
      </c>
      <c r="CD110" s="72">
        <f t="shared" si="972"/>
        <v>0</v>
      </c>
      <c r="CE110" s="72">
        <f t="shared" si="972"/>
        <v>22.76</v>
      </c>
      <c r="CF110" s="72">
        <f t="shared" si="972"/>
        <v>22.08</v>
      </c>
      <c r="CG110" s="72">
        <f t="shared" si="972"/>
        <v>22.7424</v>
      </c>
      <c r="CH110" s="72">
        <f t="shared" si="972"/>
        <v>23.424672000000001</v>
      </c>
      <c r="CI110" s="72">
        <f t="shared" si="972"/>
        <v>24.127412159999999</v>
      </c>
      <c r="CJ110" s="72">
        <f t="shared" si="972"/>
        <v>24.851234524800002</v>
      </c>
      <c r="CL110" s="13"/>
      <c r="CM110" s="13"/>
    </row>
    <row r="111" spans="1:92" x14ac:dyDescent="0.3">
      <c r="A111" s="97" t="str">
        <f>'DCS Detail'!A111</f>
        <v xml:space="preserve">         810.1 Dues &amp; Subscriptions</v>
      </c>
      <c r="B111" s="106" t="str">
        <f>IF('DCS Detail'!$B111="","",'DCS Detail'!$B111)</f>
        <v>Misc.</v>
      </c>
      <c r="C111" s="106"/>
      <c r="D111" s="106"/>
      <c r="E111" s="18">
        <v>0</v>
      </c>
      <c r="F111" s="18">
        <v>0</v>
      </c>
      <c r="G111" s="18">
        <v>0</v>
      </c>
      <c r="H111" s="18">
        <v>0</v>
      </c>
      <c r="I111" s="18">
        <v>0</v>
      </c>
      <c r="J111" s="18">
        <v>0</v>
      </c>
      <c r="K111" s="18">
        <v>0</v>
      </c>
      <c r="L111" s="18">
        <v>0</v>
      </c>
      <c r="M111" s="18">
        <v>0</v>
      </c>
      <c r="N111" s="18">
        <v>0</v>
      </c>
      <c r="O111" s="18">
        <v>166.1</v>
      </c>
      <c r="P111" s="18">
        <v>71.94</v>
      </c>
      <c r="Q111" s="18">
        <v>129.36000000000001</v>
      </c>
      <c r="R111" s="18">
        <v>0</v>
      </c>
      <c r="S111" s="18">
        <v>0</v>
      </c>
      <c r="T111" s="18">
        <v>26.18</v>
      </c>
      <c r="U111" s="18">
        <v>0</v>
      </c>
      <c r="V111" s="18">
        <v>0</v>
      </c>
      <c r="W111" s="18">
        <v>254.73</v>
      </c>
      <c r="X111" s="18">
        <v>29.17</v>
      </c>
      <c r="Y111" s="18">
        <v>29.17</v>
      </c>
      <c r="Z111" s="18">
        <v>110.57</v>
      </c>
      <c r="AA111" s="146">
        <v>298.67</v>
      </c>
      <c r="AB111" s="120">
        <f t="shared" si="966"/>
        <v>74.098200000000006</v>
      </c>
      <c r="AC111" s="120">
        <f t="shared" si="966"/>
        <v>133.24080000000001</v>
      </c>
      <c r="AD111" s="120">
        <f t="shared" si="966"/>
        <v>0</v>
      </c>
      <c r="AE111" s="120">
        <f t="shared" si="966"/>
        <v>0</v>
      </c>
      <c r="AF111" s="120">
        <f t="shared" si="966"/>
        <v>26.965399999999999</v>
      </c>
      <c r="AG111" s="120">
        <f t="shared" si="966"/>
        <v>0</v>
      </c>
      <c r="AH111" s="120">
        <f t="shared" si="966"/>
        <v>0</v>
      </c>
      <c r="AI111" s="120">
        <f t="shared" si="966"/>
        <v>262.37189999999998</v>
      </c>
      <c r="AJ111" s="120">
        <f t="shared" si="967"/>
        <v>30.045100000000001</v>
      </c>
      <c r="AK111" s="120">
        <f t="shared" si="967"/>
        <v>30.045100000000001</v>
      </c>
      <c r="AL111" s="120">
        <f t="shared" si="967"/>
        <v>113.88709999999999</v>
      </c>
      <c r="AM111" s="120">
        <f t="shared" si="967"/>
        <v>307.63010000000003</v>
      </c>
      <c r="AN111" s="120">
        <f t="shared" si="967"/>
        <v>76.321146000000013</v>
      </c>
      <c r="AO111" s="120">
        <f t="shared" si="967"/>
        <v>137.23802400000002</v>
      </c>
      <c r="AP111" s="120">
        <f t="shared" si="967"/>
        <v>0</v>
      </c>
      <c r="AQ111" s="120">
        <f t="shared" si="967"/>
        <v>0</v>
      </c>
      <c r="AR111" s="120">
        <f t="shared" si="967"/>
        <v>27.774362</v>
      </c>
      <c r="AS111" s="120">
        <f t="shared" si="967"/>
        <v>0</v>
      </c>
      <c r="AT111" s="120">
        <f t="shared" si="968"/>
        <v>0</v>
      </c>
      <c r="AU111" s="120">
        <f t="shared" si="968"/>
        <v>270.24305699999996</v>
      </c>
      <c r="AV111" s="120">
        <f t="shared" si="968"/>
        <v>30.946453000000002</v>
      </c>
      <c r="AW111" s="120">
        <f t="shared" si="968"/>
        <v>30.946453000000002</v>
      </c>
      <c r="AX111" s="120">
        <f t="shared" si="968"/>
        <v>117.30371299999999</v>
      </c>
      <c r="AY111" s="120">
        <f t="shared" si="968"/>
        <v>316.85900300000003</v>
      </c>
      <c r="AZ111" s="120">
        <f t="shared" si="968"/>
        <v>78.610780380000008</v>
      </c>
      <c r="BA111" s="120">
        <f t="shared" si="968"/>
        <v>141.35516472000003</v>
      </c>
      <c r="BB111" s="120">
        <f t="shared" si="968"/>
        <v>0</v>
      </c>
      <c r="BC111" s="120">
        <f t="shared" si="968"/>
        <v>0</v>
      </c>
      <c r="BD111" s="120">
        <f t="shared" si="969"/>
        <v>28.60759286</v>
      </c>
      <c r="BE111" s="120">
        <f t="shared" si="969"/>
        <v>0</v>
      </c>
      <c r="BF111" s="120">
        <f t="shared" si="969"/>
        <v>0</v>
      </c>
      <c r="BG111" s="120">
        <f t="shared" si="969"/>
        <v>278.35034870999999</v>
      </c>
      <c r="BH111" s="120">
        <f t="shared" si="969"/>
        <v>31.874846590000004</v>
      </c>
      <c r="BI111" s="120">
        <f t="shared" si="969"/>
        <v>31.874846590000004</v>
      </c>
      <c r="BJ111" s="120">
        <f t="shared" si="969"/>
        <v>120.82282438999999</v>
      </c>
      <c r="BK111" s="120">
        <f t="shared" si="969"/>
        <v>326.36477309000003</v>
      </c>
      <c r="BL111" s="120">
        <f t="shared" si="969"/>
        <v>80.969103791400016</v>
      </c>
      <c r="BM111" s="120">
        <f t="shared" si="969"/>
        <v>145.59581966160005</v>
      </c>
      <c r="BN111" s="120">
        <f t="shared" si="970"/>
        <v>0</v>
      </c>
      <c r="BO111" s="120">
        <f t="shared" si="970"/>
        <v>0</v>
      </c>
      <c r="BP111" s="120">
        <f t="shared" si="970"/>
        <v>29.465820645800001</v>
      </c>
      <c r="BQ111" s="120">
        <f t="shared" si="970"/>
        <v>0</v>
      </c>
      <c r="BR111" s="120">
        <f t="shared" si="970"/>
        <v>0</v>
      </c>
      <c r="BS111" s="120">
        <f t="shared" si="970"/>
        <v>286.70085917130001</v>
      </c>
      <c r="BT111" s="120">
        <f t="shared" si="970"/>
        <v>32.831091987700006</v>
      </c>
      <c r="BU111" s="120">
        <f t="shared" si="970"/>
        <v>32.831091987700006</v>
      </c>
      <c r="BV111" s="120">
        <f t="shared" si="970"/>
        <v>124.44750912169999</v>
      </c>
      <c r="BW111" s="120">
        <f t="shared" si="970"/>
        <v>336.15571628270004</v>
      </c>
      <c r="BX111" s="120">
        <f t="shared" si="971"/>
        <v>83.398176905142023</v>
      </c>
      <c r="BY111" s="8"/>
      <c r="BZ111" s="72">
        <f t="shared" si="936"/>
        <v>298.67</v>
      </c>
      <c r="CA111" s="72">
        <f t="shared" si="937"/>
        <v>877.85000000000014</v>
      </c>
      <c r="CB111" s="97"/>
      <c r="CC111" s="72">
        <f t="shared" si="950"/>
        <v>0</v>
      </c>
      <c r="CD111" s="72">
        <f t="shared" si="972"/>
        <v>0</v>
      </c>
      <c r="CE111" s="72">
        <f t="shared" si="972"/>
        <v>238.04</v>
      </c>
      <c r="CF111" s="72">
        <f t="shared" si="972"/>
        <v>951.94820000000016</v>
      </c>
      <c r="CG111" s="72">
        <f t="shared" si="972"/>
        <v>980.50664600000005</v>
      </c>
      <c r="CH111" s="72">
        <f t="shared" si="972"/>
        <v>1009.9218453800001</v>
      </c>
      <c r="CI111" s="72">
        <f t="shared" si="972"/>
        <v>1040.2195007414002</v>
      </c>
      <c r="CJ111" s="72">
        <f t="shared" si="972"/>
        <v>1071.4260857636423</v>
      </c>
      <c r="CL111" s="13"/>
      <c r="CM111" s="13"/>
    </row>
    <row r="112" spans="1:92" x14ac:dyDescent="0.3">
      <c r="A112" s="97" t="str">
        <f>'DCS Detail'!A112</f>
        <v xml:space="preserve">         890.7 Bank Charges</v>
      </c>
      <c r="B112" s="106" t="str">
        <f>IF('DCS Detail'!$B112="","",'DCS Detail'!$B112)</f>
        <v>Misc.</v>
      </c>
      <c r="C112" s="139"/>
      <c r="D112" s="139"/>
      <c r="E112" s="121">
        <v>0</v>
      </c>
      <c r="F112" s="121">
        <v>5.5</v>
      </c>
      <c r="G112" s="121">
        <v>5.5</v>
      </c>
      <c r="H112" s="121">
        <v>5.5</v>
      </c>
      <c r="I112" s="121">
        <v>11</v>
      </c>
      <c r="J112" s="121">
        <v>0</v>
      </c>
      <c r="K112" s="121">
        <v>5.5</v>
      </c>
      <c r="L112" s="121">
        <v>5.5</v>
      </c>
      <c r="M112" s="121">
        <v>5.5</v>
      </c>
      <c r="N112" s="121">
        <v>5.5</v>
      </c>
      <c r="O112" s="121">
        <v>5.5</v>
      </c>
      <c r="P112" s="121">
        <v>5.5</v>
      </c>
      <c r="Q112" s="121">
        <v>7.7</v>
      </c>
      <c r="R112" s="121">
        <v>5.5</v>
      </c>
      <c r="S112" s="121">
        <v>5.5</v>
      </c>
      <c r="T112" s="121">
        <v>5.62</v>
      </c>
      <c r="U112" s="121">
        <v>5.5</v>
      </c>
      <c r="V112" s="121">
        <v>5.5</v>
      </c>
      <c r="W112" s="121">
        <v>5.5</v>
      </c>
      <c r="X112" s="121">
        <v>5.5</v>
      </c>
      <c r="Y112" s="121">
        <v>8.14</v>
      </c>
      <c r="Z112" s="121">
        <v>5.5</v>
      </c>
      <c r="AA112" s="121">
        <v>5.5</v>
      </c>
      <c r="AB112" s="144">
        <f t="shared" si="966"/>
        <v>5.665</v>
      </c>
      <c r="AC112" s="144">
        <f t="shared" si="966"/>
        <v>7.931</v>
      </c>
      <c r="AD112" s="144">
        <f t="shared" si="966"/>
        <v>5.665</v>
      </c>
      <c r="AE112" s="144">
        <f t="shared" si="966"/>
        <v>5.665</v>
      </c>
      <c r="AF112" s="144">
        <f t="shared" si="966"/>
        <v>5.7886000000000006</v>
      </c>
      <c r="AG112" s="144">
        <f t="shared" si="966"/>
        <v>5.665</v>
      </c>
      <c r="AH112" s="144">
        <f t="shared" si="966"/>
        <v>5.665</v>
      </c>
      <c r="AI112" s="144">
        <f t="shared" si="966"/>
        <v>5.665</v>
      </c>
      <c r="AJ112" s="144">
        <f t="shared" si="967"/>
        <v>5.665</v>
      </c>
      <c r="AK112" s="144">
        <f t="shared" si="967"/>
        <v>8.3842000000000017</v>
      </c>
      <c r="AL112" s="144">
        <f t="shared" si="967"/>
        <v>5.665</v>
      </c>
      <c r="AM112" s="144">
        <f t="shared" si="967"/>
        <v>5.665</v>
      </c>
      <c r="AN112" s="144">
        <f t="shared" si="967"/>
        <v>5.8349500000000001</v>
      </c>
      <c r="AO112" s="144">
        <f t="shared" si="967"/>
        <v>8.1689299999999996</v>
      </c>
      <c r="AP112" s="144">
        <f t="shared" si="967"/>
        <v>5.8349500000000001</v>
      </c>
      <c r="AQ112" s="144">
        <f t="shared" si="967"/>
        <v>5.8349500000000001</v>
      </c>
      <c r="AR112" s="144">
        <f t="shared" si="967"/>
        <v>5.9622580000000012</v>
      </c>
      <c r="AS112" s="144">
        <f t="shared" si="967"/>
        <v>5.8349500000000001</v>
      </c>
      <c r="AT112" s="144">
        <f t="shared" si="968"/>
        <v>5.8349500000000001</v>
      </c>
      <c r="AU112" s="144">
        <f t="shared" si="968"/>
        <v>5.8349500000000001</v>
      </c>
      <c r="AV112" s="144">
        <f t="shared" si="968"/>
        <v>5.8349500000000001</v>
      </c>
      <c r="AW112" s="144">
        <f t="shared" si="968"/>
        <v>8.6357260000000018</v>
      </c>
      <c r="AX112" s="144">
        <f t="shared" si="968"/>
        <v>5.8349500000000001</v>
      </c>
      <c r="AY112" s="144">
        <f t="shared" si="968"/>
        <v>5.8349500000000001</v>
      </c>
      <c r="AZ112" s="144">
        <f t="shared" si="968"/>
        <v>6.0099985</v>
      </c>
      <c r="BA112" s="144">
        <f t="shared" si="968"/>
        <v>8.4139979</v>
      </c>
      <c r="BB112" s="144">
        <f t="shared" si="968"/>
        <v>6.0099985</v>
      </c>
      <c r="BC112" s="144">
        <f t="shared" si="968"/>
        <v>6.0099985</v>
      </c>
      <c r="BD112" s="144">
        <f t="shared" si="969"/>
        <v>6.1411257400000014</v>
      </c>
      <c r="BE112" s="144">
        <f t="shared" si="969"/>
        <v>6.0099985</v>
      </c>
      <c r="BF112" s="144">
        <f t="shared" si="969"/>
        <v>6.0099985</v>
      </c>
      <c r="BG112" s="144">
        <f t="shared" si="969"/>
        <v>6.0099985</v>
      </c>
      <c r="BH112" s="144">
        <f t="shared" si="969"/>
        <v>6.0099985</v>
      </c>
      <c r="BI112" s="144">
        <f t="shared" si="969"/>
        <v>8.8947977800000029</v>
      </c>
      <c r="BJ112" s="144">
        <f t="shared" si="969"/>
        <v>6.0099985</v>
      </c>
      <c r="BK112" s="144">
        <f t="shared" si="969"/>
        <v>6.0099985</v>
      </c>
      <c r="BL112" s="144">
        <f t="shared" si="969"/>
        <v>6.1902984549999998</v>
      </c>
      <c r="BM112" s="144">
        <f t="shared" si="969"/>
        <v>8.6664178370000009</v>
      </c>
      <c r="BN112" s="144">
        <f t="shared" si="970"/>
        <v>6.1902984549999998</v>
      </c>
      <c r="BO112" s="144">
        <f t="shared" si="970"/>
        <v>6.1902984549999998</v>
      </c>
      <c r="BP112" s="144">
        <f t="shared" si="970"/>
        <v>6.3253595122000013</v>
      </c>
      <c r="BQ112" s="144">
        <f t="shared" si="970"/>
        <v>6.1902984549999998</v>
      </c>
      <c r="BR112" s="144">
        <f t="shared" si="970"/>
        <v>6.1902984549999998</v>
      </c>
      <c r="BS112" s="144">
        <f t="shared" si="970"/>
        <v>6.1902984549999998</v>
      </c>
      <c r="BT112" s="144">
        <f t="shared" si="970"/>
        <v>6.1902984549999998</v>
      </c>
      <c r="BU112" s="144">
        <f t="shared" si="970"/>
        <v>9.1616417134000034</v>
      </c>
      <c r="BV112" s="144">
        <f t="shared" si="970"/>
        <v>6.1902984549999998</v>
      </c>
      <c r="BW112" s="144">
        <f t="shared" si="970"/>
        <v>6.1902984549999998</v>
      </c>
      <c r="BX112" s="144">
        <f t="shared" si="971"/>
        <v>6.3760074086499996</v>
      </c>
      <c r="BY112" s="8"/>
      <c r="BZ112" s="73">
        <f t="shared" si="936"/>
        <v>5.5</v>
      </c>
      <c r="CA112" s="73">
        <f t="shared" si="937"/>
        <v>65.460000000000008</v>
      </c>
      <c r="CB112" s="97"/>
      <c r="CC112" s="73">
        <f t="shared" si="950"/>
        <v>0</v>
      </c>
      <c r="CD112" s="73">
        <f t="shared" si="972"/>
        <v>0</v>
      </c>
      <c r="CE112" s="73">
        <f t="shared" si="972"/>
        <v>60.5</v>
      </c>
      <c r="CF112" s="73">
        <f t="shared" si="972"/>
        <v>71.125000000000014</v>
      </c>
      <c r="CG112" s="73">
        <f t="shared" si="972"/>
        <v>73.258750000000006</v>
      </c>
      <c r="CH112" s="73">
        <f t="shared" si="972"/>
        <v>75.456512499999988</v>
      </c>
      <c r="CI112" s="73">
        <f t="shared" si="972"/>
        <v>77.720207875000014</v>
      </c>
      <c r="CJ112" s="73">
        <f t="shared" si="972"/>
        <v>80.051814111249996</v>
      </c>
      <c r="CL112" s="13"/>
      <c r="CM112" s="13"/>
    </row>
    <row r="113" spans="1:91" x14ac:dyDescent="0.3">
      <c r="A113" s="97" t="str">
        <f>'DCS Detail'!A113</f>
        <v xml:space="preserve">      Total 2300 Support - General Admin</v>
      </c>
      <c r="B113" s="106" t="str">
        <f>IF('DCS Detail'!$B113="","",'DCS Detail'!$B113)</f>
        <v/>
      </c>
      <c r="C113" s="36">
        <f>SUM(C100:C112)</f>
        <v>0</v>
      </c>
      <c r="D113" s="36">
        <f t="shared" ref="D113:AZ113" si="973">SUM(D100:D112)</f>
        <v>0</v>
      </c>
      <c r="E113" s="36">
        <f t="shared" si="973"/>
        <v>952.13</v>
      </c>
      <c r="F113" s="36">
        <f t="shared" si="973"/>
        <v>432.45999999999992</v>
      </c>
      <c r="G113" s="36">
        <f t="shared" si="973"/>
        <v>1738.3799999999999</v>
      </c>
      <c r="H113" s="36">
        <f t="shared" si="973"/>
        <v>2323.25</v>
      </c>
      <c r="I113" s="36">
        <f t="shared" si="973"/>
        <v>2177</v>
      </c>
      <c r="J113" s="36">
        <f t="shared" si="973"/>
        <v>580.20999999999992</v>
      </c>
      <c r="K113" s="36">
        <f t="shared" si="973"/>
        <v>2723.9199999999996</v>
      </c>
      <c r="L113" s="36">
        <f t="shared" si="973"/>
        <v>2133.1499999999992</v>
      </c>
      <c r="M113" s="36">
        <f t="shared" si="973"/>
        <v>707.44</v>
      </c>
      <c r="N113" s="36">
        <f t="shared" si="973"/>
        <v>1475.25</v>
      </c>
      <c r="O113" s="36">
        <f t="shared" si="973"/>
        <v>4008.86</v>
      </c>
      <c r="P113" s="36">
        <f t="shared" si="973"/>
        <v>1221.29</v>
      </c>
      <c r="Q113" s="36">
        <f t="shared" si="973"/>
        <v>1012.8900000000001</v>
      </c>
      <c r="R113" s="36">
        <f t="shared" ref="R113:S113" si="974">SUM(R100:R112)</f>
        <v>1471.09</v>
      </c>
      <c r="S113" s="36">
        <f t="shared" si="974"/>
        <v>12303.54</v>
      </c>
      <c r="T113" s="36">
        <f t="shared" ref="T113:U113" si="975">SUM(T100:T112)</f>
        <v>3491.1099999999997</v>
      </c>
      <c r="U113" s="36">
        <f t="shared" si="975"/>
        <v>8556.59</v>
      </c>
      <c r="V113" s="36">
        <f t="shared" ref="V113:W113" si="976">SUM(V100:V112)</f>
        <v>5.5</v>
      </c>
      <c r="W113" s="36">
        <f t="shared" si="976"/>
        <v>3902.63</v>
      </c>
      <c r="X113" s="36">
        <f t="shared" si="973"/>
        <v>1409.67</v>
      </c>
      <c r="Y113" s="36">
        <f t="shared" si="973"/>
        <v>41.72</v>
      </c>
      <c r="Z113" s="36">
        <f t="shared" si="973"/>
        <v>953.92000000000007</v>
      </c>
      <c r="AA113" s="36">
        <f t="shared" si="973"/>
        <v>2658.64</v>
      </c>
      <c r="AB113" s="36">
        <f t="shared" si="973"/>
        <v>1257.9286999999999</v>
      </c>
      <c r="AC113" s="36">
        <f t="shared" si="973"/>
        <v>1043.2767000000001</v>
      </c>
      <c r="AD113" s="36">
        <f t="shared" si="973"/>
        <v>1515.2227</v>
      </c>
      <c r="AE113" s="36">
        <f t="shared" si="973"/>
        <v>6842.6462000000001</v>
      </c>
      <c r="AF113" s="36">
        <f t="shared" si="973"/>
        <v>3595.8433000000005</v>
      </c>
      <c r="AG113" s="36">
        <f t="shared" si="973"/>
        <v>8813.2877000000008</v>
      </c>
      <c r="AH113" s="36">
        <f t="shared" si="973"/>
        <v>5.665</v>
      </c>
      <c r="AI113" s="36">
        <f t="shared" si="973"/>
        <v>4019.7089000000001</v>
      </c>
      <c r="AJ113" s="36">
        <f t="shared" si="973"/>
        <v>1451.9601</v>
      </c>
      <c r="AK113" s="36">
        <f t="shared" si="973"/>
        <v>42.971600000000002</v>
      </c>
      <c r="AL113" s="36">
        <f t="shared" si="973"/>
        <v>982.53760000000011</v>
      </c>
      <c r="AM113" s="36">
        <f t="shared" si="973"/>
        <v>2738.3992000000003</v>
      </c>
      <c r="AN113" s="36">
        <f t="shared" si="973"/>
        <v>1295.6665610000002</v>
      </c>
      <c r="AO113" s="36">
        <f t="shared" si="973"/>
        <v>1074.5750010000002</v>
      </c>
      <c r="AP113" s="36">
        <f t="shared" si="973"/>
        <v>1560.6793809999999</v>
      </c>
      <c r="AQ113" s="36">
        <f t="shared" si="973"/>
        <v>6882.9255860000003</v>
      </c>
      <c r="AR113" s="36">
        <f t="shared" si="973"/>
        <v>3703.7185990000003</v>
      </c>
      <c r="AS113" s="36">
        <f t="shared" si="973"/>
        <v>9077.686330999999</v>
      </c>
      <c r="AT113" s="36">
        <f t="shared" si="973"/>
        <v>5.8349500000000001</v>
      </c>
      <c r="AU113" s="36">
        <f t="shared" si="973"/>
        <v>4140.3001670000003</v>
      </c>
      <c r="AV113" s="36">
        <f t="shared" si="973"/>
        <v>1495.5189029999999</v>
      </c>
      <c r="AW113" s="36">
        <f t="shared" si="973"/>
        <v>44.260748000000007</v>
      </c>
      <c r="AX113" s="36">
        <f t="shared" si="973"/>
        <v>1012.0137280000002</v>
      </c>
      <c r="AY113" s="36">
        <f t="shared" si="973"/>
        <v>2820.5511760000004</v>
      </c>
      <c r="AZ113" s="36">
        <f t="shared" si="973"/>
        <v>1334.53655783</v>
      </c>
      <c r="BA113" s="36">
        <f t="shared" ref="BA113:BX113" si="977">SUM(BA100:BA112)</f>
        <v>1106.8122510300002</v>
      </c>
      <c r="BB113" s="36">
        <f t="shared" si="977"/>
        <v>1607.4997624300001</v>
      </c>
      <c r="BC113" s="36">
        <f t="shared" si="977"/>
        <v>6924.4133535800001</v>
      </c>
      <c r="BD113" s="36">
        <f t="shared" si="977"/>
        <v>3814.8301569700002</v>
      </c>
      <c r="BE113" s="36">
        <f t="shared" si="977"/>
        <v>9350.0169209300002</v>
      </c>
      <c r="BF113" s="36">
        <f t="shared" si="977"/>
        <v>6.0099985</v>
      </c>
      <c r="BG113" s="36">
        <f t="shared" si="977"/>
        <v>4264.5091720099999</v>
      </c>
      <c r="BH113" s="36">
        <f t="shared" si="977"/>
        <v>1540.3844700899999</v>
      </c>
      <c r="BI113" s="36">
        <f t="shared" si="977"/>
        <v>45.588570440000012</v>
      </c>
      <c r="BJ113" s="36">
        <f t="shared" si="977"/>
        <v>1042.37413984</v>
      </c>
      <c r="BK113" s="36">
        <f t="shared" si="977"/>
        <v>2905.1677112800007</v>
      </c>
      <c r="BL113" s="36">
        <f t="shared" si="977"/>
        <v>1374.5726545649002</v>
      </c>
      <c r="BM113" s="36">
        <f t="shared" si="977"/>
        <v>1140.0166185609003</v>
      </c>
      <c r="BN113" s="36">
        <f t="shared" si="977"/>
        <v>1655.7247553029001</v>
      </c>
      <c r="BO113" s="36">
        <f t="shared" si="977"/>
        <v>6967.1457541874006</v>
      </c>
      <c r="BP113" s="36">
        <f t="shared" si="977"/>
        <v>3929.2750616791004</v>
      </c>
      <c r="BQ113" s="36">
        <f t="shared" si="977"/>
        <v>9630.5174285578996</v>
      </c>
      <c r="BR113" s="36">
        <f t="shared" si="977"/>
        <v>6.1902984549999998</v>
      </c>
      <c r="BS113" s="36">
        <f t="shared" si="977"/>
        <v>4392.4444471703</v>
      </c>
      <c r="BT113" s="36">
        <f t="shared" si="977"/>
        <v>1586.5960041926999</v>
      </c>
      <c r="BU113" s="36">
        <f t="shared" si="977"/>
        <v>46.956227553200009</v>
      </c>
      <c r="BV113" s="36">
        <f t="shared" si="977"/>
        <v>1073.6453640351999</v>
      </c>
      <c r="BW113" s="36">
        <f t="shared" si="977"/>
        <v>2992.3227426184008</v>
      </c>
      <c r="BX113" s="36">
        <f t="shared" si="977"/>
        <v>1415.8098342018473</v>
      </c>
      <c r="BY113" s="8"/>
      <c r="BZ113" s="72">
        <f t="shared" si="936"/>
        <v>2658.64</v>
      </c>
      <c r="CA113" s="72">
        <f t="shared" si="937"/>
        <v>35807.300000000003</v>
      </c>
      <c r="CB113" s="97"/>
      <c r="CC113" s="72">
        <f t="shared" si="950"/>
        <v>0</v>
      </c>
      <c r="CD113" s="72">
        <f t="shared" si="972"/>
        <v>0</v>
      </c>
      <c r="CE113" s="72">
        <f t="shared" si="972"/>
        <v>20473.34</v>
      </c>
      <c r="CF113" s="72">
        <f t="shared" si="972"/>
        <v>37065.2287</v>
      </c>
      <c r="CG113" s="72">
        <f t="shared" si="972"/>
        <v>32347.185561000006</v>
      </c>
      <c r="CH113" s="72">
        <f t="shared" si="972"/>
        <v>33152.601127830007</v>
      </c>
      <c r="CI113" s="72">
        <f t="shared" si="972"/>
        <v>33982.179161664906</v>
      </c>
      <c r="CJ113" s="72">
        <f t="shared" si="972"/>
        <v>34836.644536514854</v>
      </c>
      <c r="CL113" s="13"/>
      <c r="CM113" s="13"/>
    </row>
    <row r="114" spans="1:91" x14ac:dyDescent="0.3">
      <c r="A114" s="97" t="str">
        <f>'DCS Detail'!A114</f>
        <v xml:space="preserve">      2400 School Administration</v>
      </c>
      <c r="B114" s="106" t="str">
        <f>IF('DCS Detail'!$B114="","",'DCS Detail'!$B114)</f>
        <v/>
      </c>
      <c r="C114" s="106"/>
      <c r="D114" s="106"/>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46">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0</v>
      </c>
      <c r="BE114" s="18">
        <v>0</v>
      </c>
      <c r="BF114" s="18">
        <v>0</v>
      </c>
      <c r="BG114" s="18">
        <v>0</v>
      </c>
      <c r="BH114" s="18">
        <v>0</v>
      </c>
      <c r="BI114" s="18">
        <v>0</v>
      </c>
      <c r="BJ114" s="18">
        <v>0</v>
      </c>
      <c r="BK114" s="18">
        <v>0</v>
      </c>
      <c r="BL114" s="18">
        <v>0</v>
      </c>
      <c r="BM114" s="18">
        <v>0</v>
      </c>
      <c r="BN114" s="18">
        <v>0</v>
      </c>
      <c r="BO114" s="18">
        <v>0</v>
      </c>
      <c r="BP114" s="18">
        <v>0</v>
      </c>
      <c r="BQ114" s="18">
        <v>0</v>
      </c>
      <c r="BR114" s="18">
        <v>0</v>
      </c>
      <c r="BS114" s="18">
        <v>0</v>
      </c>
      <c r="BT114" s="18">
        <v>0</v>
      </c>
      <c r="BU114" s="18">
        <v>0</v>
      </c>
      <c r="BV114" s="18">
        <v>0</v>
      </c>
      <c r="BW114" s="18">
        <v>0</v>
      </c>
      <c r="BX114" s="18">
        <v>0</v>
      </c>
      <c r="BY114" s="8"/>
      <c r="BZ114" s="72">
        <f t="shared" si="936"/>
        <v>0</v>
      </c>
      <c r="CA114" s="72">
        <f t="shared" si="937"/>
        <v>0</v>
      </c>
      <c r="CB114" s="97"/>
      <c r="CC114" s="72">
        <f t="shared" si="950"/>
        <v>0</v>
      </c>
      <c r="CD114" s="72">
        <f t="shared" si="972"/>
        <v>0</v>
      </c>
      <c r="CE114" s="72">
        <f t="shared" si="972"/>
        <v>0</v>
      </c>
      <c r="CF114" s="72">
        <f t="shared" si="972"/>
        <v>0</v>
      </c>
      <c r="CG114" s="72">
        <f t="shared" si="972"/>
        <v>0</v>
      </c>
      <c r="CH114" s="72">
        <f t="shared" si="972"/>
        <v>0</v>
      </c>
      <c r="CI114" s="72">
        <f t="shared" si="972"/>
        <v>0</v>
      </c>
      <c r="CJ114" s="72">
        <f t="shared" si="972"/>
        <v>0</v>
      </c>
      <c r="CL114" s="13"/>
      <c r="CM114" s="13"/>
    </row>
    <row r="115" spans="1:91" x14ac:dyDescent="0.3">
      <c r="A115" s="97" t="str">
        <f>'DCS Detail'!A115</f>
        <v xml:space="preserve">         114.1 Wages - Admin Licensed</v>
      </c>
      <c r="B115" s="106" t="str">
        <f>IF('DCS Detail'!$B115="","",'DCS Detail'!$B115)</f>
        <v>Salaries</v>
      </c>
      <c r="C115" s="106"/>
      <c r="D115" s="106"/>
      <c r="E115" s="18">
        <v>-3591.32</v>
      </c>
      <c r="F115" s="18">
        <v>3145.82</v>
      </c>
      <c r="G115" s="18">
        <v>3387.08</v>
      </c>
      <c r="H115" s="18">
        <v>3620.83</v>
      </c>
      <c r="I115" s="18">
        <v>3620.83</v>
      </c>
      <c r="J115" s="18">
        <v>3620.83</v>
      </c>
      <c r="K115" s="18">
        <v>3620.83</v>
      </c>
      <c r="L115" s="18">
        <v>3620.8299999999981</v>
      </c>
      <c r="M115" s="18">
        <v>3620.83</v>
      </c>
      <c r="N115" s="18">
        <v>3620.83</v>
      </c>
      <c r="O115" s="18">
        <v>3620.83</v>
      </c>
      <c r="P115" s="18">
        <v>9075</v>
      </c>
      <c r="Q115" s="18">
        <v>0</v>
      </c>
      <c r="R115" s="18">
        <v>4125.24</v>
      </c>
      <c r="S115" s="18">
        <v>4131.84</v>
      </c>
      <c r="T115" s="18">
        <v>4125.24</v>
      </c>
      <c r="U115" s="18">
        <v>4125.24</v>
      </c>
      <c r="V115" s="18">
        <v>4169.24</v>
      </c>
      <c r="W115" s="18">
        <v>4125.24</v>
      </c>
      <c r="X115" s="18">
        <v>4125.24</v>
      </c>
      <c r="Y115" s="18">
        <v>4125.24</v>
      </c>
      <c r="Z115" s="18">
        <v>4125.24</v>
      </c>
      <c r="AA115" s="146">
        <v>4273.74</v>
      </c>
      <c r="AB115" s="102">
        <f t="shared" ref="AB115:AZ115" si="978">AB268*AB275</f>
        <v>8279.8133333333335</v>
      </c>
      <c r="AC115" s="102">
        <f t="shared" si="978"/>
        <v>0</v>
      </c>
      <c r="AD115" s="102">
        <f t="shared" si="978"/>
        <v>4139.9066666666668</v>
      </c>
      <c r="AE115" s="102">
        <f t="shared" si="978"/>
        <v>4139.9066666666668</v>
      </c>
      <c r="AF115" s="102">
        <f t="shared" si="978"/>
        <v>4139.9066666666668</v>
      </c>
      <c r="AG115" s="102">
        <f t="shared" si="978"/>
        <v>4139.9066666666668</v>
      </c>
      <c r="AH115" s="102">
        <f t="shared" si="978"/>
        <v>4139.9066666666668</v>
      </c>
      <c r="AI115" s="102">
        <f t="shared" si="978"/>
        <v>4139.9066666666668</v>
      </c>
      <c r="AJ115" s="102">
        <f t="shared" si="978"/>
        <v>4139.9066666666668</v>
      </c>
      <c r="AK115" s="102">
        <f t="shared" si="978"/>
        <v>4139.9066666666668</v>
      </c>
      <c r="AL115" s="102">
        <f t="shared" si="978"/>
        <v>4139.9066666666668</v>
      </c>
      <c r="AM115" s="102">
        <f t="shared" si="978"/>
        <v>4139.9066666666668</v>
      </c>
      <c r="AN115" s="102">
        <f t="shared" si="978"/>
        <v>8279.8133333333335</v>
      </c>
      <c r="AO115" s="102">
        <f t="shared" si="978"/>
        <v>0</v>
      </c>
      <c r="AP115" s="102">
        <f t="shared" si="978"/>
        <v>4264.1038666666673</v>
      </c>
      <c r="AQ115" s="102">
        <f t="shared" si="978"/>
        <v>4264.1038666666673</v>
      </c>
      <c r="AR115" s="102">
        <f t="shared" si="978"/>
        <v>4264.1038666666673</v>
      </c>
      <c r="AS115" s="102">
        <f t="shared" si="978"/>
        <v>4264.1038666666673</v>
      </c>
      <c r="AT115" s="102">
        <f t="shared" si="978"/>
        <v>4264.1038666666673</v>
      </c>
      <c r="AU115" s="102">
        <f t="shared" si="978"/>
        <v>4264.1038666666673</v>
      </c>
      <c r="AV115" s="102">
        <f t="shared" si="978"/>
        <v>4264.1038666666673</v>
      </c>
      <c r="AW115" s="102">
        <f t="shared" si="978"/>
        <v>4264.1038666666673</v>
      </c>
      <c r="AX115" s="102">
        <f t="shared" si="978"/>
        <v>4264.1038666666673</v>
      </c>
      <c r="AY115" s="102">
        <f t="shared" si="978"/>
        <v>4264.1038666666673</v>
      </c>
      <c r="AZ115" s="102">
        <f t="shared" si="978"/>
        <v>8528.2077333333345</v>
      </c>
      <c r="BA115" s="102">
        <f t="shared" ref="BA115:BX115" si="979">BA268*BA275</f>
        <v>0</v>
      </c>
      <c r="BB115" s="102">
        <f t="shared" si="979"/>
        <v>4392.0269826666672</v>
      </c>
      <c r="BC115" s="102">
        <f t="shared" si="979"/>
        <v>4392.0269826666672</v>
      </c>
      <c r="BD115" s="102">
        <f t="shared" si="979"/>
        <v>4392.0269826666672</v>
      </c>
      <c r="BE115" s="102">
        <f t="shared" si="979"/>
        <v>4392.0269826666672</v>
      </c>
      <c r="BF115" s="102">
        <f t="shared" si="979"/>
        <v>4392.0269826666672</v>
      </c>
      <c r="BG115" s="102">
        <f t="shared" si="979"/>
        <v>4392.0269826666672</v>
      </c>
      <c r="BH115" s="102">
        <f t="shared" si="979"/>
        <v>4392.0269826666672</v>
      </c>
      <c r="BI115" s="102">
        <f t="shared" si="979"/>
        <v>4392.0269826666672</v>
      </c>
      <c r="BJ115" s="102">
        <f t="shared" si="979"/>
        <v>4392.0269826666672</v>
      </c>
      <c r="BK115" s="102">
        <f t="shared" si="979"/>
        <v>4392.0269826666672</v>
      </c>
      <c r="BL115" s="102">
        <f t="shared" si="979"/>
        <v>8784.0539653333344</v>
      </c>
      <c r="BM115" s="102">
        <f t="shared" si="979"/>
        <v>0</v>
      </c>
      <c r="BN115" s="102">
        <f t="shared" si="979"/>
        <v>4523.787792146667</v>
      </c>
      <c r="BO115" s="102">
        <f t="shared" si="979"/>
        <v>4523.787792146667</v>
      </c>
      <c r="BP115" s="102">
        <f t="shared" si="979"/>
        <v>4523.787792146667</v>
      </c>
      <c r="BQ115" s="102">
        <f t="shared" si="979"/>
        <v>4523.787792146667</v>
      </c>
      <c r="BR115" s="102">
        <f t="shared" si="979"/>
        <v>4523.787792146667</v>
      </c>
      <c r="BS115" s="102">
        <f t="shared" si="979"/>
        <v>4523.787792146667</v>
      </c>
      <c r="BT115" s="102">
        <f t="shared" si="979"/>
        <v>4523.787792146667</v>
      </c>
      <c r="BU115" s="102">
        <f t="shared" si="979"/>
        <v>4523.787792146667</v>
      </c>
      <c r="BV115" s="102">
        <f t="shared" si="979"/>
        <v>4523.787792146667</v>
      </c>
      <c r="BW115" s="102">
        <f t="shared" si="979"/>
        <v>4523.787792146667</v>
      </c>
      <c r="BX115" s="102">
        <f t="shared" si="979"/>
        <v>9047.575584293334</v>
      </c>
      <c r="BY115" s="8"/>
      <c r="BZ115" s="72">
        <f t="shared" si="936"/>
        <v>4273.74</v>
      </c>
      <c r="CA115" s="72">
        <f t="shared" si="937"/>
        <v>41451.499999999985</v>
      </c>
      <c r="CB115" s="97"/>
      <c r="CC115" s="72">
        <f t="shared" si="950"/>
        <v>0</v>
      </c>
      <c r="CD115" s="72">
        <f t="shared" si="972"/>
        <v>0</v>
      </c>
      <c r="CE115" s="72">
        <f t="shared" si="972"/>
        <v>40983.22</v>
      </c>
      <c r="CF115" s="72">
        <f t="shared" si="972"/>
        <v>49731.313333333317</v>
      </c>
      <c r="CG115" s="72">
        <f t="shared" si="972"/>
        <v>49678.880000000005</v>
      </c>
      <c r="CH115" s="72">
        <f t="shared" si="972"/>
        <v>51169.246400000004</v>
      </c>
      <c r="CI115" s="72">
        <f t="shared" si="972"/>
        <v>52704.32379200001</v>
      </c>
      <c r="CJ115" s="72">
        <f t="shared" si="972"/>
        <v>54285.453505760001</v>
      </c>
      <c r="CL115" s="13"/>
      <c r="CM115" s="13"/>
    </row>
    <row r="116" spans="1:91" x14ac:dyDescent="0.3">
      <c r="A116" s="97" t="str">
        <f>'DCS Detail'!A116</f>
        <v xml:space="preserve">         214.1 Medical Ins. - Admin Licensed</v>
      </c>
      <c r="B116" s="106" t="str">
        <f>IF('DCS Detail'!$B116="","",'DCS Detail'!$B116)</f>
        <v>Benefits</v>
      </c>
      <c r="C116" s="106"/>
      <c r="D116" s="106"/>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46">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18">
        <v>0</v>
      </c>
      <c r="AS116" s="18">
        <v>0</v>
      </c>
      <c r="AT116" s="18">
        <v>0</v>
      </c>
      <c r="AU116" s="18">
        <v>0</v>
      </c>
      <c r="AV116" s="18">
        <v>0</v>
      </c>
      <c r="AW116" s="18">
        <v>0</v>
      </c>
      <c r="AX116" s="18">
        <v>0</v>
      </c>
      <c r="AY116" s="18">
        <v>0</v>
      </c>
      <c r="AZ116" s="18">
        <v>0</v>
      </c>
      <c r="BA116" s="18">
        <v>0</v>
      </c>
      <c r="BB116" s="18">
        <v>0</v>
      </c>
      <c r="BC116" s="18">
        <v>0</v>
      </c>
      <c r="BD116" s="18">
        <v>0</v>
      </c>
      <c r="BE116" s="18">
        <v>0</v>
      </c>
      <c r="BF116" s="18">
        <v>0</v>
      </c>
      <c r="BG116" s="18">
        <v>0</v>
      </c>
      <c r="BH116" s="18">
        <v>0</v>
      </c>
      <c r="BI116" s="18">
        <v>0</v>
      </c>
      <c r="BJ116" s="18">
        <v>0</v>
      </c>
      <c r="BK116" s="18">
        <v>0</v>
      </c>
      <c r="BL116" s="18">
        <v>0</v>
      </c>
      <c r="BM116" s="18">
        <v>0</v>
      </c>
      <c r="BN116" s="18">
        <v>0</v>
      </c>
      <c r="BO116" s="18">
        <v>0</v>
      </c>
      <c r="BP116" s="18">
        <v>0</v>
      </c>
      <c r="BQ116" s="18">
        <v>0</v>
      </c>
      <c r="BR116" s="18">
        <v>0</v>
      </c>
      <c r="BS116" s="18">
        <v>0</v>
      </c>
      <c r="BT116" s="18">
        <v>0</v>
      </c>
      <c r="BU116" s="18">
        <v>0</v>
      </c>
      <c r="BV116" s="18">
        <v>0</v>
      </c>
      <c r="BW116" s="18">
        <v>0</v>
      </c>
      <c r="BX116" s="18">
        <v>0</v>
      </c>
      <c r="BY116" s="8"/>
      <c r="BZ116" s="72">
        <f t="shared" si="936"/>
        <v>0</v>
      </c>
      <c r="CA116" s="72">
        <f t="shared" si="937"/>
        <v>0</v>
      </c>
      <c r="CB116" s="97"/>
      <c r="CC116" s="72">
        <f t="shared" si="950"/>
        <v>0</v>
      </c>
      <c r="CD116" s="72">
        <f t="shared" si="972"/>
        <v>0</v>
      </c>
      <c r="CE116" s="72">
        <f t="shared" si="972"/>
        <v>0</v>
      </c>
      <c r="CF116" s="72">
        <f t="shared" si="972"/>
        <v>0</v>
      </c>
      <c r="CG116" s="72">
        <f t="shared" si="972"/>
        <v>0</v>
      </c>
      <c r="CH116" s="72">
        <f t="shared" si="972"/>
        <v>0</v>
      </c>
      <c r="CI116" s="72">
        <f t="shared" si="972"/>
        <v>0</v>
      </c>
      <c r="CJ116" s="72">
        <f t="shared" si="972"/>
        <v>0</v>
      </c>
      <c r="CL116" s="13"/>
      <c r="CM116" s="13"/>
    </row>
    <row r="117" spans="1:91" x14ac:dyDescent="0.3">
      <c r="A117" s="97" t="str">
        <f>'DCS Detail'!A117</f>
        <v xml:space="preserve">         224.1 Payroll Tax - Admin Licensed</v>
      </c>
      <c r="B117" s="106" t="str">
        <f>IF('DCS Detail'!$B117="","",'DCS Detail'!$B117)</f>
        <v>Benefits</v>
      </c>
      <c r="C117" s="106"/>
      <c r="D117" s="106"/>
      <c r="E117" s="18">
        <v>-105.9</v>
      </c>
      <c r="F117" s="18">
        <v>70.47</v>
      </c>
      <c r="G117" s="18">
        <v>59.28</v>
      </c>
      <c r="H117" s="18">
        <v>77.17</v>
      </c>
      <c r="I117" s="18">
        <v>77.17</v>
      </c>
      <c r="J117" s="18">
        <v>77.17</v>
      </c>
      <c r="K117" s="18">
        <v>95.34</v>
      </c>
      <c r="L117" s="18">
        <v>83.079999999999927</v>
      </c>
      <c r="M117" s="18">
        <v>79.97</v>
      </c>
      <c r="N117" s="18">
        <v>77.989999999999995</v>
      </c>
      <c r="O117" s="18">
        <v>77.16</v>
      </c>
      <c r="P117" s="18">
        <v>180.92</v>
      </c>
      <c r="Q117" s="18">
        <v>0</v>
      </c>
      <c r="R117" s="18">
        <v>118.67</v>
      </c>
      <c r="S117" s="18">
        <v>118.62</v>
      </c>
      <c r="T117" s="18">
        <v>118.52</v>
      </c>
      <c r="U117" s="18">
        <v>116.1</v>
      </c>
      <c r="V117" s="18">
        <v>116.25</v>
      </c>
      <c r="W117" s="18">
        <v>136.76</v>
      </c>
      <c r="X117" s="18">
        <v>124.61</v>
      </c>
      <c r="Y117" s="18">
        <v>121.44</v>
      </c>
      <c r="Z117" s="18">
        <v>116.6</v>
      </c>
      <c r="AA117" s="146">
        <v>117.74</v>
      </c>
      <c r="AB117" s="102">
        <f t="shared" ref="AB117:AK120" si="980">SUM(U117:AA117)/SUM(U$115:AA$115)*AB$115</f>
        <v>241.96421869026472</v>
      </c>
      <c r="AC117" s="102">
        <f t="shared" si="980"/>
        <v>0</v>
      </c>
      <c r="AD117" s="102">
        <f t="shared" si="980"/>
        <v>122.41308744633199</v>
      </c>
      <c r="AE117" s="102">
        <f t="shared" si="980"/>
        <v>120.30809959059521</v>
      </c>
      <c r="AF117" s="102">
        <f t="shared" si="980"/>
        <v>119.6350804675553</v>
      </c>
      <c r="AG117" s="102">
        <f t="shared" si="980"/>
        <v>119.3179905136348</v>
      </c>
      <c r="AH117" s="102">
        <f t="shared" si="980"/>
        <v>119.64437979344324</v>
      </c>
      <c r="AI117" s="102">
        <f t="shared" si="980"/>
        <v>120.46897950026076</v>
      </c>
      <c r="AJ117" s="102">
        <f t="shared" si="980"/>
        <v>120.29793621863688</v>
      </c>
      <c r="AK117" s="102">
        <f t="shared" si="980"/>
        <v>120.29793621863689</v>
      </c>
      <c r="AL117" s="102">
        <f t="shared" ref="AL117:AU120" si="981">SUM(AE117:AK117)/SUM(AE$115:AK$115)*AL$115</f>
        <v>119.9957717575376</v>
      </c>
      <c r="AM117" s="102">
        <f t="shared" si="981"/>
        <v>119.9511534956722</v>
      </c>
      <c r="AN117" s="102">
        <f t="shared" si="981"/>
        <v>239.99261357080641</v>
      </c>
      <c r="AO117" s="102">
        <f t="shared" si="981"/>
        <v>0</v>
      </c>
      <c r="AP117" s="102">
        <f t="shared" si="981"/>
        <v>123.74778892634249</v>
      </c>
      <c r="AQ117" s="102">
        <f t="shared" si="981"/>
        <v>123.7000990317584</v>
      </c>
      <c r="AR117" s="102">
        <f t="shared" si="981"/>
        <v>123.67081074940181</v>
      </c>
      <c r="AS117" s="102">
        <f t="shared" si="981"/>
        <v>123.63751546649709</v>
      </c>
      <c r="AT117" s="102">
        <f t="shared" si="981"/>
        <v>123.64339616259728</v>
      </c>
      <c r="AU117" s="102">
        <f t="shared" si="981"/>
        <v>123.65650218526231</v>
      </c>
      <c r="AV117" s="102">
        <f t="shared" ref="AV117:BE120" si="982">SUM(AO117:AU117)/SUM(AO$115:AU$115)*AV$115</f>
        <v>123.67601875364321</v>
      </c>
      <c r="AW117" s="102">
        <f t="shared" si="982"/>
        <v>123.67601875364321</v>
      </c>
      <c r="AX117" s="102">
        <f t="shared" si="982"/>
        <v>123.66576587182907</v>
      </c>
      <c r="AY117" s="102">
        <f t="shared" si="982"/>
        <v>123.66086113469628</v>
      </c>
      <c r="AZ117" s="102">
        <f t="shared" si="982"/>
        <v>247.31887952233382</v>
      </c>
      <c r="BA117" s="102">
        <f t="shared" ref="BA117:BA120" si="983">SUM(AT117:AZ117)/SUM(AT$115:AZ$115)*BA$115</f>
        <v>0</v>
      </c>
      <c r="BB117" s="102">
        <f t="shared" ref="BB117:BB120" si="984">SUM(AU117:BA117)/SUM(AU$115:BA$115)*BB$115</f>
        <v>127.37480965829288</v>
      </c>
      <c r="BC117" s="102">
        <f t="shared" ref="BC117:BC120" si="985">SUM(AV117:BB117)/SUM(AV$115:BB$115)*BC$115</f>
        <v>127.37603475181675</v>
      </c>
      <c r="BD117" s="102">
        <f t="shared" ref="BD117:BD120" si="986">SUM(AW117:BC117)/SUM(AW$115:BC$115)*BD$115</f>
        <v>127.3745808475057</v>
      </c>
      <c r="BE117" s="102">
        <f t="shared" ref="BE117:BE120" si="987">SUM(AX117:BD117)/SUM(AX$115:BD$115)*BE$115</f>
        <v>127.37292803103932</v>
      </c>
      <c r="BF117" s="102">
        <f t="shared" ref="BF117:BF120" si="988">SUM(AY117:BE117)/SUM(AY$115:BE$115)*BF$115</f>
        <v>127.37253325337858</v>
      </c>
      <c r="BG117" s="102">
        <f t="shared" ref="BG117:BG120" si="989">SUM(AZ117:BF117)/SUM(AZ$115:BF$115)*BG$115</f>
        <v>127.37279147500674</v>
      </c>
      <c r="BH117" s="102">
        <f t="shared" ref="BH117:BH120" si="990">SUM(BA117:BG117)/SUM(BA$115:BG$115)*BH$115</f>
        <v>127.37394633617332</v>
      </c>
      <c r="BI117" s="102">
        <f t="shared" ref="BI117:BI120" si="991">SUM(BB117:BH117)/SUM(BB$115:BH$115)*BI$115</f>
        <v>127.37394633617332</v>
      </c>
      <c r="BJ117" s="102">
        <f t="shared" ref="BJ117:BJ120" si="992">SUM(BC117:BI117)/SUM(BC$115:BI$115)*BJ$115</f>
        <v>127.37382300444195</v>
      </c>
      <c r="BK117" s="102">
        <f t="shared" ref="BK117:BK120" si="993">SUM(BD117:BJ117)/SUM(BD$115:BJ$115)*BK$115</f>
        <v>127.37350704053129</v>
      </c>
      <c r="BL117" s="102">
        <f t="shared" ref="BL117:BL120" si="994">SUM(BE117:BK117)/SUM(BE$115:BK$115)*BL$115</f>
        <v>254.74670727906991</v>
      </c>
      <c r="BM117" s="102">
        <f t="shared" ref="BM117:BM120" si="995">SUM(BF117:BL117)/SUM(BF$115:BL$115)*BM$115</f>
        <v>0</v>
      </c>
      <c r="BN117" s="102">
        <f t="shared" ref="BN117:BN120" si="996">SUM(BG117:BM117)/SUM(BG$115:BM$115)*BN$115</f>
        <v>131.19473758793407</v>
      </c>
      <c r="BO117" s="102">
        <f t="shared" ref="BO117:BO120" si="997">SUM(BH117:BN117)/SUM(BH$115:BN$115)*BO$115</f>
        <v>131.19484603298059</v>
      </c>
      <c r="BP117" s="102">
        <f t="shared" ref="BP117:BP120" si="998">SUM(BI117:BO117)/SUM(BI$115:BO$115)*BP$115</f>
        <v>131.19480089228966</v>
      </c>
      <c r="BQ117" s="102">
        <f t="shared" ref="BQ117:BQ120" si="999">SUM(BJ117:BP117)/SUM(BJ$115:BP$115)*BQ$115</f>
        <v>131.19474957579192</v>
      </c>
      <c r="BR117" s="102">
        <f t="shared" ref="BR117:BR120" si="1000">SUM(BK117:BQ117)/SUM(BK$115:BQ$115)*BR$115</f>
        <v>131.19470910967067</v>
      </c>
      <c r="BS117" s="102">
        <f t="shared" ref="BS117:BS120" si="1001">SUM(BL117:BR117)/SUM(BL$115:BR$115)*BS$115</f>
        <v>131.1947086702194</v>
      </c>
      <c r="BT117" s="102">
        <f t="shared" ref="BT117:BT120" si="1002">SUM(BM117:BS117)/SUM(BM$115:BS$115)*BT$115</f>
        <v>131.19475864481436</v>
      </c>
      <c r="BU117" s="102">
        <f t="shared" ref="BU117:BU120" si="1003">SUM(BN117:BT117)/SUM(BN$115:BT$115)*BU$115</f>
        <v>131.19475864481436</v>
      </c>
      <c r="BV117" s="102">
        <f t="shared" ref="BV117:BV120" si="1004">SUM(BO117:BU117)/SUM(BO$115:BU$115)*BV$115</f>
        <v>131.19476165294012</v>
      </c>
      <c r="BW117" s="102">
        <f t="shared" ref="BW117:BW120" si="1005">SUM(BP117:BV117)/SUM(BP$115:BV$115)*BW$115</f>
        <v>131.19474959864863</v>
      </c>
      <c r="BX117" s="102">
        <f t="shared" ref="BX117:BX120" si="1006">SUM(BQ117:BW117)/SUM(BQ$115:BW$115)*BX$115</f>
        <v>262.38948454197123</v>
      </c>
      <c r="BY117" s="8"/>
      <c r="BZ117" s="72">
        <f t="shared" si="936"/>
        <v>117.74</v>
      </c>
      <c r="CA117" s="72">
        <f t="shared" si="937"/>
        <v>1205.31</v>
      </c>
      <c r="CB117" s="97"/>
      <c r="CC117" s="72">
        <f t="shared" si="950"/>
        <v>0</v>
      </c>
      <c r="CD117" s="72">
        <f t="shared" si="972"/>
        <v>0</v>
      </c>
      <c r="CE117" s="72">
        <f t="shared" si="972"/>
        <v>849.81999999999994</v>
      </c>
      <c r="CF117" s="72">
        <f t="shared" si="972"/>
        <v>1447.2742186902647</v>
      </c>
      <c r="CG117" s="72">
        <f t="shared" si="972"/>
        <v>1442.3230285731115</v>
      </c>
      <c r="CH117" s="72">
        <f t="shared" si="972"/>
        <v>1484.0536565580048</v>
      </c>
      <c r="CI117" s="72">
        <f t="shared" si="972"/>
        <v>1528.4856080134293</v>
      </c>
      <c r="CJ117" s="72">
        <f t="shared" si="972"/>
        <v>1574.3370649520748</v>
      </c>
      <c r="CL117" s="13"/>
      <c r="CM117" s="13"/>
    </row>
    <row r="118" spans="1:91" x14ac:dyDescent="0.3">
      <c r="A118" s="97" t="str">
        <f>'DCS Detail'!A118</f>
        <v xml:space="preserve">         234.1 PERS - Admin Licensed</v>
      </c>
      <c r="B118" s="106" t="str">
        <f>IF('DCS Detail'!$B118="","",'DCS Detail'!$B118)</f>
        <v>Benefits</v>
      </c>
      <c r="C118" s="106"/>
      <c r="D118" s="106"/>
      <c r="E118" s="18">
        <v>-546.44000000000005</v>
      </c>
      <c r="F118" s="18">
        <v>546.44000000000005</v>
      </c>
      <c r="G118" s="18">
        <v>737.55</v>
      </c>
      <c r="H118" s="18">
        <v>737.55</v>
      </c>
      <c r="I118" s="18">
        <v>737.55</v>
      </c>
      <c r="J118" s="18">
        <v>737.55</v>
      </c>
      <c r="K118" s="18">
        <v>737.55</v>
      </c>
      <c r="L118" s="18">
        <v>737.55000000000018</v>
      </c>
      <c r="M118" s="18">
        <v>737.55</v>
      </c>
      <c r="N118" s="18">
        <v>737.55</v>
      </c>
      <c r="O118" s="18">
        <v>737.55</v>
      </c>
      <c r="P118" s="18">
        <v>2011.35</v>
      </c>
      <c r="Q118" s="18">
        <v>0</v>
      </c>
      <c r="R118" s="18">
        <v>737.55</v>
      </c>
      <c r="S118" s="18">
        <v>737.55</v>
      </c>
      <c r="T118" s="18">
        <v>538.78</v>
      </c>
      <c r="U118" s="18">
        <v>737.55</v>
      </c>
      <c r="V118" s="18">
        <v>737.55</v>
      </c>
      <c r="W118" s="18">
        <v>737.55</v>
      </c>
      <c r="X118" s="18">
        <v>737.55</v>
      </c>
      <c r="Y118" s="18">
        <v>737.55</v>
      </c>
      <c r="Z118" s="18">
        <v>737.55</v>
      </c>
      <c r="AA118" s="146">
        <v>743.78</v>
      </c>
      <c r="AB118" s="102">
        <f t="shared" si="980"/>
        <v>1472.315954735107</v>
      </c>
      <c r="AC118" s="102">
        <f t="shared" si="980"/>
        <v>0</v>
      </c>
      <c r="AD118" s="102">
        <f t="shared" si="980"/>
        <v>736.13289679311686</v>
      </c>
      <c r="AE118" s="102">
        <f t="shared" si="980"/>
        <v>735.55966800464853</v>
      </c>
      <c r="AF118" s="102">
        <f t="shared" si="980"/>
        <v>734.90542177035286</v>
      </c>
      <c r="AG118" s="102">
        <f t="shared" si="980"/>
        <v>734.15875407474982</v>
      </c>
      <c r="AH118" s="102">
        <f t="shared" si="980"/>
        <v>733.30666222697926</v>
      </c>
      <c r="AI118" s="102">
        <f t="shared" si="980"/>
        <v>735.19705108642211</v>
      </c>
      <c r="AJ118" s="102">
        <f t="shared" si="980"/>
        <v>734.87674232604479</v>
      </c>
      <c r="AK118" s="102">
        <f t="shared" si="980"/>
        <v>734.8767423260449</v>
      </c>
      <c r="AL118" s="102">
        <f t="shared" si="981"/>
        <v>734.69729168789183</v>
      </c>
      <c r="AM118" s="102">
        <f t="shared" si="981"/>
        <v>734.57409507121235</v>
      </c>
      <c r="AN118" s="102">
        <f t="shared" si="981"/>
        <v>1469.0535253712419</v>
      </c>
      <c r="AO118" s="102">
        <f t="shared" si="981"/>
        <v>0</v>
      </c>
      <c r="AP118" s="102">
        <f t="shared" si="981"/>
        <v>756.796244472132</v>
      </c>
      <c r="AQ118" s="102">
        <f t="shared" si="981"/>
        <v>756.73127745266072</v>
      </c>
      <c r="AR118" s="102">
        <f t="shared" si="981"/>
        <v>756.7041149677932</v>
      </c>
      <c r="AS118" s="102">
        <f t="shared" si="981"/>
        <v>756.67323631785894</v>
      </c>
      <c r="AT118" s="102">
        <f t="shared" si="981"/>
        <v>756.6641107391132</v>
      </c>
      <c r="AU118" s="102">
        <f t="shared" si="981"/>
        <v>756.67149434970963</v>
      </c>
      <c r="AV118" s="102">
        <f t="shared" si="982"/>
        <v>756.70674638321123</v>
      </c>
      <c r="AW118" s="102">
        <f t="shared" si="982"/>
        <v>756.70674638321123</v>
      </c>
      <c r="AX118" s="102">
        <f t="shared" si="982"/>
        <v>756.69396094193667</v>
      </c>
      <c r="AY118" s="102">
        <f t="shared" si="982"/>
        <v>756.68863001183342</v>
      </c>
      <c r="AZ118" s="102">
        <f t="shared" si="982"/>
        <v>1513.3728357505354</v>
      </c>
      <c r="BA118" s="102">
        <f t="shared" si="983"/>
        <v>0</v>
      </c>
      <c r="BB118" s="102">
        <f t="shared" si="984"/>
        <v>779.39223231929293</v>
      </c>
      <c r="BC118" s="102">
        <f t="shared" si="985"/>
        <v>779.39516164206577</v>
      </c>
      <c r="BD118" s="102">
        <f t="shared" si="986"/>
        <v>779.39335043347614</v>
      </c>
      <c r="BE118" s="102">
        <f t="shared" si="987"/>
        <v>779.3912914290712</v>
      </c>
      <c r="BF118" s="102">
        <f t="shared" si="988"/>
        <v>779.39080149352026</v>
      </c>
      <c r="BG118" s="102">
        <f t="shared" si="989"/>
        <v>779.39101304335691</v>
      </c>
      <c r="BH118" s="102">
        <f t="shared" si="990"/>
        <v>779.39230839346396</v>
      </c>
      <c r="BI118" s="102">
        <f t="shared" si="991"/>
        <v>779.39230839346396</v>
      </c>
      <c r="BJ118" s="102">
        <f t="shared" si="992"/>
        <v>779.39231926120283</v>
      </c>
      <c r="BK118" s="102">
        <f t="shared" si="993"/>
        <v>779.39191320679367</v>
      </c>
      <c r="BL118" s="102">
        <f t="shared" si="994"/>
        <v>1558.7834157773925</v>
      </c>
      <c r="BM118" s="102">
        <f t="shared" si="995"/>
        <v>0</v>
      </c>
      <c r="BN118" s="102">
        <f t="shared" si="996"/>
        <v>802.7736537739919</v>
      </c>
      <c r="BO118" s="102">
        <f t="shared" si="997"/>
        <v>802.77378326749601</v>
      </c>
      <c r="BP118" s="102">
        <f t="shared" si="998"/>
        <v>802.77374157092788</v>
      </c>
      <c r="BQ118" s="102">
        <f t="shared" si="999"/>
        <v>802.77369416975159</v>
      </c>
      <c r="BR118" s="102">
        <f t="shared" si="1000"/>
        <v>802.77363873867182</v>
      </c>
      <c r="BS118" s="102">
        <f t="shared" si="1001"/>
        <v>802.77363428212288</v>
      </c>
      <c r="BT118" s="102">
        <f t="shared" si="1002"/>
        <v>802.77369096716018</v>
      </c>
      <c r="BU118" s="102">
        <f t="shared" si="1003"/>
        <v>802.77369096716018</v>
      </c>
      <c r="BV118" s="102">
        <f t="shared" si="1004"/>
        <v>802.77369628046995</v>
      </c>
      <c r="BW118" s="102">
        <f t="shared" si="1005"/>
        <v>802.773683853752</v>
      </c>
      <c r="BX118" s="102">
        <f t="shared" si="1006"/>
        <v>1605.5473512168824</v>
      </c>
      <c r="BY118" s="8"/>
      <c r="BZ118" s="72">
        <f t="shared" si="936"/>
        <v>743.78</v>
      </c>
      <c r="CA118" s="72">
        <f t="shared" si="937"/>
        <v>7182.96</v>
      </c>
      <c r="CB118" s="97"/>
      <c r="CC118" s="72">
        <f t="shared" si="950"/>
        <v>0</v>
      </c>
      <c r="CD118" s="72">
        <f t="shared" ref="CD118:CJ127" si="1007">SUMIF($C$3:$BY$3,CD$3,$C118:$BY118)</f>
        <v>0</v>
      </c>
      <c r="CE118" s="72">
        <f t="shared" si="1007"/>
        <v>8649.3000000000011</v>
      </c>
      <c r="CF118" s="72">
        <f t="shared" si="1007"/>
        <v>8655.275954735107</v>
      </c>
      <c r="CG118" s="72">
        <f t="shared" si="1007"/>
        <v>8817.3388507387062</v>
      </c>
      <c r="CH118" s="72">
        <f t="shared" si="1007"/>
        <v>9080.4093977699958</v>
      </c>
      <c r="CI118" s="72">
        <f t="shared" si="1007"/>
        <v>9352.7061153931008</v>
      </c>
      <c r="CJ118" s="72">
        <f t="shared" si="1007"/>
        <v>9633.2842590883865</v>
      </c>
      <c r="CL118" s="13"/>
      <c r="CM118" s="13"/>
    </row>
    <row r="119" spans="1:91" x14ac:dyDescent="0.3">
      <c r="A119" s="97" t="str">
        <f>'DCS Detail'!A119</f>
        <v xml:space="preserve">         264.1 SUI - Admin Licensed</v>
      </c>
      <c r="B119" s="106" t="str">
        <f>IF('DCS Detail'!$B119="","",'DCS Detail'!$B119)</f>
        <v>Benefits</v>
      </c>
      <c r="C119" s="106"/>
      <c r="D119" s="106"/>
      <c r="E119" s="18">
        <v>-16.829999999999998</v>
      </c>
      <c r="F119" s="18">
        <v>8.41</v>
      </c>
      <c r="G119" s="18">
        <v>4.21</v>
      </c>
      <c r="H119" s="18">
        <v>8.42</v>
      </c>
      <c r="I119" s="18">
        <v>8.42</v>
      </c>
      <c r="J119" s="18">
        <v>8.42</v>
      </c>
      <c r="K119" s="18">
        <v>65.180000000000007</v>
      </c>
      <c r="L119" s="18">
        <v>65.179999999999978</v>
      </c>
      <c r="M119" s="18">
        <v>54.31</v>
      </c>
      <c r="N119" s="18">
        <v>54.31</v>
      </c>
      <c r="O119" s="18">
        <v>27.03</v>
      </c>
      <c r="P119" s="18">
        <v>25.25</v>
      </c>
      <c r="Q119" s="18">
        <v>0</v>
      </c>
      <c r="R119" s="18">
        <v>14.58</v>
      </c>
      <c r="S119" s="18">
        <v>14.58</v>
      </c>
      <c r="T119" s="18">
        <v>14.58</v>
      </c>
      <c r="U119" s="18">
        <v>14.58</v>
      </c>
      <c r="V119" s="18">
        <v>14.58</v>
      </c>
      <c r="W119" s="18">
        <v>61.88</v>
      </c>
      <c r="X119" s="18">
        <v>61.88</v>
      </c>
      <c r="Y119" s="18">
        <v>61.88</v>
      </c>
      <c r="Z119" s="18">
        <v>61.88</v>
      </c>
      <c r="AA119" s="146">
        <v>47.39</v>
      </c>
      <c r="AB119" s="102">
        <f t="shared" si="980"/>
        <v>92.305290583818817</v>
      </c>
      <c r="AC119" s="102">
        <f t="shared" si="980"/>
        <v>0</v>
      </c>
      <c r="AD119" s="102">
        <f t="shared" si="980"/>
        <v>55.173361347756959</v>
      </c>
      <c r="AE119" s="102">
        <f t="shared" si="980"/>
        <v>54.190393566515368</v>
      </c>
      <c r="AF119" s="102">
        <f t="shared" si="980"/>
        <v>53.068497768103036</v>
      </c>
      <c r="AG119" s="102">
        <f t="shared" si="980"/>
        <v>51.788118445157885</v>
      </c>
      <c r="AH119" s="102">
        <f t="shared" si="980"/>
        <v>50.326958695565757</v>
      </c>
      <c r="AI119" s="102">
        <f t="shared" si="980"/>
        <v>50.978945772416829</v>
      </c>
      <c r="AJ119" s="102">
        <f t="shared" si="980"/>
        <v>52.58771259925264</v>
      </c>
      <c r="AK119" s="102">
        <f t="shared" si="980"/>
        <v>52.58771259925264</v>
      </c>
      <c r="AL119" s="102">
        <f t="shared" si="981"/>
        <v>52.218334206609171</v>
      </c>
      <c r="AM119" s="102">
        <f t="shared" si="981"/>
        <v>51.936611440908294</v>
      </c>
      <c r="AN119" s="102">
        <f t="shared" si="981"/>
        <v>103.54982678833237</v>
      </c>
      <c r="AO119" s="102">
        <f t="shared" si="981"/>
        <v>0</v>
      </c>
      <c r="AP119" s="102">
        <f t="shared" si="981"/>
        <v>53.539273958425035</v>
      </c>
      <c r="AQ119" s="102">
        <f t="shared" si="981"/>
        <v>53.685925425400221</v>
      </c>
      <c r="AR119" s="102">
        <f t="shared" si="981"/>
        <v>53.618019114942719</v>
      </c>
      <c r="AS119" s="102">
        <f t="shared" si="981"/>
        <v>53.540822378371836</v>
      </c>
      <c r="AT119" s="102">
        <f t="shared" si="981"/>
        <v>53.506544028029765</v>
      </c>
      <c r="AU119" s="102">
        <f t="shared" si="981"/>
        <v>53.508199167035933</v>
      </c>
      <c r="AV119" s="102">
        <f t="shared" si="982"/>
        <v>53.566464012034245</v>
      </c>
      <c r="AW119" s="102">
        <f t="shared" si="982"/>
        <v>53.566464012034245</v>
      </c>
      <c r="AX119" s="102">
        <f t="shared" si="982"/>
        <v>53.570348305406995</v>
      </c>
      <c r="AY119" s="102">
        <f t="shared" si="982"/>
        <v>53.5538372882651</v>
      </c>
      <c r="AZ119" s="102">
        <f t="shared" si="982"/>
        <v>107.08933691176517</v>
      </c>
      <c r="BA119" s="102">
        <f t="shared" si="983"/>
        <v>0</v>
      </c>
      <c r="BB119" s="102">
        <f t="shared" si="984"/>
        <v>55.157184169633979</v>
      </c>
      <c r="BC119" s="102">
        <f t="shared" si="985"/>
        <v>55.163405937427314</v>
      </c>
      <c r="BD119" s="102">
        <f t="shared" si="986"/>
        <v>55.161982142106055</v>
      </c>
      <c r="BE119" s="102">
        <f t="shared" si="987"/>
        <v>55.160363553912951</v>
      </c>
      <c r="BF119" s="102">
        <f t="shared" si="988"/>
        <v>55.157962542584819</v>
      </c>
      <c r="BG119" s="102">
        <f t="shared" si="989"/>
        <v>55.157614309811642</v>
      </c>
      <c r="BH119" s="102">
        <f t="shared" si="990"/>
        <v>55.159752109246135</v>
      </c>
      <c r="BI119" s="102">
        <f t="shared" si="991"/>
        <v>55.159752109246135</v>
      </c>
      <c r="BJ119" s="102">
        <f t="shared" si="992"/>
        <v>55.160118957762151</v>
      </c>
      <c r="BK119" s="102">
        <f t="shared" si="993"/>
        <v>55.15964938923856</v>
      </c>
      <c r="BL119" s="102">
        <f t="shared" si="994"/>
        <v>110.31863227765784</v>
      </c>
      <c r="BM119" s="102">
        <f t="shared" si="995"/>
        <v>0</v>
      </c>
      <c r="BN119" s="102">
        <f t="shared" si="996"/>
        <v>56.814140675364477</v>
      </c>
      <c r="BO119" s="102">
        <f t="shared" si="997"/>
        <v>56.814396427321576</v>
      </c>
      <c r="BP119" s="102">
        <f t="shared" si="998"/>
        <v>56.814375429417616</v>
      </c>
      <c r="BQ119" s="102">
        <f t="shared" si="999"/>
        <v>56.814351558739787</v>
      </c>
      <c r="BR119" s="102">
        <f t="shared" si="1000"/>
        <v>56.814271366639325</v>
      </c>
      <c r="BS119" s="102">
        <f t="shared" si="1001"/>
        <v>56.814247939467805</v>
      </c>
      <c r="BT119" s="102">
        <f t="shared" si="1002"/>
        <v>56.814297232825091</v>
      </c>
      <c r="BU119" s="102">
        <f t="shared" si="1003"/>
        <v>56.814297232825091</v>
      </c>
      <c r="BV119" s="102">
        <f t="shared" si="1004"/>
        <v>56.814319598176603</v>
      </c>
      <c r="BW119" s="102">
        <f t="shared" si="1005"/>
        <v>56.81430862258447</v>
      </c>
      <c r="BX119" s="102">
        <f t="shared" si="1006"/>
        <v>113.62859815750232</v>
      </c>
      <c r="BY119" s="8"/>
      <c r="BZ119" s="72">
        <f t="shared" si="936"/>
        <v>47.39</v>
      </c>
      <c r="CA119" s="72">
        <f t="shared" si="937"/>
        <v>367.81</v>
      </c>
      <c r="CB119" s="97"/>
      <c r="CC119" s="72">
        <f t="shared" si="950"/>
        <v>0</v>
      </c>
      <c r="CD119" s="72">
        <f t="shared" si="1007"/>
        <v>0</v>
      </c>
      <c r="CE119" s="72">
        <f t="shared" si="1007"/>
        <v>312.30999999999995</v>
      </c>
      <c r="CF119" s="72">
        <f t="shared" si="1007"/>
        <v>460.11529058381882</v>
      </c>
      <c r="CG119" s="72">
        <f t="shared" si="1007"/>
        <v>628.40647322987093</v>
      </c>
      <c r="CH119" s="72">
        <f t="shared" si="1007"/>
        <v>642.74523460171122</v>
      </c>
      <c r="CI119" s="72">
        <f t="shared" si="1007"/>
        <v>661.91641749862765</v>
      </c>
      <c r="CJ119" s="72">
        <f t="shared" si="1007"/>
        <v>681.77160424086412</v>
      </c>
      <c r="CL119" s="13"/>
      <c r="CM119" s="13"/>
    </row>
    <row r="120" spans="1:91" x14ac:dyDescent="0.3">
      <c r="A120" s="97" t="str">
        <f>'DCS Detail'!A120</f>
        <v xml:space="preserve">         274.1 WC - Admin Licensed</v>
      </c>
      <c r="B120" s="106" t="str">
        <f>IF('DCS Detail'!$B120="","",'DCS Detail'!$B120)</f>
        <v>Benefits</v>
      </c>
      <c r="C120" s="106"/>
      <c r="D120" s="106"/>
      <c r="E120" s="18">
        <v>20.21</v>
      </c>
      <c r="F120" s="18">
        <v>20.21</v>
      </c>
      <c r="G120" s="18">
        <v>20.21</v>
      </c>
      <c r="H120" s="18">
        <v>20.21</v>
      </c>
      <c r="I120" s="18">
        <v>20.21</v>
      </c>
      <c r="J120" s="18">
        <v>20.21</v>
      </c>
      <c r="K120" s="18">
        <v>20.21</v>
      </c>
      <c r="L120" s="18">
        <v>20.20999999999998</v>
      </c>
      <c r="M120" s="18">
        <v>20.21</v>
      </c>
      <c r="N120" s="18">
        <v>20.21</v>
      </c>
      <c r="O120" s="18">
        <v>20.21</v>
      </c>
      <c r="P120" s="18">
        <v>40.42</v>
      </c>
      <c r="Q120" s="18">
        <v>20.21</v>
      </c>
      <c r="R120" s="18">
        <v>20.21</v>
      </c>
      <c r="S120" s="18">
        <v>20.21</v>
      </c>
      <c r="T120" s="18">
        <v>35.28</v>
      </c>
      <c r="U120" s="18">
        <v>20.21</v>
      </c>
      <c r="V120" s="18">
        <v>20.21</v>
      </c>
      <c r="W120" s="18">
        <v>20.21</v>
      </c>
      <c r="X120" s="18">
        <v>20.21</v>
      </c>
      <c r="Y120" s="18">
        <v>20.21</v>
      </c>
      <c r="Z120" s="18">
        <v>20.21</v>
      </c>
      <c r="AA120" s="146">
        <v>20.21</v>
      </c>
      <c r="AB120" s="102">
        <f t="shared" si="980"/>
        <v>40.295088897129787</v>
      </c>
      <c r="AC120" s="102">
        <f t="shared" si="980"/>
        <v>0</v>
      </c>
      <c r="AD120" s="102">
        <f t="shared" si="980"/>
        <v>20.139916615106056</v>
      </c>
      <c r="AE120" s="102">
        <f t="shared" si="980"/>
        <v>20.119774178476149</v>
      </c>
      <c r="AF120" s="102">
        <f t="shared" si="980"/>
        <v>20.096784905118348</v>
      </c>
      <c r="AG120" s="102">
        <f t="shared" si="980"/>
        <v>20.070548074301691</v>
      </c>
      <c r="AH120" s="102">
        <f t="shared" si="980"/>
        <v>20.040606790137574</v>
      </c>
      <c r="AI120" s="102">
        <f t="shared" si="980"/>
        <v>20.108959922895657</v>
      </c>
      <c r="AJ120" s="102">
        <f t="shared" si="980"/>
        <v>20.096098414339249</v>
      </c>
      <c r="AK120" s="102">
        <f t="shared" si="980"/>
        <v>20.096098414339249</v>
      </c>
      <c r="AL120" s="102">
        <f t="shared" si="981"/>
        <v>20.089838671372561</v>
      </c>
      <c r="AM120" s="102">
        <f t="shared" si="981"/>
        <v>20.085562170357761</v>
      </c>
      <c r="AN120" s="102">
        <f t="shared" si="981"/>
        <v>40.167917845069645</v>
      </c>
      <c r="AO120" s="102">
        <f t="shared" si="981"/>
        <v>0</v>
      </c>
      <c r="AP120" s="102">
        <f t="shared" si="981"/>
        <v>20.694829957360767</v>
      </c>
      <c r="AQ120" s="102">
        <f t="shared" si="981"/>
        <v>20.692355026603757</v>
      </c>
      <c r="AR120" s="102">
        <f t="shared" si="981"/>
        <v>20.691416451509468</v>
      </c>
      <c r="AS120" s="102">
        <f t="shared" si="981"/>
        <v>20.69034946769283</v>
      </c>
      <c r="AT120" s="102">
        <f t="shared" si="981"/>
        <v>20.690042675021356</v>
      </c>
      <c r="AU120" s="102">
        <f t="shared" si="981"/>
        <v>20.690310316916857</v>
      </c>
      <c r="AV120" s="102">
        <f t="shared" si="982"/>
        <v>20.691550649184173</v>
      </c>
      <c r="AW120" s="102">
        <f t="shared" si="982"/>
        <v>20.691550649184173</v>
      </c>
      <c r="AX120" s="102">
        <f t="shared" si="982"/>
        <v>20.691082176587511</v>
      </c>
      <c r="AY120" s="102">
        <f t="shared" si="982"/>
        <v>20.690900340870908</v>
      </c>
      <c r="AZ120" s="102">
        <f t="shared" si="982"/>
        <v>41.381653221559375</v>
      </c>
      <c r="BA120" s="102">
        <f t="shared" si="983"/>
        <v>0</v>
      </c>
      <c r="BB120" s="102">
        <f t="shared" si="984"/>
        <v>21.311736967847438</v>
      </c>
      <c r="BC120" s="102">
        <f t="shared" si="985"/>
        <v>21.311839007879176</v>
      </c>
      <c r="BD120" s="102">
        <f t="shared" si="986"/>
        <v>21.31177411258448</v>
      </c>
      <c r="BE120" s="102">
        <f t="shared" si="987"/>
        <v>21.311700338808002</v>
      </c>
      <c r="BF120" s="102">
        <f t="shared" si="988"/>
        <v>21.31168428500504</v>
      </c>
      <c r="BG120" s="102">
        <f t="shared" si="989"/>
        <v>21.311692247789377</v>
      </c>
      <c r="BH120" s="102">
        <f t="shared" si="990"/>
        <v>21.311737826652255</v>
      </c>
      <c r="BI120" s="102">
        <f t="shared" si="991"/>
        <v>21.311737826652259</v>
      </c>
      <c r="BJ120" s="102">
        <f t="shared" si="992"/>
        <v>21.311737949338657</v>
      </c>
      <c r="BK120" s="102">
        <f t="shared" si="993"/>
        <v>21.311723512404299</v>
      </c>
      <c r="BL120" s="102">
        <f t="shared" si="994"/>
        <v>42.623432567614259</v>
      </c>
      <c r="BM120" s="102">
        <f t="shared" si="995"/>
        <v>0</v>
      </c>
      <c r="BN120" s="102">
        <f t="shared" si="996"/>
        <v>21.951074826909231</v>
      </c>
      <c r="BO120" s="102">
        <f t="shared" si="997"/>
        <v>21.951079352042399</v>
      </c>
      <c r="BP120" s="102">
        <f t="shared" si="998"/>
        <v>21.951077849293192</v>
      </c>
      <c r="BQ120" s="102">
        <f t="shared" si="999"/>
        <v>21.951076140949233</v>
      </c>
      <c r="BR120" s="102">
        <f t="shared" si="1000"/>
        <v>21.951074182119235</v>
      </c>
      <c r="BS120" s="102">
        <f t="shared" si="1001"/>
        <v>21.951074037272079</v>
      </c>
      <c r="BT120" s="102">
        <f t="shared" si="1002"/>
        <v>21.951076064764226</v>
      </c>
      <c r="BU120" s="102">
        <f t="shared" si="1003"/>
        <v>21.951076064764226</v>
      </c>
      <c r="BV120" s="102">
        <f t="shared" si="1004"/>
        <v>21.951076241600656</v>
      </c>
      <c r="BW120" s="102">
        <f t="shared" si="1005"/>
        <v>21.951075797251832</v>
      </c>
      <c r="BX120" s="102">
        <f t="shared" si="1006"/>
        <v>43.90215100820614</v>
      </c>
      <c r="BY120" s="8"/>
      <c r="BZ120" s="72">
        <f t="shared" si="936"/>
        <v>20.21</v>
      </c>
      <c r="CA120" s="72">
        <f t="shared" si="937"/>
        <v>237.38000000000005</v>
      </c>
      <c r="CB120" s="97"/>
      <c r="CC120" s="72">
        <f t="shared" si="950"/>
        <v>0</v>
      </c>
      <c r="CD120" s="72">
        <f t="shared" si="1007"/>
        <v>0</v>
      </c>
      <c r="CE120" s="72">
        <f t="shared" si="1007"/>
        <v>262.73</v>
      </c>
      <c r="CF120" s="72">
        <f t="shared" si="1007"/>
        <v>277.67508889712985</v>
      </c>
      <c r="CG120" s="72">
        <f t="shared" si="1007"/>
        <v>241.11210600151398</v>
      </c>
      <c r="CH120" s="72">
        <f t="shared" si="1007"/>
        <v>248.29604093249117</v>
      </c>
      <c r="CI120" s="72">
        <f t="shared" si="1007"/>
        <v>255.74079664257528</v>
      </c>
      <c r="CJ120" s="72">
        <f t="shared" si="1007"/>
        <v>263.41291156517246</v>
      </c>
      <c r="CL120" s="13"/>
      <c r="CM120" s="13"/>
    </row>
    <row r="121" spans="1:91" x14ac:dyDescent="0.3">
      <c r="A121" s="97" t="str">
        <f>'DCS Detail'!A121</f>
        <v xml:space="preserve">         310.1 Official/Administrative Service</v>
      </c>
      <c r="B121" s="106" t="str">
        <f>IF('DCS Detail'!$B121="","",'DCS Detail'!$B121)</f>
        <v>Prof. Serv.</v>
      </c>
      <c r="C121" s="106"/>
      <c r="D121" s="106"/>
      <c r="E121" s="18">
        <v>575.63</v>
      </c>
      <c r="F121" s="18">
        <v>51.92</v>
      </c>
      <c r="G121" s="18">
        <v>0</v>
      </c>
      <c r="H121" s="18">
        <v>0</v>
      </c>
      <c r="I121" s="18">
        <v>0</v>
      </c>
      <c r="J121" s="18">
        <v>0</v>
      </c>
      <c r="K121" s="18">
        <v>0</v>
      </c>
      <c r="L121" s="18">
        <v>38.940000000000055</v>
      </c>
      <c r="M121" s="18">
        <v>0</v>
      </c>
      <c r="N121" s="18">
        <v>0</v>
      </c>
      <c r="O121" s="18">
        <v>0</v>
      </c>
      <c r="P121" s="18">
        <v>0</v>
      </c>
      <c r="Q121" s="18">
        <v>0</v>
      </c>
      <c r="R121" s="18">
        <v>0</v>
      </c>
      <c r="S121" s="18">
        <v>0</v>
      </c>
      <c r="T121" s="18">
        <v>0</v>
      </c>
      <c r="U121" s="18">
        <v>0</v>
      </c>
      <c r="V121" s="18">
        <v>0</v>
      </c>
      <c r="W121" s="18">
        <v>0</v>
      </c>
      <c r="X121" s="18">
        <v>0</v>
      </c>
      <c r="Y121" s="18">
        <v>0</v>
      </c>
      <c r="Z121" s="18">
        <v>0</v>
      </c>
      <c r="AA121" s="146">
        <v>0</v>
      </c>
      <c r="AB121" s="120">
        <f t="shared" ref="AB121:AI122" si="1008">P121*(1+AB$263)</f>
        <v>0</v>
      </c>
      <c r="AC121" s="120">
        <f t="shared" si="1008"/>
        <v>0</v>
      </c>
      <c r="AD121" s="120">
        <f t="shared" si="1008"/>
        <v>0</v>
      </c>
      <c r="AE121" s="120">
        <f t="shared" si="1008"/>
        <v>0</v>
      </c>
      <c r="AF121" s="120">
        <f t="shared" si="1008"/>
        <v>0</v>
      </c>
      <c r="AG121" s="120">
        <f t="shared" si="1008"/>
        <v>0</v>
      </c>
      <c r="AH121" s="120">
        <f t="shared" si="1008"/>
        <v>0</v>
      </c>
      <c r="AI121" s="120">
        <f t="shared" si="1008"/>
        <v>0</v>
      </c>
      <c r="AJ121" s="120">
        <f t="shared" ref="AJ121:AS122" si="1009">X121*(1+AJ$263)</f>
        <v>0</v>
      </c>
      <c r="AK121" s="120">
        <f t="shared" si="1009"/>
        <v>0</v>
      </c>
      <c r="AL121" s="120">
        <f t="shared" si="1009"/>
        <v>0</v>
      </c>
      <c r="AM121" s="120">
        <f t="shared" si="1009"/>
        <v>0</v>
      </c>
      <c r="AN121" s="120">
        <f t="shared" si="1009"/>
        <v>0</v>
      </c>
      <c r="AO121" s="120">
        <f t="shared" si="1009"/>
        <v>0</v>
      </c>
      <c r="AP121" s="120">
        <f t="shared" si="1009"/>
        <v>0</v>
      </c>
      <c r="AQ121" s="120">
        <f t="shared" si="1009"/>
        <v>0</v>
      </c>
      <c r="AR121" s="120">
        <f t="shared" si="1009"/>
        <v>0</v>
      </c>
      <c r="AS121" s="120">
        <f t="shared" si="1009"/>
        <v>0</v>
      </c>
      <c r="AT121" s="120">
        <f t="shared" ref="AT121:BC122" si="1010">AH121*(1+AT$263)</f>
        <v>0</v>
      </c>
      <c r="AU121" s="120">
        <f t="shared" si="1010"/>
        <v>0</v>
      </c>
      <c r="AV121" s="120">
        <f t="shared" si="1010"/>
        <v>0</v>
      </c>
      <c r="AW121" s="120">
        <f t="shared" si="1010"/>
        <v>0</v>
      </c>
      <c r="AX121" s="120">
        <f t="shared" si="1010"/>
        <v>0</v>
      </c>
      <c r="AY121" s="120">
        <f t="shared" si="1010"/>
        <v>0</v>
      </c>
      <c r="AZ121" s="120">
        <f t="shared" si="1010"/>
        <v>0</v>
      </c>
      <c r="BA121" s="120">
        <f t="shared" si="1010"/>
        <v>0</v>
      </c>
      <c r="BB121" s="120">
        <f t="shared" si="1010"/>
        <v>0</v>
      </c>
      <c r="BC121" s="120">
        <f t="shared" si="1010"/>
        <v>0</v>
      </c>
      <c r="BD121" s="120">
        <f t="shared" ref="BD121:BM122" si="1011">AR121*(1+BD$263)</f>
        <v>0</v>
      </c>
      <c r="BE121" s="120">
        <f t="shared" si="1011"/>
        <v>0</v>
      </c>
      <c r="BF121" s="120">
        <f t="shared" si="1011"/>
        <v>0</v>
      </c>
      <c r="BG121" s="120">
        <f t="shared" si="1011"/>
        <v>0</v>
      </c>
      <c r="BH121" s="120">
        <f t="shared" si="1011"/>
        <v>0</v>
      </c>
      <c r="BI121" s="120">
        <f t="shared" si="1011"/>
        <v>0</v>
      </c>
      <c r="BJ121" s="120">
        <f t="shared" si="1011"/>
        <v>0</v>
      </c>
      <c r="BK121" s="120">
        <f t="shared" si="1011"/>
        <v>0</v>
      </c>
      <c r="BL121" s="120">
        <f t="shared" si="1011"/>
        <v>0</v>
      </c>
      <c r="BM121" s="120">
        <f t="shared" si="1011"/>
        <v>0</v>
      </c>
      <c r="BN121" s="120">
        <f t="shared" ref="BN121:BW122" si="1012">BB121*(1+BN$263)</f>
        <v>0</v>
      </c>
      <c r="BO121" s="120">
        <f t="shared" si="1012"/>
        <v>0</v>
      </c>
      <c r="BP121" s="120">
        <f t="shared" si="1012"/>
        <v>0</v>
      </c>
      <c r="BQ121" s="120">
        <f t="shared" si="1012"/>
        <v>0</v>
      </c>
      <c r="BR121" s="120">
        <f t="shared" si="1012"/>
        <v>0</v>
      </c>
      <c r="BS121" s="120">
        <f t="shared" si="1012"/>
        <v>0</v>
      </c>
      <c r="BT121" s="120">
        <f t="shared" si="1012"/>
        <v>0</v>
      </c>
      <c r="BU121" s="120">
        <f t="shared" si="1012"/>
        <v>0</v>
      </c>
      <c r="BV121" s="120">
        <f t="shared" si="1012"/>
        <v>0</v>
      </c>
      <c r="BW121" s="120">
        <f t="shared" si="1012"/>
        <v>0</v>
      </c>
      <c r="BX121" s="120">
        <f t="shared" ref="BX121:BX122" si="1013">BL121*(1+BX$263)</f>
        <v>0</v>
      </c>
      <c r="BY121" s="8"/>
      <c r="BZ121" s="72">
        <f t="shared" si="936"/>
        <v>0</v>
      </c>
      <c r="CA121" s="72">
        <f t="shared" si="937"/>
        <v>0</v>
      </c>
      <c r="CB121" s="97"/>
      <c r="CC121" s="72">
        <f t="shared" si="950"/>
        <v>0</v>
      </c>
      <c r="CD121" s="72">
        <f t="shared" si="1007"/>
        <v>0</v>
      </c>
      <c r="CE121" s="72">
        <f t="shared" si="1007"/>
        <v>666.49</v>
      </c>
      <c r="CF121" s="72">
        <f t="shared" si="1007"/>
        <v>0</v>
      </c>
      <c r="CG121" s="72">
        <f t="shared" si="1007"/>
        <v>0</v>
      </c>
      <c r="CH121" s="72">
        <f t="shared" si="1007"/>
        <v>0</v>
      </c>
      <c r="CI121" s="72">
        <f t="shared" si="1007"/>
        <v>0</v>
      </c>
      <c r="CJ121" s="72">
        <f t="shared" si="1007"/>
        <v>0</v>
      </c>
      <c r="CL121" s="13"/>
      <c r="CM121" s="13"/>
    </row>
    <row r="122" spans="1:91" x14ac:dyDescent="0.3">
      <c r="A122" s="97" t="str">
        <f>'DCS Detail'!A122</f>
        <v xml:space="preserve">         334.1 Prof. Development</v>
      </c>
      <c r="B122" s="106" t="str">
        <f>IF('DCS Detail'!$B122="","",'DCS Detail'!$B122)</f>
        <v>Benefits</v>
      </c>
      <c r="C122" s="139"/>
      <c r="D122" s="139"/>
      <c r="E122" s="121">
        <v>0</v>
      </c>
      <c r="F122" s="121">
        <v>34.840000000000003</v>
      </c>
      <c r="G122" s="121">
        <v>398.64</v>
      </c>
      <c r="H122" s="121">
        <v>0</v>
      </c>
      <c r="I122" s="121">
        <v>0</v>
      </c>
      <c r="J122" s="121">
        <v>0</v>
      </c>
      <c r="K122" s="121">
        <v>0</v>
      </c>
      <c r="L122" s="121">
        <v>1100</v>
      </c>
      <c r="M122" s="121">
        <v>0</v>
      </c>
      <c r="N122" s="121">
        <v>0</v>
      </c>
      <c r="O122" s="121">
        <v>42.62</v>
      </c>
      <c r="P122" s="121">
        <v>0</v>
      </c>
      <c r="Q122" s="121">
        <v>91.26</v>
      </c>
      <c r="R122" s="121">
        <v>563.88</v>
      </c>
      <c r="S122" s="121">
        <v>132</v>
      </c>
      <c r="T122" s="121">
        <v>0</v>
      </c>
      <c r="U122" s="121">
        <v>273.77</v>
      </c>
      <c r="V122" s="121">
        <v>88.25</v>
      </c>
      <c r="W122" s="121">
        <v>0</v>
      </c>
      <c r="X122" s="121">
        <v>34.630000000000003</v>
      </c>
      <c r="Y122" s="121">
        <v>0</v>
      </c>
      <c r="Z122" s="121">
        <v>0</v>
      </c>
      <c r="AA122" s="121">
        <v>107.16</v>
      </c>
      <c r="AB122" s="144">
        <f t="shared" si="1008"/>
        <v>0</v>
      </c>
      <c r="AC122" s="144">
        <f t="shared" si="1008"/>
        <v>93.997800000000012</v>
      </c>
      <c r="AD122" s="144">
        <f t="shared" si="1008"/>
        <v>580.79640000000006</v>
      </c>
      <c r="AE122" s="144">
        <f t="shared" si="1008"/>
        <v>135.96</v>
      </c>
      <c r="AF122" s="144">
        <f t="shared" si="1008"/>
        <v>0</v>
      </c>
      <c r="AG122" s="144">
        <f t="shared" si="1008"/>
        <v>281.98309999999998</v>
      </c>
      <c r="AH122" s="144">
        <f t="shared" si="1008"/>
        <v>90.897500000000008</v>
      </c>
      <c r="AI122" s="144">
        <f t="shared" si="1008"/>
        <v>0</v>
      </c>
      <c r="AJ122" s="144">
        <f t="shared" si="1009"/>
        <v>35.668900000000001</v>
      </c>
      <c r="AK122" s="144">
        <f t="shared" si="1009"/>
        <v>0</v>
      </c>
      <c r="AL122" s="144">
        <f t="shared" si="1009"/>
        <v>0</v>
      </c>
      <c r="AM122" s="144">
        <f t="shared" si="1009"/>
        <v>110.37479999999999</v>
      </c>
      <c r="AN122" s="144">
        <f t="shared" si="1009"/>
        <v>0</v>
      </c>
      <c r="AO122" s="144">
        <f t="shared" si="1009"/>
        <v>96.817734000000016</v>
      </c>
      <c r="AP122" s="144">
        <f t="shared" si="1009"/>
        <v>598.22029200000009</v>
      </c>
      <c r="AQ122" s="144">
        <f t="shared" si="1009"/>
        <v>140.03880000000001</v>
      </c>
      <c r="AR122" s="144">
        <f t="shared" si="1009"/>
        <v>0</v>
      </c>
      <c r="AS122" s="144">
        <f t="shared" si="1009"/>
        <v>290.44259299999999</v>
      </c>
      <c r="AT122" s="144">
        <f t="shared" si="1010"/>
        <v>93.624425000000016</v>
      </c>
      <c r="AU122" s="144">
        <f t="shared" si="1010"/>
        <v>0</v>
      </c>
      <c r="AV122" s="144">
        <f t="shared" si="1010"/>
        <v>36.738967000000002</v>
      </c>
      <c r="AW122" s="144">
        <f t="shared" si="1010"/>
        <v>0</v>
      </c>
      <c r="AX122" s="144">
        <f t="shared" si="1010"/>
        <v>0</v>
      </c>
      <c r="AY122" s="144">
        <f t="shared" si="1010"/>
        <v>113.686044</v>
      </c>
      <c r="AZ122" s="144">
        <f t="shared" si="1010"/>
        <v>0</v>
      </c>
      <c r="BA122" s="144">
        <f t="shared" si="1010"/>
        <v>99.722266020000021</v>
      </c>
      <c r="BB122" s="144">
        <f t="shared" si="1010"/>
        <v>616.16690076000009</v>
      </c>
      <c r="BC122" s="144">
        <f t="shared" si="1010"/>
        <v>144.23996400000001</v>
      </c>
      <c r="BD122" s="144">
        <f t="shared" si="1011"/>
        <v>0</v>
      </c>
      <c r="BE122" s="144">
        <f t="shared" si="1011"/>
        <v>299.15587078999999</v>
      </c>
      <c r="BF122" s="144">
        <f t="shared" si="1011"/>
        <v>96.433157750000021</v>
      </c>
      <c r="BG122" s="144">
        <f t="shared" si="1011"/>
        <v>0</v>
      </c>
      <c r="BH122" s="144">
        <f t="shared" si="1011"/>
        <v>37.841136010000007</v>
      </c>
      <c r="BI122" s="144">
        <f t="shared" si="1011"/>
        <v>0</v>
      </c>
      <c r="BJ122" s="144">
        <f t="shared" si="1011"/>
        <v>0</v>
      </c>
      <c r="BK122" s="144">
        <f t="shared" si="1011"/>
        <v>117.09662532</v>
      </c>
      <c r="BL122" s="144">
        <f t="shared" si="1011"/>
        <v>0</v>
      </c>
      <c r="BM122" s="144">
        <f t="shared" si="1011"/>
        <v>102.71393400060002</v>
      </c>
      <c r="BN122" s="144">
        <f t="shared" si="1012"/>
        <v>634.65190778280009</v>
      </c>
      <c r="BO122" s="144">
        <f t="shared" si="1012"/>
        <v>148.56716292000002</v>
      </c>
      <c r="BP122" s="144">
        <f t="shared" si="1012"/>
        <v>0</v>
      </c>
      <c r="BQ122" s="144">
        <f t="shared" si="1012"/>
        <v>308.13054691370002</v>
      </c>
      <c r="BR122" s="144">
        <f t="shared" si="1012"/>
        <v>99.326152482500021</v>
      </c>
      <c r="BS122" s="144">
        <f t="shared" si="1012"/>
        <v>0</v>
      </c>
      <c r="BT122" s="144">
        <f t="shared" si="1012"/>
        <v>38.976370090300009</v>
      </c>
      <c r="BU122" s="144">
        <f t="shared" si="1012"/>
        <v>0</v>
      </c>
      <c r="BV122" s="144">
        <f t="shared" si="1012"/>
        <v>0</v>
      </c>
      <c r="BW122" s="144">
        <f t="shared" si="1012"/>
        <v>120.60952407960001</v>
      </c>
      <c r="BX122" s="144">
        <f t="shared" si="1013"/>
        <v>0</v>
      </c>
      <c r="BY122" s="8"/>
      <c r="BZ122" s="73">
        <f t="shared" ref="BZ122:BZ129" si="1014">SUMIF($B$252:$BY$252,1,$B122:$BY122)</f>
        <v>107.16</v>
      </c>
      <c r="CA122" s="73">
        <f t="shared" ref="CA122:CA129" si="1015">SUMIF($B$253:$BY$253,1,$B122:$BY122)</f>
        <v>1290.95</v>
      </c>
      <c r="CB122" s="97"/>
      <c r="CC122" s="73">
        <f t="shared" si="950"/>
        <v>0</v>
      </c>
      <c r="CD122" s="73">
        <f t="shared" si="1007"/>
        <v>0</v>
      </c>
      <c r="CE122" s="73">
        <f t="shared" si="1007"/>
        <v>1576.1</v>
      </c>
      <c r="CF122" s="73">
        <f t="shared" si="1007"/>
        <v>1290.95</v>
      </c>
      <c r="CG122" s="73">
        <f t="shared" si="1007"/>
        <v>1329.6785</v>
      </c>
      <c r="CH122" s="73">
        <f t="shared" si="1007"/>
        <v>1369.5688550000002</v>
      </c>
      <c r="CI122" s="73">
        <f t="shared" si="1007"/>
        <v>1410.6559206499999</v>
      </c>
      <c r="CJ122" s="73">
        <f t="shared" si="1007"/>
        <v>1452.9755982695001</v>
      </c>
      <c r="CL122" s="13"/>
      <c r="CM122" s="13"/>
    </row>
    <row r="123" spans="1:91" x14ac:dyDescent="0.3">
      <c r="A123" s="97" t="str">
        <f>'DCS Detail'!A123</f>
        <v xml:space="preserve">      Total 2400 School Administration</v>
      </c>
      <c r="B123" s="106" t="str">
        <f>IF('DCS Detail'!$B123="","",'DCS Detail'!$B123)</f>
        <v/>
      </c>
      <c r="C123" s="36">
        <f>SUM(C114:C122)</f>
        <v>0</v>
      </c>
      <c r="D123" s="36">
        <f t="shared" ref="D123:AZ123" si="1016">SUM(D114:D122)</f>
        <v>0</v>
      </c>
      <c r="E123" s="36">
        <f t="shared" si="1016"/>
        <v>-3664.6499999999996</v>
      </c>
      <c r="F123" s="36">
        <f t="shared" si="1016"/>
        <v>3878.11</v>
      </c>
      <c r="G123" s="36">
        <f t="shared" si="1016"/>
        <v>4606.97</v>
      </c>
      <c r="H123" s="36">
        <f t="shared" si="1016"/>
        <v>4464.18</v>
      </c>
      <c r="I123" s="36">
        <f t="shared" si="1016"/>
        <v>4464.18</v>
      </c>
      <c r="J123" s="36">
        <f t="shared" si="1016"/>
        <v>4464.18</v>
      </c>
      <c r="K123" s="36">
        <f t="shared" si="1016"/>
        <v>4539.1100000000006</v>
      </c>
      <c r="L123" s="36">
        <f t="shared" si="1016"/>
        <v>5665.7899999999991</v>
      </c>
      <c r="M123" s="36">
        <f t="shared" si="1016"/>
        <v>4512.87</v>
      </c>
      <c r="N123" s="36">
        <f t="shared" si="1016"/>
        <v>4510.8900000000003</v>
      </c>
      <c r="O123" s="36">
        <f t="shared" si="1016"/>
        <v>4525.3999999999996</v>
      </c>
      <c r="P123" s="36">
        <f t="shared" si="1016"/>
        <v>11332.94</v>
      </c>
      <c r="Q123" s="36">
        <f t="shared" si="1016"/>
        <v>111.47</v>
      </c>
      <c r="R123" s="36">
        <f t="shared" ref="R123:S123" si="1017">SUM(R114:R122)</f>
        <v>5580.13</v>
      </c>
      <c r="S123" s="36">
        <f t="shared" si="1017"/>
        <v>5154.8</v>
      </c>
      <c r="T123" s="36">
        <f t="shared" ref="T123:U123" si="1018">SUM(T114:T122)</f>
        <v>4832.3999999999996</v>
      </c>
      <c r="U123" s="36">
        <f t="shared" si="1018"/>
        <v>5287.4500000000007</v>
      </c>
      <c r="V123" s="36">
        <f t="shared" ref="V123:W123" si="1019">SUM(V114:V122)</f>
        <v>5146.08</v>
      </c>
      <c r="W123" s="36">
        <f t="shared" si="1019"/>
        <v>5081.6400000000003</v>
      </c>
      <c r="X123" s="36">
        <f t="shared" si="1016"/>
        <v>5104.12</v>
      </c>
      <c r="Y123" s="36">
        <f t="shared" si="1016"/>
        <v>5066.32</v>
      </c>
      <c r="Z123" s="36">
        <f t="shared" si="1016"/>
        <v>5061.4800000000005</v>
      </c>
      <c r="AA123" s="36">
        <f t="shared" si="1016"/>
        <v>5310.0199999999995</v>
      </c>
      <c r="AB123" s="36">
        <f t="shared" si="1016"/>
        <v>10126.693886239655</v>
      </c>
      <c r="AC123" s="36">
        <f t="shared" si="1016"/>
        <v>93.997800000000012</v>
      </c>
      <c r="AD123" s="36">
        <f t="shared" si="1016"/>
        <v>5654.5623288689785</v>
      </c>
      <c r="AE123" s="36">
        <f t="shared" si="1016"/>
        <v>5206.0446020069012</v>
      </c>
      <c r="AF123" s="36">
        <f t="shared" si="1016"/>
        <v>5067.6124515777965</v>
      </c>
      <c r="AG123" s="36">
        <f t="shared" si="1016"/>
        <v>5347.2251777745114</v>
      </c>
      <c r="AH123" s="36">
        <f t="shared" si="1016"/>
        <v>5154.1227741727926</v>
      </c>
      <c r="AI123" s="36">
        <f t="shared" si="1016"/>
        <v>5066.6606029486611</v>
      </c>
      <c r="AJ123" s="36">
        <f t="shared" si="1016"/>
        <v>5103.4340562249408</v>
      </c>
      <c r="AK123" s="36">
        <f t="shared" si="1016"/>
        <v>5067.7651562249412</v>
      </c>
      <c r="AL123" s="36">
        <f t="shared" si="1016"/>
        <v>5066.9079029900786</v>
      </c>
      <c r="AM123" s="36">
        <f t="shared" si="1016"/>
        <v>5176.8288888448169</v>
      </c>
      <c r="AN123" s="36">
        <f t="shared" si="1016"/>
        <v>10132.577216908785</v>
      </c>
      <c r="AO123" s="36">
        <f t="shared" si="1016"/>
        <v>96.817734000000016</v>
      </c>
      <c r="AP123" s="36">
        <f t="shared" si="1016"/>
        <v>5817.102295980927</v>
      </c>
      <c r="AQ123" s="36">
        <f t="shared" si="1016"/>
        <v>5358.9523236030909</v>
      </c>
      <c r="AR123" s="36">
        <f t="shared" si="1016"/>
        <v>5218.7882279503137</v>
      </c>
      <c r="AS123" s="36">
        <f t="shared" si="1016"/>
        <v>5509.0883832970876</v>
      </c>
      <c r="AT123" s="36">
        <f t="shared" si="1016"/>
        <v>5312.2323852714289</v>
      </c>
      <c r="AU123" s="36">
        <f t="shared" si="1016"/>
        <v>5218.6303726855922</v>
      </c>
      <c r="AV123" s="36">
        <f t="shared" si="1016"/>
        <v>5255.4836134647394</v>
      </c>
      <c r="AW123" s="36">
        <f t="shared" si="1016"/>
        <v>5218.7446464647392</v>
      </c>
      <c r="AX123" s="36">
        <f t="shared" si="1016"/>
        <v>5218.7250239624273</v>
      </c>
      <c r="AY123" s="36">
        <f t="shared" si="1016"/>
        <v>5332.3841394423325</v>
      </c>
      <c r="AZ123" s="36">
        <f t="shared" si="1016"/>
        <v>10437.370438739528</v>
      </c>
      <c r="BA123" s="36">
        <f t="shared" ref="BA123:BX123" si="1020">SUM(BA114:BA122)</f>
        <v>99.722266020000021</v>
      </c>
      <c r="BB123" s="36">
        <f t="shared" si="1020"/>
        <v>5991.4298465417351</v>
      </c>
      <c r="BC123" s="36">
        <f t="shared" si="1020"/>
        <v>5519.5133880058556</v>
      </c>
      <c r="BD123" s="36">
        <f t="shared" si="1020"/>
        <v>5375.2686702023402</v>
      </c>
      <c r="BE123" s="36">
        <f t="shared" si="1020"/>
        <v>5674.4191368094989</v>
      </c>
      <c r="BF123" s="36">
        <f t="shared" si="1020"/>
        <v>5471.6931219911557</v>
      </c>
      <c r="BG123" s="36">
        <f t="shared" si="1020"/>
        <v>5375.2600937426323</v>
      </c>
      <c r="BH123" s="36">
        <f t="shared" si="1020"/>
        <v>5413.1058633422035</v>
      </c>
      <c r="BI123" s="36">
        <f t="shared" si="1020"/>
        <v>5375.2647273322036</v>
      </c>
      <c r="BJ123" s="36">
        <f t="shared" si="1020"/>
        <v>5375.2649818394129</v>
      </c>
      <c r="BK123" s="36">
        <f t="shared" si="1020"/>
        <v>5492.3604011356356</v>
      </c>
      <c r="BL123" s="36">
        <f t="shared" si="1020"/>
        <v>10750.526153235069</v>
      </c>
      <c r="BM123" s="36">
        <f t="shared" si="1020"/>
        <v>102.71393400060002</v>
      </c>
      <c r="BN123" s="36">
        <f t="shared" si="1020"/>
        <v>6171.1733067936675</v>
      </c>
      <c r="BO123" s="36">
        <f t="shared" si="1020"/>
        <v>5685.0890601465062</v>
      </c>
      <c r="BP123" s="36">
        <f t="shared" si="1020"/>
        <v>5536.521787888596</v>
      </c>
      <c r="BQ123" s="36">
        <f t="shared" si="1020"/>
        <v>5844.6522105055992</v>
      </c>
      <c r="BR123" s="36">
        <f t="shared" si="1020"/>
        <v>5635.8476380262691</v>
      </c>
      <c r="BS123" s="36">
        <f t="shared" si="1020"/>
        <v>5536.5214570757498</v>
      </c>
      <c r="BT123" s="36">
        <f t="shared" si="1020"/>
        <v>5575.4979851465314</v>
      </c>
      <c r="BU123" s="36">
        <f t="shared" si="1020"/>
        <v>5536.521615056231</v>
      </c>
      <c r="BV123" s="36">
        <f t="shared" si="1020"/>
        <v>5536.5216459198546</v>
      </c>
      <c r="BW123" s="36">
        <f t="shared" si="1020"/>
        <v>5657.1311340985048</v>
      </c>
      <c r="BX123" s="36">
        <f t="shared" si="1020"/>
        <v>11073.043169217895</v>
      </c>
      <c r="BY123" s="8"/>
      <c r="BZ123" s="72">
        <f t="shared" si="1014"/>
        <v>5310.0199999999995</v>
      </c>
      <c r="CA123" s="72">
        <f t="shared" si="1015"/>
        <v>51735.91</v>
      </c>
      <c r="CB123" s="97"/>
      <c r="CC123" s="72">
        <f t="shared" si="950"/>
        <v>0</v>
      </c>
      <c r="CD123" s="72">
        <f t="shared" si="1007"/>
        <v>0</v>
      </c>
      <c r="CE123" s="72">
        <f t="shared" si="1007"/>
        <v>53299.970000000008</v>
      </c>
      <c r="CF123" s="72">
        <f t="shared" si="1007"/>
        <v>61862.60388623966</v>
      </c>
      <c r="CG123" s="72">
        <f t="shared" si="1007"/>
        <v>62137.738958543196</v>
      </c>
      <c r="CH123" s="72">
        <f t="shared" si="1007"/>
        <v>63994.319584862198</v>
      </c>
      <c r="CI123" s="72">
        <f t="shared" si="1007"/>
        <v>65913.828650197756</v>
      </c>
      <c r="CJ123" s="72">
        <f t="shared" si="1007"/>
        <v>67891.234943876014</v>
      </c>
      <c r="CL123" s="13"/>
      <c r="CM123" s="13"/>
    </row>
    <row r="124" spans="1:91" x14ac:dyDescent="0.3">
      <c r="A124" s="97" t="str">
        <f>'DCS Detail'!A124</f>
        <v xml:space="preserve">      2600 Operation and Maintenance</v>
      </c>
      <c r="B124" s="106" t="str">
        <f>IF('DCS Detail'!$B124="","",'DCS Detail'!$B124)</f>
        <v>Utilities</v>
      </c>
      <c r="C124" s="106"/>
      <c r="D124" s="106"/>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46">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8"/>
      <c r="BZ124" s="72">
        <f t="shared" si="1014"/>
        <v>0</v>
      </c>
      <c r="CA124" s="72">
        <f t="shared" si="1015"/>
        <v>0</v>
      </c>
      <c r="CB124" s="97"/>
      <c r="CC124" s="72">
        <f t="shared" si="950"/>
        <v>0</v>
      </c>
      <c r="CD124" s="72">
        <f t="shared" si="1007"/>
        <v>0</v>
      </c>
      <c r="CE124" s="72">
        <f t="shared" si="1007"/>
        <v>0</v>
      </c>
      <c r="CF124" s="72">
        <f t="shared" si="1007"/>
        <v>0</v>
      </c>
      <c r="CG124" s="72">
        <f t="shared" si="1007"/>
        <v>0</v>
      </c>
      <c r="CH124" s="72">
        <f t="shared" si="1007"/>
        <v>0</v>
      </c>
      <c r="CI124" s="72">
        <f t="shared" si="1007"/>
        <v>0</v>
      </c>
      <c r="CJ124" s="72">
        <f t="shared" si="1007"/>
        <v>0</v>
      </c>
      <c r="CL124" s="13"/>
      <c r="CM124" s="13"/>
    </row>
    <row r="125" spans="1:91" x14ac:dyDescent="0.3">
      <c r="A125" s="97" t="str">
        <f>'DCS Detail'!A125</f>
        <v xml:space="preserve">         1940 Garden Expense</v>
      </c>
      <c r="B125" s="106" t="str">
        <f>IF('DCS Detail'!$B125="","",'DCS Detail'!$B125)</f>
        <v>Curriculum</v>
      </c>
      <c r="C125" s="106"/>
      <c r="D125" s="106"/>
      <c r="E125" s="18">
        <v>0</v>
      </c>
      <c r="F125" s="18">
        <v>0</v>
      </c>
      <c r="G125" s="18">
        <v>0</v>
      </c>
      <c r="H125" s="18">
        <v>0</v>
      </c>
      <c r="I125" s="18">
        <v>0</v>
      </c>
      <c r="J125" s="18">
        <v>0</v>
      </c>
      <c r="K125" s="18">
        <v>0</v>
      </c>
      <c r="L125" s="18">
        <v>0</v>
      </c>
      <c r="M125" s="18">
        <v>0</v>
      </c>
      <c r="N125" s="18">
        <v>0</v>
      </c>
      <c r="O125" s="18">
        <v>0</v>
      </c>
      <c r="P125" s="18">
        <v>0</v>
      </c>
      <c r="Q125" s="18">
        <v>0</v>
      </c>
      <c r="R125" s="18">
        <v>0</v>
      </c>
      <c r="S125" s="18">
        <v>0</v>
      </c>
      <c r="T125" s="18">
        <v>0</v>
      </c>
      <c r="U125" s="18">
        <v>1435</v>
      </c>
      <c r="V125" s="18">
        <v>0</v>
      </c>
      <c r="W125" s="18">
        <v>0</v>
      </c>
      <c r="X125" s="18">
        <v>45.32</v>
      </c>
      <c r="Y125" s="18">
        <v>0</v>
      </c>
      <c r="Z125" s="18">
        <v>0</v>
      </c>
      <c r="AA125" s="146">
        <v>0</v>
      </c>
      <c r="AB125" s="120">
        <f t="shared" ref="AB125:AI128" si="1021">P125*(1+AB$263)</f>
        <v>0</v>
      </c>
      <c r="AC125" s="120">
        <f t="shared" si="1021"/>
        <v>0</v>
      </c>
      <c r="AD125" s="120">
        <f t="shared" si="1021"/>
        <v>0</v>
      </c>
      <c r="AE125" s="120">
        <f t="shared" si="1021"/>
        <v>0</v>
      </c>
      <c r="AF125" s="120">
        <f t="shared" si="1021"/>
        <v>0</v>
      </c>
      <c r="AG125" s="120">
        <f t="shared" si="1021"/>
        <v>1478.05</v>
      </c>
      <c r="AH125" s="120">
        <f t="shared" si="1021"/>
        <v>0</v>
      </c>
      <c r="AI125" s="120">
        <f t="shared" si="1021"/>
        <v>0</v>
      </c>
      <c r="AJ125" s="120">
        <f t="shared" ref="AJ125:AS128" si="1022">X125*(1+AJ$263)</f>
        <v>46.679600000000001</v>
      </c>
      <c r="AK125" s="120">
        <f t="shared" si="1022"/>
        <v>0</v>
      </c>
      <c r="AL125" s="120">
        <f t="shared" si="1022"/>
        <v>0</v>
      </c>
      <c r="AM125" s="120">
        <f t="shared" si="1022"/>
        <v>0</v>
      </c>
      <c r="AN125" s="120">
        <f t="shared" si="1022"/>
        <v>0</v>
      </c>
      <c r="AO125" s="120">
        <f t="shared" si="1022"/>
        <v>0</v>
      </c>
      <c r="AP125" s="120">
        <f t="shared" si="1022"/>
        <v>0</v>
      </c>
      <c r="AQ125" s="120">
        <f t="shared" si="1022"/>
        <v>0</v>
      </c>
      <c r="AR125" s="120">
        <f t="shared" si="1022"/>
        <v>0</v>
      </c>
      <c r="AS125" s="120">
        <f t="shared" si="1022"/>
        <v>1522.3915</v>
      </c>
      <c r="AT125" s="120">
        <f t="shared" ref="AT125:BC128" si="1023">AH125*(1+AT$263)</f>
        <v>0</v>
      </c>
      <c r="AU125" s="120">
        <f t="shared" si="1023"/>
        <v>0</v>
      </c>
      <c r="AV125" s="120">
        <f t="shared" si="1023"/>
        <v>48.079988</v>
      </c>
      <c r="AW125" s="120">
        <f t="shared" si="1023"/>
        <v>0</v>
      </c>
      <c r="AX125" s="120">
        <f t="shared" si="1023"/>
        <v>0</v>
      </c>
      <c r="AY125" s="120">
        <f t="shared" si="1023"/>
        <v>0</v>
      </c>
      <c r="AZ125" s="120">
        <f t="shared" si="1023"/>
        <v>0</v>
      </c>
      <c r="BA125" s="120">
        <f t="shared" si="1023"/>
        <v>0</v>
      </c>
      <c r="BB125" s="120">
        <f t="shared" si="1023"/>
        <v>0</v>
      </c>
      <c r="BC125" s="120">
        <f t="shared" si="1023"/>
        <v>0</v>
      </c>
      <c r="BD125" s="120">
        <f t="shared" ref="BD125:BM128" si="1024">AR125*(1+BD$263)</f>
        <v>0</v>
      </c>
      <c r="BE125" s="120">
        <f t="shared" si="1024"/>
        <v>1568.0632450000001</v>
      </c>
      <c r="BF125" s="120">
        <f t="shared" si="1024"/>
        <v>0</v>
      </c>
      <c r="BG125" s="120">
        <f t="shared" si="1024"/>
        <v>0</v>
      </c>
      <c r="BH125" s="120">
        <f t="shared" si="1024"/>
        <v>49.522387639999998</v>
      </c>
      <c r="BI125" s="120">
        <f t="shared" si="1024"/>
        <v>0</v>
      </c>
      <c r="BJ125" s="120">
        <f t="shared" si="1024"/>
        <v>0</v>
      </c>
      <c r="BK125" s="120">
        <f t="shared" si="1024"/>
        <v>0</v>
      </c>
      <c r="BL125" s="120">
        <f t="shared" si="1024"/>
        <v>0</v>
      </c>
      <c r="BM125" s="120">
        <f t="shared" si="1024"/>
        <v>0</v>
      </c>
      <c r="BN125" s="120">
        <f t="shared" ref="BN125:BW128" si="1025">BB125*(1+BN$263)</f>
        <v>0</v>
      </c>
      <c r="BO125" s="120">
        <f t="shared" si="1025"/>
        <v>0</v>
      </c>
      <c r="BP125" s="120">
        <f t="shared" si="1025"/>
        <v>0</v>
      </c>
      <c r="BQ125" s="120">
        <f t="shared" si="1025"/>
        <v>1615.1051423500001</v>
      </c>
      <c r="BR125" s="120">
        <f t="shared" si="1025"/>
        <v>0</v>
      </c>
      <c r="BS125" s="120">
        <f t="shared" si="1025"/>
        <v>0</v>
      </c>
      <c r="BT125" s="120">
        <f t="shared" si="1025"/>
        <v>51.008059269199997</v>
      </c>
      <c r="BU125" s="120">
        <f t="shared" si="1025"/>
        <v>0</v>
      </c>
      <c r="BV125" s="120">
        <f t="shared" si="1025"/>
        <v>0</v>
      </c>
      <c r="BW125" s="120">
        <f t="shared" si="1025"/>
        <v>0</v>
      </c>
      <c r="BX125" s="120">
        <f t="shared" ref="BX125:BX128" si="1026">BL125*(1+BX$263)</f>
        <v>0</v>
      </c>
      <c r="BY125" s="8"/>
      <c r="BZ125" s="72">
        <f t="shared" si="1014"/>
        <v>0</v>
      </c>
      <c r="CA125" s="72">
        <f t="shared" si="1015"/>
        <v>1480.32</v>
      </c>
      <c r="CB125" s="97"/>
      <c r="CC125" s="72">
        <f t="shared" si="950"/>
        <v>0</v>
      </c>
      <c r="CD125" s="72">
        <f t="shared" si="1007"/>
        <v>0</v>
      </c>
      <c r="CE125" s="72">
        <f t="shared" si="1007"/>
        <v>0</v>
      </c>
      <c r="CF125" s="72">
        <f t="shared" si="1007"/>
        <v>1480.32</v>
      </c>
      <c r="CG125" s="72">
        <f t="shared" si="1007"/>
        <v>1524.7295999999999</v>
      </c>
      <c r="CH125" s="72">
        <f t="shared" si="1007"/>
        <v>1570.4714879999999</v>
      </c>
      <c r="CI125" s="72">
        <f t="shared" si="1007"/>
        <v>1617.5856326400001</v>
      </c>
      <c r="CJ125" s="72">
        <f t="shared" si="1007"/>
        <v>1666.1132016192</v>
      </c>
      <c r="CL125" s="13"/>
      <c r="CM125" s="13"/>
    </row>
    <row r="126" spans="1:91" x14ac:dyDescent="0.3">
      <c r="A126" s="97" t="str">
        <f>'DCS Detail'!A126</f>
        <v xml:space="preserve">         411.1 Water</v>
      </c>
      <c r="B126" s="106" t="str">
        <f>IF('DCS Detail'!$B126="","",'DCS Detail'!$B126)</f>
        <v>Utilities</v>
      </c>
      <c r="C126" s="106"/>
      <c r="D126" s="106"/>
      <c r="E126" s="18">
        <v>0</v>
      </c>
      <c r="F126" s="18">
        <v>0</v>
      </c>
      <c r="G126" s="18">
        <v>0</v>
      </c>
      <c r="H126" s="18">
        <v>0</v>
      </c>
      <c r="I126" s="18">
        <v>0</v>
      </c>
      <c r="J126" s="18">
        <v>0</v>
      </c>
      <c r="K126" s="18">
        <v>0</v>
      </c>
      <c r="L126" s="18">
        <v>0</v>
      </c>
      <c r="M126" s="18">
        <v>0</v>
      </c>
      <c r="N126" s="18">
        <v>0</v>
      </c>
      <c r="O126" s="18">
        <v>0</v>
      </c>
      <c r="P126" s="18">
        <v>0</v>
      </c>
      <c r="Q126" s="18">
        <v>0</v>
      </c>
      <c r="R126" s="18">
        <v>0</v>
      </c>
      <c r="S126" s="18">
        <v>0</v>
      </c>
      <c r="T126" s="18">
        <v>0</v>
      </c>
      <c r="U126" s="18">
        <v>0</v>
      </c>
      <c r="V126" s="18">
        <v>0</v>
      </c>
      <c r="W126" s="18">
        <v>0</v>
      </c>
      <c r="X126" s="18">
        <v>0</v>
      </c>
      <c r="Y126" s="18">
        <v>0</v>
      </c>
      <c r="Z126" s="18">
        <v>0</v>
      </c>
      <c r="AA126" s="146">
        <v>0</v>
      </c>
      <c r="AB126" s="120">
        <f t="shared" si="1021"/>
        <v>0</v>
      </c>
      <c r="AC126" s="120">
        <f t="shared" si="1021"/>
        <v>0</v>
      </c>
      <c r="AD126" s="120">
        <f t="shared" si="1021"/>
        <v>0</v>
      </c>
      <c r="AE126" s="120">
        <f t="shared" si="1021"/>
        <v>0</v>
      </c>
      <c r="AF126" s="120">
        <f t="shared" si="1021"/>
        <v>0</v>
      </c>
      <c r="AG126" s="120">
        <f t="shared" si="1021"/>
        <v>0</v>
      </c>
      <c r="AH126" s="120">
        <f t="shared" si="1021"/>
        <v>0</v>
      </c>
      <c r="AI126" s="120">
        <f t="shared" si="1021"/>
        <v>0</v>
      </c>
      <c r="AJ126" s="120">
        <f t="shared" si="1022"/>
        <v>0</v>
      </c>
      <c r="AK126" s="120">
        <f t="shared" si="1022"/>
        <v>0</v>
      </c>
      <c r="AL126" s="120">
        <f t="shared" si="1022"/>
        <v>0</v>
      </c>
      <c r="AM126" s="120">
        <f t="shared" si="1022"/>
        <v>0</v>
      </c>
      <c r="AN126" s="120">
        <f t="shared" si="1022"/>
        <v>0</v>
      </c>
      <c r="AO126" s="120">
        <f t="shared" si="1022"/>
        <v>0</v>
      </c>
      <c r="AP126" s="120">
        <f t="shared" si="1022"/>
        <v>0</v>
      </c>
      <c r="AQ126" s="120">
        <f t="shared" si="1022"/>
        <v>0</v>
      </c>
      <c r="AR126" s="120">
        <f t="shared" si="1022"/>
        <v>0</v>
      </c>
      <c r="AS126" s="120">
        <f t="shared" si="1022"/>
        <v>0</v>
      </c>
      <c r="AT126" s="120">
        <f t="shared" si="1023"/>
        <v>0</v>
      </c>
      <c r="AU126" s="120">
        <f t="shared" si="1023"/>
        <v>0</v>
      </c>
      <c r="AV126" s="120">
        <f t="shared" si="1023"/>
        <v>0</v>
      </c>
      <c r="AW126" s="120">
        <f t="shared" si="1023"/>
        <v>0</v>
      </c>
      <c r="AX126" s="120">
        <f t="shared" si="1023"/>
        <v>0</v>
      </c>
      <c r="AY126" s="120">
        <f t="shared" si="1023"/>
        <v>0</v>
      </c>
      <c r="AZ126" s="120">
        <f t="shared" si="1023"/>
        <v>0</v>
      </c>
      <c r="BA126" s="120">
        <f t="shared" si="1023"/>
        <v>0</v>
      </c>
      <c r="BB126" s="120">
        <f t="shared" si="1023"/>
        <v>0</v>
      </c>
      <c r="BC126" s="120">
        <f t="shared" si="1023"/>
        <v>0</v>
      </c>
      <c r="BD126" s="120">
        <f t="shared" si="1024"/>
        <v>0</v>
      </c>
      <c r="BE126" s="120">
        <f t="shared" si="1024"/>
        <v>0</v>
      </c>
      <c r="BF126" s="120">
        <f t="shared" si="1024"/>
        <v>0</v>
      </c>
      <c r="BG126" s="120">
        <f t="shared" si="1024"/>
        <v>0</v>
      </c>
      <c r="BH126" s="120">
        <f t="shared" si="1024"/>
        <v>0</v>
      </c>
      <c r="BI126" s="120">
        <f t="shared" si="1024"/>
        <v>0</v>
      </c>
      <c r="BJ126" s="120">
        <f t="shared" si="1024"/>
        <v>0</v>
      </c>
      <c r="BK126" s="120">
        <f t="shared" si="1024"/>
        <v>0</v>
      </c>
      <c r="BL126" s="120">
        <f t="shared" si="1024"/>
        <v>0</v>
      </c>
      <c r="BM126" s="120">
        <f t="shared" si="1024"/>
        <v>0</v>
      </c>
      <c r="BN126" s="120">
        <f t="shared" si="1025"/>
        <v>0</v>
      </c>
      <c r="BO126" s="120">
        <f t="shared" si="1025"/>
        <v>0</v>
      </c>
      <c r="BP126" s="120">
        <f t="shared" si="1025"/>
        <v>0</v>
      </c>
      <c r="BQ126" s="120">
        <f t="shared" si="1025"/>
        <v>0</v>
      </c>
      <c r="BR126" s="120">
        <f t="shared" si="1025"/>
        <v>0</v>
      </c>
      <c r="BS126" s="120">
        <f t="shared" si="1025"/>
        <v>0</v>
      </c>
      <c r="BT126" s="120">
        <f t="shared" si="1025"/>
        <v>0</v>
      </c>
      <c r="BU126" s="120">
        <f t="shared" si="1025"/>
        <v>0</v>
      </c>
      <c r="BV126" s="120">
        <f t="shared" si="1025"/>
        <v>0</v>
      </c>
      <c r="BW126" s="120">
        <f t="shared" si="1025"/>
        <v>0</v>
      </c>
      <c r="BX126" s="120">
        <f t="shared" si="1026"/>
        <v>0</v>
      </c>
      <c r="BY126" s="8"/>
      <c r="BZ126" s="72">
        <f t="shared" si="1014"/>
        <v>0</v>
      </c>
      <c r="CA126" s="72">
        <f t="shared" si="1015"/>
        <v>0</v>
      </c>
      <c r="CB126" s="97"/>
      <c r="CC126" s="72">
        <f t="shared" si="950"/>
        <v>0</v>
      </c>
      <c r="CD126" s="72">
        <f t="shared" si="1007"/>
        <v>0</v>
      </c>
      <c r="CE126" s="72">
        <f t="shared" si="1007"/>
        <v>0</v>
      </c>
      <c r="CF126" s="72">
        <f t="shared" si="1007"/>
        <v>0</v>
      </c>
      <c r="CG126" s="72">
        <f t="shared" si="1007"/>
        <v>0</v>
      </c>
      <c r="CH126" s="72">
        <f t="shared" si="1007"/>
        <v>0</v>
      </c>
      <c r="CI126" s="72">
        <f t="shared" si="1007"/>
        <v>0</v>
      </c>
      <c r="CJ126" s="72">
        <f t="shared" si="1007"/>
        <v>0</v>
      </c>
      <c r="CL126" s="13"/>
      <c r="CM126" s="13"/>
    </row>
    <row r="127" spans="1:91" x14ac:dyDescent="0.3">
      <c r="A127" s="97" t="str">
        <f>'DCS Detail'!A127</f>
        <v xml:space="preserve">         411.2 Sewer</v>
      </c>
      <c r="B127" s="106" t="str">
        <f>IF('DCS Detail'!$B127="","",'DCS Detail'!$B127)</f>
        <v>Utilities</v>
      </c>
      <c r="C127" s="106"/>
      <c r="D127" s="106"/>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c r="U127" s="18">
        <v>0</v>
      </c>
      <c r="V127" s="18">
        <v>0</v>
      </c>
      <c r="W127" s="18">
        <v>0</v>
      </c>
      <c r="X127" s="18">
        <v>0</v>
      </c>
      <c r="Y127" s="18">
        <v>0</v>
      </c>
      <c r="Z127" s="18">
        <v>0</v>
      </c>
      <c r="AA127" s="146">
        <v>0</v>
      </c>
      <c r="AB127" s="120">
        <f t="shared" si="1021"/>
        <v>0</v>
      </c>
      <c r="AC127" s="120">
        <f t="shared" si="1021"/>
        <v>0</v>
      </c>
      <c r="AD127" s="120">
        <f t="shared" si="1021"/>
        <v>0</v>
      </c>
      <c r="AE127" s="120">
        <f t="shared" si="1021"/>
        <v>0</v>
      </c>
      <c r="AF127" s="120">
        <f t="shared" si="1021"/>
        <v>0</v>
      </c>
      <c r="AG127" s="120">
        <f t="shared" si="1021"/>
        <v>0</v>
      </c>
      <c r="AH127" s="120">
        <f t="shared" si="1021"/>
        <v>0</v>
      </c>
      <c r="AI127" s="120">
        <f t="shared" si="1021"/>
        <v>0</v>
      </c>
      <c r="AJ127" s="120">
        <f t="shared" si="1022"/>
        <v>0</v>
      </c>
      <c r="AK127" s="120">
        <f t="shared" si="1022"/>
        <v>0</v>
      </c>
      <c r="AL127" s="120">
        <f t="shared" si="1022"/>
        <v>0</v>
      </c>
      <c r="AM127" s="120">
        <f t="shared" si="1022"/>
        <v>0</v>
      </c>
      <c r="AN127" s="120">
        <f t="shared" si="1022"/>
        <v>0</v>
      </c>
      <c r="AO127" s="120">
        <f t="shared" si="1022"/>
        <v>0</v>
      </c>
      <c r="AP127" s="120">
        <f t="shared" si="1022"/>
        <v>0</v>
      </c>
      <c r="AQ127" s="120">
        <f t="shared" si="1022"/>
        <v>0</v>
      </c>
      <c r="AR127" s="120">
        <f t="shared" si="1022"/>
        <v>0</v>
      </c>
      <c r="AS127" s="120">
        <f t="shared" si="1022"/>
        <v>0</v>
      </c>
      <c r="AT127" s="120">
        <f t="shared" si="1023"/>
        <v>0</v>
      </c>
      <c r="AU127" s="120">
        <f t="shared" si="1023"/>
        <v>0</v>
      </c>
      <c r="AV127" s="120">
        <f t="shared" si="1023"/>
        <v>0</v>
      </c>
      <c r="AW127" s="120">
        <f t="shared" si="1023"/>
        <v>0</v>
      </c>
      <c r="AX127" s="120">
        <f t="shared" si="1023"/>
        <v>0</v>
      </c>
      <c r="AY127" s="120">
        <f t="shared" si="1023"/>
        <v>0</v>
      </c>
      <c r="AZ127" s="120">
        <f t="shared" si="1023"/>
        <v>0</v>
      </c>
      <c r="BA127" s="120">
        <f t="shared" si="1023"/>
        <v>0</v>
      </c>
      <c r="BB127" s="120">
        <f t="shared" si="1023"/>
        <v>0</v>
      </c>
      <c r="BC127" s="120">
        <f t="shared" si="1023"/>
        <v>0</v>
      </c>
      <c r="BD127" s="120">
        <f t="shared" si="1024"/>
        <v>0</v>
      </c>
      <c r="BE127" s="120">
        <f t="shared" si="1024"/>
        <v>0</v>
      </c>
      <c r="BF127" s="120">
        <f t="shared" si="1024"/>
        <v>0</v>
      </c>
      <c r="BG127" s="120">
        <f t="shared" si="1024"/>
        <v>0</v>
      </c>
      <c r="BH127" s="120">
        <f t="shared" si="1024"/>
        <v>0</v>
      </c>
      <c r="BI127" s="120">
        <f t="shared" si="1024"/>
        <v>0</v>
      </c>
      <c r="BJ127" s="120">
        <f t="shared" si="1024"/>
        <v>0</v>
      </c>
      <c r="BK127" s="120">
        <f t="shared" si="1024"/>
        <v>0</v>
      </c>
      <c r="BL127" s="120">
        <f t="shared" si="1024"/>
        <v>0</v>
      </c>
      <c r="BM127" s="120">
        <f t="shared" si="1024"/>
        <v>0</v>
      </c>
      <c r="BN127" s="120">
        <f t="shared" si="1025"/>
        <v>0</v>
      </c>
      <c r="BO127" s="120">
        <f t="shared" si="1025"/>
        <v>0</v>
      </c>
      <c r="BP127" s="120">
        <f t="shared" si="1025"/>
        <v>0</v>
      </c>
      <c r="BQ127" s="120">
        <f t="shared" si="1025"/>
        <v>0</v>
      </c>
      <c r="BR127" s="120">
        <f t="shared" si="1025"/>
        <v>0</v>
      </c>
      <c r="BS127" s="120">
        <f t="shared" si="1025"/>
        <v>0</v>
      </c>
      <c r="BT127" s="120">
        <f t="shared" si="1025"/>
        <v>0</v>
      </c>
      <c r="BU127" s="120">
        <f t="shared" si="1025"/>
        <v>0</v>
      </c>
      <c r="BV127" s="120">
        <f t="shared" si="1025"/>
        <v>0</v>
      </c>
      <c r="BW127" s="120">
        <f t="shared" si="1025"/>
        <v>0</v>
      </c>
      <c r="BX127" s="120">
        <f t="shared" si="1026"/>
        <v>0</v>
      </c>
      <c r="BY127" s="8"/>
      <c r="BZ127" s="72">
        <f t="shared" si="1014"/>
        <v>0</v>
      </c>
      <c r="CA127" s="72">
        <f t="shared" si="1015"/>
        <v>0</v>
      </c>
      <c r="CB127" s="97"/>
      <c r="CC127" s="72">
        <f t="shared" si="950"/>
        <v>0</v>
      </c>
      <c r="CD127" s="72">
        <f t="shared" si="1007"/>
        <v>0</v>
      </c>
      <c r="CE127" s="72">
        <f t="shared" si="1007"/>
        <v>0</v>
      </c>
      <c r="CF127" s="72">
        <f t="shared" si="1007"/>
        <v>0</v>
      </c>
      <c r="CG127" s="72">
        <f t="shared" si="1007"/>
        <v>0</v>
      </c>
      <c r="CH127" s="72">
        <f t="shared" si="1007"/>
        <v>0</v>
      </c>
      <c r="CI127" s="72">
        <f t="shared" si="1007"/>
        <v>0</v>
      </c>
      <c r="CJ127" s="72">
        <f t="shared" si="1007"/>
        <v>0</v>
      </c>
      <c r="CL127" s="13"/>
      <c r="CM127" s="13"/>
    </row>
    <row r="128" spans="1:91" x14ac:dyDescent="0.3">
      <c r="A128" s="97" t="str">
        <f>'DCS Detail'!A128</f>
        <v xml:space="preserve">         421.1 Trash</v>
      </c>
      <c r="B128" s="106" t="str">
        <f>IF('DCS Detail'!$B128="","",'DCS Detail'!$B128)</f>
        <v>Utilities</v>
      </c>
      <c r="C128" s="106"/>
      <c r="D128" s="106"/>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46">
        <v>0</v>
      </c>
      <c r="AB128" s="120">
        <f t="shared" si="1021"/>
        <v>0</v>
      </c>
      <c r="AC128" s="120">
        <f t="shared" si="1021"/>
        <v>0</v>
      </c>
      <c r="AD128" s="120">
        <f t="shared" si="1021"/>
        <v>0</v>
      </c>
      <c r="AE128" s="120">
        <f t="shared" si="1021"/>
        <v>0</v>
      </c>
      <c r="AF128" s="120">
        <f t="shared" si="1021"/>
        <v>0</v>
      </c>
      <c r="AG128" s="120">
        <f t="shared" si="1021"/>
        <v>0</v>
      </c>
      <c r="AH128" s="120">
        <f t="shared" si="1021"/>
        <v>0</v>
      </c>
      <c r="AI128" s="120">
        <f t="shared" si="1021"/>
        <v>0</v>
      </c>
      <c r="AJ128" s="120">
        <f t="shared" si="1022"/>
        <v>0</v>
      </c>
      <c r="AK128" s="120">
        <f t="shared" si="1022"/>
        <v>0</v>
      </c>
      <c r="AL128" s="120">
        <f t="shared" si="1022"/>
        <v>0</v>
      </c>
      <c r="AM128" s="120">
        <f t="shared" si="1022"/>
        <v>0</v>
      </c>
      <c r="AN128" s="120">
        <f t="shared" si="1022"/>
        <v>0</v>
      </c>
      <c r="AO128" s="120">
        <f t="shared" si="1022"/>
        <v>0</v>
      </c>
      <c r="AP128" s="120">
        <f t="shared" si="1022"/>
        <v>0</v>
      </c>
      <c r="AQ128" s="120">
        <f t="shared" si="1022"/>
        <v>0</v>
      </c>
      <c r="AR128" s="120">
        <f t="shared" si="1022"/>
        <v>0</v>
      </c>
      <c r="AS128" s="120">
        <f t="shared" si="1022"/>
        <v>0</v>
      </c>
      <c r="AT128" s="120">
        <f t="shared" si="1023"/>
        <v>0</v>
      </c>
      <c r="AU128" s="120">
        <f t="shared" si="1023"/>
        <v>0</v>
      </c>
      <c r="AV128" s="120">
        <f t="shared" si="1023"/>
        <v>0</v>
      </c>
      <c r="AW128" s="120">
        <f t="shared" si="1023"/>
        <v>0</v>
      </c>
      <c r="AX128" s="120">
        <f t="shared" si="1023"/>
        <v>0</v>
      </c>
      <c r="AY128" s="120">
        <f t="shared" si="1023"/>
        <v>0</v>
      </c>
      <c r="AZ128" s="120">
        <f t="shared" si="1023"/>
        <v>0</v>
      </c>
      <c r="BA128" s="120">
        <f t="shared" si="1023"/>
        <v>0</v>
      </c>
      <c r="BB128" s="120">
        <f t="shared" si="1023"/>
        <v>0</v>
      </c>
      <c r="BC128" s="120">
        <f t="shared" si="1023"/>
        <v>0</v>
      </c>
      <c r="BD128" s="120">
        <f t="shared" si="1024"/>
        <v>0</v>
      </c>
      <c r="BE128" s="120">
        <f t="shared" si="1024"/>
        <v>0</v>
      </c>
      <c r="BF128" s="120">
        <f t="shared" si="1024"/>
        <v>0</v>
      </c>
      <c r="BG128" s="120">
        <f t="shared" si="1024"/>
        <v>0</v>
      </c>
      <c r="BH128" s="120">
        <f t="shared" si="1024"/>
        <v>0</v>
      </c>
      <c r="BI128" s="120">
        <f t="shared" si="1024"/>
        <v>0</v>
      </c>
      <c r="BJ128" s="120">
        <f t="shared" si="1024"/>
        <v>0</v>
      </c>
      <c r="BK128" s="120">
        <f t="shared" si="1024"/>
        <v>0</v>
      </c>
      <c r="BL128" s="120">
        <f t="shared" si="1024"/>
        <v>0</v>
      </c>
      <c r="BM128" s="120">
        <f t="shared" si="1024"/>
        <v>0</v>
      </c>
      <c r="BN128" s="120">
        <f t="shared" si="1025"/>
        <v>0</v>
      </c>
      <c r="BO128" s="120">
        <f t="shared" si="1025"/>
        <v>0</v>
      </c>
      <c r="BP128" s="120">
        <f t="shared" si="1025"/>
        <v>0</v>
      </c>
      <c r="BQ128" s="120">
        <f t="shared" si="1025"/>
        <v>0</v>
      </c>
      <c r="BR128" s="120">
        <f t="shared" si="1025"/>
        <v>0</v>
      </c>
      <c r="BS128" s="120">
        <f t="shared" si="1025"/>
        <v>0</v>
      </c>
      <c r="BT128" s="120">
        <f t="shared" si="1025"/>
        <v>0</v>
      </c>
      <c r="BU128" s="120">
        <f t="shared" si="1025"/>
        <v>0</v>
      </c>
      <c r="BV128" s="120">
        <f t="shared" si="1025"/>
        <v>0</v>
      </c>
      <c r="BW128" s="120">
        <f t="shared" si="1025"/>
        <v>0</v>
      </c>
      <c r="BX128" s="120">
        <f t="shared" si="1026"/>
        <v>0</v>
      </c>
      <c r="BY128" s="8"/>
      <c r="BZ128" s="72">
        <f t="shared" si="1014"/>
        <v>0</v>
      </c>
      <c r="CA128" s="72">
        <f t="shared" si="1015"/>
        <v>0</v>
      </c>
      <c r="CB128" s="97"/>
      <c r="CC128" s="72">
        <f t="shared" si="950"/>
        <v>0</v>
      </c>
      <c r="CD128" s="72">
        <f t="shared" ref="CD128:CJ138" si="1027">SUMIF($C$3:$BY$3,CD$3,$C128:$BY128)</f>
        <v>0</v>
      </c>
      <c r="CE128" s="72">
        <f t="shared" si="1027"/>
        <v>0</v>
      </c>
      <c r="CF128" s="72">
        <f t="shared" si="1027"/>
        <v>0</v>
      </c>
      <c r="CG128" s="72">
        <f t="shared" si="1027"/>
        <v>0</v>
      </c>
      <c r="CH128" s="72">
        <f t="shared" si="1027"/>
        <v>0</v>
      </c>
      <c r="CI128" s="72">
        <f t="shared" si="1027"/>
        <v>0</v>
      </c>
      <c r="CJ128" s="72">
        <f t="shared" si="1027"/>
        <v>0</v>
      </c>
      <c r="CL128" s="13"/>
      <c r="CM128" s="13"/>
    </row>
    <row r="129" spans="1:91" x14ac:dyDescent="0.3">
      <c r="A129" s="97" t="str">
        <f>'DCS Detail'!A129</f>
        <v xml:space="preserve">         441.1 Lease</v>
      </c>
      <c r="B129" s="106" t="str">
        <f>IF('DCS Detail'!$B129="","",'DCS Detail'!$B129)</f>
        <v>Lease</v>
      </c>
      <c r="C129" s="106"/>
      <c r="D129" s="106"/>
      <c r="E129" s="18">
        <v>8098</v>
      </c>
      <c r="F129" s="18">
        <v>8331</v>
      </c>
      <c r="G129" s="18">
        <v>8331</v>
      </c>
      <c r="H129" s="18">
        <v>8631</v>
      </c>
      <c r="I129" s="18">
        <v>8331</v>
      </c>
      <c r="J129" s="18">
        <v>8331</v>
      </c>
      <c r="K129" s="103">
        <v>0</v>
      </c>
      <c r="L129" s="18">
        <v>8331</v>
      </c>
      <c r="M129" s="18">
        <v>16129</v>
      </c>
      <c r="N129" s="18">
        <v>9252</v>
      </c>
      <c r="O129" s="18">
        <v>8331</v>
      </c>
      <c r="P129" s="18">
        <v>8331</v>
      </c>
      <c r="Q129" s="18">
        <v>8331</v>
      </c>
      <c r="R129" s="18">
        <v>8331</v>
      </c>
      <c r="S129" s="18">
        <v>8331</v>
      </c>
      <c r="T129" s="18">
        <v>8331</v>
      </c>
      <c r="U129" s="18">
        <v>8331</v>
      </c>
      <c r="V129" s="18">
        <v>8331</v>
      </c>
      <c r="W129" s="18">
        <v>8331</v>
      </c>
      <c r="X129" s="18">
        <v>8331</v>
      </c>
      <c r="Y129" s="18">
        <v>8331</v>
      </c>
      <c r="Z129" s="18">
        <v>8331</v>
      </c>
      <c r="AA129" s="146">
        <v>8331</v>
      </c>
      <c r="AB129" s="18">
        <v>8331</v>
      </c>
      <c r="AC129" s="120">
        <f t="shared" ref="AC129:AC138" si="1028">Q129*(1+AC$263)</f>
        <v>8580.93</v>
      </c>
      <c r="AD129" s="120">
        <f t="shared" ref="AD129:AD138" si="1029">R129*(1+AD$263)</f>
        <v>8580.93</v>
      </c>
      <c r="AE129" s="120">
        <f t="shared" ref="AE129:AE138" si="1030">S129*(1+AE$263)</f>
        <v>8580.93</v>
      </c>
      <c r="AF129" s="120">
        <f t="shared" ref="AF129:AF138" si="1031">T129*(1+AF$263)</f>
        <v>8580.93</v>
      </c>
      <c r="AG129" s="120">
        <f t="shared" ref="AG129:AG138" si="1032">U129*(1+AG$263)</f>
        <v>8580.93</v>
      </c>
      <c r="AH129" s="120">
        <f t="shared" ref="AH129:AH138" si="1033">V129*(1+AH$263)</f>
        <v>8580.93</v>
      </c>
      <c r="AI129" s="120">
        <f t="shared" ref="AI129:AI138" si="1034">W129*(1+AI$263)</f>
        <v>8580.93</v>
      </c>
      <c r="AJ129" s="120">
        <f t="shared" ref="AJ129:AJ138" si="1035">X129*(1+AJ$263)</f>
        <v>8580.93</v>
      </c>
      <c r="AK129" s="120">
        <f t="shared" ref="AK129:AK138" si="1036">Y129*(1+AK$263)</f>
        <v>8580.93</v>
      </c>
      <c r="AL129" s="120">
        <f t="shared" ref="AL129:AL138" si="1037">Z129*(1+AL$263)</f>
        <v>8580.93</v>
      </c>
      <c r="AM129" s="120">
        <f t="shared" ref="AM129:AM138" si="1038">AA129*(1+AM$263)</f>
        <v>8580.93</v>
      </c>
      <c r="AN129" s="120">
        <f t="shared" ref="AN129:AN138" si="1039">AB129*(1+AN$263)</f>
        <v>8580.93</v>
      </c>
      <c r="AO129" s="120">
        <f t="shared" ref="AO129:AO138" si="1040">AC129*(1+AO$263)</f>
        <v>8838.3579000000009</v>
      </c>
      <c r="AP129" s="120">
        <f t="shared" ref="AP129:AP138" si="1041">AD129*(1+AP$263)</f>
        <v>8838.3579000000009</v>
      </c>
      <c r="AQ129" s="120">
        <f t="shared" ref="AQ129:AQ138" si="1042">AE129*(1+AQ$263)</f>
        <v>8838.3579000000009</v>
      </c>
      <c r="AR129" s="120">
        <f t="shared" ref="AR129:AR138" si="1043">AF129*(1+AR$263)</f>
        <v>8838.3579000000009</v>
      </c>
      <c r="AS129" s="120">
        <f t="shared" ref="AS129:AS138" si="1044">AG129*(1+AS$263)</f>
        <v>8838.3579000000009</v>
      </c>
      <c r="AT129" s="120">
        <f t="shared" ref="AT129:AT138" si="1045">AH129*(1+AT$263)</f>
        <v>8838.3579000000009</v>
      </c>
      <c r="AU129" s="120">
        <f t="shared" ref="AU129:AU138" si="1046">AI129*(1+AU$263)</f>
        <v>8838.3579000000009</v>
      </c>
      <c r="AV129" s="120">
        <f t="shared" ref="AV129:AV138" si="1047">AJ129*(1+AV$263)</f>
        <v>8838.3579000000009</v>
      </c>
      <c r="AW129" s="120">
        <f t="shared" ref="AW129:AW138" si="1048">AK129*(1+AW$263)</f>
        <v>8838.3579000000009</v>
      </c>
      <c r="AX129" s="120">
        <f t="shared" ref="AX129:AX138" si="1049">AL129*(1+AX$263)</f>
        <v>8838.3579000000009</v>
      </c>
      <c r="AY129" s="120">
        <f t="shared" ref="AY129:AY138" si="1050">AM129*(1+AY$263)</f>
        <v>8838.3579000000009</v>
      </c>
      <c r="AZ129" s="120">
        <f t="shared" ref="AZ129:AZ138" si="1051">AN129*(1+AZ$263)</f>
        <v>8838.3579000000009</v>
      </c>
      <c r="BA129" s="120">
        <f t="shared" ref="BA129:BA138" si="1052">AO129*(1+BA$263)</f>
        <v>9103.5086370000008</v>
      </c>
      <c r="BB129" s="120">
        <f t="shared" ref="BB129:BB138" si="1053">AP129*(1+BB$263)</f>
        <v>9103.5086370000008</v>
      </c>
      <c r="BC129" s="120">
        <f t="shared" ref="BC129:BC138" si="1054">AQ129*(1+BC$263)</f>
        <v>9103.5086370000008</v>
      </c>
      <c r="BD129" s="120">
        <f t="shared" ref="BD129:BD138" si="1055">AR129*(1+BD$263)</f>
        <v>9103.5086370000008</v>
      </c>
      <c r="BE129" s="120">
        <f t="shared" ref="BE129:BE138" si="1056">AS129*(1+BE$263)</f>
        <v>9103.5086370000008</v>
      </c>
      <c r="BF129" s="120">
        <f t="shared" ref="BF129:BF138" si="1057">AT129*(1+BF$263)</f>
        <v>9103.5086370000008</v>
      </c>
      <c r="BG129" s="120">
        <f t="shared" ref="BG129:BG138" si="1058">AU129*(1+BG$263)</f>
        <v>9103.5086370000008</v>
      </c>
      <c r="BH129" s="120">
        <f t="shared" ref="BH129:BH138" si="1059">AV129*(1+BH$263)</f>
        <v>9103.5086370000008</v>
      </c>
      <c r="BI129" s="120">
        <f t="shared" ref="BI129:BI138" si="1060">AW129*(1+BI$263)</f>
        <v>9103.5086370000008</v>
      </c>
      <c r="BJ129" s="120">
        <f t="shared" ref="BJ129:BJ138" si="1061">AX129*(1+BJ$263)</f>
        <v>9103.5086370000008</v>
      </c>
      <c r="BK129" s="120">
        <f t="shared" ref="BK129:BK138" si="1062">AY129*(1+BK$263)</f>
        <v>9103.5086370000008</v>
      </c>
      <c r="BL129" s="120">
        <f t="shared" ref="BL129:BL138" si="1063">AZ129*(1+BL$263)</f>
        <v>9103.5086370000008</v>
      </c>
      <c r="BM129" s="120">
        <f t="shared" ref="BM129:BM138" si="1064">BA129*(1+BM$263)</f>
        <v>9376.6138961100005</v>
      </c>
      <c r="BN129" s="120">
        <f t="shared" ref="BN129:BN138" si="1065">BB129*(1+BN$263)</f>
        <v>9376.6138961100005</v>
      </c>
      <c r="BO129" s="120">
        <f t="shared" ref="BO129:BO138" si="1066">BC129*(1+BO$263)</f>
        <v>9376.6138961100005</v>
      </c>
      <c r="BP129" s="120">
        <f t="shared" ref="BP129:BP138" si="1067">BD129*(1+BP$263)</f>
        <v>9376.6138961100005</v>
      </c>
      <c r="BQ129" s="120">
        <f t="shared" ref="BQ129:BQ138" si="1068">BE129*(1+BQ$263)</f>
        <v>9376.6138961100005</v>
      </c>
      <c r="BR129" s="120">
        <f t="shared" ref="BR129:BR138" si="1069">BF129*(1+BR$263)</f>
        <v>9376.6138961100005</v>
      </c>
      <c r="BS129" s="120">
        <f t="shared" ref="BS129:BS138" si="1070">BG129*(1+BS$263)</f>
        <v>9376.6138961100005</v>
      </c>
      <c r="BT129" s="120">
        <f t="shared" ref="BT129:BT138" si="1071">BH129*(1+BT$263)</f>
        <v>9376.6138961100005</v>
      </c>
      <c r="BU129" s="120">
        <f t="shared" ref="BU129:BU138" si="1072">BI129*(1+BU$263)</f>
        <v>9376.6138961100005</v>
      </c>
      <c r="BV129" s="120">
        <f t="shared" ref="BV129:BV138" si="1073">BJ129*(1+BV$263)</f>
        <v>9376.6138961100005</v>
      </c>
      <c r="BW129" s="120">
        <f t="shared" ref="BW129:BW138" si="1074">BK129*(1+BW$263)</f>
        <v>9376.6138961100005</v>
      </c>
      <c r="BX129" s="120">
        <f t="shared" ref="BX129:BX138" si="1075">BL129*(1+BX$263)</f>
        <v>9376.6138961100005</v>
      </c>
      <c r="BY129" s="8"/>
      <c r="BZ129" s="72">
        <f t="shared" si="1014"/>
        <v>8331</v>
      </c>
      <c r="CA129" s="72">
        <f t="shared" si="1015"/>
        <v>91641</v>
      </c>
      <c r="CB129" s="97"/>
      <c r="CC129" s="72">
        <f t="shared" si="950"/>
        <v>0</v>
      </c>
      <c r="CD129" s="72">
        <f t="shared" si="1027"/>
        <v>0</v>
      </c>
      <c r="CE129" s="72">
        <f t="shared" si="1027"/>
        <v>100427</v>
      </c>
      <c r="CF129" s="72">
        <f t="shared" si="1027"/>
        <v>99972</v>
      </c>
      <c r="CG129" s="72">
        <f t="shared" si="1027"/>
        <v>102971.15999999997</v>
      </c>
      <c r="CH129" s="72">
        <f t="shared" si="1027"/>
        <v>106060.29480000002</v>
      </c>
      <c r="CI129" s="72">
        <f t="shared" si="1027"/>
        <v>109242.10364400003</v>
      </c>
      <c r="CJ129" s="72">
        <f t="shared" si="1027"/>
        <v>112519.36675332004</v>
      </c>
      <c r="CL129" s="13"/>
      <c r="CM129" s="13"/>
    </row>
    <row r="130" spans="1:91" x14ac:dyDescent="0.3">
      <c r="A130" s="97" t="str">
        <f>'DCS Detail'!A130</f>
        <v xml:space="preserve">            441.2 HOA Expense</v>
      </c>
      <c r="B130" s="106" t="str">
        <f>IF('DCS Detail'!$B130="","",'DCS Detail'!$B130)</f>
        <v>Utilities</v>
      </c>
      <c r="C130" s="106"/>
      <c r="D130" s="106"/>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0</v>
      </c>
      <c r="Z130" s="18">
        <v>0</v>
      </c>
      <c r="AA130" s="146">
        <v>0</v>
      </c>
      <c r="AB130" s="18">
        <v>0</v>
      </c>
      <c r="AC130" s="120">
        <f t="shared" si="1028"/>
        <v>0</v>
      </c>
      <c r="AD130" s="120">
        <f t="shared" si="1029"/>
        <v>0</v>
      </c>
      <c r="AE130" s="120">
        <f t="shared" si="1030"/>
        <v>0</v>
      </c>
      <c r="AF130" s="120">
        <f t="shared" si="1031"/>
        <v>0</v>
      </c>
      <c r="AG130" s="120">
        <f t="shared" si="1032"/>
        <v>0</v>
      </c>
      <c r="AH130" s="120">
        <f t="shared" si="1033"/>
        <v>0</v>
      </c>
      <c r="AI130" s="120">
        <f t="shared" si="1034"/>
        <v>0</v>
      </c>
      <c r="AJ130" s="120">
        <f t="shared" si="1035"/>
        <v>0</v>
      </c>
      <c r="AK130" s="120">
        <f t="shared" si="1036"/>
        <v>0</v>
      </c>
      <c r="AL130" s="120">
        <f t="shared" si="1037"/>
        <v>0</v>
      </c>
      <c r="AM130" s="120">
        <f t="shared" si="1038"/>
        <v>0</v>
      </c>
      <c r="AN130" s="120">
        <f t="shared" si="1039"/>
        <v>0</v>
      </c>
      <c r="AO130" s="120">
        <f t="shared" si="1040"/>
        <v>0</v>
      </c>
      <c r="AP130" s="120">
        <f t="shared" si="1041"/>
        <v>0</v>
      </c>
      <c r="AQ130" s="120">
        <f t="shared" si="1042"/>
        <v>0</v>
      </c>
      <c r="AR130" s="120">
        <f t="shared" si="1043"/>
        <v>0</v>
      </c>
      <c r="AS130" s="120">
        <f t="shared" si="1044"/>
        <v>0</v>
      </c>
      <c r="AT130" s="120">
        <f t="shared" si="1045"/>
        <v>0</v>
      </c>
      <c r="AU130" s="120">
        <f t="shared" si="1046"/>
        <v>0</v>
      </c>
      <c r="AV130" s="120">
        <f t="shared" si="1047"/>
        <v>0</v>
      </c>
      <c r="AW130" s="120">
        <f t="shared" si="1048"/>
        <v>0</v>
      </c>
      <c r="AX130" s="120">
        <f t="shared" si="1049"/>
        <v>0</v>
      </c>
      <c r="AY130" s="120">
        <f t="shared" si="1050"/>
        <v>0</v>
      </c>
      <c r="AZ130" s="120">
        <f t="shared" si="1051"/>
        <v>0</v>
      </c>
      <c r="BA130" s="120">
        <f t="shared" si="1052"/>
        <v>0</v>
      </c>
      <c r="BB130" s="120">
        <f t="shared" si="1053"/>
        <v>0</v>
      </c>
      <c r="BC130" s="120">
        <f t="shared" si="1054"/>
        <v>0</v>
      </c>
      <c r="BD130" s="120">
        <f t="shared" si="1055"/>
        <v>0</v>
      </c>
      <c r="BE130" s="120">
        <f t="shared" si="1056"/>
        <v>0</v>
      </c>
      <c r="BF130" s="120">
        <f t="shared" si="1057"/>
        <v>0</v>
      </c>
      <c r="BG130" s="120">
        <f t="shared" si="1058"/>
        <v>0</v>
      </c>
      <c r="BH130" s="120">
        <f t="shared" si="1059"/>
        <v>0</v>
      </c>
      <c r="BI130" s="120">
        <f t="shared" si="1060"/>
        <v>0</v>
      </c>
      <c r="BJ130" s="120">
        <f t="shared" si="1061"/>
        <v>0</v>
      </c>
      <c r="BK130" s="120">
        <f t="shared" si="1062"/>
        <v>0</v>
      </c>
      <c r="BL130" s="120">
        <f t="shared" si="1063"/>
        <v>0</v>
      </c>
      <c r="BM130" s="120">
        <f t="shared" si="1064"/>
        <v>0</v>
      </c>
      <c r="BN130" s="120">
        <f t="shared" si="1065"/>
        <v>0</v>
      </c>
      <c r="BO130" s="120">
        <f t="shared" si="1066"/>
        <v>0</v>
      </c>
      <c r="BP130" s="120">
        <f t="shared" si="1067"/>
        <v>0</v>
      </c>
      <c r="BQ130" s="120">
        <f t="shared" si="1068"/>
        <v>0</v>
      </c>
      <c r="BR130" s="120">
        <f t="shared" si="1069"/>
        <v>0</v>
      </c>
      <c r="BS130" s="120">
        <f t="shared" si="1070"/>
        <v>0</v>
      </c>
      <c r="BT130" s="120">
        <f t="shared" si="1071"/>
        <v>0</v>
      </c>
      <c r="BU130" s="120">
        <f t="shared" si="1072"/>
        <v>0</v>
      </c>
      <c r="BV130" s="120">
        <f t="shared" si="1073"/>
        <v>0</v>
      </c>
      <c r="BW130" s="120">
        <f t="shared" si="1074"/>
        <v>0</v>
      </c>
      <c r="BX130" s="120">
        <f t="shared" si="1075"/>
        <v>0</v>
      </c>
      <c r="BY130" s="8"/>
      <c r="BZ130" s="72"/>
      <c r="CA130" s="72"/>
      <c r="CB130" s="97"/>
      <c r="CC130" s="72"/>
      <c r="CD130" s="72"/>
      <c r="CE130" s="72"/>
      <c r="CF130" s="72"/>
      <c r="CG130" s="72"/>
      <c r="CH130" s="72"/>
      <c r="CI130" s="72"/>
      <c r="CJ130" s="72"/>
      <c r="CL130" s="13"/>
      <c r="CM130" s="13"/>
    </row>
    <row r="131" spans="1:91" x14ac:dyDescent="0.3">
      <c r="A131" s="97" t="str">
        <f>'DCS Detail'!A131</f>
        <v xml:space="preserve">         522.1 Liability Insurance</v>
      </c>
      <c r="B131" s="106" t="str">
        <f>IF('DCS Detail'!$B131="","",'DCS Detail'!$B131)</f>
        <v>Insurance</v>
      </c>
      <c r="C131" s="106"/>
      <c r="D131" s="106"/>
      <c r="E131" s="18">
        <v>0</v>
      </c>
      <c r="F131" s="18">
        <v>1156.7</v>
      </c>
      <c r="G131" s="18">
        <f>4688.9*0.22</f>
        <v>1031.558</v>
      </c>
      <c r="H131" s="18">
        <v>560.72</v>
      </c>
      <c r="I131" s="18">
        <f>17557.49*0.22</f>
        <v>3862.6478000000002</v>
      </c>
      <c r="J131" s="18">
        <v>0</v>
      </c>
      <c r="K131" s="18">
        <v>384.34</v>
      </c>
      <c r="L131" s="18">
        <v>-131.55580000000009</v>
      </c>
      <c r="M131" s="18">
        <v>0</v>
      </c>
      <c r="N131" s="18">
        <v>0</v>
      </c>
      <c r="O131" s="18">
        <v>0</v>
      </c>
      <c r="P131" s="18">
        <v>0</v>
      </c>
      <c r="Q131" s="18">
        <v>0</v>
      </c>
      <c r="R131" s="18">
        <v>-550</v>
      </c>
      <c r="S131" s="18">
        <v>0</v>
      </c>
      <c r="T131" s="18">
        <v>0</v>
      </c>
      <c r="U131" s="18">
        <v>1332.02</v>
      </c>
      <c r="V131" s="18">
        <v>1332.02</v>
      </c>
      <c r="W131" s="18">
        <v>1332.02</v>
      </c>
      <c r="X131" s="18">
        <v>0</v>
      </c>
      <c r="Y131" s="18">
        <v>0</v>
      </c>
      <c r="Z131" s="18">
        <v>0</v>
      </c>
      <c r="AA131" s="146">
        <v>0</v>
      </c>
      <c r="AB131" s="120">
        <f t="shared" ref="AB131:AB138" si="1076">P131*(1+AB$263)</f>
        <v>0</v>
      </c>
      <c r="AC131" s="120">
        <f t="shared" si="1028"/>
        <v>0</v>
      </c>
      <c r="AD131" s="120">
        <f t="shared" si="1029"/>
        <v>-566.5</v>
      </c>
      <c r="AE131" s="120">
        <f t="shared" si="1030"/>
        <v>0</v>
      </c>
      <c r="AF131" s="120">
        <f t="shared" si="1031"/>
        <v>0</v>
      </c>
      <c r="AG131" s="120">
        <f t="shared" si="1032"/>
        <v>1371.9806000000001</v>
      </c>
      <c r="AH131" s="120">
        <f t="shared" si="1033"/>
        <v>1371.9806000000001</v>
      </c>
      <c r="AI131" s="120">
        <f t="shared" si="1034"/>
        <v>1371.9806000000001</v>
      </c>
      <c r="AJ131" s="120">
        <f t="shared" si="1035"/>
        <v>0</v>
      </c>
      <c r="AK131" s="120">
        <f t="shared" si="1036"/>
        <v>0</v>
      </c>
      <c r="AL131" s="120">
        <f t="shared" si="1037"/>
        <v>0</v>
      </c>
      <c r="AM131" s="120">
        <f t="shared" si="1038"/>
        <v>0</v>
      </c>
      <c r="AN131" s="120">
        <f t="shared" si="1039"/>
        <v>0</v>
      </c>
      <c r="AO131" s="120">
        <f t="shared" si="1040"/>
        <v>0</v>
      </c>
      <c r="AP131" s="120">
        <f t="shared" si="1041"/>
        <v>-583.495</v>
      </c>
      <c r="AQ131" s="120">
        <f t="shared" si="1042"/>
        <v>0</v>
      </c>
      <c r="AR131" s="120">
        <f t="shared" si="1043"/>
        <v>0</v>
      </c>
      <c r="AS131" s="120">
        <f t="shared" si="1044"/>
        <v>1413.1400180000001</v>
      </c>
      <c r="AT131" s="120">
        <f t="shared" si="1045"/>
        <v>1413.1400180000001</v>
      </c>
      <c r="AU131" s="120">
        <f t="shared" si="1046"/>
        <v>1413.1400180000001</v>
      </c>
      <c r="AV131" s="120">
        <f t="shared" si="1047"/>
        <v>0</v>
      </c>
      <c r="AW131" s="120">
        <f t="shared" si="1048"/>
        <v>0</v>
      </c>
      <c r="AX131" s="120">
        <f t="shared" si="1049"/>
        <v>0</v>
      </c>
      <c r="AY131" s="120">
        <f t="shared" si="1050"/>
        <v>0</v>
      </c>
      <c r="AZ131" s="120">
        <f t="shared" si="1051"/>
        <v>0</v>
      </c>
      <c r="BA131" s="120">
        <f t="shared" si="1052"/>
        <v>0</v>
      </c>
      <c r="BB131" s="120">
        <f t="shared" si="1053"/>
        <v>-600.99985000000004</v>
      </c>
      <c r="BC131" s="120">
        <f t="shared" si="1054"/>
        <v>0</v>
      </c>
      <c r="BD131" s="120">
        <f t="shared" si="1055"/>
        <v>0</v>
      </c>
      <c r="BE131" s="120">
        <f t="shared" si="1056"/>
        <v>1455.53421854</v>
      </c>
      <c r="BF131" s="120">
        <f t="shared" si="1057"/>
        <v>1455.53421854</v>
      </c>
      <c r="BG131" s="120">
        <f t="shared" si="1058"/>
        <v>1455.53421854</v>
      </c>
      <c r="BH131" s="120">
        <f t="shared" si="1059"/>
        <v>0</v>
      </c>
      <c r="BI131" s="120">
        <f t="shared" si="1060"/>
        <v>0</v>
      </c>
      <c r="BJ131" s="120">
        <f t="shared" si="1061"/>
        <v>0</v>
      </c>
      <c r="BK131" s="120">
        <f t="shared" si="1062"/>
        <v>0</v>
      </c>
      <c r="BL131" s="120">
        <f t="shared" si="1063"/>
        <v>0</v>
      </c>
      <c r="BM131" s="120">
        <f t="shared" si="1064"/>
        <v>0</v>
      </c>
      <c r="BN131" s="120">
        <f t="shared" si="1065"/>
        <v>-619.02984550000008</v>
      </c>
      <c r="BO131" s="120">
        <f t="shared" si="1066"/>
        <v>0</v>
      </c>
      <c r="BP131" s="120">
        <f t="shared" si="1067"/>
        <v>0</v>
      </c>
      <c r="BQ131" s="120">
        <f t="shared" si="1068"/>
        <v>1499.2002450962</v>
      </c>
      <c r="BR131" s="120">
        <f t="shared" si="1069"/>
        <v>1499.2002450962</v>
      </c>
      <c r="BS131" s="120">
        <f t="shared" si="1070"/>
        <v>1499.2002450962</v>
      </c>
      <c r="BT131" s="120">
        <f t="shared" si="1071"/>
        <v>0</v>
      </c>
      <c r="BU131" s="120">
        <f t="shared" si="1072"/>
        <v>0</v>
      </c>
      <c r="BV131" s="120">
        <f t="shared" si="1073"/>
        <v>0</v>
      </c>
      <c r="BW131" s="120">
        <f t="shared" si="1074"/>
        <v>0</v>
      </c>
      <c r="BX131" s="120">
        <f t="shared" si="1075"/>
        <v>0</v>
      </c>
      <c r="BY131" s="8"/>
      <c r="BZ131" s="72">
        <f t="shared" ref="BZ131:BZ171" si="1077">SUMIF($B$252:$BY$252,1,$B131:$BY131)</f>
        <v>0</v>
      </c>
      <c r="CA131" s="72">
        <f t="shared" ref="CA131:CA171" si="1078">SUMIF($B$253:$BY$253,1,$B131:$BY131)</f>
        <v>3446.06</v>
      </c>
      <c r="CB131" s="97"/>
      <c r="CC131" s="72">
        <f t="shared" si="950"/>
        <v>0</v>
      </c>
      <c r="CD131" s="72">
        <f t="shared" si="1027"/>
        <v>0</v>
      </c>
      <c r="CE131" s="72">
        <f t="shared" si="1027"/>
        <v>6864.41</v>
      </c>
      <c r="CF131" s="72">
        <f t="shared" si="1027"/>
        <v>3446.06</v>
      </c>
      <c r="CG131" s="72">
        <f t="shared" si="1027"/>
        <v>3549.4418000000005</v>
      </c>
      <c r="CH131" s="72">
        <f t="shared" si="1027"/>
        <v>3655.9250540000003</v>
      </c>
      <c r="CI131" s="72">
        <f t="shared" si="1027"/>
        <v>3765.6028056199998</v>
      </c>
      <c r="CJ131" s="72">
        <f t="shared" si="1027"/>
        <v>3878.5708897885997</v>
      </c>
      <c r="CL131" s="13"/>
      <c r="CM131" s="13"/>
    </row>
    <row r="132" spans="1:91" x14ac:dyDescent="0.3">
      <c r="A132" s="97" t="str">
        <f>'DCS Detail'!A132</f>
        <v xml:space="preserve">         523.1 Other Insurance</v>
      </c>
      <c r="B132" s="106" t="str">
        <f>IF('DCS Detail'!$B132="","",'DCS Detail'!$B132)</f>
        <v>Insurance</v>
      </c>
      <c r="C132" s="106"/>
      <c r="D132" s="106"/>
      <c r="E132" s="18">
        <v>-1060.33</v>
      </c>
      <c r="F132" s="18">
        <v>3577.44</v>
      </c>
      <c r="G132" s="18">
        <f>4904.24-G131</f>
        <v>3872.6819999999998</v>
      </c>
      <c r="H132" s="18">
        <v>6675.19</v>
      </c>
      <c r="I132" s="18">
        <f>17154.4*0.22</f>
        <v>3773.9680000000003</v>
      </c>
      <c r="J132" s="18">
        <f>18668.83*0.22</f>
        <v>4107.1426000000001</v>
      </c>
      <c r="K132" s="18">
        <v>4149.2</v>
      </c>
      <c r="L132" s="18">
        <v>4272.8273999999983</v>
      </c>
      <c r="M132" s="18">
        <v>3927.180000000003</v>
      </c>
      <c r="N132" s="18">
        <v>4097</v>
      </c>
      <c r="O132" s="18">
        <v>3925.37</v>
      </c>
      <c r="P132" s="18">
        <v>4241.87</v>
      </c>
      <c r="Q132" s="18">
        <v>4370.4399999999996</v>
      </c>
      <c r="R132" s="18">
        <v>4455.1400000000003</v>
      </c>
      <c r="S132" s="18">
        <v>4052.89</v>
      </c>
      <c r="T132" s="18">
        <v>4836.32</v>
      </c>
      <c r="U132" s="18">
        <v>6617.04</v>
      </c>
      <c r="V132" s="18">
        <v>4980.2700000000004</v>
      </c>
      <c r="W132" s="18">
        <v>5248.4</v>
      </c>
      <c r="X132" s="18">
        <v>5425.5</v>
      </c>
      <c r="Y132" s="18">
        <v>5607.7</v>
      </c>
      <c r="Z132" s="18">
        <v>5287.48</v>
      </c>
      <c r="AA132" s="146">
        <v>5022.8599999999997</v>
      </c>
      <c r="AB132" s="120">
        <f t="shared" si="1076"/>
        <v>4369.1261000000004</v>
      </c>
      <c r="AC132" s="120">
        <f t="shared" si="1028"/>
        <v>4501.5531999999994</v>
      </c>
      <c r="AD132" s="120">
        <f t="shared" si="1029"/>
        <v>4588.7942000000003</v>
      </c>
      <c r="AE132" s="120">
        <f t="shared" si="1030"/>
        <v>4174.4767000000002</v>
      </c>
      <c r="AF132" s="120">
        <f t="shared" si="1031"/>
        <v>4981.4096</v>
      </c>
      <c r="AG132" s="120">
        <f t="shared" si="1032"/>
        <v>6815.5511999999999</v>
      </c>
      <c r="AH132" s="120">
        <f t="shared" si="1033"/>
        <v>5129.678100000001</v>
      </c>
      <c r="AI132" s="120">
        <f t="shared" si="1034"/>
        <v>5405.8519999999999</v>
      </c>
      <c r="AJ132" s="120">
        <f t="shared" si="1035"/>
        <v>5588.2650000000003</v>
      </c>
      <c r="AK132" s="120">
        <f t="shared" si="1036"/>
        <v>5775.9309999999996</v>
      </c>
      <c r="AL132" s="120">
        <f t="shared" si="1037"/>
        <v>5446.1043999999993</v>
      </c>
      <c r="AM132" s="120">
        <f t="shared" si="1038"/>
        <v>5173.5457999999999</v>
      </c>
      <c r="AN132" s="120">
        <f t="shared" si="1039"/>
        <v>4500.1998830000002</v>
      </c>
      <c r="AO132" s="120">
        <f t="shared" si="1040"/>
        <v>4636.5997959999995</v>
      </c>
      <c r="AP132" s="120">
        <f t="shared" si="1041"/>
        <v>4726.4580260000002</v>
      </c>
      <c r="AQ132" s="120">
        <f t="shared" si="1042"/>
        <v>4299.7110010000006</v>
      </c>
      <c r="AR132" s="120">
        <f t="shared" si="1043"/>
        <v>5130.8518880000001</v>
      </c>
      <c r="AS132" s="120">
        <f t="shared" si="1044"/>
        <v>7020.0177359999998</v>
      </c>
      <c r="AT132" s="120">
        <f t="shared" si="1045"/>
        <v>5283.568443000001</v>
      </c>
      <c r="AU132" s="120">
        <f t="shared" si="1046"/>
        <v>5568.0275600000004</v>
      </c>
      <c r="AV132" s="120">
        <f t="shared" si="1047"/>
        <v>5755.9129500000008</v>
      </c>
      <c r="AW132" s="120">
        <f t="shared" si="1048"/>
        <v>5949.2089299999998</v>
      </c>
      <c r="AX132" s="120">
        <f t="shared" si="1049"/>
        <v>5609.4875319999992</v>
      </c>
      <c r="AY132" s="120">
        <f t="shared" si="1050"/>
        <v>5328.7521740000002</v>
      </c>
      <c r="AZ132" s="120">
        <f t="shared" si="1051"/>
        <v>4635.2058794900004</v>
      </c>
      <c r="BA132" s="120">
        <f t="shared" si="1052"/>
        <v>4775.6977898799996</v>
      </c>
      <c r="BB132" s="120">
        <f t="shared" si="1053"/>
        <v>4868.2517667800003</v>
      </c>
      <c r="BC132" s="120">
        <f t="shared" si="1054"/>
        <v>4428.702331030001</v>
      </c>
      <c r="BD132" s="120">
        <f t="shared" si="1055"/>
        <v>5284.7774446399999</v>
      </c>
      <c r="BE132" s="120">
        <f t="shared" si="1056"/>
        <v>7230.6182680800002</v>
      </c>
      <c r="BF132" s="120">
        <f t="shared" si="1057"/>
        <v>5442.075496290001</v>
      </c>
      <c r="BG132" s="120">
        <f t="shared" si="1058"/>
        <v>5735.0683868000006</v>
      </c>
      <c r="BH132" s="120">
        <f t="shared" si="1059"/>
        <v>5928.5903385000011</v>
      </c>
      <c r="BI132" s="120">
        <f t="shared" si="1060"/>
        <v>6127.6851979000003</v>
      </c>
      <c r="BJ132" s="120">
        <f t="shared" si="1061"/>
        <v>5777.7721579599993</v>
      </c>
      <c r="BK132" s="120">
        <f t="shared" si="1062"/>
        <v>5488.61473922</v>
      </c>
      <c r="BL132" s="120">
        <f t="shared" si="1063"/>
        <v>4774.2620558747003</v>
      </c>
      <c r="BM132" s="120">
        <f t="shared" si="1064"/>
        <v>4918.9687235763995</v>
      </c>
      <c r="BN132" s="120">
        <f t="shared" si="1065"/>
        <v>5014.2993197834003</v>
      </c>
      <c r="BO132" s="120">
        <f t="shared" si="1066"/>
        <v>4561.5634009609012</v>
      </c>
      <c r="BP132" s="120">
        <f t="shared" si="1067"/>
        <v>5443.3207679792004</v>
      </c>
      <c r="BQ132" s="120">
        <f t="shared" si="1068"/>
        <v>7447.5368161224005</v>
      </c>
      <c r="BR132" s="120">
        <f t="shared" si="1069"/>
        <v>5605.3377611787009</v>
      </c>
      <c r="BS132" s="120">
        <f t="shared" si="1070"/>
        <v>5907.1204384040011</v>
      </c>
      <c r="BT132" s="120">
        <f t="shared" si="1071"/>
        <v>6106.448048655001</v>
      </c>
      <c r="BU132" s="120">
        <f t="shared" si="1072"/>
        <v>6311.5157538370004</v>
      </c>
      <c r="BV132" s="120">
        <f t="shared" si="1073"/>
        <v>5951.1053226987997</v>
      </c>
      <c r="BW132" s="120">
        <f t="shared" si="1074"/>
        <v>5653.2731813966002</v>
      </c>
      <c r="BX132" s="120">
        <f t="shared" si="1075"/>
        <v>4917.4899175509418</v>
      </c>
      <c r="BY132" s="8"/>
      <c r="BZ132" s="72">
        <f t="shared" si="1077"/>
        <v>5022.8599999999997</v>
      </c>
      <c r="CA132" s="72">
        <f t="shared" si="1078"/>
        <v>55904.039999999994</v>
      </c>
      <c r="CB132" s="97"/>
      <c r="CC132" s="72">
        <f t="shared" si="950"/>
        <v>0</v>
      </c>
      <c r="CD132" s="72">
        <f t="shared" si="1027"/>
        <v>0</v>
      </c>
      <c r="CE132" s="72">
        <f t="shared" si="1027"/>
        <v>45559.540000000008</v>
      </c>
      <c r="CF132" s="72">
        <f t="shared" si="1027"/>
        <v>60273.166099999995</v>
      </c>
      <c r="CG132" s="72">
        <f t="shared" si="1027"/>
        <v>62081.361082999996</v>
      </c>
      <c r="CH132" s="72">
        <f t="shared" si="1027"/>
        <v>63943.801915489996</v>
      </c>
      <c r="CI132" s="72">
        <f t="shared" si="1027"/>
        <v>65862.115972954693</v>
      </c>
      <c r="CJ132" s="72">
        <f t="shared" si="1027"/>
        <v>67837.97945214335</v>
      </c>
      <c r="CL132" s="13"/>
      <c r="CM132" s="13"/>
    </row>
    <row r="133" spans="1:91" x14ac:dyDescent="0.3">
      <c r="A133" s="97" t="str">
        <f>'DCS Detail'!A133</f>
        <v xml:space="preserve">         533.1 Telephone - Landline</v>
      </c>
      <c r="B133" s="106" t="str">
        <f>IF('DCS Detail'!$B133="","",'DCS Detail'!$B133)</f>
        <v>Utilities</v>
      </c>
      <c r="C133" s="106"/>
      <c r="D133" s="106"/>
      <c r="E133" s="18">
        <v>3535.87</v>
      </c>
      <c r="F133" s="18">
        <v>2594.84</v>
      </c>
      <c r="G133" s="18">
        <v>1057.08</v>
      </c>
      <c r="H133" s="18">
        <v>777.51</v>
      </c>
      <c r="I133" s="18">
        <v>0</v>
      </c>
      <c r="J133" s="18">
        <v>1286.8399999999999</v>
      </c>
      <c r="K133" s="18">
        <v>921.65</v>
      </c>
      <c r="L133" s="18">
        <v>843.01000000000022</v>
      </c>
      <c r="M133" s="18">
        <v>563.15</v>
      </c>
      <c r="N133" s="18">
        <v>1763.44</v>
      </c>
      <c r="O133" s="18">
        <v>0</v>
      </c>
      <c r="P133" s="18">
        <v>910.32</v>
      </c>
      <c r="Q133" s="18">
        <v>1732.74</v>
      </c>
      <c r="R133" s="18">
        <v>1556.16</v>
      </c>
      <c r="S133" s="18">
        <v>1761.34</v>
      </c>
      <c r="T133" s="18">
        <v>3376.3</v>
      </c>
      <c r="U133" s="18">
        <v>937.72</v>
      </c>
      <c r="V133" s="18">
        <v>884.2</v>
      </c>
      <c r="W133" s="18">
        <v>370.44</v>
      </c>
      <c r="X133" s="18">
        <v>0</v>
      </c>
      <c r="Y133" s="18">
        <v>562.78</v>
      </c>
      <c r="Z133" s="18">
        <v>195.9</v>
      </c>
      <c r="AA133" s="146">
        <v>368.37</v>
      </c>
      <c r="AB133" s="120">
        <f t="shared" si="1076"/>
        <v>937.6296000000001</v>
      </c>
      <c r="AC133" s="120">
        <f t="shared" si="1028"/>
        <v>1784.7222000000002</v>
      </c>
      <c r="AD133" s="120">
        <f t="shared" si="1029"/>
        <v>1602.8448000000001</v>
      </c>
      <c r="AE133" s="120">
        <f t="shared" si="1030"/>
        <v>1814.1802</v>
      </c>
      <c r="AF133" s="120">
        <f t="shared" si="1031"/>
        <v>3477.5890000000004</v>
      </c>
      <c r="AG133" s="120">
        <f t="shared" si="1032"/>
        <v>965.85160000000008</v>
      </c>
      <c r="AH133" s="120">
        <f t="shared" si="1033"/>
        <v>910.72600000000011</v>
      </c>
      <c r="AI133" s="120">
        <f t="shared" si="1034"/>
        <v>381.5532</v>
      </c>
      <c r="AJ133" s="120">
        <f t="shared" si="1035"/>
        <v>0</v>
      </c>
      <c r="AK133" s="120">
        <f t="shared" si="1036"/>
        <v>579.66340000000002</v>
      </c>
      <c r="AL133" s="120">
        <f t="shared" si="1037"/>
        <v>201.77700000000002</v>
      </c>
      <c r="AM133" s="120">
        <f t="shared" si="1038"/>
        <v>379.42110000000002</v>
      </c>
      <c r="AN133" s="120">
        <f t="shared" si="1039"/>
        <v>965.75848800000017</v>
      </c>
      <c r="AO133" s="120">
        <f t="shared" si="1040"/>
        <v>1838.2638660000002</v>
      </c>
      <c r="AP133" s="120">
        <f t="shared" si="1041"/>
        <v>1650.9301440000002</v>
      </c>
      <c r="AQ133" s="120">
        <f t="shared" si="1042"/>
        <v>1868.6056060000001</v>
      </c>
      <c r="AR133" s="120">
        <f t="shared" si="1043"/>
        <v>3581.9166700000005</v>
      </c>
      <c r="AS133" s="120">
        <f t="shared" si="1044"/>
        <v>994.82714800000008</v>
      </c>
      <c r="AT133" s="120">
        <f t="shared" si="1045"/>
        <v>938.0477800000001</v>
      </c>
      <c r="AU133" s="120">
        <f t="shared" si="1046"/>
        <v>392.999796</v>
      </c>
      <c r="AV133" s="120">
        <f t="shared" si="1047"/>
        <v>0</v>
      </c>
      <c r="AW133" s="120">
        <f t="shared" si="1048"/>
        <v>597.05330200000003</v>
      </c>
      <c r="AX133" s="120">
        <f t="shared" si="1049"/>
        <v>207.83031000000003</v>
      </c>
      <c r="AY133" s="120">
        <f t="shared" si="1050"/>
        <v>390.80373300000002</v>
      </c>
      <c r="AZ133" s="120">
        <f t="shared" si="1051"/>
        <v>994.73124264000023</v>
      </c>
      <c r="BA133" s="120">
        <f t="shared" si="1052"/>
        <v>1893.4117819800003</v>
      </c>
      <c r="BB133" s="120">
        <f t="shared" si="1053"/>
        <v>1700.4580483200002</v>
      </c>
      <c r="BC133" s="120">
        <f t="shared" si="1054"/>
        <v>1924.66377418</v>
      </c>
      <c r="BD133" s="120">
        <f t="shared" si="1055"/>
        <v>3689.3741701000008</v>
      </c>
      <c r="BE133" s="120">
        <f t="shared" si="1056"/>
        <v>1024.67196244</v>
      </c>
      <c r="BF133" s="120">
        <f t="shared" si="1057"/>
        <v>966.18921340000009</v>
      </c>
      <c r="BG133" s="120">
        <f t="shared" si="1058"/>
        <v>404.78978988</v>
      </c>
      <c r="BH133" s="120">
        <f t="shared" si="1059"/>
        <v>0</v>
      </c>
      <c r="BI133" s="120">
        <f t="shared" si="1060"/>
        <v>614.9649010600001</v>
      </c>
      <c r="BJ133" s="120">
        <f t="shared" si="1061"/>
        <v>214.06521930000002</v>
      </c>
      <c r="BK133" s="120">
        <f t="shared" si="1062"/>
        <v>402.52784499000001</v>
      </c>
      <c r="BL133" s="120">
        <f t="shared" si="1063"/>
        <v>1024.5731799192004</v>
      </c>
      <c r="BM133" s="120">
        <f t="shared" si="1064"/>
        <v>1950.2141354394005</v>
      </c>
      <c r="BN133" s="120">
        <f t="shared" si="1065"/>
        <v>1751.4717897696003</v>
      </c>
      <c r="BO133" s="120">
        <f t="shared" si="1066"/>
        <v>1982.4036874054</v>
      </c>
      <c r="BP133" s="120">
        <f t="shared" si="1067"/>
        <v>3800.0553952030009</v>
      </c>
      <c r="BQ133" s="120">
        <f t="shared" si="1068"/>
        <v>1055.4121213132</v>
      </c>
      <c r="BR133" s="120">
        <f t="shared" si="1069"/>
        <v>995.17488980200017</v>
      </c>
      <c r="BS133" s="120">
        <f t="shared" si="1070"/>
        <v>416.93348357640002</v>
      </c>
      <c r="BT133" s="120">
        <f t="shared" si="1071"/>
        <v>0</v>
      </c>
      <c r="BU133" s="120">
        <f t="shared" si="1072"/>
        <v>633.41384809180011</v>
      </c>
      <c r="BV133" s="120">
        <f t="shared" si="1073"/>
        <v>220.48717587900003</v>
      </c>
      <c r="BW133" s="120">
        <f t="shared" si="1074"/>
        <v>414.60368033970002</v>
      </c>
      <c r="BX133" s="120">
        <f t="shared" si="1075"/>
        <v>1055.3103753167763</v>
      </c>
      <c r="BY133" s="8"/>
      <c r="BZ133" s="72">
        <f t="shared" si="1077"/>
        <v>368.37</v>
      </c>
      <c r="CA133" s="72">
        <f t="shared" si="1078"/>
        <v>11745.950000000003</v>
      </c>
      <c r="CB133" s="97"/>
      <c r="CC133" s="72">
        <f t="shared" si="950"/>
        <v>0</v>
      </c>
      <c r="CD133" s="72">
        <f t="shared" si="1027"/>
        <v>0</v>
      </c>
      <c r="CE133" s="72">
        <f t="shared" si="1027"/>
        <v>14253.71</v>
      </c>
      <c r="CF133" s="72">
        <f t="shared" si="1027"/>
        <v>12683.579600000003</v>
      </c>
      <c r="CG133" s="72">
        <f t="shared" si="1027"/>
        <v>13064.086987999999</v>
      </c>
      <c r="CH133" s="72">
        <f t="shared" si="1027"/>
        <v>13456.009597640003</v>
      </c>
      <c r="CI133" s="72">
        <f t="shared" si="1027"/>
        <v>13859.689885569203</v>
      </c>
      <c r="CJ133" s="72">
        <f t="shared" si="1027"/>
        <v>14275.480582136279</v>
      </c>
      <c r="CL133" s="13"/>
      <c r="CM133" s="13"/>
    </row>
    <row r="134" spans="1:91" x14ac:dyDescent="0.3">
      <c r="A134" s="97" t="str">
        <f>'DCS Detail'!A134</f>
        <v xml:space="preserve">         610.4 Gen Maint &amp; Janitorial Supplies</v>
      </c>
      <c r="B134" s="106" t="str">
        <f>IF('DCS Detail'!$B134="","",'DCS Detail'!$B134)</f>
        <v>Cleaning Serv.</v>
      </c>
      <c r="C134" s="106"/>
      <c r="D134" s="106"/>
      <c r="E134" s="18">
        <v>0</v>
      </c>
      <c r="F134" s="18">
        <v>0</v>
      </c>
      <c r="G134" s="18">
        <v>0</v>
      </c>
      <c r="H134" s="18">
        <v>129.32</v>
      </c>
      <c r="I134" s="18">
        <v>227.37</v>
      </c>
      <c r="J134" s="18">
        <v>0</v>
      </c>
      <c r="K134" s="18">
        <v>0</v>
      </c>
      <c r="L134" s="18">
        <v>100.24000000000001</v>
      </c>
      <c r="M134" s="18">
        <v>43.149999999999977</v>
      </c>
      <c r="N134" s="18">
        <v>290.58</v>
      </c>
      <c r="O134" s="18">
        <v>0</v>
      </c>
      <c r="P134" s="18">
        <v>0</v>
      </c>
      <c r="Q134" s="18">
        <v>0</v>
      </c>
      <c r="R134" s="18">
        <v>231.75</v>
      </c>
      <c r="S134" s="18">
        <v>133.19999999999999</v>
      </c>
      <c r="T134" s="18">
        <v>1319.28</v>
      </c>
      <c r="U134" s="18">
        <v>240.35</v>
      </c>
      <c r="V134" s="18">
        <v>0</v>
      </c>
      <c r="W134" s="18">
        <v>-142.13</v>
      </c>
      <c r="X134" s="18">
        <v>435.18</v>
      </c>
      <c r="Y134" s="18">
        <v>191.73</v>
      </c>
      <c r="Z134" s="18">
        <v>389.26</v>
      </c>
      <c r="AA134" s="146">
        <v>0</v>
      </c>
      <c r="AB134" s="120">
        <f t="shared" si="1076"/>
        <v>0</v>
      </c>
      <c r="AC134" s="120">
        <f t="shared" si="1028"/>
        <v>0</v>
      </c>
      <c r="AD134" s="120">
        <f t="shared" si="1029"/>
        <v>238.70250000000001</v>
      </c>
      <c r="AE134" s="120">
        <f t="shared" si="1030"/>
        <v>137.196</v>
      </c>
      <c r="AF134" s="120">
        <f t="shared" si="1031"/>
        <v>1358.8584000000001</v>
      </c>
      <c r="AG134" s="120">
        <f t="shared" si="1032"/>
        <v>247.56049999999999</v>
      </c>
      <c r="AH134" s="120">
        <f t="shared" si="1033"/>
        <v>0</v>
      </c>
      <c r="AI134" s="120">
        <f t="shared" si="1034"/>
        <v>-146.3939</v>
      </c>
      <c r="AJ134" s="120">
        <f t="shared" si="1035"/>
        <v>448.23540000000003</v>
      </c>
      <c r="AK134" s="120">
        <f t="shared" si="1036"/>
        <v>197.4819</v>
      </c>
      <c r="AL134" s="120">
        <f t="shared" si="1037"/>
        <v>400.93779999999998</v>
      </c>
      <c r="AM134" s="120">
        <f t="shared" si="1038"/>
        <v>0</v>
      </c>
      <c r="AN134" s="120">
        <f t="shared" si="1039"/>
        <v>0</v>
      </c>
      <c r="AO134" s="120">
        <f t="shared" si="1040"/>
        <v>0</v>
      </c>
      <c r="AP134" s="120">
        <f t="shared" si="1041"/>
        <v>245.86357500000003</v>
      </c>
      <c r="AQ134" s="120">
        <f t="shared" si="1042"/>
        <v>141.31188</v>
      </c>
      <c r="AR134" s="120">
        <f t="shared" si="1043"/>
        <v>1399.6241520000001</v>
      </c>
      <c r="AS134" s="120">
        <f t="shared" si="1044"/>
        <v>254.987315</v>
      </c>
      <c r="AT134" s="120">
        <f t="shared" si="1045"/>
        <v>0</v>
      </c>
      <c r="AU134" s="120">
        <f t="shared" si="1046"/>
        <v>-150.78571700000001</v>
      </c>
      <c r="AV134" s="120">
        <f t="shared" si="1047"/>
        <v>461.68246200000004</v>
      </c>
      <c r="AW134" s="120">
        <f t="shared" si="1048"/>
        <v>203.40635700000001</v>
      </c>
      <c r="AX134" s="120">
        <f t="shared" si="1049"/>
        <v>412.965934</v>
      </c>
      <c r="AY134" s="120">
        <f t="shared" si="1050"/>
        <v>0</v>
      </c>
      <c r="AZ134" s="120">
        <f t="shared" si="1051"/>
        <v>0</v>
      </c>
      <c r="BA134" s="120">
        <f t="shared" si="1052"/>
        <v>0</v>
      </c>
      <c r="BB134" s="120">
        <f t="shared" si="1053"/>
        <v>253.23948225000004</v>
      </c>
      <c r="BC134" s="120">
        <f t="shared" si="1054"/>
        <v>145.55123639999999</v>
      </c>
      <c r="BD134" s="120">
        <f t="shared" si="1055"/>
        <v>1441.6128765600001</v>
      </c>
      <c r="BE134" s="120">
        <f t="shared" si="1056"/>
        <v>262.63693445000001</v>
      </c>
      <c r="BF134" s="120">
        <f t="shared" si="1057"/>
        <v>0</v>
      </c>
      <c r="BG134" s="120">
        <f t="shared" si="1058"/>
        <v>-155.30928851000002</v>
      </c>
      <c r="BH134" s="120">
        <f t="shared" si="1059"/>
        <v>475.53293586000007</v>
      </c>
      <c r="BI134" s="120">
        <f t="shared" si="1060"/>
        <v>209.50854771000002</v>
      </c>
      <c r="BJ134" s="120">
        <f t="shared" si="1061"/>
        <v>425.35491202000003</v>
      </c>
      <c r="BK134" s="120">
        <f t="shared" si="1062"/>
        <v>0</v>
      </c>
      <c r="BL134" s="120">
        <f t="shared" si="1063"/>
        <v>0</v>
      </c>
      <c r="BM134" s="120">
        <f t="shared" si="1064"/>
        <v>0</v>
      </c>
      <c r="BN134" s="120">
        <f t="shared" si="1065"/>
        <v>260.83666671750007</v>
      </c>
      <c r="BO134" s="120">
        <f t="shared" si="1066"/>
        <v>149.91777349200001</v>
      </c>
      <c r="BP134" s="120">
        <f t="shared" si="1067"/>
        <v>1484.8612628568001</v>
      </c>
      <c r="BQ134" s="120">
        <f t="shared" si="1068"/>
        <v>270.51604248350003</v>
      </c>
      <c r="BR134" s="120">
        <f t="shared" si="1069"/>
        <v>0</v>
      </c>
      <c r="BS134" s="120">
        <f t="shared" si="1070"/>
        <v>-159.96856716530002</v>
      </c>
      <c r="BT134" s="120">
        <f t="shared" si="1071"/>
        <v>489.79892393580008</v>
      </c>
      <c r="BU134" s="120">
        <f t="shared" si="1072"/>
        <v>215.79380414130003</v>
      </c>
      <c r="BV134" s="120">
        <f t="shared" si="1073"/>
        <v>438.11555938060002</v>
      </c>
      <c r="BW134" s="120">
        <f t="shared" si="1074"/>
        <v>0</v>
      </c>
      <c r="BX134" s="120">
        <f t="shared" si="1075"/>
        <v>0</v>
      </c>
      <c r="BY134" s="8"/>
      <c r="BZ134" s="72">
        <f t="shared" si="1077"/>
        <v>0</v>
      </c>
      <c r="CA134" s="72">
        <f t="shared" si="1078"/>
        <v>2798.62</v>
      </c>
      <c r="CB134" s="97"/>
      <c r="CC134" s="72">
        <f t="shared" si="950"/>
        <v>0</v>
      </c>
      <c r="CD134" s="72">
        <f t="shared" si="1027"/>
        <v>0</v>
      </c>
      <c r="CE134" s="72">
        <f t="shared" si="1027"/>
        <v>790.66</v>
      </c>
      <c r="CF134" s="72">
        <f t="shared" si="1027"/>
        <v>2798.62</v>
      </c>
      <c r="CG134" s="72">
        <f t="shared" si="1027"/>
        <v>2882.5786000000003</v>
      </c>
      <c r="CH134" s="72">
        <f t="shared" si="1027"/>
        <v>2969.0559579999999</v>
      </c>
      <c r="CI134" s="72">
        <f t="shared" si="1027"/>
        <v>3058.1276367400005</v>
      </c>
      <c r="CJ134" s="72">
        <f t="shared" si="1027"/>
        <v>3149.8714658422</v>
      </c>
      <c r="CL134" s="13"/>
      <c r="CM134" s="13"/>
    </row>
    <row r="135" spans="1:91" x14ac:dyDescent="0.3">
      <c r="A135" s="97" t="str">
        <f>'DCS Detail'!A135</f>
        <v xml:space="preserve">         610.5 Maint &amp; Misc Facility Costs</v>
      </c>
      <c r="B135" s="106" t="str">
        <f>IF('DCS Detail'!$B135="","",'DCS Detail'!$B135)</f>
        <v>Repairs/Maint</v>
      </c>
      <c r="C135" s="106"/>
      <c r="D135" s="106"/>
      <c r="E135" s="18">
        <v>0</v>
      </c>
      <c r="F135" s="18">
        <v>118</v>
      </c>
      <c r="G135" s="18">
        <v>330</v>
      </c>
      <c r="H135" s="18">
        <v>1586.68</v>
      </c>
      <c r="I135" s="18">
        <v>0</v>
      </c>
      <c r="J135" s="18">
        <v>0</v>
      </c>
      <c r="K135" s="18">
        <v>0</v>
      </c>
      <c r="L135" s="18">
        <v>224.99999999999977</v>
      </c>
      <c r="M135" s="18">
        <v>300.00000000000045</v>
      </c>
      <c r="N135" s="18">
        <v>377.7</v>
      </c>
      <c r="O135" s="18">
        <v>0</v>
      </c>
      <c r="P135" s="18">
        <v>313.06</v>
      </c>
      <c r="Q135" s="18">
        <v>-209.88</v>
      </c>
      <c r="R135" s="18">
        <v>388.17</v>
      </c>
      <c r="S135" s="18">
        <v>62.24</v>
      </c>
      <c r="T135" s="18">
        <v>338</v>
      </c>
      <c r="U135" s="18">
        <v>1639</v>
      </c>
      <c r="V135" s="18">
        <v>194.52</v>
      </c>
      <c r="W135" s="18">
        <v>1269</v>
      </c>
      <c r="X135" s="18">
        <v>-111.55</v>
      </c>
      <c r="Y135" s="18">
        <v>407</v>
      </c>
      <c r="Z135" s="18">
        <v>0</v>
      </c>
      <c r="AA135" s="146">
        <v>128.03</v>
      </c>
      <c r="AB135" s="120">
        <f t="shared" si="1076"/>
        <v>322.45179999999999</v>
      </c>
      <c r="AC135" s="120">
        <f t="shared" si="1028"/>
        <v>-216.1764</v>
      </c>
      <c r="AD135" s="120">
        <f t="shared" si="1029"/>
        <v>399.81510000000003</v>
      </c>
      <c r="AE135" s="120">
        <f t="shared" si="1030"/>
        <v>64.107200000000006</v>
      </c>
      <c r="AF135" s="120">
        <f t="shared" si="1031"/>
        <v>348.14</v>
      </c>
      <c r="AG135" s="120">
        <f t="shared" si="1032"/>
        <v>1688.17</v>
      </c>
      <c r="AH135" s="120">
        <f t="shared" si="1033"/>
        <v>200.35560000000001</v>
      </c>
      <c r="AI135" s="120">
        <f t="shared" si="1034"/>
        <v>1307.07</v>
      </c>
      <c r="AJ135" s="120">
        <f t="shared" si="1035"/>
        <v>-114.8965</v>
      </c>
      <c r="AK135" s="120">
        <f t="shared" si="1036"/>
        <v>419.21000000000004</v>
      </c>
      <c r="AL135" s="120">
        <f t="shared" si="1037"/>
        <v>0</v>
      </c>
      <c r="AM135" s="120">
        <f t="shared" si="1038"/>
        <v>131.87090000000001</v>
      </c>
      <c r="AN135" s="120">
        <f t="shared" si="1039"/>
        <v>332.12535400000002</v>
      </c>
      <c r="AO135" s="120">
        <f t="shared" si="1040"/>
        <v>-222.66169200000002</v>
      </c>
      <c r="AP135" s="120">
        <f t="shared" si="1041"/>
        <v>411.80955300000005</v>
      </c>
      <c r="AQ135" s="120">
        <f t="shared" si="1042"/>
        <v>66.030416000000002</v>
      </c>
      <c r="AR135" s="120">
        <f t="shared" si="1043"/>
        <v>358.58420000000001</v>
      </c>
      <c r="AS135" s="120">
        <f t="shared" si="1044"/>
        <v>1738.8151</v>
      </c>
      <c r="AT135" s="120">
        <f t="shared" si="1045"/>
        <v>206.36626800000002</v>
      </c>
      <c r="AU135" s="120">
        <f t="shared" si="1046"/>
        <v>1346.2820999999999</v>
      </c>
      <c r="AV135" s="120">
        <f t="shared" si="1047"/>
        <v>-118.343395</v>
      </c>
      <c r="AW135" s="120">
        <f t="shared" si="1048"/>
        <v>431.78630000000004</v>
      </c>
      <c r="AX135" s="120">
        <f t="shared" si="1049"/>
        <v>0</v>
      </c>
      <c r="AY135" s="120">
        <f t="shared" si="1050"/>
        <v>135.82702700000002</v>
      </c>
      <c r="AZ135" s="120">
        <f t="shared" si="1051"/>
        <v>342.08911462000003</v>
      </c>
      <c r="BA135" s="120">
        <f t="shared" si="1052"/>
        <v>-229.34154276000001</v>
      </c>
      <c r="BB135" s="120">
        <f t="shared" si="1053"/>
        <v>424.16383959000007</v>
      </c>
      <c r="BC135" s="120">
        <f t="shared" si="1054"/>
        <v>68.011328480000003</v>
      </c>
      <c r="BD135" s="120">
        <f t="shared" si="1055"/>
        <v>369.34172599999999</v>
      </c>
      <c r="BE135" s="120">
        <f t="shared" si="1056"/>
        <v>1790.9795530000001</v>
      </c>
      <c r="BF135" s="120">
        <f t="shared" si="1057"/>
        <v>212.55725604000003</v>
      </c>
      <c r="BG135" s="120">
        <f t="shared" si="1058"/>
        <v>1386.6705629999999</v>
      </c>
      <c r="BH135" s="120">
        <f t="shared" si="1059"/>
        <v>-121.89369685</v>
      </c>
      <c r="BI135" s="120">
        <f t="shared" si="1060"/>
        <v>444.73988900000006</v>
      </c>
      <c r="BJ135" s="120">
        <f t="shared" si="1061"/>
        <v>0</v>
      </c>
      <c r="BK135" s="120">
        <f t="shared" si="1062"/>
        <v>139.90183781000002</v>
      </c>
      <c r="BL135" s="120">
        <f t="shared" si="1063"/>
        <v>352.35178805860005</v>
      </c>
      <c r="BM135" s="120">
        <f t="shared" si="1064"/>
        <v>-236.22178904280003</v>
      </c>
      <c r="BN135" s="120">
        <f t="shared" si="1065"/>
        <v>436.88875477770006</v>
      </c>
      <c r="BO135" s="120">
        <f t="shared" si="1066"/>
        <v>70.051668334400006</v>
      </c>
      <c r="BP135" s="120">
        <f t="shared" si="1067"/>
        <v>380.42197778000002</v>
      </c>
      <c r="BQ135" s="120">
        <f t="shared" si="1068"/>
        <v>1844.7089395900002</v>
      </c>
      <c r="BR135" s="120">
        <f t="shared" si="1069"/>
        <v>218.93397372120003</v>
      </c>
      <c r="BS135" s="120">
        <f t="shared" si="1070"/>
        <v>1428.2706798899999</v>
      </c>
      <c r="BT135" s="120">
        <f t="shared" si="1071"/>
        <v>-125.55050775550001</v>
      </c>
      <c r="BU135" s="120">
        <f t="shared" si="1072"/>
        <v>458.08208567000008</v>
      </c>
      <c r="BV135" s="120">
        <f t="shared" si="1073"/>
        <v>0</v>
      </c>
      <c r="BW135" s="120">
        <f t="shared" si="1074"/>
        <v>144.09889294430002</v>
      </c>
      <c r="BX135" s="120">
        <f t="shared" si="1075"/>
        <v>362.92234170035806</v>
      </c>
      <c r="BY135" s="8"/>
      <c r="BZ135" s="72">
        <f t="shared" si="1077"/>
        <v>128.03</v>
      </c>
      <c r="CA135" s="72">
        <f t="shared" si="1078"/>
        <v>4104.53</v>
      </c>
      <c r="CB135" s="97"/>
      <c r="CC135" s="72">
        <f t="shared" si="950"/>
        <v>0</v>
      </c>
      <c r="CD135" s="72">
        <f t="shared" si="1027"/>
        <v>0</v>
      </c>
      <c r="CE135" s="72">
        <f t="shared" si="1027"/>
        <v>3250.44</v>
      </c>
      <c r="CF135" s="72">
        <f t="shared" si="1027"/>
        <v>4426.9817999999996</v>
      </c>
      <c r="CG135" s="72">
        <f t="shared" si="1027"/>
        <v>4559.7912539999998</v>
      </c>
      <c r="CH135" s="72">
        <f t="shared" si="1027"/>
        <v>4696.5849916200004</v>
      </c>
      <c r="CI135" s="72">
        <f t="shared" si="1027"/>
        <v>4837.4825413686012</v>
      </c>
      <c r="CJ135" s="72">
        <f t="shared" si="1027"/>
        <v>4982.6070176096582</v>
      </c>
      <c r="CL135" s="13"/>
      <c r="CM135" s="13"/>
    </row>
    <row r="136" spans="1:91" x14ac:dyDescent="0.3">
      <c r="A136" s="97" t="str">
        <f>'DCS Detail'!A136</f>
        <v xml:space="preserve">         610.6 Security &amp; Fire System</v>
      </c>
      <c r="B136" s="106" t="str">
        <f>IF('DCS Detail'!$B136="","",'DCS Detail'!$B136)</f>
        <v>Utilities</v>
      </c>
      <c r="C136" s="106"/>
      <c r="D136" s="106"/>
      <c r="E136" s="18">
        <v>635.71</v>
      </c>
      <c r="F136" s="18">
        <v>72</v>
      </c>
      <c r="G136" s="18">
        <v>264.70999999999998</v>
      </c>
      <c r="H136" s="18">
        <v>56.33</v>
      </c>
      <c r="I136" s="18">
        <v>446.94</v>
      </c>
      <c r="J136" s="18">
        <v>264.70999999999998</v>
      </c>
      <c r="K136" s="18">
        <v>0</v>
      </c>
      <c r="L136" s="18">
        <v>237.79999999999995</v>
      </c>
      <c r="M136" s="18">
        <v>264.70999999999998</v>
      </c>
      <c r="N136" s="18">
        <v>191</v>
      </c>
      <c r="O136" s="18">
        <v>0</v>
      </c>
      <c r="P136" s="18">
        <v>266.02</v>
      </c>
      <c r="Q136" s="18">
        <v>-176.02</v>
      </c>
      <c r="R136" s="18">
        <v>0</v>
      </c>
      <c r="S136" s="18">
        <v>90</v>
      </c>
      <c r="T136" s="18">
        <v>0</v>
      </c>
      <c r="U136" s="18">
        <v>217</v>
      </c>
      <c r="V136" s="18">
        <v>30</v>
      </c>
      <c r="W136" s="18">
        <v>315.85000000000002</v>
      </c>
      <c r="X136" s="18">
        <v>315.86</v>
      </c>
      <c r="Y136" s="18">
        <v>-7.99</v>
      </c>
      <c r="Z136" s="18">
        <v>94.85</v>
      </c>
      <c r="AA136" s="146">
        <v>94.85</v>
      </c>
      <c r="AB136" s="120">
        <f t="shared" si="1076"/>
        <v>274.00059999999996</v>
      </c>
      <c r="AC136" s="120">
        <f t="shared" si="1028"/>
        <v>-181.3006</v>
      </c>
      <c r="AD136" s="120">
        <f t="shared" si="1029"/>
        <v>0</v>
      </c>
      <c r="AE136" s="120">
        <f t="shared" si="1030"/>
        <v>92.7</v>
      </c>
      <c r="AF136" s="120">
        <f t="shared" si="1031"/>
        <v>0</v>
      </c>
      <c r="AG136" s="120">
        <f t="shared" si="1032"/>
        <v>223.51000000000002</v>
      </c>
      <c r="AH136" s="120">
        <f t="shared" si="1033"/>
        <v>30.900000000000002</v>
      </c>
      <c r="AI136" s="120">
        <f t="shared" si="1034"/>
        <v>325.32550000000003</v>
      </c>
      <c r="AJ136" s="120">
        <f t="shared" si="1035"/>
        <v>325.33580000000001</v>
      </c>
      <c r="AK136" s="120">
        <f t="shared" si="1036"/>
        <v>-8.2297000000000011</v>
      </c>
      <c r="AL136" s="120">
        <f t="shared" si="1037"/>
        <v>97.695499999999996</v>
      </c>
      <c r="AM136" s="120">
        <f t="shared" si="1038"/>
        <v>97.695499999999996</v>
      </c>
      <c r="AN136" s="120">
        <f t="shared" si="1039"/>
        <v>282.22061799999994</v>
      </c>
      <c r="AO136" s="120">
        <f t="shared" si="1040"/>
        <v>-186.73961800000001</v>
      </c>
      <c r="AP136" s="120">
        <f t="shared" si="1041"/>
        <v>0</v>
      </c>
      <c r="AQ136" s="120">
        <f t="shared" si="1042"/>
        <v>95.481000000000009</v>
      </c>
      <c r="AR136" s="120">
        <f t="shared" si="1043"/>
        <v>0</v>
      </c>
      <c r="AS136" s="120">
        <f t="shared" si="1044"/>
        <v>230.21530000000001</v>
      </c>
      <c r="AT136" s="120">
        <f t="shared" si="1045"/>
        <v>31.827000000000002</v>
      </c>
      <c r="AU136" s="120">
        <f t="shared" si="1046"/>
        <v>335.08526500000005</v>
      </c>
      <c r="AV136" s="120">
        <f t="shared" si="1047"/>
        <v>335.09587400000004</v>
      </c>
      <c r="AW136" s="120">
        <f t="shared" si="1048"/>
        <v>-8.4765910000000009</v>
      </c>
      <c r="AX136" s="120">
        <f t="shared" si="1049"/>
        <v>100.62636499999999</v>
      </c>
      <c r="AY136" s="120">
        <f t="shared" si="1050"/>
        <v>100.62636499999999</v>
      </c>
      <c r="AZ136" s="120">
        <f t="shared" si="1051"/>
        <v>290.68723653999996</v>
      </c>
      <c r="BA136" s="120">
        <f t="shared" si="1052"/>
        <v>-192.34180654000002</v>
      </c>
      <c r="BB136" s="120">
        <f t="shared" si="1053"/>
        <v>0</v>
      </c>
      <c r="BC136" s="120">
        <f t="shared" si="1054"/>
        <v>98.345430000000007</v>
      </c>
      <c r="BD136" s="120">
        <f t="shared" si="1055"/>
        <v>0</v>
      </c>
      <c r="BE136" s="120">
        <f t="shared" si="1056"/>
        <v>237.12175900000003</v>
      </c>
      <c r="BF136" s="120">
        <f t="shared" si="1057"/>
        <v>32.78181</v>
      </c>
      <c r="BG136" s="120">
        <f t="shared" si="1058"/>
        <v>345.13782295000004</v>
      </c>
      <c r="BH136" s="120">
        <f t="shared" si="1059"/>
        <v>345.14875022000007</v>
      </c>
      <c r="BI136" s="120">
        <f t="shared" si="1060"/>
        <v>-8.730888730000002</v>
      </c>
      <c r="BJ136" s="120">
        <f t="shared" si="1061"/>
        <v>103.64515594999999</v>
      </c>
      <c r="BK136" s="120">
        <f t="shared" si="1062"/>
        <v>103.64515594999999</v>
      </c>
      <c r="BL136" s="120">
        <f t="shared" si="1063"/>
        <v>299.40785363619995</v>
      </c>
      <c r="BM136" s="120">
        <f t="shared" si="1064"/>
        <v>-198.11206073620002</v>
      </c>
      <c r="BN136" s="120">
        <f t="shared" si="1065"/>
        <v>0</v>
      </c>
      <c r="BO136" s="120">
        <f t="shared" si="1066"/>
        <v>101.29579290000001</v>
      </c>
      <c r="BP136" s="120">
        <f t="shared" si="1067"/>
        <v>0</v>
      </c>
      <c r="BQ136" s="120">
        <f t="shared" si="1068"/>
        <v>244.23541177000004</v>
      </c>
      <c r="BR136" s="120">
        <f t="shared" si="1069"/>
        <v>33.765264299999998</v>
      </c>
      <c r="BS136" s="120">
        <f t="shared" si="1070"/>
        <v>355.49195763850003</v>
      </c>
      <c r="BT136" s="120">
        <f t="shared" si="1071"/>
        <v>355.50321272660005</v>
      </c>
      <c r="BU136" s="120">
        <f t="shared" si="1072"/>
        <v>-8.9928153919000025</v>
      </c>
      <c r="BV136" s="120">
        <f t="shared" si="1073"/>
        <v>106.75451062849999</v>
      </c>
      <c r="BW136" s="120">
        <f t="shared" si="1074"/>
        <v>106.75451062849999</v>
      </c>
      <c r="BX136" s="120">
        <f t="shared" si="1075"/>
        <v>308.39008924528594</v>
      </c>
      <c r="BY136" s="8"/>
      <c r="BZ136" s="72">
        <f t="shared" si="1077"/>
        <v>94.85</v>
      </c>
      <c r="CA136" s="72">
        <f t="shared" si="1078"/>
        <v>974.40000000000009</v>
      </c>
      <c r="CB136" s="97"/>
      <c r="CC136" s="72">
        <f t="shared" si="950"/>
        <v>0</v>
      </c>
      <c r="CD136" s="72">
        <f t="shared" si="1027"/>
        <v>0</v>
      </c>
      <c r="CE136" s="72">
        <f t="shared" si="1027"/>
        <v>2699.93</v>
      </c>
      <c r="CF136" s="72">
        <f t="shared" si="1027"/>
        <v>1248.4005999999999</v>
      </c>
      <c r="CG136" s="72">
        <f t="shared" si="1027"/>
        <v>1285.8526180000001</v>
      </c>
      <c r="CH136" s="72">
        <f t="shared" si="1027"/>
        <v>1324.42819654</v>
      </c>
      <c r="CI136" s="72">
        <f t="shared" si="1027"/>
        <v>1364.1610424362</v>
      </c>
      <c r="CJ136" s="72">
        <f t="shared" si="1027"/>
        <v>1405.085873709286</v>
      </c>
      <c r="CL136" s="13"/>
      <c r="CM136" s="13"/>
    </row>
    <row r="137" spans="1:91" x14ac:dyDescent="0.3">
      <c r="A137" s="97" t="str">
        <f>'DCS Detail'!A137</f>
        <v xml:space="preserve">         621.1 Natural Gas</v>
      </c>
      <c r="B137" s="106" t="str">
        <f>IF('DCS Detail'!$B137="","",'DCS Detail'!$B137)</f>
        <v>Utilities</v>
      </c>
      <c r="C137" s="106"/>
      <c r="D137" s="106"/>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46">
        <v>0</v>
      </c>
      <c r="AB137" s="120">
        <f t="shared" si="1076"/>
        <v>0</v>
      </c>
      <c r="AC137" s="120">
        <f t="shared" si="1028"/>
        <v>0</v>
      </c>
      <c r="AD137" s="120">
        <f t="shared" si="1029"/>
        <v>0</v>
      </c>
      <c r="AE137" s="120">
        <f t="shared" si="1030"/>
        <v>0</v>
      </c>
      <c r="AF137" s="120">
        <f t="shared" si="1031"/>
        <v>0</v>
      </c>
      <c r="AG137" s="120">
        <f t="shared" si="1032"/>
        <v>0</v>
      </c>
      <c r="AH137" s="120">
        <f t="shared" si="1033"/>
        <v>0</v>
      </c>
      <c r="AI137" s="120">
        <f t="shared" si="1034"/>
        <v>0</v>
      </c>
      <c r="AJ137" s="120">
        <f t="shared" si="1035"/>
        <v>0</v>
      </c>
      <c r="AK137" s="120">
        <f t="shared" si="1036"/>
        <v>0</v>
      </c>
      <c r="AL137" s="120">
        <f t="shared" si="1037"/>
        <v>0</v>
      </c>
      <c r="AM137" s="120">
        <f t="shared" si="1038"/>
        <v>0</v>
      </c>
      <c r="AN137" s="120">
        <f t="shared" si="1039"/>
        <v>0</v>
      </c>
      <c r="AO137" s="120">
        <f t="shared" si="1040"/>
        <v>0</v>
      </c>
      <c r="AP137" s="120">
        <f t="shared" si="1041"/>
        <v>0</v>
      </c>
      <c r="AQ137" s="120">
        <f t="shared" si="1042"/>
        <v>0</v>
      </c>
      <c r="AR137" s="120">
        <f t="shared" si="1043"/>
        <v>0</v>
      </c>
      <c r="AS137" s="120">
        <f t="shared" si="1044"/>
        <v>0</v>
      </c>
      <c r="AT137" s="120">
        <f t="shared" si="1045"/>
        <v>0</v>
      </c>
      <c r="AU137" s="120">
        <f t="shared" si="1046"/>
        <v>0</v>
      </c>
      <c r="AV137" s="120">
        <f t="shared" si="1047"/>
        <v>0</v>
      </c>
      <c r="AW137" s="120">
        <f t="shared" si="1048"/>
        <v>0</v>
      </c>
      <c r="AX137" s="120">
        <f t="shared" si="1049"/>
        <v>0</v>
      </c>
      <c r="AY137" s="120">
        <f t="shared" si="1050"/>
        <v>0</v>
      </c>
      <c r="AZ137" s="120">
        <f t="shared" si="1051"/>
        <v>0</v>
      </c>
      <c r="BA137" s="120">
        <f t="shared" si="1052"/>
        <v>0</v>
      </c>
      <c r="BB137" s="120">
        <f t="shared" si="1053"/>
        <v>0</v>
      </c>
      <c r="BC137" s="120">
        <f t="shared" si="1054"/>
        <v>0</v>
      </c>
      <c r="BD137" s="120">
        <f t="shared" si="1055"/>
        <v>0</v>
      </c>
      <c r="BE137" s="120">
        <f t="shared" si="1056"/>
        <v>0</v>
      </c>
      <c r="BF137" s="120">
        <f t="shared" si="1057"/>
        <v>0</v>
      </c>
      <c r="BG137" s="120">
        <f t="shared" si="1058"/>
        <v>0</v>
      </c>
      <c r="BH137" s="120">
        <f t="shared" si="1059"/>
        <v>0</v>
      </c>
      <c r="BI137" s="120">
        <f t="shared" si="1060"/>
        <v>0</v>
      </c>
      <c r="BJ137" s="120">
        <f t="shared" si="1061"/>
        <v>0</v>
      </c>
      <c r="BK137" s="120">
        <f t="shared" si="1062"/>
        <v>0</v>
      </c>
      <c r="BL137" s="120">
        <f t="shared" si="1063"/>
        <v>0</v>
      </c>
      <c r="BM137" s="120">
        <f t="shared" si="1064"/>
        <v>0</v>
      </c>
      <c r="BN137" s="120">
        <f t="shared" si="1065"/>
        <v>0</v>
      </c>
      <c r="BO137" s="120">
        <f t="shared" si="1066"/>
        <v>0</v>
      </c>
      <c r="BP137" s="120">
        <f t="shared" si="1067"/>
        <v>0</v>
      </c>
      <c r="BQ137" s="120">
        <f t="shared" si="1068"/>
        <v>0</v>
      </c>
      <c r="BR137" s="120">
        <f t="shared" si="1069"/>
        <v>0</v>
      </c>
      <c r="BS137" s="120">
        <f t="shared" si="1070"/>
        <v>0</v>
      </c>
      <c r="BT137" s="120">
        <f t="shared" si="1071"/>
        <v>0</v>
      </c>
      <c r="BU137" s="120">
        <f t="shared" si="1072"/>
        <v>0</v>
      </c>
      <c r="BV137" s="120">
        <f t="shared" si="1073"/>
        <v>0</v>
      </c>
      <c r="BW137" s="120">
        <f t="shared" si="1074"/>
        <v>0</v>
      </c>
      <c r="BX137" s="120">
        <f t="shared" si="1075"/>
        <v>0</v>
      </c>
      <c r="BY137" s="8"/>
      <c r="BZ137" s="72">
        <f t="shared" si="1077"/>
        <v>0</v>
      </c>
      <c r="CA137" s="72">
        <f t="shared" si="1078"/>
        <v>0</v>
      </c>
      <c r="CB137" s="97"/>
      <c r="CC137" s="72">
        <f t="shared" si="950"/>
        <v>0</v>
      </c>
      <c r="CD137" s="72">
        <f t="shared" si="1027"/>
        <v>0</v>
      </c>
      <c r="CE137" s="72">
        <f t="shared" si="1027"/>
        <v>0</v>
      </c>
      <c r="CF137" s="72">
        <f t="shared" si="1027"/>
        <v>0</v>
      </c>
      <c r="CG137" s="72">
        <f t="shared" si="1027"/>
        <v>0</v>
      </c>
      <c r="CH137" s="72">
        <f t="shared" si="1027"/>
        <v>0</v>
      </c>
      <c r="CI137" s="72">
        <f t="shared" si="1027"/>
        <v>0</v>
      </c>
      <c r="CJ137" s="72">
        <f t="shared" si="1027"/>
        <v>0</v>
      </c>
      <c r="CL137" s="13"/>
      <c r="CM137" s="13"/>
    </row>
    <row r="138" spans="1:91" x14ac:dyDescent="0.3">
      <c r="A138" s="97" t="str">
        <f>'DCS Detail'!A138</f>
        <v xml:space="preserve">         622.1 Electricity</v>
      </c>
      <c r="B138" s="106" t="str">
        <f>IF('DCS Detail'!$B138="","",'DCS Detail'!$B138)</f>
        <v>Utilities</v>
      </c>
      <c r="C138" s="106"/>
      <c r="D138" s="106"/>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-387.41</v>
      </c>
      <c r="X138" s="18">
        <v>0</v>
      </c>
      <c r="Y138" s="18">
        <v>0</v>
      </c>
      <c r="Z138" s="18">
        <v>0</v>
      </c>
      <c r="AA138" s="146">
        <v>0</v>
      </c>
      <c r="AB138" s="120">
        <f t="shared" si="1076"/>
        <v>0</v>
      </c>
      <c r="AC138" s="120">
        <f t="shared" si="1028"/>
        <v>0</v>
      </c>
      <c r="AD138" s="120">
        <f t="shared" si="1029"/>
        <v>0</v>
      </c>
      <c r="AE138" s="120">
        <f t="shared" si="1030"/>
        <v>0</v>
      </c>
      <c r="AF138" s="120">
        <f t="shared" si="1031"/>
        <v>0</v>
      </c>
      <c r="AG138" s="120">
        <f t="shared" si="1032"/>
        <v>0</v>
      </c>
      <c r="AH138" s="120">
        <f t="shared" si="1033"/>
        <v>0</v>
      </c>
      <c r="AI138" s="120">
        <f t="shared" si="1034"/>
        <v>-399.03230000000002</v>
      </c>
      <c r="AJ138" s="120">
        <f t="shared" si="1035"/>
        <v>0</v>
      </c>
      <c r="AK138" s="120">
        <f t="shared" si="1036"/>
        <v>0</v>
      </c>
      <c r="AL138" s="120">
        <f t="shared" si="1037"/>
        <v>0</v>
      </c>
      <c r="AM138" s="120">
        <f t="shared" si="1038"/>
        <v>0</v>
      </c>
      <c r="AN138" s="120">
        <f t="shared" si="1039"/>
        <v>0</v>
      </c>
      <c r="AO138" s="120">
        <f t="shared" si="1040"/>
        <v>0</v>
      </c>
      <c r="AP138" s="120">
        <f t="shared" si="1041"/>
        <v>0</v>
      </c>
      <c r="AQ138" s="120">
        <f t="shared" si="1042"/>
        <v>0</v>
      </c>
      <c r="AR138" s="120">
        <f t="shared" si="1043"/>
        <v>0</v>
      </c>
      <c r="AS138" s="120">
        <f t="shared" si="1044"/>
        <v>0</v>
      </c>
      <c r="AT138" s="120">
        <f t="shared" si="1045"/>
        <v>0</v>
      </c>
      <c r="AU138" s="120">
        <f t="shared" si="1046"/>
        <v>-411.00326900000005</v>
      </c>
      <c r="AV138" s="120">
        <f t="shared" si="1047"/>
        <v>0</v>
      </c>
      <c r="AW138" s="120">
        <f t="shared" si="1048"/>
        <v>0</v>
      </c>
      <c r="AX138" s="120">
        <f t="shared" si="1049"/>
        <v>0</v>
      </c>
      <c r="AY138" s="120">
        <f t="shared" si="1050"/>
        <v>0</v>
      </c>
      <c r="AZ138" s="120">
        <f t="shared" si="1051"/>
        <v>0</v>
      </c>
      <c r="BA138" s="120">
        <f t="shared" si="1052"/>
        <v>0</v>
      </c>
      <c r="BB138" s="120">
        <f t="shared" si="1053"/>
        <v>0</v>
      </c>
      <c r="BC138" s="120">
        <f t="shared" si="1054"/>
        <v>0</v>
      </c>
      <c r="BD138" s="120">
        <f t="shared" si="1055"/>
        <v>0</v>
      </c>
      <c r="BE138" s="120">
        <f t="shared" si="1056"/>
        <v>0</v>
      </c>
      <c r="BF138" s="120">
        <f t="shared" si="1057"/>
        <v>0</v>
      </c>
      <c r="BG138" s="120">
        <f t="shared" si="1058"/>
        <v>-423.33336707000007</v>
      </c>
      <c r="BH138" s="120">
        <f t="shared" si="1059"/>
        <v>0</v>
      </c>
      <c r="BI138" s="120">
        <f t="shared" si="1060"/>
        <v>0</v>
      </c>
      <c r="BJ138" s="120">
        <f t="shared" si="1061"/>
        <v>0</v>
      </c>
      <c r="BK138" s="120">
        <f t="shared" si="1062"/>
        <v>0</v>
      </c>
      <c r="BL138" s="120">
        <f t="shared" si="1063"/>
        <v>0</v>
      </c>
      <c r="BM138" s="120">
        <f t="shared" si="1064"/>
        <v>0</v>
      </c>
      <c r="BN138" s="120">
        <f t="shared" si="1065"/>
        <v>0</v>
      </c>
      <c r="BO138" s="120">
        <f t="shared" si="1066"/>
        <v>0</v>
      </c>
      <c r="BP138" s="120">
        <f t="shared" si="1067"/>
        <v>0</v>
      </c>
      <c r="BQ138" s="120">
        <f t="shared" si="1068"/>
        <v>0</v>
      </c>
      <c r="BR138" s="120">
        <f t="shared" si="1069"/>
        <v>0</v>
      </c>
      <c r="BS138" s="120">
        <f t="shared" si="1070"/>
        <v>-436.03336808210008</v>
      </c>
      <c r="BT138" s="120">
        <f t="shared" si="1071"/>
        <v>0</v>
      </c>
      <c r="BU138" s="120">
        <f t="shared" si="1072"/>
        <v>0</v>
      </c>
      <c r="BV138" s="120">
        <f t="shared" si="1073"/>
        <v>0</v>
      </c>
      <c r="BW138" s="120">
        <f t="shared" si="1074"/>
        <v>0</v>
      </c>
      <c r="BX138" s="120">
        <f t="shared" si="1075"/>
        <v>0</v>
      </c>
      <c r="BY138" s="8"/>
      <c r="BZ138" s="72">
        <f t="shared" si="1077"/>
        <v>0</v>
      </c>
      <c r="CA138" s="72">
        <f t="shared" si="1078"/>
        <v>-387.41</v>
      </c>
      <c r="CB138" s="97"/>
      <c r="CC138" s="72">
        <f t="shared" si="950"/>
        <v>0</v>
      </c>
      <c r="CD138" s="72">
        <f t="shared" si="1027"/>
        <v>0</v>
      </c>
      <c r="CE138" s="72">
        <f t="shared" si="1027"/>
        <v>0</v>
      </c>
      <c r="CF138" s="72">
        <f t="shared" si="1027"/>
        <v>-387.41</v>
      </c>
      <c r="CG138" s="72">
        <f t="shared" si="1027"/>
        <v>-399.03230000000002</v>
      </c>
      <c r="CH138" s="72">
        <f t="shared" si="1027"/>
        <v>-411.00326900000005</v>
      </c>
      <c r="CI138" s="72">
        <f t="shared" si="1027"/>
        <v>-423.33336707000007</v>
      </c>
      <c r="CJ138" s="72">
        <f t="shared" si="1027"/>
        <v>-436.03336808210008</v>
      </c>
      <c r="CL138" s="13"/>
      <c r="CM138" s="13"/>
    </row>
    <row r="139" spans="1:91" x14ac:dyDescent="0.3">
      <c r="A139" s="97" t="str">
        <f>'DCS Detail'!A139</f>
        <v xml:space="preserve">         733.1 Depreciation</v>
      </c>
      <c r="B139" s="106" t="str">
        <f>IF('DCS Detail'!$B139="","",'DCS Detail'!$B139)</f>
        <v>Depreciation</v>
      </c>
      <c r="C139" s="139"/>
      <c r="D139" s="139"/>
      <c r="E139" s="121">
        <v>62.33</v>
      </c>
      <c r="F139" s="121">
        <v>62.33</v>
      </c>
      <c r="G139" s="121">
        <v>62.33</v>
      </c>
      <c r="H139" s="121">
        <v>62.33</v>
      </c>
      <c r="I139" s="121">
        <v>62.33</v>
      </c>
      <c r="J139" s="121">
        <v>62.33</v>
      </c>
      <c r="K139" s="121">
        <v>62.33</v>
      </c>
      <c r="L139" s="121">
        <v>62.330000000000041</v>
      </c>
      <c r="M139" s="121">
        <v>1330.49</v>
      </c>
      <c r="N139" s="121">
        <v>302.52</v>
      </c>
      <c r="O139" s="121">
        <v>302.52</v>
      </c>
      <c r="P139" s="121">
        <v>302.52</v>
      </c>
      <c r="Q139" s="121">
        <v>302.52</v>
      </c>
      <c r="R139" s="121">
        <v>302.52</v>
      </c>
      <c r="S139" s="121">
        <v>302.52</v>
      </c>
      <c r="T139" s="121">
        <v>302.52</v>
      </c>
      <c r="U139" s="121">
        <v>302.52</v>
      </c>
      <c r="V139" s="121">
        <v>302.52</v>
      </c>
      <c r="W139" s="121">
        <v>302.52</v>
      </c>
      <c r="X139" s="121">
        <v>302.52</v>
      </c>
      <c r="Y139" s="121">
        <v>302.52</v>
      </c>
      <c r="Z139" s="121">
        <v>302.52</v>
      </c>
      <c r="AA139" s="121">
        <v>302.52</v>
      </c>
      <c r="AB139" s="110">
        <f t="shared" ref="AB139:BX139" si="1079">AA139</f>
        <v>302.52</v>
      </c>
      <c r="AC139" s="110">
        <f t="shared" si="1079"/>
        <v>302.52</v>
      </c>
      <c r="AD139" s="110">
        <f t="shared" si="1079"/>
        <v>302.52</v>
      </c>
      <c r="AE139" s="110">
        <f t="shared" si="1079"/>
        <v>302.52</v>
      </c>
      <c r="AF139" s="110">
        <f t="shared" si="1079"/>
        <v>302.52</v>
      </c>
      <c r="AG139" s="110">
        <f t="shared" si="1079"/>
        <v>302.52</v>
      </c>
      <c r="AH139" s="110">
        <f t="shared" si="1079"/>
        <v>302.52</v>
      </c>
      <c r="AI139" s="110">
        <f t="shared" si="1079"/>
        <v>302.52</v>
      </c>
      <c r="AJ139" s="110">
        <f t="shared" si="1079"/>
        <v>302.52</v>
      </c>
      <c r="AK139" s="110">
        <f t="shared" si="1079"/>
        <v>302.52</v>
      </c>
      <c r="AL139" s="110">
        <f t="shared" si="1079"/>
        <v>302.52</v>
      </c>
      <c r="AM139" s="110">
        <f t="shared" si="1079"/>
        <v>302.52</v>
      </c>
      <c r="AN139" s="110">
        <f t="shared" si="1079"/>
        <v>302.52</v>
      </c>
      <c r="AO139" s="110">
        <f t="shared" si="1079"/>
        <v>302.52</v>
      </c>
      <c r="AP139" s="110">
        <f t="shared" si="1079"/>
        <v>302.52</v>
      </c>
      <c r="AQ139" s="110">
        <f t="shared" si="1079"/>
        <v>302.52</v>
      </c>
      <c r="AR139" s="110">
        <f t="shared" si="1079"/>
        <v>302.52</v>
      </c>
      <c r="AS139" s="110">
        <f t="shared" si="1079"/>
        <v>302.52</v>
      </c>
      <c r="AT139" s="110">
        <f t="shared" si="1079"/>
        <v>302.52</v>
      </c>
      <c r="AU139" s="110">
        <f t="shared" si="1079"/>
        <v>302.52</v>
      </c>
      <c r="AV139" s="110">
        <f t="shared" si="1079"/>
        <v>302.52</v>
      </c>
      <c r="AW139" s="110">
        <f t="shared" si="1079"/>
        <v>302.52</v>
      </c>
      <c r="AX139" s="110">
        <f t="shared" si="1079"/>
        <v>302.52</v>
      </c>
      <c r="AY139" s="110">
        <f t="shared" si="1079"/>
        <v>302.52</v>
      </c>
      <c r="AZ139" s="110">
        <f t="shared" si="1079"/>
        <v>302.52</v>
      </c>
      <c r="BA139" s="110">
        <f t="shared" si="1079"/>
        <v>302.52</v>
      </c>
      <c r="BB139" s="110">
        <f t="shared" si="1079"/>
        <v>302.52</v>
      </c>
      <c r="BC139" s="110">
        <f t="shared" si="1079"/>
        <v>302.52</v>
      </c>
      <c r="BD139" s="110">
        <f t="shared" si="1079"/>
        <v>302.52</v>
      </c>
      <c r="BE139" s="110">
        <f t="shared" si="1079"/>
        <v>302.52</v>
      </c>
      <c r="BF139" s="110">
        <f t="shared" si="1079"/>
        <v>302.52</v>
      </c>
      <c r="BG139" s="110">
        <f t="shared" si="1079"/>
        <v>302.52</v>
      </c>
      <c r="BH139" s="110">
        <f t="shared" si="1079"/>
        <v>302.52</v>
      </c>
      <c r="BI139" s="110">
        <f t="shared" si="1079"/>
        <v>302.52</v>
      </c>
      <c r="BJ139" s="110">
        <f t="shared" si="1079"/>
        <v>302.52</v>
      </c>
      <c r="BK139" s="110">
        <f t="shared" si="1079"/>
        <v>302.52</v>
      </c>
      <c r="BL139" s="110">
        <f t="shared" si="1079"/>
        <v>302.52</v>
      </c>
      <c r="BM139" s="110">
        <f t="shared" si="1079"/>
        <v>302.52</v>
      </c>
      <c r="BN139" s="110">
        <f t="shared" si="1079"/>
        <v>302.52</v>
      </c>
      <c r="BO139" s="110">
        <f t="shared" si="1079"/>
        <v>302.52</v>
      </c>
      <c r="BP139" s="110">
        <f t="shared" si="1079"/>
        <v>302.52</v>
      </c>
      <c r="BQ139" s="110">
        <f t="shared" si="1079"/>
        <v>302.52</v>
      </c>
      <c r="BR139" s="110">
        <f t="shared" si="1079"/>
        <v>302.52</v>
      </c>
      <c r="BS139" s="110">
        <f t="shared" si="1079"/>
        <v>302.52</v>
      </c>
      <c r="BT139" s="110">
        <f t="shared" si="1079"/>
        <v>302.52</v>
      </c>
      <c r="BU139" s="110">
        <f t="shared" si="1079"/>
        <v>302.52</v>
      </c>
      <c r="BV139" s="110">
        <f t="shared" si="1079"/>
        <v>302.52</v>
      </c>
      <c r="BW139" s="110">
        <f t="shared" si="1079"/>
        <v>302.52</v>
      </c>
      <c r="BX139" s="110">
        <f t="shared" si="1079"/>
        <v>302.52</v>
      </c>
      <c r="BY139" s="8"/>
      <c r="BZ139" s="73">
        <f t="shared" si="1077"/>
        <v>302.52</v>
      </c>
      <c r="CA139" s="73">
        <f t="shared" si="1078"/>
        <v>3327.72</v>
      </c>
      <c r="CB139" s="97"/>
      <c r="CC139" s="73">
        <f t="shared" si="950"/>
        <v>0</v>
      </c>
      <c r="CD139" s="73">
        <f t="shared" ref="CD139:CJ148" si="1080">SUMIF($C$3:$BY$3,CD$3,$C139:$BY139)</f>
        <v>0</v>
      </c>
      <c r="CE139" s="73">
        <f t="shared" si="1080"/>
        <v>2736.69</v>
      </c>
      <c r="CF139" s="73">
        <f t="shared" si="1080"/>
        <v>3630.24</v>
      </c>
      <c r="CG139" s="73">
        <f t="shared" si="1080"/>
        <v>3630.24</v>
      </c>
      <c r="CH139" s="73">
        <f t="shared" si="1080"/>
        <v>3630.24</v>
      </c>
      <c r="CI139" s="73">
        <f t="shared" si="1080"/>
        <v>3630.24</v>
      </c>
      <c r="CJ139" s="73">
        <f t="shared" si="1080"/>
        <v>3630.24</v>
      </c>
      <c r="CL139" s="13"/>
      <c r="CM139" s="13"/>
    </row>
    <row r="140" spans="1:91" x14ac:dyDescent="0.3">
      <c r="A140" s="97" t="str">
        <f>'DCS Detail'!A140</f>
        <v xml:space="preserve">      Total 2600 Operation and Maintenance</v>
      </c>
      <c r="B140" s="106" t="str">
        <f>IF('DCS Detail'!$B140="","",'DCS Detail'!$B140)</f>
        <v/>
      </c>
      <c r="C140" s="36">
        <f>SUM(C124:C139)</f>
        <v>0</v>
      </c>
      <c r="D140" s="36">
        <f t="shared" ref="D140:X140" si="1081">SUM(D124:D139)</f>
        <v>0</v>
      </c>
      <c r="E140" s="36">
        <f t="shared" si="1081"/>
        <v>11271.58</v>
      </c>
      <c r="F140" s="36">
        <f t="shared" si="1081"/>
        <v>15912.310000000001</v>
      </c>
      <c r="G140" s="36">
        <f t="shared" si="1081"/>
        <v>14949.36</v>
      </c>
      <c r="H140" s="36">
        <f t="shared" si="1081"/>
        <v>18479.080000000002</v>
      </c>
      <c r="I140" s="36">
        <f t="shared" si="1081"/>
        <v>16704.255800000003</v>
      </c>
      <c r="J140" s="36">
        <f t="shared" si="1081"/>
        <v>14052.022599999998</v>
      </c>
      <c r="K140" s="36">
        <f t="shared" si="1081"/>
        <v>5517.5199999999995</v>
      </c>
      <c r="L140" s="36">
        <f t="shared" si="1081"/>
        <v>13940.651599999997</v>
      </c>
      <c r="M140" s="36">
        <f t="shared" ref="M140" si="1082">SUM(M124:M139)</f>
        <v>22557.680000000008</v>
      </c>
      <c r="N140" s="36">
        <f t="shared" si="1081"/>
        <v>16274.240000000002</v>
      </c>
      <c r="O140" s="36">
        <f t="shared" si="1081"/>
        <v>12558.89</v>
      </c>
      <c r="P140" s="36">
        <f t="shared" si="1081"/>
        <v>14364.789999999999</v>
      </c>
      <c r="Q140" s="36">
        <f t="shared" si="1081"/>
        <v>14350.8</v>
      </c>
      <c r="R140" s="36">
        <f t="shared" ref="R140:S140" si="1083">SUM(R124:R139)</f>
        <v>14714.74</v>
      </c>
      <c r="S140" s="36">
        <f t="shared" si="1083"/>
        <v>14733.19</v>
      </c>
      <c r="T140" s="36">
        <f t="shared" ref="T140:U140" si="1084">SUM(T124:T139)</f>
        <v>18503.419999999998</v>
      </c>
      <c r="U140" s="36">
        <f t="shared" si="1084"/>
        <v>21051.65</v>
      </c>
      <c r="V140" s="36">
        <f t="shared" ref="V140:W140" si="1085">SUM(V124:V139)</f>
        <v>16054.530000000002</v>
      </c>
      <c r="W140" s="36">
        <f t="shared" si="1085"/>
        <v>16639.690000000002</v>
      </c>
      <c r="X140" s="36">
        <f t="shared" si="1081"/>
        <v>14743.830000000002</v>
      </c>
      <c r="Y140" s="36">
        <f t="shared" ref="Y140:AZ140" si="1086">SUM(Y124:Y139)</f>
        <v>15394.740000000002</v>
      </c>
      <c r="Z140" s="36">
        <f t="shared" si="1086"/>
        <v>14601.01</v>
      </c>
      <c r="AA140" s="36">
        <f t="shared" si="1086"/>
        <v>14247.630000000003</v>
      </c>
      <c r="AB140" s="36">
        <f t="shared" si="1086"/>
        <v>14536.728100000002</v>
      </c>
      <c r="AC140" s="36">
        <f t="shared" si="1086"/>
        <v>14772.248399999999</v>
      </c>
      <c r="AD140" s="36">
        <f t="shared" si="1086"/>
        <v>15147.106600000001</v>
      </c>
      <c r="AE140" s="36">
        <f t="shared" si="1086"/>
        <v>15166.110100000002</v>
      </c>
      <c r="AF140" s="36">
        <f t="shared" si="1086"/>
        <v>19049.447</v>
      </c>
      <c r="AG140" s="36">
        <f t="shared" si="1086"/>
        <v>21674.123899999999</v>
      </c>
      <c r="AH140" s="36">
        <f t="shared" si="1086"/>
        <v>16527.090300000003</v>
      </c>
      <c r="AI140" s="36">
        <f t="shared" si="1086"/>
        <v>17129.805100000005</v>
      </c>
      <c r="AJ140" s="36">
        <f t="shared" si="1086"/>
        <v>15177.069299999999</v>
      </c>
      <c r="AK140" s="36">
        <f t="shared" si="1086"/>
        <v>15847.506600000001</v>
      </c>
      <c r="AL140" s="36">
        <f t="shared" si="1086"/>
        <v>15029.9647</v>
      </c>
      <c r="AM140" s="36">
        <f t="shared" si="1086"/>
        <v>14665.9833</v>
      </c>
      <c r="AN140" s="36">
        <f t="shared" si="1086"/>
        <v>14963.754343000001</v>
      </c>
      <c r="AO140" s="36">
        <f t="shared" si="1086"/>
        <v>15206.340252000004</v>
      </c>
      <c r="AP140" s="36">
        <f t="shared" si="1086"/>
        <v>15592.444198000001</v>
      </c>
      <c r="AQ140" s="36">
        <f t="shared" si="1086"/>
        <v>15612.017803000002</v>
      </c>
      <c r="AR140" s="36">
        <f t="shared" si="1086"/>
        <v>19611.854810000001</v>
      </c>
      <c r="AS140" s="36">
        <f t="shared" si="1086"/>
        <v>22315.272016999999</v>
      </c>
      <c r="AT140" s="36">
        <f t="shared" si="1086"/>
        <v>17013.827409000005</v>
      </c>
      <c r="AU140" s="36">
        <f t="shared" si="1086"/>
        <v>17634.623653000002</v>
      </c>
      <c r="AV140" s="36">
        <f t="shared" si="1086"/>
        <v>15623.305779000004</v>
      </c>
      <c r="AW140" s="36">
        <f t="shared" si="1086"/>
        <v>16313.856197999999</v>
      </c>
      <c r="AX140" s="36">
        <f t="shared" si="1086"/>
        <v>15471.788041</v>
      </c>
      <c r="AY140" s="36">
        <f t="shared" si="1086"/>
        <v>15096.887199000001</v>
      </c>
      <c r="AZ140" s="36">
        <f t="shared" si="1086"/>
        <v>15403.591373290001</v>
      </c>
      <c r="BA140" s="36">
        <f t="shared" ref="BA140:BX140" si="1087">SUM(BA124:BA139)</f>
        <v>15653.454859560001</v>
      </c>
      <c r="BB140" s="36">
        <f t="shared" si="1087"/>
        <v>16051.141923940002</v>
      </c>
      <c r="BC140" s="36">
        <f t="shared" si="1087"/>
        <v>16071.302737090004</v>
      </c>
      <c r="BD140" s="36">
        <f t="shared" si="1087"/>
        <v>20191.134854300002</v>
      </c>
      <c r="BE140" s="36">
        <f t="shared" si="1087"/>
        <v>22975.654577510006</v>
      </c>
      <c r="BF140" s="36">
        <f t="shared" si="1087"/>
        <v>17515.166631270004</v>
      </c>
      <c r="BG140" s="36">
        <f t="shared" si="1087"/>
        <v>18154.586762589999</v>
      </c>
      <c r="BH140" s="36">
        <f t="shared" si="1087"/>
        <v>16082.929352370002</v>
      </c>
      <c r="BI140" s="36">
        <f t="shared" si="1087"/>
        <v>16794.196283940004</v>
      </c>
      <c r="BJ140" s="36">
        <f t="shared" si="1087"/>
        <v>15926.866082230001</v>
      </c>
      <c r="BK140" s="36">
        <f t="shared" si="1087"/>
        <v>15540.718214970002</v>
      </c>
      <c r="BL140" s="36">
        <f t="shared" si="1087"/>
        <v>15856.623514488701</v>
      </c>
      <c r="BM140" s="36">
        <f t="shared" si="1087"/>
        <v>16113.9829053468</v>
      </c>
      <c r="BN140" s="36">
        <f t="shared" si="1087"/>
        <v>16523.6005816582</v>
      </c>
      <c r="BO140" s="36">
        <f t="shared" si="1087"/>
        <v>16544.3662192027</v>
      </c>
      <c r="BP140" s="36">
        <f t="shared" si="1087"/>
        <v>20787.793299929002</v>
      </c>
      <c r="BQ140" s="36">
        <f t="shared" si="1087"/>
        <v>23655.8486148353</v>
      </c>
      <c r="BR140" s="36">
        <f t="shared" si="1087"/>
        <v>18031.546030208101</v>
      </c>
      <c r="BS140" s="36">
        <f t="shared" si="1087"/>
        <v>18690.1487654677</v>
      </c>
      <c r="BT140" s="36">
        <f t="shared" si="1087"/>
        <v>16556.341632941101</v>
      </c>
      <c r="BU140" s="36">
        <f t="shared" si="1087"/>
        <v>17288.946572458204</v>
      </c>
      <c r="BV140" s="36">
        <f t="shared" si="1087"/>
        <v>16395.596464696901</v>
      </c>
      <c r="BW140" s="36">
        <f t="shared" si="1087"/>
        <v>15997.8641614191</v>
      </c>
      <c r="BX140" s="36">
        <f t="shared" si="1087"/>
        <v>16323.246619923362</v>
      </c>
      <c r="BY140" s="8"/>
      <c r="BZ140" s="72">
        <f t="shared" si="1077"/>
        <v>14247.630000000003</v>
      </c>
      <c r="CA140" s="72">
        <f t="shared" si="1078"/>
        <v>175035.23</v>
      </c>
      <c r="CB140" s="97"/>
      <c r="CC140" s="72">
        <f t="shared" si="950"/>
        <v>0</v>
      </c>
      <c r="CD140" s="72">
        <f t="shared" si="1080"/>
        <v>0</v>
      </c>
      <c r="CE140" s="72">
        <f t="shared" si="1080"/>
        <v>176582.38000000003</v>
      </c>
      <c r="CF140" s="72">
        <f t="shared" si="1080"/>
        <v>189571.95810000002</v>
      </c>
      <c r="CG140" s="72">
        <f t="shared" si="1080"/>
        <v>195150.20964300001</v>
      </c>
      <c r="CH140" s="72">
        <f t="shared" si="1080"/>
        <v>200895.80873229</v>
      </c>
      <c r="CI140" s="72">
        <f t="shared" si="1080"/>
        <v>206813.77579425869</v>
      </c>
      <c r="CJ140" s="72">
        <f t="shared" si="1080"/>
        <v>212909.28186808646</v>
      </c>
      <c r="CL140" s="13"/>
      <c r="CM140" s="13"/>
    </row>
    <row r="141" spans="1:91" x14ac:dyDescent="0.3">
      <c r="A141" s="97" t="str">
        <f>'DCS Detail'!A141</f>
        <v xml:space="preserve">   Total 100 General Fund</v>
      </c>
      <c r="B141" s="106" t="str">
        <f>IF('DCS Detail'!$B141="","",'DCS Detail'!$B141)</f>
        <v/>
      </c>
      <c r="C141" s="112">
        <f>C140+C123+C113+C99+C96+C85+C74</f>
        <v>0</v>
      </c>
      <c r="D141" s="112">
        <f t="shared" ref="D141:X141" si="1088">D140+D123+D113+D99+D96+D85+D74</f>
        <v>0</v>
      </c>
      <c r="E141" s="112">
        <f t="shared" si="1088"/>
        <v>-18303.379999999997</v>
      </c>
      <c r="F141" s="112">
        <f t="shared" si="1088"/>
        <v>48257.130000000005</v>
      </c>
      <c r="G141" s="112">
        <f t="shared" si="1088"/>
        <v>59670.740000000005</v>
      </c>
      <c r="H141" s="112">
        <f t="shared" si="1088"/>
        <v>61750.603000000003</v>
      </c>
      <c r="I141" s="112">
        <f t="shared" si="1088"/>
        <v>56855.8658</v>
      </c>
      <c r="J141" s="112">
        <f t="shared" si="1088"/>
        <v>55307.68759999999</v>
      </c>
      <c r="K141" s="112">
        <f t="shared" si="1088"/>
        <v>45700.906000000003</v>
      </c>
      <c r="L141" s="112">
        <f t="shared" si="1088"/>
        <v>55761.537600000003</v>
      </c>
      <c r="M141" s="112">
        <f t="shared" ref="M141" si="1089">M140+M123+M113+M99+M96+M85+M74</f>
        <v>61899.000000000007</v>
      </c>
      <c r="N141" s="112">
        <f t="shared" si="1088"/>
        <v>54981.16</v>
      </c>
      <c r="O141" s="112">
        <f t="shared" si="1088"/>
        <v>55621.130000000005</v>
      </c>
      <c r="P141" s="112">
        <f t="shared" si="1088"/>
        <v>113273.60000000001</v>
      </c>
      <c r="Q141" s="112">
        <f t="shared" si="1088"/>
        <v>18479.949999999997</v>
      </c>
      <c r="R141" s="112">
        <f t="shared" ref="R141:S141" si="1090">R140+R123+R113+R99+R96+R85+R74</f>
        <v>62048.149999999994</v>
      </c>
      <c r="S141" s="112">
        <f t="shared" si="1090"/>
        <v>86745.84</v>
      </c>
      <c r="T141" s="112">
        <f t="shared" ref="T141:U141" si="1091">T140+T123+T113+T99+T96+T85+T74</f>
        <v>66362.009999999995</v>
      </c>
      <c r="U141" s="112">
        <f t="shared" si="1091"/>
        <v>70533.959999999992</v>
      </c>
      <c r="V141" s="112">
        <f t="shared" ref="V141:W141" si="1092">V140+V123+V113+V99+V96+V85+V74</f>
        <v>60358.45</v>
      </c>
      <c r="W141" s="112">
        <f t="shared" si="1092"/>
        <v>61100.570000000007</v>
      </c>
      <c r="X141" s="112">
        <f t="shared" si="1088"/>
        <v>67758.540000000008</v>
      </c>
      <c r="Y141" s="112">
        <f t="shared" ref="Y141:AZ141" si="1093">Y140+Y123+Y113+Y99+Y96+Y85+Y74</f>
        <v>55390.080000000002</v>
      </c>
      <c r="Z141" s="112">
        <f t="shared" si="1093"/>
        <v>75920.520000000019</v>
      </c>
      <c r="AA141" s="112">
        <f t="shared" si="1093"/>
        <v>65527.66</v>
      </c>
      <c r="AB141" s="112">
        <f t="shared" si="1093"/>
        <v>98190.297836761631</v>
      </c>
      <c r="AC141" s="112">
        <f t="shared" si="1093"/>
        <v>17279.155099999996</v>
      </c>
      <c r="AD141" s="112">
        <f t="shared" si="1093"/>
        <v>62000.743692400967</v>
      </c>
      <c r="AE141" s="112">
        <f t="shared" si="1093"/>
        <v>84481.458624571766</v>
      </c>
      <c r="AF141" s="112">
        <f t="shared" si="1093"/>
        <v>68094.267248097676</v>
      </c>
      <c r="AG141" s="112">
        <f t="shared" si="1093"/>
        <v>72842.164927961421</v>
      </c>
      <c r="AH141" s="112">
        <f t="shared" si="1093"/>
        <v>57029.741704654443</v>
      </c>
      <c r="AI141" s="112">
        <f t="shared" si="1093"/>
        <v>63006.866319206849</v>
      </c>
      <c r="AJ141" s="112">
        <f t="shared" si="1093"/>
        <v>57391.613086148849</v>
      </c>
      <c r="AK141" s="112">
        <f t="shared" si="1093"/>
        <v>64872.37948614885</v>
      </c>
      <c r="AL141" s="112">
        <f t="shared" si="1093"/>
        <v>59004.67534239855</v>
      </c>
      <c r="AM141" s="112">
        <f t="shared" si="1093"/>
        <v>59720.44348780236</v>
      </c>
      <c r="AN141" s="112">
        <f t="shared" si="1093"/>
        <v>97053.189932663227</v>
      </c>
      <c r="AO141" s="112">
        <f t="shared" si="1093"/>
        <v>17788.454153000002</v>
      </c>
      <c r="AP141" s="112">
        <f t="shared" si="1093"/>
        <v>63809.482010742817</v>
      </c>
      <c r="AQ141" s="112">
        <f t="shared" si="1093"/>
        <v>86834.07525445972</v>
      </c>
      <c r="AR141" s="112">
        <f t="shared" si="1093"/>
        <v>70157.726000531431</v>
      </c>
      <c r="AS141" s="112">
        <f t="shared" si="1093"/>
        <v>75066.881711395778</v>
      </c>
      <c r="AT141" s="112">
        <f t="shared" si="1093"/>
        <v>58687.013598379664</v>
      </c>
      <c r="AU141" s="112">
        <f t="shared" si="1093"/>
        <v>64883.395085658442</v>
      </c>
      <c r="AV141" s="112">
        <f t="shared" si="1093"/>
        <v>59100.807123527979</v>
      </c>
      <c r="AW141" s="112">
        <f t="shared" si="1093"/>
        <v>66805.996515527979</v>
      </c>
      <c r="AX141" s="112">
        <f t="shared" si="1093"/>
        <v>60767.794052783</v>
      </c>
      <c r="AY141" s="112">
        <f t="shared" si="1093"/>
        <v>61506.436039543463</v>
      </c>
      <c r="AZ141" s="112">
        <f t="shared" si="1093"/>
        <v>99955.119299747515</v>
      </c>
      <c r="BA141" s="112">
        <f t="shared" ref="BA141:BX141" si="1094">BA140+BA123+BA113+BA99+BA96+BA85+BA74</f>
        <v>18313.032177590001</v>
      </c>
      <c r="BB141" s="112">
        <f t="shared" si="1094"/>
        <v>69419.503120292735</v>
      </c>
      <c r="BC141" s="112">
        <f t="shared" si="1094"/>
        <v>92970.368035541411</v>
      </c>
      <c r="BD141" s="112">
        <f t="shared" si="1094"/>
        <v>75959.171651747136</v>
      </c>
      <c r="BE141" s="112">
        <f t="shared" si="1094"/>
        <v>81016.106533262908</v>
      </c>
      <c r="BF141" s="112">
        <f t="shared" si="1094"/>
        <v>64144.616840001152</v>
      </c>
      <c r="BG141" s="112">
        <f t="shared" si="1094"/>
        <v>70526.432225963479</v>
      </c>
      <c r="BH141" s="112">
        <f t="shared" si="1094"/>
        <v>64570.409259868131</v>
      </c>
      <c r="BI141" s="112">
        <f t="shared" si="1094"/>
        <v>72506.754333628138</v>
      </c>
      <c r="BJ141" s="112">
        <f t="shared" si="1094"/>
        <v>66287.525978916048</v>
      </c>
      <c r="BK141" s="112">
        <f t="shared" si="1094"/>
        <v>67048.388308293856</v>
      </c>
      <c r="BL141" s="112">
        <f t="shared" si="1094"/>
        <v>110356.37980140076</v>
      </c>
      <c r="BM141" s="112">
        <f t="shared" si="1094"/>
        <v>18853.347542917702</v>
      </c>
      <c r="BN141" s="112">
        <f t="shared" si="1094"/>
        <v>71492.965970639518</v>
      </c>
      <c r="BO141" s="112">
        <f t="shared" si="1094"/>
        <v>95585.377728254127</v>
      </c>
      <c r="BP141" s="112">
        <f t="shared" si="1094"/>
        <v>78228.863059985655</v>
      </c>
      <c r="BQ141" s="112">
        <f t="shared" si="1094"/>
        <v>83437.525492866727</v>
      </c>
      <c r="BR141" s="112">
        <f t="shared" si="1094"/>
        <v>66059.894211739345</v>
      </c>
      <c r="BS141" s="112">
        <f t="shared" si="1094"/>
        <v>72633.158390996396</v>
      </c>
      <c r="BT141" s="112">
        <f t="shared" si="1094"/>
        <v>66498.43828690896</v>
      </c>
      <c r="BU141" s="112">
        <f t="shared" si="1094"/>
        <v>74672.873712881759</v>
      </c>
      <c r="BV141" s="112">
        <f t="shared" si="1094"/>
        <v>68267.074077886413</v>
      </c>
      <c r="BW141" s="112">
        <f t="shared" si="1094"/>
        <v>69050.76565828218</v>
      </c>
      <c r="BX141" s="112">
        <f t="shared" si="1094"/>
        <v>113658.00089465138</v>
      </c>
      <c r="BY141" s="8"/>
      <c r="BZ141" s="385">
        <f t="shared" si="1077"/>
        <v>65527.66</v>
      </c>
      <c r="CA141" s="385">
        <f t="shared" si="1078"/>
        <v>690225.7300000001</v>
      </c>
      <c r="CB141" s="97"/>
      <c r="CC141" s="385">
        <f t="shared" si="950"/>
        <v>0</v>
      </c>
      <c r="CD141" s="385">
        <f t="shared" si="1080"/>
        <v>0</v>
      </c>
      <c r="CE141" s="385">
        <f t="shared" si="1080"/>
        <v>650775.98</v>
      </c>
      <c r="CF141" s="385">
        <f t="shared" si="1080"/>
        <v>788416.02783676167</v>
      </c>
      <c r="CG141" s="385">
        <f t="shared" si="1080"/>
        <v>762776.69895205507</v>
      </c>
      <c r="CH141" s="385">
        <f t="shared" si="1080"/>
        <v>785363.18084529787</v>
      </c>
      <c r="CI141" s="385">
        <f t="shared" si="1080"/>
        <v>853118.68826650572</v>
      </c>
      <c r="CJ141" s="385">
        <f t="shared" si="1080"/>
        <v>878438.28502801014</v>
      </c>
      <c r="CL141" s="13"/>
      <c r="CM141" s="13"/>
    </row>
    <row r="142" spans="1:91" x14ac:dyDescent="0.3">
      <c r="A142" s="97" t="str">
        <f>'DCS Detail'!A142</f>
        <v xml:space="preserve">   200 Special Education Fund</v>
      </c>
      <c r="B142" s="106" t="str">
        <f>IF('DCS Detail'!$B142="","",'DCS Detail'!$B142)</f>
        <v/>
      </c>
      <c r="C142" s="106"/>
      <c r="D142" s="106"/>
      <c r="E142" s="18">
        <v>0</v>
      </c>
      <c r="F142" s="18">
        <v>0</v>
      </c>
      <c r="G142" s="18">
        <v>0</v>
      </c>
      <c r="H142" s="18">
        <v>0</v>
      </c>
      <c r="I142" s="18">
        <v>0</v>
      </c>
      <c r="J142" s="18">
        <v>0</v>
      </c>
      <c r="K142" s="18">
        <v>0</v>
      </c>
      <c r="L142" s="18">
        <v>0</v>
      </c>
      <c r="M142" s="18">
        <v>0</v>
      </c>
      <c r="N142" s="18">
        <v>0</v>
      </c>
      <c r="O142" s="18">
        <v>0</v>
      </c>
      <c r="P142" s="18">
        <v>0</v>
      </c>
      <c r="Q142" s="18">
        <v>0</v>
      </c>
      <c r="R142" s="18">
        <v>0</v>
      </c>
      <c r="S142" s="18">
        <v>0</v>
      </c>
      <c r="T142" s="18">
        <v>0</v>
      </c>
      <c r="U142" s="18">
        <v>0</v>
      </c>
      <c r="V142" s="18">
        <v>0</v>
      </c>
      <c r="W142" s="18">
        <v>0</v>
      </c>
      <c r="X142" s="18">
        <v>0</v>
      </c>
      <c r="Y142" s="18">
        <v>0</v>
      </c>
      <c r="Z142" s="18">
        <v>0</v>
      </c>
      <c r="AA142" s="442">
        <v>0</v>
      </c>
      <c r="AB142" s="18">
        <v>0</v>
      </c>
      <c r="AC142" s="18">
        <v>0</v>
      </c>
      <c r="AD142" s="18">
        <v>0</v>
      </c>
      <c r="AE142" s="18">
        <v>0</v>
      </c>
      <c r="AF142" s="18">
        <v>0</v>
      </c>
      <c r="AG142" s="18">
        <v>0</v>
      </c>
      <c r="AH142" s="18">
        <v>0</v>
      </c>
      <c r="AI142" s="18">
        <v>0</v>
      </c>
      <c r="AJ142" s="18">
        <v>0</v>
      </c>
      <c r="AK142" s="18">
        <v>0</v>
      </c>
      <c r="AL142" s="18">
        <v>0</v>
      </c>
      <c r="AM142" s="18">
        <v>0</v>
      </c>
      <c r="AN142" s="18">
        <v>0</v>
      </c>
      <c r="AO142" s="18">
        <v>0</v>
      </c>
      <c r="AP142" s="18">
        <v>0</v>
      </c>
      <c r="AQ142" s="18">
        <v>0</v>
      </c>
      <c r="AR142" s="18">
        <v>0</v>
      </c>
      <c r="AS142" s="18">
        <v>0</v>
      </c>
      <c r="AT142" s="18">
        <v>0</v>
      </c>
      <c r="AU142" s="18">
        <v>0</v>
      </c>
      <c r="AV142" s="18">
        <v>0</v>
      </c>
      <c r="AW142" s="18">
        <v>0</v>
      </c>
      <c r="AX142" s="18">
        <v>0</v>
      </c>
      <c r="AY142" s="18">
        <v>0</v>
      </c>
      <c r="AZ142" s="18">
        <v>0</v>
      </c>
      <c r="BA142" s="18">
        <v>0</v>
      </c>
      <c r="BB142" s="18">
        <v>0</v>
      </c>
      <c r="BC142" s="18">
        <v>0</v>
      </c>
      <c r="BD142" s="18">
        <v>0</v>
      </c>
      <c r="BE142" s="18">
        <v>0</v>
      </c>
      <c r="BF142" s="18">
        <v>0</v>
      </c>
      <c r="BG142" s="18">
        <v>0</v>
      </c>
      <c r="BH142" s="18">
        <v>0</v>
      </c>
      <c r="BI142" s="18">
        <v>0</v>
      </c>
      <c r="BJ142" s="18">
        <v>0</v>
      </c>
      <c r="BK142" s="18">
        <v>0</v>
      </c>
      <c r="BL142" s="18">
        <v>0</v>
      </c>
      <c r="BM142" s="18">
        <v>0</v>
      </c>
      <c r="BN142" s="18">
        <v>0</v>
      </c>
      <c r="BO142" s="18">
        <v>0</v>
      </c>
      <c r="BP142" s="18">
        <v>0</v>
      </c>
      <c r="BQ142" s="18">
        <v>0</v>
      </c>
      <c r="BR142" s="18">
        <v>0</v>
      </c>
      <c r="BS142" s="18">
        <v>0</v>
      </c>
      <c r="BT142" s="18">
        <v>0</v>
      </c>
      <c r="BU142" s="18">
        <v>0</v>
      </c>
      <c r="BV142" s="18">
        <v>0</v>
      </c>
      <c r="BW142" s="18">
        <v>0</v>
      </c>
      <c r="BX142" s="18">
        <v>0</v>
      </c>
      <c r="BY142" s="8"/>
      <c r="BZ142" s="72">
        <f t="shared" si="1077"/>
        <v>0</v>
      </c>
      <c r="CA142" s="72">
        <f t="shared" si="1078"/>
        <v>0</v>
      </c>
      <c r="CB142" s="97"/>
      <c r="CC142" s="72">
        <f t="shared" si="950"/>
        <v>0</v>
      </c>
      <c r="CD142" s="72">
        <f t="shared" si="1080"/>
        <v>0</v>
      </c>
      <c r="CE142" s="72">
        <f t="shared" si="1080"/>
        <v>0</v>
      </c>
      <c r="CF142" s="72">
        <f t="shared" si="1080"/>
        <v>0</v>
      </c>
      <c r="CG142" s="72">
        <f t="shared" si="1080"/>
        <v>0</v>
      </c>
      <c r="CH142" s="72">
        <f t="shared" si="1080"/>
        <v>0</v>
      </c>
      <c r="CI142" s="72">
        <f t="shared" si="1080"/>
        <v>0</v>
      </c>
      <c r="CJ142" s="72">
        <f t="shared" si="1080"/>
        <v>0</v>
      </c>
      <c r="CL142" s="13"/>
      <c r="CM142" s="13"/>
    </row>
    <row r="143" spans="1:91" x14ac:dyDescent="0.3">
      <c r="A143" s="97" t="str">
        <f>'DCS Detail'!A143</f>
        <v xml:space="preserve">      SP1000 SPED - Instruction</v>
      </c>
      <c r="B143" s="106" t="str">
        <f>IF('DCS Detail'!$B143="","",'DCS Detail'!$B143)</f>
        <v/>
      </c>
      <c r="C143" s="106"/>
      <c r="D143" s="106"/>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v>0</v>
      </c>
      <c r="V143" s="18">
        <v>0</v>
      </c>
      <c r="W143" s="18">
        <v>0</v>
      </c>
      <c r="X143" s="18">
        <v>0</v>
      </c>
      <c r="Y143" s="18">
        <v>0</v>
      </c>
      <c r="Z143" s="18">
        <v>0</v>
      </c>
      <c r="AA143" s="146">
        <v>0</v>
      </c>
      <c r="AB143" s="18">
        <v>0</v>
      </c>
      <c r="AC143" s="18">
        <v>0</v>
      </c>
      <c r="AD143" s="18">
        <v>0</v>
      </c>
      <c r="AE143" s="18">
        <v>0</v>
      </c>
      <c r="AF143" s="18">
        <v>0</v>
      </c>
      <c r="AG143" s="18">
        <v>0</v>
      </c>
      <c r="AH143" s="18">
        <v>0</v>
      </c>
      <c r="AI143" s="18">
        <v>0</v>
      </c>
      <c r="AJ143" s="18">
        <v>0</v>
      </c>
      <c r="AK143" s="18">
        <v>0</v>
      </c>
      <c r="AL143" s="18">
        <v>0</v>
      </c>
      <c r="AM143" s="18">
        <v>0</v>
      </c>
      <c r="AN143" s="18">
        <v>0</v>
      </c>
      <c r="AO143" s="18">
        <v>0</v>
      </c>
      <c r="AP143" s="18">
        <v>0</v>
      </c>
      <c r="AQ143" s="18">
        <v>0</v>
      </c>
      <c r="AR143" s="18">
        <v>0</v>
      </c>
      <c r="AS143" s="18">
        <v>0</v>
      </c>
      <c r="AT143" s="18">
        <v>0</v>
      </c>
      <c r="AU143" s="18">
        <v>0</v>
      </c>
      <c r="AV143" s="18">
        <v>0</v>
      </c>
      <c r="AW143" s="18">
        <v>0</v>
      </c>
      <c r="AX143" s="18">
        <v>0</v>
      </c>
      <c r="AY143" s="18">
        <v>0</v>
      </c>
      <c r="AZ143" s="18">
        <v>0</v>
      </c>
      <c r="BA143" s="18">
        <v>0</v>
      </c>
      <c r="BB143" s="18">
        <v>0</v>
      </c>
      <c r="BC143" s="18">
        <v>0</v>
      </c>
      <c r="BD143" s="18">
        <v>0</v>
      </c>
      <c r="BE143" s="18">
        <v>0</v>
      </c>
      <c r="BF143" s="18">
        <v>0</v>
      </c>
      <c r="BG143" s="18">
        <v>0</v>
      </c>
      <c r="BH143" s="18">
        <v>0</v>
      </c>
      <c r="BI143" s="18">
        <v>0</v>
      </c>
      <c r="BJ143" s="18">
        <v>0</v>
      </c>
      <c r="BK143" s="18">
        <v>0</v>
      </c>
      <c r="BL143" s="18">
        <v>0</v>
      </c>
      <c r="BM143" s="18">
        <v>0</v>
      </c>
      <c r="BN143" s="18">
        <v>0</v>
      </c>
      <c r="BO143" s="18">
        <v>0</v>
      </c>
      <c r="BP143" s="18">
        <v>0</v>
      </c>
      <c r="BQ143" s="18">
        <v>0</v>
      </c>
      <c r="BR143" s="18">
        <v>0</v>
      </c>
      <c r="BS143" s="18">
        <v>0</v>
      </c>
      <c r="BT143" s="18">
        <v>0</v>
      </c>
      <c r="BU143" s="18">
        <v>0</v>
      </c>
      <c r="BV143" s="18">
        <v>0</v>
      </c>
      <c r="BW143" s="18">
        <v>0</v>
      </c>
      <c r="BX143" s="18">
        <v>0</v>
      </c>
      <c r="BY143" s="8"/>
      <c r="BZ143" s="72">
        <f t="shared" si="1077"/>
        <v>0</v>
      </c>
      <c r="CA143" s="72">
        <f t="shared" si="1078"/>
        <v>0</v>
      </c>
      <c r="CB143" s="97"/>
      <c r="CC143" s="72">
        <f t="shared" si="950"/>
        <v>0</v>
      </c>
      <c r="CD143" s="72">
        <f t="shared" si="1080"/>
        <v>0</v>
      </c>
      <c r="CE143" s="72">
        <f t="shared" si="1080"/>
        <v>0</v>
      </c>
      <c r="CF143" s="72">
        <f t="shared" si="1080"/>
        <v>0</v>
      </c>
      <c r="CG143" s="72">
        <f t="shared" si="1080"/>
        <v>0</v>
      </c>
      <c r="CH143" s="72">
        <f t="shared" si="1080"/>
        <v>0</v>
      </c>
      <c r="CI143" s="72">
        <f t="shared" si="1080"/>
        <v>0</v>
      </c>
      <c r="CJ143" s="72">
        <f t="shared" si="1080"/>
        <v>0</v>
      </c>
      <c r="CL143" s="13"/>
      <c r="CM143" s="13"/>
    </row>
    <row r="144" spans="1:91" x14ac:dyDescent="0.3">
      <c r="A144" s="97" t="str">
        <f>'DCS Detail'!A144</f>
        <v xml:space="preserve">         111.2 SPED - Wages SPED Teachers</v>
      </c>
      <c r="B144" s="106" t="str">
        <f>IF('DCS Detail'!$B144="","",'DCS Detail'!$B144)</f>
        <v>Salaries</v>
      </c>
      <c r="C144" s="106"/>
      <c r="D144" s="106"/>
      <c r="E144" s="18">
        <v>-1158.8499999999999</v>
      </c>
      <c r="F144" s="18">
        <v>1076.3499999999999</v>
      </c>
      <c r="G144" s="18">
        <v>1094.68</v>
      </c>
      <c r="H144" s="18">
        <v>1094.68</v>
      </c>
      <c r="I144" s="18">
        <v>1094.68</v>
      </c>
      <c r="J144" s="18">
        <v>1094.68</v>
      </c>
      <c r="K144" s="18">
        <v>1094.68</v>
      </c>
      <c r="L144" s="18">
        <v>1094.6799999999994</v>
      </c>
      <c r="M144" s="18">
        <v>1094.68</v>
      </c>
      <c r="N144" s="18">
        <v>1094.68</v>
      </c>
      <c r="O144" s="18">
        <v>1094.68</v>
      </c>
      <c r="P144" s="18">
        <v>3284.05</v>
      </c>
      <c r="Q144" s="18">
        <v>0</v>
      </c>
      <c r="R144" s="18">
        <v>1094.68</v>
      </c>
      <c r="S144" s="18">
        <v>1101.28</v>
      </c>
      <c r="T144" s="18">
        <v>1094.68</v>
      </c>
      <c r="U144" s="18">
        <v>1094.68</v>
      </c>
      <c r="V144" s="18">
        <v>1100.18</v>
      </c>
      <c r="W144" s="18">
        <v>1094.68</v>
      </c>
      <c r="X144" s="18">
        <v>1094.68</v>
      </c>
      <c r="Y144" s="18">
        <v>1094.68</v>
      </c>
      <c r="Z144" s="18">
        <v>1094.68</v>
      </c>
      <c r="AA144" s="146">
        <v>1094.68</v>
      </c>
      <c r="AB144" s="102">
        <f t="shared" ref="AB144:AZ144" si="1095">AB269*AB276</f>
        <v>2193.0266666666666</v>
      </c>
      <c r="AC144" s="102">
        <f t="shared" si="1095"/>
        <v>0</v>
      </c>
      <c r="AD144" s="102">
        <f t="shared" si="1095"/>
        <v>1096.5133333333333</v>
      </c>
      <c r="AE144" s="102">
        <f t="shared" si="1095"/>
        <v>1096.5133333333333</v>
      </c>
      <c r="AF144" s="102">
        <f t="shared" si="1095"/>
        <v>1096.5133333333333</v>
      </c>
      <c r="AG144" s="102">
        <f t="shared" si="1095"/>
        <v>1096.5133333333333</v>
      </c>
      <c r="AH144" s="102">
        <f t="shared" si="1095"/>
        <v>1096.5133333333333</v>
      </c>
      <c r="AI144" s="102">
        <f t="shared" si="1095"/>
        <v>1096.5133333333333</v>
      </c>
      <c r="AJ144" s="102">
        <f t="shared" si="1095"/>
        <v>1096.5133333333333</v>
      </c>
      <c r="AK144" s="102">
        <f t="shared" si="1095"/>
        <v>1096.5133333333333</v>
      </c>
      <c r="AL144" s="102">
        <f t="shared" si="1095"/>
        <v>1096.5133333333333</v>
      </c>
      <c r="AM144" s="102">
        <f t="shared" si="1095"/>
        <v>1096.5133333333333</v>
      </c>
      <c r="AN144" s="102">
        <f t="shared" si="1095"/>
        <v>2193.0266666666666</v>
      </c>
      <c r="AO144" s="102">
        <f t="shared" si="1095"/>
        <v>0</v>
      </c>
      <c r="AP144" s="102">
        <f t="shared" si="1095"/>
        <v>1129.4087333333334</v>
      </c>
      <c r="AQ144" s="102">
        <f t="shared" si="1095"/>
        <v>1129.4087333333334</v>
      </c>
      <c r="AR144" s="102">
        <f t="shared" si="1095"/>
        <v>1129.4087333333334</v>
      </c>
      <c r="AS144" s="102">
        <f t="shared" si="1095"/>
        <v>1129.4087333333334</v>
      </c>
      <c r="AT144" s="102">
        <f t="shared" si="1095"/>
        <v>1129.4087333333334</v>
      </c>
      <c r="AU144" s="102">
        <f t="shared" si="1095"/>
        <v>1129.4087333333334</v>
      </c>
      <c r="AV144" s="102">
        <f t="shared" si="1095"/>
        <v>1129.4087333333334</v>
      </c>
      <c r="AW144" s="102">
        <f t="shared" si="1095"/>
        <v>1129.4087333333334</v>
      </c>
      <c r="AX144" s="102">
        <f t="shared" si="1095"/>
        <v>1129.4087333333334</v>
      </c>
      <c r="AY144" s="102">
        <f t="shared" si="1095"/>
        <v>1129.4087333333334</v>
      </c>
      <c r="AZ144" s="102">
        <f t="shared" si="1095"/>
        <v>2258.8174666666669</v>
      </c>
      <c r="BA144" s="102">
        <f t="shared" ref="BA144:BX144" si="1096">BA269*BA276</f>
        <v>0</v>
      </c>
      <c r="BB144" s="102">
        <f t="shared" si="1096"/>
        <v>1163.2909953333335</v>
      </c>
      <c r="BC144" s="102">
        <f t="shared" si="1096"/>
        <v>1163.2909953333335</v>
      </c>
      <c r="BD144" s="102">
        <f t="shared" si="1096"/>
        <v>1163.2909953333335</v>
      </c>
      <c r="BE144" s="102">
        <f t="shared" si="1096"/>
        <v>1163.2909953333335</v>
      </c>
      <c r="BF144" s="102">
        <f t="shared" si="1096"/>
        <v>1163.2909953333335</v>
      </c>
      <c r="BG144" s="102">
        <f t="shared" si="1096"/>
        <v>1163.2909953333335</v>
      </c>
      <c r="BH144" s="102">
        <f t="shared" si="1096"/>
        <v>1163.2909953333335</v>
      </c>
      <c r="BI144" s="102">
        <f t="shared" si="1096"/>
        <v>1163.2909953333335</v>
      </c>
      <c r="BJ144" s="102">
        <f t="shared" si="1096"/>
        <v>1163.2909953333335</v>
      </c>
      <c r="BK144" s="102">
        <f t="shared" si="1096"/>
        <v>1163.2909953333335</v>
      </c>
      <c r="BL144" s="102">
        <f t="shared" si="1096"/>
        <v>2326.581990666667</v>
      </c>
      <c r="BM144" s="102">
        <f t="shared" si="1096"/>
        <v>0</v>
      </c>
      <c r="BN144" s="102">
        <f t="shared" si="1096"/>
        <v>1198.1897251933335</v>
      </c>
      <c r="BO144" s="102">
        <f t="shared" si="1096"/>
        <v>1198.1897251933335</v>
      </c>
      <c r="BP144" s="102">
        <f t="shared" si="1096"/>
        <v>1198.1897251933335</v>
      </c>
      <c r="BQ144" s="102">
        <f t="shared" si="1096"/>
        <v>1198.1897251933335</v>
      </c>
      <c r="BR144" s="102">
        <f t="shared" si="1096"/>
        <v>1198.1897251933335</v>
      </c>
      <c r="BS144" s="102">
        <f t="shared" si="1096"/>
        <v>1198.1897251933335</v>
      </c>
      <c r="BT144" s="102">
        <f t="shared" si="1096"/>
        <v>1198.1897251933335</v>
      </c>
      <c r="BU144" s="102">
        <f t="shared" si="1096"/>
        <v>1198.1897251933335</v>
      </c>
      <c r="BV144" s="102">
        <f t="shared" si="1096"/>
        <v>1198.1897251933335</v>
      </c>
      <c r="BW144" s="102">
        <f t="shared" si="1096"/>
        <v>1198.1897251933335</v>
      </c>
      <c r="BX144" s="102">
        <f t="shared" si="1096"/>
        <v>2396.379450386667</v>
      </c>
      <c r="BY144" s="8"/>
      <c r="BZ144" s="72">
        <f t="shared" si="1077"/>
        <v>1094.68</v>
      </c>
      <c r="CA144" s="72">
        <f t="shared" si="1078"/>
        <v>10958.900000000001</v>
      </c>
      <c r="CB144" s="97"/>
      <c r="CC144" s="72">
        <f t="shared" si="950"/>
        <v>0</v>
      </c>
      <c r="CD144" s="72">
        <f t="shared" si="1080"/>
        <v>0</v>
      </c>
      <c r="CE144" s="72">
        <f t="shared" si="1080"/>
        <v>13053.670000000002</v>
      </c>
      <c r="CF144" s="72">
        <f t="shared" si="1080"/>
        <v>13151.926666666668</v>
      </c>
      <c r="CG144" s="72">
        <f t="shared" si="1080"/>
        <v>13158.159999999998</v>
      </c>
      <c r="CH144" s="72">
        <f t="shared" si="1080"/>
        <v>13552.904800000002</v>
      </c>
      <c r="CI144" s="72">
        <f t="shared" si="1080"/>
        <v>13959.491944000001</v>
      </c>
      <c r="CJ144" s="72">
        <f t="shared" si="1080"/>
        <v>14378.276702320001</v>
      </c>
      <c r="CL144" s="13"/>
      <c r="CM144" s="13"/>
    </row>
    <row r="145" spans="1:91" x14ac:dyDescent="0.3">
      <c r="A145" s="97" t="str">
        <f>'DCS Detail'!A145</f>
        <v xml:space="preserve">         112.2 SPED - Wages SPED Support</v>
      </c>
      <c r="B145" s="106" t="str">
        <f>IF('DCS Detail'!$B145="","",'DCS Detail'!$B145)</f>
        <v>Salaries</v>
      </c>
      <c r="C145" s="106"/>
      <c r="D145" s="106"/>
      <c r="E145" s="18">
        <v>-516.5</v>
      </c>
      <c r="F145" s="18">
        <v>516.5</v>
      </c>
      <c r="G145" s="18">
        <v>524.32000000000005</v>
      </c>
      <c r="H145" s="18">
        <v>524.32000000000005</v>
      </c>
      <c r="I145" s="18">
        <v>524.32000000000005</v>
      </c>
      <c r="J145" s="18">
        <v>524.32000000000005</v>
      </c>
      <c r="K145" s="18">
        <v>524.32000000000005</v>
      </c>
      <c r="L145" s="18">
        <v>524.31999999999971</v>
      </c>
      <c r="M145" s="18">
        <v>524.32000000000005</v>
      </c>
      <c r="N145" s="18">
        <v>524.32000000000005</v>
      </c>
      <c r="O145" s="18">
        <v>524.32000000000005</v>
      </c>
      <c r="P145" s="18">
        <v>1572.95</v>
      </c>
      <c r="Q145" s="18">
        <v>0</v>
      </c>
      <c r="R145" s="18">
        <v>524.32000000000005</v>
      </c>
      <c r="S145" s="18">
        <v>530.91999999999996</v>
      </c>
      <c r="T145" s="18">
        <v>524.32000000000005</v>
      </c>
      <c r="U145" s="18">
        <v>524.32000000000005</v>
      </c>
      <c r="V145" s="18">
        <v>631.02</v>
      </c>
      <c r="W145" s="18">
        <v>590.32000000000005</v>
      </c>
      <c r="X145" s="18">
        <v>655.89</v>
      </c>
      <c r="Y145" s="18">
        <v>524.32000000000005</v>
      </c>
      <c r="Z145" s="18">
        <v>545.49</v>
      </c>
      <c r="AA145" s="146">
        <v>568.32000000000005</v>
      </c>
      <c r="AB145" s="102">
        <f t="shared" ref="AB145:AZ145" si="1097">AB270*AB277</f>
        <v>1251.4866666666667</v>
      </c>
      <c r="AC145" s="102">
        <f t="shared" si="1097"/>
        <v>0</v>
      </c>
      <c r="AD145" s="102">
        <f t="shared" si="1097"/>
        <v>625.74333333333334</v>
      </c>
      <c r="AE145" s="102">
        <f t="shared" si="1097"/>
        <v>625.74333333333334</v>
      </c>
      <c r="AF145" s="102">
        <f t="shared" si="1097"/>
        <v>625.74333333333334</v>
      </c>
      <c r="AG145" s="102">
        <f t="shared" si="1097"/>
        <v>625.74333333333334</v>
      </c>
      <c r="AH145" s="102">
        <f t="shared" si="1097"/>
        <v>625.74333333333334</v>
      </c>
      <c r="AI145" s="102">
        <f t="shared" si="1097"/>
        <v>625.74333333333334</v>
      </c>
      <c r="AJ145" s="102">
        <f t="shared" si="1097"/>
        <v>625.74333333333334</v>
      </c>
      <c r="AK145" s="102">
        <f t="shared" si="1097"/>
        <v>625.74333333333334</v>
      </c>
      <c r="AL145" s="102">
        <f t="shared" si="1097"/>
        <v>625.74333333333334</v>
      </c>
      <c r="AM145" s="102">
        <f t="shared" si="1097"/>
        <v>625.74333333333334</v>
      </c>
      <c r="AN145" s="102">
        <f t="shared" si="1097"/>
        <v>1251.4866666666667</v>
      </c>
      <c r="AO145" s="102">
        <f t="shared" si="1097"/>
        <v>0</v>
      </c>
      <c r="AP145" s="102">
        <f t="shared" si="1097"/>
        <v>644.51563333333331</v>
      </c>
      <c r="AQ145" s="102">
        <f t="shared" si="1097"/>
        <v>644.51563333333331</v>
      </c>
      <c r="AR145" s="102">
        <f t="shared" si="1097"/>
        <v>644.51563333333331</v>
      </c>
      <c r="AS145" s="102">
        <f t="shared" si="1097"/>
        <v>644.51563333333331</v>
      </c>
      <c r="AT145" s="102">
        <f t="shared" si="1097"/>
        <v>644.51563333333331</v>
      </c>
      <c r="AU145" s="102">
        <f t="shared" si="1097"/>
        <v>644.51563333333331</v>
      </c>
      <c r="AV145" s="102">
        <f t="shared" si="1097"/>
        <v>644.51563333333331</v>
      </c>
      <c r="AW145" s="102">
        <f t="shared" si="1097"/>
        <v>644.51563333333331</v>
      </c>
      <c r="AX145" s="102">
        <f t="shared" si="1097"/>
        <v>644.51563333333331</v>
      </c>
      <c r="AY145" s="102">
        <f t="shared" si="1097"/>
        <v>644.51563333333331</v>
      </c>
      <c r="AZ145" s="102">
        <f t="shared" si="1097"/>
        <v>1289.0312666666666</v>
      </c>
      <c r="BA145" s="102">
        <f t="shared" ref="BA145:BX145" si="1098">BA270*BA277</f>
        <v>0</v>
      </c>
      <c r="BB145" s="102">
        <f t="shared" si="1098"/>
        <v>663.8511023333333</v>
      </c>
      <c r="BC145" s="102">
        <f t="shared" si="1098"/>
        <v>663.8511023333333</v>
      </c>
      <c r="BD145" s="102">
        <f t="shared" si="1098"/>
        <v>663.8511023333333</v>
      </c>
      <c r="BE145" s="102">
        <f t="shared" si="1098"/>
        <v>663.8511023333333</v>
      </c>
      <c r="BF145" s="102">
        <f t="shared" si="1098"/>
        <v>663.8511023333333</v>
      </c>
      <c r="BG145" s="102">
        <f t="shared" si="1098"/>
        <v>663.8511023333333</v>
      </c>
      <c r="BH145" s="102">
        <f t="shared" si="1098"/>
        <v>663.8511023333333</v>
      </c>
      <c r="BI145" s="102">
        <f t="shared" si="1098"/>
        <v>663.8511023333333</v>
      </c>
      <c r="BJ145" s="102">
        <f t="shared" si="1098"/>
        <v>663.8511023333333</v>
      </c>
      <c r="BK145" s="102">
        <f t="shared" si="1098"/>
        <v>663.8511023333333</v>
      </c>
      <c r="BL145" s="102">
        <f t="shared" si="1098"/>
        <v>1327.7022046666666</v>
      </c>
      <c r="BM145" s="102">
        <f t="shared" si="1098"/>
        <v>0</v>
      </c>
      <c r="BN145" s="102">
        <f t="shared" si="1098"/>
        <v>683.76663540333334</v>
      </c>
      <c r="BO145" s="102">
        <f t="shared" si="1098"/>
        <v>683.76663540333334</v>
      </c>
      <c r="BP145" s="102">
        <f t="shared" si="1098"/>
        <v>683.76663540333334</v>
      </c>
      <c r="BQ145" s="102">
        <f t="shared" si="1098"/>
        <v>683.76663540333334</v>
      </c>
      <c r="BR145" s="102">
        <f t="shared" si="1098"/>
        <v>683.76663540333334</v>
      </c>
      <c r="BS145" s="102">
        <f t="shared" si="1098"/>
        <v>683.76663540333334</v>
      </c>
      <c r="BT145" s="102">
        <f t="shared" si="1098"/>
        <v>683.76663540333334</v>
      </c>
      <c r="BU145" s="102">
        <f t="shared" si="1098"/>
        <v>683.76663540333334</v>
      </c>
      <c r="BV145" s="102">
        <f t="shared" si="1098"/>
        <v>683.76663540333334</v>
      </c>
      <c r="BW145" s="102">
        <f t="shared" si="1098"/>
        <v>683.76663540333334</v>
      </c>
      <c r="BX145" s="102">
        <f t="shared" si="1098"/>
        <v>1367.5332708066667</v>
      </c>
      <c r="BY145" s="8"/>
      <c r="BZ145" s="72">
        <f t="shared" si="1077"/>
        <v>568.32000000000005</v>
      </c>
      <c r="CA145" s="72">
        <f t="shared" si="1078"/>
        <v>5619.24</v>
      </c>
      <c r="CB145" s="97"/>
      <c r="CC145" s="72">
        <f t="shared" si="950"/>
        <v>0</v>
      </c>
      <c r="CD145" s="72">
        <f t="shared" si="1080"/>
        <v>0</v>
      </c>
      <c r="CE145" s="72">
        <f t="shared" si="1080"/>
        <v>6291.83</v>
      </c>
      <c r="CF145" s="72">
        <f t="shared" si="1080"/>
        <v>6870.7266666666665</v>
      </c>
      <c r="CG145" s="72">
        <f t="shared" si="1080"/>
        <v>7508.920000000001</v>
      </c>
      <c r="CH145" s="72">
        <f t="shared" si="1080"/>
        <v>7734.1876000000002</v>
      </c>
      <c r="CI145" s="72">
        <f t="shared" si="1080"/>
        <v>7966.2132279999987</v>
      </c>
      <c r="CJ145" s="72">
        <f t="shared" si="1080"/>
        <v>8205.199624840001</v>
      </c>
      <c r="CL145" s="13"/>
      <c r="CM145" s="13"/>
    </row>
    <row r="146" spans="1:91" x14ac:dyDescent="0.3">
      <c r="A146" s="97" t="str">
        <f>'DCS Detail'!A146</f>
        <v xml:space="preserve">         211.2 SPED - Medical Ins. SPED Teachers</v>
      </c>
      <c r="B146" s="106" t="str">
        <f>IF('DCS Detail'!$B146="","",'DCS Detail'!$B146)</f>
        <v>Benefits</v>
      </c>
      <c r="C146" s="106"/>
      <c r="D146" s="106"/>
      <c r="E146" s="18">
        <v>0</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46">
        <v>0</v>
      </c>
      <c r="AB146" s="18">
        <v>0</v>
      </c>
      <c r="AC146" s="18">
        <v>0</v>
      </c>
      <c r="AD146" s="18">
        <v>0</v>
      </c>
      <c r="AE146" s="18">
        <v>0</v>
      </c>
      <c r="AF146" s="18">
        <v>0</v>
      </c>
      <c r="AG146" s="18">
        <v>0</v>
      </c>
      <c r="AH146" s="18">
        <v>0</v>
      </c>
      <c r="AI146" s="18">
        <v>0</v>
      </c>
      <c r="AJ146" s="18">
        <v>0</v>
      </c>
      <c r="AK146" s="18">
        <v>0</v>
      </c>
      <c r="AL146" s="18">
        <v>0</v>
      </c>
      <c r="AM146" s="18">
        <v>0</v>
      </c>
      <c r="AN146" s="18">
        <v>0</v>
      </c>
      <c r="AO146" s="18">
        <v>0</v>
      </c>
      <c r="AP146" s="18">
        <v>0</v>
      </c>
      <c r="AQ146" s="18">
        <v>0</v>
      </c>
      <c r="AR146" s="18">
        <v>0</v>
      </c>
      <c r="AS146" s="18">
        <v>0</v>
      </c>
      <c r="AT146" s="18">
        <v>0</v>
      </c>
      <c r="AU146" s="18">
        <v>0</v>
      </c>
      <c r="AV146" s="18">
        <v>0</v>
      </c>
      <c r="AW146" s="18">
        <v>0</v>
      </c>
      <c r="AX146" s="18">
        <v>0</v>
      </c>
      <c r="AY146" s="18">
        <v>0</v>
      </c>
      <c r="AZ146" s="18">
        <v>0</v>
      </c>
      <c r="BA146" s="18">
        <v>0</v>
      </c>
      <c r="BB146" s="18">
        <v>0</v>
      </c>
      <c r="BC146" s="18">
        <v>0</v>
      </c>
      <c r="BD146" s="18">
        <v>0</v>
      </c>
      <c r="BE146" s="18">
        <v>0</v>
      </c>
      <c r="BF146" s="18">
        <v>0</v>
      </c>
      <c r="BG146" s="18">
        <v>0</v>
      </c>
      <c r="BH146" s="18">
        <v>0</v>
      </c>
      <c r="BI146" s="18">
        <v>0</v>
      </c>
      <c r="BJ146" s="18">
        <v>0</v>
      </c>
      <c r="BK146" s="18">
        <v>0</v>
      </c>
      <c r="BL146" s="18">
        <v>0</v>
      </c>
      <c r="BM146" s="18">
        <v>0</v>
      </c>
      <c r="BN146" s="18">
        <v>0</v>
      </c>
      <c r="BO146" s="18">
        <v>0</v>
      </c>
      <c r="BP146" s="18">
        <v>0</v>
      </c>
      <c r="BQ146" s="18">
        <v>0</v>
      </c>
      <c r="BR146" s="18">
        <v>0</v>
      </c>
      <c r="BS146" s="18">
        <v>0</v>
      </c>
      <c r="BT146" s="18">
        <v>0</v>
      </c>
      <c r="BU146" s="18">
        <v>0</v>
      </c>
      <c r="BV146" s="18">
        <v>0</v>
      </c>
      <c r="BW146" s="18">
        <v>0</v>
      </c>
      <c r="BX146" s="18">
        <v>0</v>
      </c>
      <c r="BY146" s="8"/>
      <c r="BZ146" s="72">
        <f t="shared" si="1077"/>
        <v>0</v>
      </c>
      <c r="CA146" s="72">
        <f t="shared" si="1078"/>
        <v>0</v>
      </c>
      <c r="CB146" s="97"/>
      <c r="CC146" s="72">
        <f t="shared" si="950"/>
        <v>0</v>
      </c>
      <c r="CD146" s="72">
        <f t="shared" si="1080"/>
        <v>0</v>
      </c>
      <c r="CE146" s="72">
        <f t="shared" si="1080"/>
        <v>0</v>
      </c>
      <c r="CF146" s="72">
        <f t="shared" si="1080"/>
        <v>0</v>
      </c>
      <c r="CG146" s="72">
        <f t="shared" si="1080"/>
        <v>0</v>
      </c>
      <c r="CH146" s="72">
        <f t="shared" si="1080"/>
        <v>0</v>
      </c>
      <c r="CI146" s="72">
        <f t="shared" si="1080"/>
        <v>0</v>
      </c>
      <c r="CJ146" s="72">
        <f t="shared" si="1080"/>
        <v>0</v>
      </c>
      <c r="CL146" s="13"/>
      <c r="CM146" s="13"/>
    </row>
    <row r="147" spans="1:91" x14ac:dyDescent="0.3">
      <c r="A147" s="97" t="str">
        <f>'DCS Detail'!A147</f>
        <v xml:space="preserve">         221.2 SPED - Payroll Tax SPED Teachers</v>
      </c>
      <c r="B147" s="106" t="str">
        <f>IF('DCS Detail'!$B147="","",'DCS Detail'!$B147)</f>
        <v>Benefits</v>
      </c>
      <c r="C147" s="106"/>
      <c r="D147" s="106"/>
      <c r="E147" s="18">
        <v>-16.7</v>
      </c>
      <c r="F147" s="18">
        <v>15.5</v>
      </c>
      <c r="G147" s="18">
        <v>15.77</v>
      </c>
      <c r="H147" s="18">
        <v>15.77</v>
      </c>
      <c r="I147" s="18">
        <v>15.77</v>
      </c>
      <c r="J147" s="18">
        <v>15.77</v>
      </c>
      <c r="K147" s="18">
        <v>22.29</v>
      </c>
      <c r="L147" s="18">
        <v>18.480000000000018</v>
      </c>
      <c r="M147" s="18">
        <v>15.77</v>
      </c>
      <c r="N147" s="18">
        <v>15.77</v>
      </c>
      <c r="O147" s="18">
        <v>15.77</v>
      </c>
      <c r="P147" s="18">
        <v>47.36</v>
      </c>
      <c r="Q147" s="18">
        <v>0</v>
      </c>
      <c r="R147" s="18">
        <v>15.77</v>
      </c>
      <c r="S147" s="18">
        <v>15.86</v>
      </c>
      <c r="T147" s="18">
        <v>15.77</v>
      </c>
      <c r="U147" s="18">
        <v>15.77</v>
      </c>
      <c r="V147" s="18">
        <v>15.85</v>
      </c>
      <c r="W147" s="18">
        <v>22.29</v>
      </c>
      <c r="X147" s="18">
        <v>18.48</v>
      </c>
      <c r="Y147" s="18">
        <v>15.77</v>
      </c>
      <c r="Z147" s="18">
        <v>15.77</v>
      </c>
      <c r="AA147" s="146">
        <v>15.77</v>
      </c>
      <c r="AB147" s="102">
        <f t="shared" ref="AB147:AZ147" si="1099">SUM(U147:AA147)/SUM(U$144:AA$144)*AB$144</f>
        <v>34.232706246267071</v>
      </c>
      <c r="AC147" s="102">
        <f t="shared" si="1099"/>
        <v>0</v>
      </c>
      <c r="AD147" s="102">
        <f t="shared" si="1099"/>
        <v>17.494136325369546</v>
      </c>
      <c r="AE147" s="102">
        <f t="shared" si="1099"/>
        <v>16.804175232847324</v>
      </c>
      <c r="AF147" s="102">
        <f t="shared" si="1099"/>
        <v>16.560583430908363</v>
      </c>
      <c r="AG147" s="102">
        <f t="shared" si="1099"/>
        <v>16.669620474642716</v>
      </c>
      <c r="AH147" s="102">
        <f t="shared" si="1099"/>
        <v>16.794185860387806</v>
      </c>
      <c r="AI147" s="102">
        <f t="shared" si="1099"/>
        <v>16.936486795774691</v>
      </c>
      <c r="AJ147" s="102">
        <f t="shared" si="1099"/>
        <v>16.876531353321742</v>
      </c>
      <c r="AK147" s="102">
        <f t="shared" si="1099"/>
        <v>16.876531353321742</v>
      </c>
      <c r="AL147" s="102">
        <f t="shared" si="1099"/>
        <v>16.788302071600626</v>
      </c>
      <c r="AM147" s="102">
        <f t="shared" si="1099"/>
        <v>16.786034477136813</v>
      </c>
      <c r="AN147" s="102">
        <f t="shared" si="1099"/>
        <v>33.636483538910326</v>
      </c>
      <c r="AO147" s="102">
        <f t="shared" si="1099"/>
        <v>0</v>
      </c>
      <c r="AP147" s="102">
        <f t="shared" si="1099"/>
        <v>17.348197239681131</v>
      </c>
      <c r="AQ147" s="102">
        <f t="shared" si="1099"/>
        <v>17.334486832857973</v>
      </c>
      <c r="AR147" s="102">
        <f t="shared" si="1099"/>
        <v>17.327639742055787</v>
      </c>
      <c r="AS147" s="102">
        <f t="shared" si="1099"/>
        <v>17.319855884246817</v>
      </c>
      <c r="AT147" s="102">
        <f t="shared" si="1099"/>
        <v>17.32377509077746</v>
      </c>
      <c r="AU147" s="102">
        <f t="shared" si="1099"/>
        <v>17.32855265431963</v>
      </c>
      <c r="AV147" s="102">
        <f t="shared" si="1099"/>
        <v>17.330417907323135</v>
      </c>
      <c r="AW147" s="102">
        <f t="shared" si="1099"/>
        <v>17.330417907323135</v>
      </c>
      <c r="AX147" s="102">
        <f t="shared" si="1099"/>
        <v>17.327878002700562</v>
      </c>
      <c r="AY147" s="102">
        <f t="shared" si="1099"/>
        <v>17.326933884106648</v>
      </c>
      <c r="AZ147" s="102">
        <f t="shared" si="1099"/>
        <v>34.653666094513532</v>
      </c>
      <c r="BA147" s="102">
        <f t="shared" ref="BA147" si="1100">SUM(AT147:AZ147)/SUM(AT$144:AZ$144)*BA$144</f>
        <v>0</v>
      </c>
      <c r="BB147" s="102">
        <f t="shared" ref="BB147" si="1101">SUM(AU147:BA147)/SUM(AU$144:BA$144)*BB$144</f>
        <v>17.848114634827894</v>
      </c>
      <c r="BC147" s="102">
        <f t="shared" ref="BC147" si="1102">SUM(AV147:BB147)/SUM(AV$144:BB$144)*BC$144</f>
        <v>17.848072728836243</v>
      </c>
      <c r="BD147" s="102">
        <f t="shared" ref="BD147" si="1103">SUM(AW147:BC147)/SUM(AW$144:BC$144)*BD$144</f>
        <v>17.847752939076098</v>
      </c>
      <c r="BE147" s="102">
        <f t="shared" ref="BE147" si="1104">SUM(AX147:BD147)/SUM(AX$144:BD$144)*BE$144</f>
        <v>17.847389398107588</v>
      </c>
      <c r="BF147" s="102">
        <f t="shared" ref="BF147" si="1105">SUM(AY147:BE147)/SUM(AY$144:BE$144)*BF$144</f>
        <v>17.847343759810681</v>
      </c>
      <c r="BG147" s="102">
        <f t="shared" ref="BG147" si="1106">SUM(AZ147:BF147)/SUM(AZ$144:BF$144)*BG$144</f>
        <v>17.847427935919889</v>
      </c>
      <c r="BH147" s="102">
        <f t="shared" ref="BH147" si="1107">SUM(BA147:BG147)/SUM(BA$144:BG$144)*BH$144</f>
        <v>17.847683566096396</v>
      </c>
      <c r="BI147" s="102">
        <f t="shared" ref="BI147" si="1108">SUM(BB147:BH147)/SUM(BB$144:BH$144)*BI$144</f>
        <v>17.847683566096396</v>
      </c>
      <c r="BJ147" s="102">
        <f t="shared" ref="BJ147" si="1109">SUM(BC147:BI147)/SUM(BC$144:BI$144)*BJ$144</f>
        <v>17.847621984849042</v>
      </c>
      <c r="BK147" s="102">
        <f t="shared" ref="BK147" si="1110">SUM(BD147:BJ147)/SUM(BD$144:BJ$144)*BK$144</f>
        <v>17.847557592850865</v>
      </c>
      <c r="BL147" s="102">
        <f t="shared" ref="BL147" si="1111">SUM(BE147:BK147)/SUM(BE$144:BK$144)*BL$144</f>
        <v>35.695059372494526</v>
      </c>
      <c r="BM147" s="102">
        <f t="shared" ref="BM147" si="1112">SUM(BF147:BL147)/SUM(BF$144:BL$144)*BM$144</f>
        <v>0</v>
      </c>
      <c r="BN147" s="102">
        <f t="shared" ref="BN147" si="1113">SUM(BG147:BM147)/SUM(BG$144:BM$144)*BN$144</f>
        <v>18.383003576979473</v>
      </c>
      <c r="BO147" s="102">
        <f t="shared" ref="BO147" si="1114">SUM(BH147:BN147)/SUM(BH$144:BN$144)*BO$144</f>
        <v>18.383025312823289</v>
      </c>
      <c r="BP147" s="102">
        <f t="shared" ref="BP147" si="1115">SUM(BI147:BO147)/SUM(BI$144:BO$144)*BP$144</f>
        <v>18.383012740549066</v>
      </c>
      <c r="BQ147" s="102">
        <f t="shared" ref="BQ147" si="1116">SUM(BJ147:BP147)/SUM(BJ$144:BP$144)*BQ$144</f>
        <v>18.382998448231685</v>
      </c>
      <c r="BR147" s="102">
        <f t="shared" ref="BR147" si="1117">SUM(BK147:BQ147)/SUM(BK$144:BQ$144)*BR$144</f>
        <v>18.382991117309945</v>
      </c>
      <c r="BS147" s="102">
        <f t="shared" ref="BS147" si="1118">SUM(BL147:BR147)/SUM(BL$144:BR$144)*BS$144</f>
        <v>18.382992067893657</v>
      </c>
      <c r="BT147" s="102">
        <f t="shared" ref="BT147" si="1119">SUM(BM147:BS147)/SUM(BM$144:BS$144)*BT$144</f>
        <v>18.383003877297856</v>
      </c>
      <c r="BU147" s="102">
        <f t="shared" ref="BU147" si="1120">SUM(BN147:BT147)/SUM(BN$144:BT$144)*BU$144</f>
        <v>18.383003877297853</v>
      </c>
      <c r="BV147" s="102">
        <f t="shared" ref="BV147" si="1121">SUM(BO147:BU147)/SUM(BO$144:BU$144)*BV$144</f>
        <v>18.383003920200476</v>
      </c>
      <c r="BW147" s="102">
        <f t="shared" ref="BW147" si="1122">SUM(BP147:BV147)/SUM(BP$144:BV$144)*BW$144</f>
        <v>18.383000864111501</v>
      </c>
      <c r="BX147" s="102">
        <f t="shared" ref="BX147" si="1123">SUM(BQ147:BW147)/SUM(BQ$144:BW$144)*BX$144</f>
        <v>36.765998334955128</v>
      </c>
      <c r="BY147" s="8"/>
      <c r="BZ147" s="72">
        <f t="shared" si="1077"/>
        <v>15.77</v>
      </c>
      <c r="CA147" s="72">
        <f t="shared" si="1078"/>
        <v>167.10000000000002</v>
      </c>
      <c r="CB147" s="97"/>
      <c r="CC147" s="72">
        <f t="shared" si="950"/>
        <v>0</v>
      </c>
      <c r="CD147" s="72">
        <f t="shared" si="1080"/>
        <v>0</v>
      </c>
      <c r="CE147" s="72">
        <f t="shared" si="1080"/>
        <v>197.32</v>
      </c>
      <c r="CF147" s="72">
        <f t="shared" si="1080"/>
        <v>201.33270624626709</v>
      </c>
      <c r="CG147" s="72">
        <f t="shared" si="1080"/>
        <v>202.22307091422169</v>
      </c>
      <c r="CH147" s="72">
        <f t="shared" si="1080"/>
        <v>207.95182123990583</v>
      </c>
      <c r="CI147" s="72">
        <f t="shared" si="1080"/>
        <v>214.17170747896563</v>
      </c>
      <c r="CJ147" s="72">
        <f t="shared" si="1080"/>
        <v>220.59603413764992</v>
      </c>
      <c r="CL147" s="13"/>
      <c r="CM147" s="13"/>
    </row>
    <row r="148" spans="1:91" x14ac:dyDescent="0.3">
      <c r="A148" s="97" t="str">
        <f>'DCS Detail'!A148</f>
        <v xml:space="preserve">         222.2 SPED - Payroll Tax SPED Support</v>
      </c>
      <c r="B148" s="106" t="str">
        <f>IF('DCS Detail'!$B148="","",'DCS Detail'!$B148)</f>
        <v>Benefits</v>
      </c>
      <c r="C148" s="106"/>
      <c r="D148" s="106"/>
      <c r="E148" s="18">
        <v>-6.35</v>
      </c>
      <c r="F148" s="18">
        <v>6.35</v>
      </c>
      <c r="G148" s="18">
        <v>6.44</v>
      </c>
      <c r="H148" s="18">
        <v>6.44</v>
      </c>
      <c r="I148" s="18">
        <v>6.44</v>
      </c>
      <c r="J148" s="18">
        <v>6.44</v>
      </c>
      <c r="K148" s="18">
        <v>9.11</v>
      </c>
      <c r="L148" s="18">
        <v>9.1099999999999923</v>
      </c>
      <c r="M148" s="18">
        <v>9.11</v>
      </c>
      <c r="N148" s="18">
        <v>10.49</v>
      </c>
      <c r="O148" s="18">
        <v>8.01</v>
      </c>
      <c r="P148" s="18">
        <v>19.329999999999998</v>
      </c>
      <c r="Q148" s="18">
        <v>0</v>
      </c>
      <c r="R148" s="18">
        <v>6.44</v>
      </c>
      <c r="S148" s="18">
        <v>6.54</v>
      </c>
      <c r="T148" s="18">
        <v>6.44</v>
      </c>
      <c r="U148" s="18">
        <v>6.44</v>
      </c>
      <c r="V148" s="18">
        <v>7.99</v>
      </c>
      <c r="W148" s="18">
        <v>10.46</v>
      </c>
      <c r="X148" s="18">
        <v>11.81</v>
      </c>
      <c r="Y148" s="18">
        <v>9.11</v>
      </c>
      <c r="Z148" s="18">
        <v>6.8</v>
      </c>
      <c r="AA148" s="146">
        <v>7.07</v>
      </c>
      <c r="AB148" s="102">
        <f t="shared" ref="AB148:AZ148" si="1124">SUM(U148:AA148)/SUM(U$145:AA$145)*AB$145</f>
        <v>18.488772444021965</v>
      </c>
      <c r="AC148" s="102">
        <f t="shared" si="1124"/>
        <v>0</v>
      </c>
      <c r="AD148" s="102">
        <f t="shared" si="1124"/>
        <v>9.6435646718827126</v>
      </c>
      <c r="AE148" s="102">
        <f t="shared" si="1124"/>
        <v>9.439192800246909</v>
      </c>
      <c r="AF148" s="102">
        <f t="shared" si="1124"/>
        <v>9.1496669168279006</v>
      </c>
      <c r="AG148" s="102">
        <f t="shared" si="1124"/>
        <v>8.9367823601009846</v>
      </c>
      <c r="AH148" s="102">
        <f t="shared" si="1124"/>
        <v>9.0801786798176511</v>
      </c>
      <c r="AI148" s="102">
        <f t="shared" si="1124"/>
        <v>9.248308267556876</v>
      </c>
      <c r="AJ148" s="102">
        <f t="shared" si="1124"/>
        <v>9.2496156160721732</v>
      </c>
      <c r="AK148" s="102">
        <f t="shared" si="1124"/>
        <v>9.2496156160721732</v>
      </c>
      <c r="AL148" s="102">
        <f t="shared" si="1124"/>
        <v>9.1933371795278109</v>
      </c>
      <c r="AM148" s="102">
        <f t="shared" si="1124"/>
        <v>9.1582149479965143</v>
      </c>
      <c r="AN148" s="102">
        <f t="shared" si="1124"/>
        <v>18.318872190612627</v>
      </c>
      <c r="AO148" s="102">
        <f t="shared" si="1124"/>
        <v>0</v>
      </c>
      <c r="AP148" s="102">
        <f t="shared" si="1124"/>
        <v>9.4786432474819033</v>
      </c>
      <c r="AQ148" s="102">
        <f t="shared" si="1124"/>
        <v>9.4719413601274649</v>
      </c>
      <c r="AR148" s="102">
        <f t="shared" si="1124"/>
        <v>9.4641279430698386</v>
      </c>
      <c r="AS148" s="102">
        <f t="shared" si="1124"/>
        <v>9.455245553579779</v>
      </c>
      <c r="AT148" s="102">
        <f t="shared" si="1124"/>
        <v>9.453294466313789</v>
      </c>
      <c r="AU148" s="102">
        <f t="shared" si="1124"/>
        <v>9.4561382523106232</v>
      </c>
      <c r="AV148" s="102">
        <f t="shared" si="1124"/>
        <v>9.4632318038138994</v>
      </c>
      <c r="AW148" s="102">
        <f t="shared" si="1124"/>
        <v>9.4632318038139012</v>
      </c>
      <c r="AX148" s="102">
        <f t="shared" si="1124"/>
        <v>9.4610301690041858</v>
      </c>
      <c r="AY148" s="102">
        <f t="shared" si="1124"/>
        <v>9.4594714274151439</v>
      </c>
      <c r="AZ148" s="102">
        <f t="shared" si="1124"/>
        <v>18.917612421786092</v>
      </c>
      <c r="BA148" s="102">
        <f t="shared" ref="BA148" si="1125">SUM(AT148:AZ148)/SUM(AT$145:AZ$145)*BA$145</f>
        <v>0</v>
      </c>
      <c r="BB148" s="102">
        <f t="shared" ref="BB148" si="1126">SUM(AU148:BA148)/SUM(AU$145:BA$145)*BB$145</f>
        <v>9.7439053363554518</v>
      </c>
      <c r="BC148" s="102">
        <f t="shared" ref="BC148" si="1127">SUM(AV148:BB148)/SUM(AV$145:BB$145)*BC$145</f>
        <v>9.7444861239053111</v>
      </c>
      <c r="BD148" s="102">
        <f t="shared" ref="BD148" si="1128">SUM(AW148:BC148)/SUM(AW$145:BC$145)*BD$145</f>
        <v>9.7441118131371827</v>
      </c>
      <c r="BE148" s="102">
        <f t="shared" ref="BE148" si="1129">SUM(AX148:BD148)/SUM(AX$145:BD$145)*BE$145</f>
        <v>9.7436862920100804</v>
      </c>
      <c r="BF148" s="102">
        <f t="shared" ref="BF148" si="1130">SUM(AY148:BE148)/SUM(AY$145:BE$145)*BF$145</f>
        <v>9.7435212945291507</v>
      </c>
      <c r="BG148" s="102">
        <f t="shared" ref="BG148" si="1131">SUM(AZ148:BF148)/SUM(AZ$145:BF$145)*BG$145</f>
        <v>9.7435584587657313</v>
      </c>
      <c r="BH148" s="102">
        <f t="shared" ref="BH148" si="1132">SUM(BA148:BG148)/SUM(BA$145:BG$145)*BH$145</f>
        <v>9.7438782197838201</v>
      </c>
      <c r="BI148" s="102">
        <f t="shared" ref="BI148" si="1133">SUM(BB148:BH148)/SUM(BB$145:BH$145)*BI$145</f>
        <v>9.7438782197838218</v>
      </c>
      <c r="BJ148" s="102">
        <f t="shared" ref="BJ148" si="1134">SUM(BC148:BI148)/SUM(BC$145:BI$145)*BJ$145</f>
        <v>9.7438743459878729</v>
      </c>
      <c r="BK148" s="102">
        <f t="shared" ref="BK148" si="1135">SUM(BD148:BJ148)/SUM(BD$145:BJ$145)*BK$145</f>
        <v>9.7437869491425246</v>
      </c>
      <c r="BL148" s="102">
        <f t="shared" ref="BL148" si="1136">SUM(BE148:BK148)/SUM(BE$145:BK$145)*BL$145</f>
        <v>19.487481080000865</v>
      </c>
      <c r="BM148" s="102">
        <f t="shared" ref="BM148" si="1137">SUM(BF148:BL148)/SUM(BF$145:BL$145)*BM$145</f>
        <v>0</v>
      </c>
      <c r="BN148" s="102">
        <f t="shared" ref="BN148" si="1138">SUM(BG148:BM148)/SUM(BG$145:BM$145)*BN$145</f>
        <v>10.036092998809799</v>
      </c>
      <c r="BO148" s="102">
        <f t="shared" ref="BO148" si="1139">SUM(BH148:BN148)/SUM(BH$145:BN$145)*BO$145</f>
        <v>10.036125400841247</v>
      </c>
      <c r="BP148" s="102">
        <f t="shared" ref="BP148" si="1140">SUM(BI148:BO148)/SUM(BI$145:BO$145)*BP$145</f>
        <v>10.036115604023104</v>
      </c>
      <c r="BQ148" s="102">
        <f t="shared" ref="BQ148" si="1141">SUM(BJ148:BP148)/SUM(BJ$145:BP$145)*BQ$145</f>
        <v>10.036104466878642</v>
      </c>
      <c r="BR148" s="102">
        <f t="shared" ref="BR148" si="1142">SUM(BK148:BQ148)/SUM(BK$145:BQ$145)*BR$145</f>
        <v>10.036092372849307</v>
      </c>
      <c r="BS148" s="102">
        <f t="shared" ref="BS148" si="1143">SUM(BL148:BR148)/SUM(BL$145:BR$145)*BS$145</f>
        <v>10.03609122812658</v>
      </c>
      <c r="BT148" s="102">
        <f t="shared" ref="BT148" si="1144">SUM(BM148:BS148)/SUM(BM$145:BS$145)*BT$145</f>
        <v>10.036103678588111</v>
      </c>
      <c r="BU148" s="102">
        <f t="shared" ref="BU148" si="1145">SUM(BN148:BT148)/SUM(BN$145:BT$145)*BU$145</f>
        <v>10.036103678588109</v>
      </c>
      <c r="BV148" s="102">
        <f t="shared" ref="BV148" si="1146">SUM(BO148:BU148)/SUM(BO$145:BU$145)*BV$145</f>
        <v>10.036105204270729</v>
      </c>
      <c r="BW148" s="102">
        <f t="shared" ref="BW148" si="1147">SUM(BP148:BV148)/SUM(BP$145:BV$145)*BW$145</f>
        <v>10.036102319046368</v>
      </c>
      <c r="BX148" s="102">
        <f t="shared" ref="BX148" si="1148">SUM(BQ148:BW148)/SUM(BQ$145:BW$145)*BX$145</f>
        <v>20.072200842385097</v>
      </c>
      <c r="BY148" s="8"/>
      <c r="BZ148" s="72">
        <f t="shared" si="1077"/>
        <v>7.07</v>
      </c>
      <c r="CA148" s="72">
        <f t="shared" si="1078"/>
        <v>79.099999999999994</v>
      </c>
      <c r="CB148" s="97"/>
      <c r="CC148" s="72">
        <f t="shared" si="950"/>
        <v>0</v>
      </c>
      <c r="CD148" s="72">
        <f t="shared" si="1080"/>
        <v>0</v>
      </c>
      <c r="CE148" s="72">
        <f t="shared" si="1080"/>
        <v>90.92</v>
      </c>
      <c r="CF148" s="72">
        <f t="shared" si="1080"/>
        <v>97.588772444021956</v>
      </c>
      <c r="CG148" s="72">
        <f t="shared" si="1080"/>
        <v>110.66734924671434</v>
      </c>
      <c r="CH148" s="72">
        <f t="shared" si="1080"/>
        <v>113.54396844871661</v>
      </c>
      <c r="CI148" s="72">
        <f t="shared" si="1080"/>
        <v>116.92616813340183</v>
      </c>
      <c r="CJ148" s="72">
        <f t="shared" si="1080"/>
        <v>120.43323779440708</v>
      </c>
      <c r="CL148" s="13"/>
      <c r="CM148" s="13"/>
    </row>
    <row r="149" spans="1:91" x14ac:dyDescent="0.3">
      <c r="A149" s="97" t="str">
        <f>'DCS Detail'!A149</f>
        <v xml:space="preserve">         231.2 SPED - PERS SPED Teachers</v>
      </c>
      <c r="B149" s="106" t="str">
        <f>IF('DCS Detail'!$B149="","",'DCS Detail'!$B149)</f>
        <v>Benefits</v>
      </c>
      <c r="C149" s="106"/>
      <c r="D149" s="106"/>
      <c r="E149" s="18">
        <v>314.83</v>
      </c>
      <c r="F149" s="18">
        <v>314.83</v>
      </c>
      <c r="G149" s="18">
        <v>320.2</v>
      </c>
      <c r="H149" s="18">
        <v>320.2</v>
      </c>
      <c r="I149" s="18">
        <v>320.2</v>
      </c>
      <c r="J149" s="18">
        <v>320.2</v>
      </c>
      <c r="K149" s="18">
        <v>320.2</v>
      </c>
      <c r="L149" s="18">
        <v>320.20000000000027</v>
      </c>
      <c r="M149" s="18">
        <v>160.1</v>
      </c>
      <c r="N149" s="18">
        <v>0</v>
      </c>
      <c r="O149" s="18">
        <v>160.1</v>
      </c>
      <c r="P149" s="18">
        <v>960.59</v>
      </c>
      <c r="Q149" s="18">
        <v>0</v>
      </c>
      <c r="R149" s="18">
        <v>320.2</v>
      </c>
      <c r="S149" s="18">
        <v>320.2</v>
      </c>
      <c r="T149" s="18">
        <v>320.2</v>
      </c>
      <c r="U149" s="18">
        <v>320.2</v>
      </c>
      <c r="V149" s="18">
        <v>321.8</v>
      </c>
      <c r="W149" s="18">
        <v>320.2</v>
      </c>
      <c r="X149" s="18">
        <v>320.2</v>
      </c>
      <c r="Y149" s="18">
        <v>320.2</v>
      </c>
      <c r="Z149" s="18">
        <v>320.2</v>
      </c>
      <c r="AA149" s="146">
        <v>322.93</v>
      </c>
      <c r="AB149" s="102">
        <f t="shared" ref="AB149" si="1149">SUM(U149:AA149)/SUM(U$144:AA$144)*AB$144</f>
        <v>642.25075520826522</v>
      </c>
      <c r="AC149" s="102">
        <f t="shared" ref="AC149" si="1150">SUM(V149:AB149)/SUM(V$144:AB$144)*AC$144</f>
        <v>0</v>
      </c>
      <c r="AD149" s="102">
        <f t="shared" ref="AD149" si="1151">SUM(W149:AC149)/SUM(W$144:AC$144)*AD$144</f>
        <v>321.23803586407035</v>
      </c>
      <c r="AE149" s="102">
        <f t="shared" ref="AE149" si="1152">SUM(X149:AD149)/SUM(X$144:AD$144)*AE$144</f>
        <v>321.30966668597097</v>
      </c>
      <c r="AF149" s="102">
        <f t="shared" ref="AF149" si="1153">SUM(Y149:AE149)/SUM(Y$144:AE$144)*AF$144</f>
        <v>321.39150357728198</v>
      </c>
      <c r="AG149" s="102">
        <f t="shared" ref="AG149" si="1154">SUM(Z149:AF149)/SUM(Z$144:AF$144)*AG$144</f>
        <v>321.48499792802471</v>
      </c>
      <c r="AH149" s="102">
        <f t="shared" ref="AH149" si="1155">SUM(AA149:AG149)/SUM(AA$144:AG$144)*AH$144</f>
        <v>321.5918071321849</v>
      </c>
      <c r="AI149" s="102">
        <f t="shared" ref="AI149" si="1156">SUM(AB149:AH149)/SUM(AB$144:AH$144)*AI$144</f>
        <v>321.32382377082831</v>
      </c>
      <c r="AJ149" s="102">
        <f t="shared" ref="AJ149" si="1157">SUM(AC149:AI149)/SUM(AC$144:AI$144)*AJ$144</f>
        <v>321.38997249306021</v>
      </c>
      <c r="AK149" s="102">
        <f t="shared" ref="AK149" si="1158">SUM(AD149:AJ149)/SUM(AD$144:AJ$144)*AK$144</f>
        <v>321.38997249306021</v>
      </c>
      <c r="AL149" s="102">
        <f t="shared" ref="AL149" si="1159">SUM(AE149:AK149)/SUM(AE$144:AK$144)*AL$144</f>
        <v>321.41167772577307</v>
      </c>
      <c r="AM149" s="102">
        <f t="shared" ref="AM149" si="1160">SUM(AF149:AL149)/SUM(AF$144:AL$144)*AM$144</f>
        <v>321.42625073145905</v>
      </c>
      <c r="AN149" s="102">
        <f t="shared" ref="AN149" si="1161">SUM(AG149:AM149)/SUM(AG$144:AM$144)*AN$144</f>
        <v>642.8624292212545</v>
      </c>
      <c r="AO149" s="102">
        <f t="shared" ref="AO149" si="1162">SUM(AH149:AN149)/SUM(AH$144:AN$144)*AO$144</f>
        <v>0</v>
      </c>
      <c r="AP149" s="102">
        <f t="shared" ref="AP149" si="1163">SUM(AI149:AO149)/SUM(AI$144:AO$144)*AP$144</f>
        <v>331.04260717549988</v>
      </c>
      <c r="AQ149" s="102">
        <f t="shared" ref="AQ149" si="1164">SUM(AJ149:AP149)/SUM(AJ$144:AP$144)*AQ$144</f>
        <v>331.05385450004411</v>
      </c>
      <c r="AR149" s="102">
        <f t="shared" ref="AR149" si="1165">SUM(AK149:AQ149)/SUM(AK$144:AQ$144)*AR$144</f>
        <v>331.05699654426394</v>
      </c>
      <c r="AS149" s="102">
        <f t="shared" ref="AS149" si="1166">SUM(AL149:AR149)/SUM(AL$144:AR$144)*AS$144</f>
        <v>331.06056845913167</v>
      </c>
      <c r="AT149" s="102">
        <f t="shared" ref="AT149" si="1167">SUM(AM149:AS149)/SUM(AM$144:AS$144)*AT$144</f>
        <v>331.06148705485998</v>
      </c>
      <c r="AU149" s="102">
        <f t="shared" ref="AU149" si="1168">SUM(AN149:AT149)/SUM(AN$144:AT$144)*AU$144</f>
        <v>331.06043094317562</v>
      </c>
      <c r="AV149" s="102">
        <f t="shared" ref="AV149" si="1169">SUM(AO149:AU149)/SUM(AO$144:AU$144)*AV$144</f>
        <v>331.05599077949586</v>
      </c>
      <c r="AW149" s="102">
        <f t="shared" ref="AW149" si="1170">SUM(AP149:AV149)/SUM(AP$144:AV$144)*AW$144</f>
        <v>331.05599077949586</v>
      </c>
      <c r="AX149" s="102">
        <f t="shared" ref="AX149" si="1171">SUM(AQ149:AW149)/SUM(AQ$144:AW$144)*AX$144</f>
        <v>331.05790272292381</v>
      </c>
      <c r="AY149" s="102">
        <f t="shared" ref="AY149" si="1172">SUM(AR149:AX149)/SUM(AR$144:AX$144)*AY$144</f>
        <v>331.05848104047806</v>
      </c>
      <c r="AZ149" s="102">
        <f t="shared" ref="AZ149" si="1173">SUM(AS149:AY149)/SUM(AS$144:AY$144)*AZ$144</f>
        <v>662.11738622273162</v>
      </c>
      <c r="BA149" s="102">
        <f t="shared" ref="BA149" si="1174">SUM(AT149:AZ149)/SUM(AT$144:AZ$144)*BA$144</f>
        <v>0</v>
      </c>
      <c r="BB149" s="102">
        <f t="shared" ref="BB149" si="1175">SUM(AU149:BA149)/SUM(AU$144:BA$144)*BB$144</f>
        <v>340.98976685184999</v>
      </c>
      <c r="BC149" s="102">
        <f t="shared" ref="BC149" si="1176">SUM(AV149:BB149)/SUM(AV$144:BB$144)*BC$144</f>
        <v>340.98941450197509</v>
      </c>
      <c r="BD149" s="102">
        <f t="shared" ref="BD149" si="1177">SUM(AW149:BC149)/SUM(AW$144:BC$144)*BD$144</f>
        <v>340.98966152734243</v>
      </c>
      <c r="BE149" s="102">
        <f t="shared" ref="BE149" si="1178">SUM(AX149:BD149)/SUM(AX$144:BD$144)*BE$144</f>
        <v>340.98994234884623</v>
      </c>
      <c r="BF149" s="102">
        <f t="shared" ref="BF149" si="1179">SUM(AY149:BE149)/SUM(AY$144:BE$144)*BF$144</f>
        <v>340.98998484101401</v>
      </c>
      <c r="BG149" s="102">
        <f t="shared" ref="BG149" si="1180">SUM(AZ149:BF149)/SUM(AZ$144:BF$144)*BG$144</f>
        <v>340.98994978777228</v>
      </c>
      <c r="BH149" s="102">
        <f t="shared" ref="BH149" si="1181">SUM(BA149:BG149)/SUM(BA$144:BG$144)*BH$144</f>
        <v>340.98978664313336</v>
      </c>
      <c r="BI149" s="102">
        <f t="shared" ref="BI149" si="1182">SUM(BB149:BH149)/SUM(BB$144:BH$144)*BI$144</f>
        <v>340.98978664313336</v>
      </c>
      <c r="BJ149" s="102">
        <f t="shared" ref="BJ149" si="1183">SUM(BC149:BI149)/SUM(BC$144:BI$144)*BJ$144</f>
        <v>340.98978947045947</v>
      </c>
      <c r="BK149" s="102">
        <f t="shared" ref="BK149" si="1184">SUM(BD149:BJ149)/SUM(BD$144:BJ$144)*BK$144</f>
        <v>340.98984303738587</v>
      </c>
      <c r="BL149" s="102">
        <f t="shared" ref="BL149" si="1185">SUM(BE149:BK149)/SUM(BE$144:BK$144)*BL$144</f>
        <v>681.97973793478411</v>
      </c>
      <c r="BM149" s="102">
        <f t="shared" ref="BM149" si="1186">SUM(BF149:BL149)/SUM(BF$144:BL$144)*BM$144</f>
        <v>0</v>
      </c>
      <c r="BN149" s="102">
        <f t="shared" ref="BN149" si="1187">SUM(BG149:BM149)/SUM(BG$144:BM$144)*BN$144</f>
        <v>351.21953718888119</v>
      </c>
      <c r="BO149" s="102">
        <f t="shared" ref="BO149" si="1188">SUM(BH149:BN149)/SUM(BH$144:BN$144)*BO$144</f>
        <v>351.21952138624624</v>
      </c>
      <c r="BP149" s="102">
        <f t="shared" ref="BP149" si="1189">SUM(BI149:BO149)/SUM(BI$144:BO$144)*BP$144</f>
        <v>351.21952721398264</v>
      </c>
      <c r="BQ149" s="102">
        <f t="shared" ref="BQ149" si="1190">SUM(BJ149:BP149)/SUM(BJ$144:BP$144)*BQ$144</f>
        <v>351.21953383902553</v>
      </c>
      <c r="BR149" s="102">
        <f t="shared" ref="BR149" si="1191">SUM(BK149:BQ149)/SUM(BK$144:BQ$144)*BR$144</f>
        <v>351.21954095762857</v>
      </c>
      <c r="BS149" s="102">
        <f t="shared" ref="BS149" si="1192">SUM(BL149:BR149)/SUM(BL$144:BR$144)*BS$144</f>
        <v>351.21954132533779</v>
      </c>
      <c r="BT149" s="102">
        <f t="shared" ref="BT149" si="1193">SUM(BM149:BS149)/SUM(BM$144:BS$144)*BT$144</f>
        <v>351.21953365185038</v>
      </c>
      <c r="BU149" s="102">
        <f t="shared" ref="BU149" si="1194">SUM(BN149:BT149)/SUM(BN$144:BT$144)*BU$144</f>
        <v>351.21953365185027</v>
      </c>
      <c r="BV149" s="102">
        <f t="shared" ref="BV149" si="1195">SUM(BO149:BU149)/SUM(BO$144:BU$144)*BV$144</f>
        <v>351.2195331465602</v>
      </c>
      <c r="BW149" s="102">
        <f t="shared" ref="BW149" si="1196">SUM(BP149:BV149)/SUM(BP$144:BV$144)*BW$144</f>
        <v>351.21953482660501</v>
      </c>
      <c r="BX149" s="102">
        <f t="shared" ref="BX149" si="1197">SUM(BQ149:BW149)/SUM(BQ$144:BW$144)*BX$144</f>
        <v>702.43907182824501</v>
      </c>
      <c r="BY149" s="8"/>
      <c r="BZ149" s="72">
        <f t="shared" si="1077"/>
        <v>322.93</v>
      </c>
      <c r="CA149" s="72">
        <f t="shared" si="1078"/>
        <v>3206.3299999999995</v>
      </c>
      <c r="CB149" s="97"/>
      <c r="CC149" s="72">
        <f t="shared" si="950"/>
        <v>0</v>
      </c>
      <c r="CD149" s="72">
        <f t="shared" ref="CD149:CJ159" si="1198">SUMIF($C$3:$BY$3,CD$3,$C149:$BY149)</f>
        <v>0</v>
      </c>
      <c r="CE149" s="72">
        <f t="shared" si="1198"/>
        <v>3831.65</v>
      </c>
      <c r="CF149" s="72">
        <f t="shared" si="1198"/>
        <v>3848.5807552082647</v>
      </c>
      <c r="CG149" s="72">
        <f t="shared" si="1198"/>
        <v>3856.8201376229681</v>
      </c>
      <c r="CH149" s="72">
        <f t="shared" si="1198"/>
        <v>3972.6816962221001</v>
      </c>
      <c r="CI149" s="72">
        <f t="shared" si="1198"/>
        <v>4091.8776635876966</v>
      </c>
      <c r="CJ149" s="72">
        <f t="shared" si="1198"/>
        <v>4214.6344090162129</v>
      </c>
      <c r="CL149" s="13"/>
      <c r="CM149" s="13"/>
    </row>
    <row r="150" spans="1:91" x14ac:dyDescent="0.3">
      <c r="A150" s="97" t="str">
        <f>'DCS Detail'!A150</f>
        <v xml:space="preserve">         232.2 SPED - PERS SPED Support</v>
      </c>
      <c r="B150" s="106" t="str">
        <f>IF('DCS Detail'!$B150="","",'DCS Detail'!$B150)</f>
        <v>Benefits</v>
      </c>
      <c r="C150" s="106"/>
      <c r="D150" s="106"/>
      <c r="E150" s="18">
        <v>-78.77</v>
      </c>
      <c r="F150" s="18">
        <v>78.77</v>
      </c>
      <c r="G150" s="18">
        <v>79.959999999999994</v>
      </c>
      <c r="H150" s="18">
        <v>79.959999999999994</v>
      </c>
      <c r="I150" s="18">
        <v>79.959999999999994</v>
      </c>
      <c r="J150" s="18">
        <v>79.959999999999994</v>
      </c>
      <c r="K150" s="18">
        <v>79.959999999999994</v>
      </c>
      <c r="L150" s="18">
        <v>79.960000000000036</v>
      </c>
      <c r="M150" s="18">
        <v>240.06</v>
      </c>
      <c r="N150" s="18">
        <v>400.15</v>
      </c>
      <c r="O150" s="18">
        <v>240.06</v>
      </c>
      <c r="P150" s="18">
        <v>239.88</v>
      </c>
      <c r="Q150" s="18">
        <v>0</v>
      </c>
      <c r="R150" s="18">
        <v>79.959999999999994</v>
      </c>
      <c r="S150" s="18">
        <v>79.959999999999994</v>
      </c>
      <c r="T150" s="18">
        <v>79.959999999999994</v>
      </c>
      <c r="U150" s="18">
        <v>79.959999999999994</v>
      </c>
      <c r="V150" s="18">
        <v>79.959999999999994</v>
      </c>
      <c r="W150" s="18">
        <v>79.959999999999994</v>
      </c>
      <c r="X150" s="18">
        <v>79.959999999999994</v>
      </c>
      <c r="Y150" s="18">
        <v>79.959999999999994</v>
      </c>
      <c r="Z150" s="18">
        <v>79.959999999999994</v>
      </c>
      <c r="AA150" s="146">
        <v>80.61</v>
      </c>
      <c r="AB150" s="102">
        <f t="shared" ref="AB150" si="1199">SUM(U150:AA150)/SUM(U$145:AA$145)*AB$145</f>
        <v>173.60176632802595</v>
      </c>
      <c r="AC150" s="102">
        <f t="shared" ref="AC150" si="1200">SUM(V150:AB150)/SUM(V$145:AB$145)*AC$145</f>
        <v>0</v>
      </c>
      <c r="AD150" s="102">
        <f t="shared" ref="AD150" si="1201">SUM(W150:AC150)/SUM(W$145:AC$145)*AD$145</f>
        <v>86.853027150070744</v>
      </c>
      <c r="AE150" s="102">
        <f t="shared" ref="AE150" si="1202">SUM(X150:AD150)/SUM(X$145:AD$145)*AE$145</f>
        <v>87.149495128229944</v>
      </c>
      <c r="AF150" s="102">
        <f t="shared" ref="AF150" si="1203">SUM(Y150:AE150)/SUM(Y$145:AE$145)*AF$145</f>
        <v>88.870303534279884</v>
      </c>
      <c r="AG150" s="102">
        <f t="shared" ref="AG150" si="1204">SUM(Z150:AF150)/SUM(Z$145:AF$145)*AG$145</f>
        <v>88.059946958032143</v>
      </c>
      <c r="AH150" s="102">
        <f t="shared" ref="AH150" si="1205">SUM(AA150:AG150)/SUM(AA$145:AG$145)*AH$145</f>
        <v>87.597601784973037</v>
      </c>
      <c r="AI150" s="102">
        <f t="shared" ref="AI150" si="1206">SUM(AB150:AH150)/SUM(AB$145:AH$145)*AI$145</f>
        <v>87.447448697658828</v>
      </c>
      <c r="AJ150" s="102">
        <f t="shared" ref="AJ150" si="1207">SUM(AC150:AI150)/SUM(AC$145:AI$145)*AJ$145</f>
        <v>87.662970542207418</v>
      </c>
      <c r="AK150" s="102">
        <f t="shared" ref="AK150" si="1208">SUM(AD150:AJ150)/SUM(AD$145:AJ$145)*AK$145</f>
        <v>87.662970542207432</v>
      </c>
      <c r="AL150" s="102">
        <f t="shared" ref="AL150" si="1209">SUM(AE150:AK150)/SUM(AE$145:AK$145)*AL$145</f>
        <v>87.778676741084112</v>
      </c>
      <c r="AM150" s="102">
        <f t="shared" ref="AM150" si="1210">SUM(AF150:AL150)/SUM(AF$145:AL$145)*AM$145</f>
        <v>87.868559828634702</v>
      </c>
      <c r="AN150" s="102">
        <f t="shared" ref="AN150" si="1211">SUM(AG150:AM150)/SUM(AG$145:AM$145)*AN$145</f>
        <v>175.45090716994221</v>
      </c>
      <c r="AO150" s="102">
        <f t="shared" ref="AO150" si="1212">SUM(AH150:AN150)/SUM(AH$145:AN$145)*AO$145</f>
        <v>0</v>
      </c>
      <c r="AP150" s="102">
        <f t="shared" ref="AP150" si="1213">SUM(AI150:AO150)/SUM(AI$145:AO$145)*AP$145</f>
        <v>90.326811361055249</v>
      </c>
      <c r="AQ150" s="102">
        <f t="shared" ref="AQ150" si="1214">SUM(AJ150:AP150)/SUM(AJ$145:AP$145)*AQ$145</f>
        <v>90.363218075488618</v>
      </c>
      <c r="AR150" s="102">
        <f t="shared" ref="AR150" si="1215">SUM(AK150:AQ150)/SUM(AK$145:AQ$145)*AR$145</f>
        <v>90.373183856935498</v>
      </c>
      <c r="AS150" s="102">
        <f t="shared" ref="AS150" si="1216">SUM(AL150:AR150)/SUM(AL$145:AR$145)*AS$145</f>
        <v>90.384513080978081</v>
      </c>
      <c r="AT150" s="102">
        <f t="shared" ref="AT150" si="1217">SUM(AM150:AS150)/SUM(AM$145:AS$145)*AT$145</f>
        <v>90.380647355930535</v>
      </c>
      <c r="AU150" s="102">
        <f t="shared" ref="AU150" si="1218">SUM(AN150:AT150)/SUM(AN$145:AT$145)*AU$145</f>
        <v>90.363308996830767</v>
      </c>
      <c r="AV150" s="102">
        <f t="shared" ref="AV150" si="1219">SUM(AO150:AU150)/SUM(AO$145:AU$145)*AV$145</f>
        <v>90.365280454536446</v>
      </c>
      <c r="AW150" s="102">
        <f t="shared" ref="AW150" si="1220">SUM(AP150:AV150)/SUM(AP$145:AV$145)*AW$145</f>
        <v>90.36528045453646</v>
      </c>
      <c r="AX150" s="102">
        <f t="shared" ref="AX150" si="1221">SUM(AQ150:AW150)/SUM(AQ$145:AW$145)*AX$145</f>
        <v>90.37077603931948</v>
      </c>
      <c r="AY150" s="102">
        <f t="shared" ref="AY150" si="1222">SUM(AR150:AX150)/SUM(AR$145:AX$145)*AY$145</f>
        <v>90.371855748438179</v>
      </c>
      <c r="AZ150" s="102">
        <f t="shared" ref="AZ150" si="1223">SUM(AS150:AY150)/SUM(AS$145:AY$145)*AZ$145</f>
        <v>180.74333203730569</v>
      </c>
      <c r="BA150" s="102">
        <f t="shared" ref="BA150" si="1224">SUM(AT150:AZ150)/SUM(AT$145:AZ$145)*BA$145</f>
        <v>0</v>
      </c>
      <c r="BB150" s="102">
        <f t="shared" ref="BB150" si="1225">SUM(AU150:BA150)/SUM(AU$145:BA$145)*BB$145</f>
        <v>93.079604106128016</v>
      </c>
      <c r="BC150" s="102">
        <f t="shared" ref="BC150" si="1226">SUM(AV150:BB150)/SUM(AV$145:BB$145)*BC$145</f>
        <v>93.080371650849543</v>
      </c>
      <c r="BD150" s="102">
        <f t="shared" ref="BD150" si="1227">SUM(AW150:BC150)/SUM(AW$145:BC$145)*BD$145</f>
        <v>93.080957030832124</v>
      </c>
      <c r="BE150" s="102">
        <f t="shared" ref="BE150" si="1228">SUM(AX150:BD150)/SUM(AX$145:BD$145)*BE$145</f>
        <v>93.081622498061961</v>
      </c>
      <c r="BF150" s="102">
        <f t="shared" ref="BF150" si="1229">SUM(AY150:BE150)/SUM(AY$145:BE$145)*BF$145</f>
        <v>93.081583618506173</v>
      </c>
      <c r="BG150" s="102">
        <f t="shared" ref="BG150" si="1230">SUM(AZ150:BF150)/SUM(AZ$145:BF$145)*BG$145</f>
        <v>93.081383925864912</v>
      </c>
      <c r="BH150" s="102">
        <f t="shared" ref="BH150" si="1231">SUM(BA150:BG150)/SUM(BA$145:BG$145)*BH$145</f>
        <v>93.080920471707145</v>
      </c>
      <c r="BI150" s="102">
        <f t="shared" ref="BI150" si="1232">SUM(BB150:BH150)/SUM(BB$145:BH$145)*BI$145</f>
        <v>93.080920471707145</v>
      </c>
      <c r="BJ150" s="102">
        <f t="shared" ref="BJ150" si="1233">SUM(BC150:BI150)/SUM(BC$145:BI$145)*BJ$145</f>
        <v>93.081108523932727</v>
      </c>
      <c r="BK150" s="102">
        <f t="shared" ref="BK150" si="1234">SUM(BD150:BJ150)/SUM(BD$145:BJ$145)*BK$145</f>
        <v>93.081213791516049</v>
      </c>
      <c r="BL150" s="102">
        <f t="shared" ref="BL150" si="1235">SUM(BE150:BK150)/SUM(BE$145:BK$145)*BL$145</f>
        <v>186.16250094322746</v>
      </c>
      <c r="BM150" s="102">
        <f t="shared" ref="BM150" si="1236">SUM(BF150:BL150)/SUM(BF$145:BL$145)*BM$145</f>
        <v>0</v>
      </c>
      <c r="BN150" s="102">
        <f t="shared" ref="BN150" si="1237">SUM(BG150:BM150)/SUM(BG$145:BM$145)*BN$145</f>
        <v>95.873584224542029</v>
      </c>
      <c r="BO150" s="102">
        <f t="shared" ref="BO150" si="1238">SUM(BH150:BN150)/SUM(BH$145:BN$145)*BO$145</f>
        <v>95.873549911725675</v>
      </c>
      <c r="BP150" s="102">
        <f t="shared" ref="BP150" si="1239">SUM(BI150:BO150)/SUM(BI$145:BO$145)*BP$145</f>
        <v>95.873578498959006</v>
      </c>
      <c r="BQ150" s="102">
        <f t="shared" ref="BQ150" si="1240">SUM(BJ150:BP150)/SUM(BJ$145:BP$145)*BQ$145</f>
        <v>95.873610997280664</v>
      </c>
      <c r="BR150" s="102">
        <f t="shared" ref="BR150" si="1241">SUM(BK150:BQ150)/SUM(BK$145:BQ$145)*BR$145</f>
        <v>95.873620718857921</v>
      </c>
      <c r="BS150" s="102">
        <f t="shared" ref="BS150" si="1242">SUM(BL150:BR150)/SUM(BL$145:BR$145)*BS$145</f>
        <v>95.873616594885377</v>
      </c>
      <c r="BT150" s="102">
        <f t="shared" ref="BT150" si="1243">SUM(BM150:BS150)/SUM(BM$145:BS$145)*BT$145</f>
        <v>95.87359349104176</v>
      </c>
      <c r="BU150" s="102">
        <f t="shared" ref="BU150" si="1244">SUM(BN150:BT150)/SUM(BN$145:BT$145)*BU$145</f>
        <v>95.87359349104176</v>
      </c>
      <c r="BV150" s="102">
        <f t="shared" ref="BV150" si="1245">SUM(BO150:BU150)/SUM(BO$145:BU$145)*BV$145</f>
        <v>95.873594814827442</v>
      </c>
      <c r="BW150" s="102">
        <f t="shared" ref="BW150" si="1246">SUM(BP150:BV150)/SUM(BP$145:BV$145)*BW$145</f>
        <v>95.873601229556286</v>
      </c>
      <c r="BX150" s="102">
        <f t="shared" ref="BX150" si="1247">SUM(BQ150:BW150)/SUM(BQ$145:BW$145)*BX$145</f>
        <v>191.74720895356887</v>
      </c>
      <c r="BY150" s="8"/>
      <c r="BZ150" s="72">
        <f t="shared" si="1077"/>
        <v>80.61</v>
      </c>
      <c r="CA150" s="72">
        <f t="shared" si="1078"/>
        <v>800.25</v>
      </c>
      <c r="CB150" s="97"/>
      <c r="CC150" s="72">
        <f t="shared" si="950"/>
        <v>0</v>
      </c>
      <c r="CD150" s="72">
        <f t="shared" si="1198"/>
        <v>0</v>
      </c>
      <c r="CE150" s="72">
        <f t="shared" si="1198"/>
        <v>1599.9099999999999</v>
      </c>
      <c r="CF150" s="72">
        <f t="shared" si="1198"/>
        <v>973.85176632802597</v>
      </c>
      <c r="CG150" s="72">
        <f t="shared" si="1198"/>
        <v>1052.4019080773205</v>
      </c>
      <c r="CH150" s="72">
        <f t="shared" si="1198"/>
        <v>1084.408207461355</v>
      </c>
      <c r="CI150" s="72">
        <f t="shared" si="1198"/>
        <v>1116.9721870323333</v>
      </c>
      <c r="CJ150" s="72">
        <f t="shared" si="1198"/>
        <v>1150.4831529262867</v>
      </c>
      <c r="CL150" s="13"/>
      <c r="CM150" s="13"/>
    </row>
    <row r="151" spans="1:91" x14ac:dyDescent="0.3">
      <c r="A151" s="97" t="str">
        <f>'DCS Detail'!A151</f>
        <v xml:space="preserve">         261.2 SPED - SUI SPED Teachers</v>
      </c>
      <c r="B151" s="106" t="str">
        <f>IF('DCS Detail'!$B151="","",'DCS Detail'!$B151)</f>
        <v>Benefits</v>
      </c>
      <c r="C151" s="106"/>
      <c r="D151" s="106"/>
      <c r="E151" s="18">
        <v>-5.54</v>
      </c>
      <c r="F151" s="18">
        <v>0</v>
      </c>
      <c r="G151" s="18">
        <v>0</v>
      </c>
      <c r="H151" s="18">
        <v>0</v>
      </c>
      <c r="I151" s="18">
        <v>0</v>
      </c>
      <c r="J151" s="18">
        <v>0</v>
      </c>
      <c r="K151" s="18">
        <v>19.690000000000001</v>
      </c>
      <c r="L151" s="18">
        <v>19.7</v>
      </c>
      <c r="M151" s="18">
        <v>16.420000000000002</v>
      </c>
      <c r="N151" s="18">
        <v>16.420000000000002</v>
      </c>
      <c r="O151" s="18">
        <v>16.420000000000002</v>
      </c>
      <c r="P151" s="18">
        <v>28.12</v>
      </c>
      <c r="Q151" s="18">
        <v>0</v>
      </c>
      <c r="R151" s="18">
        <v>0</v>
      </c>
      <c r="S151" s="18">
        <v>0</v>
      </c>
      <c r="T151" s="18">
        <v>0</v>
      </c>
      <c r="U151" s="18">
        <v>0</v>
      </c>
      <c r="V151" s="18">
        <v>0</v>
      </c>
      <c r="W151" s="18">
        <v>16.420000000000002</v>
      </c>
      <c r="X151" s="18">
        <v>16.420000000000002</v>
      </c>
      <c r="Y151" s="18">
        <v>16.420000000000002</v>
      </c>
      <c r="Z151" s="18">
        <v>16.420000000000002</v>
      </c>
      <c r="AA151" s="146">
        <v>16.420000000000002</v>
      </c>
      <c r="AB151" s="102">
        <f t="shared" ref="AB151" si="1248">SUM(U151:AA151)/SUM(U$144:AA$144)*AB$144</f>
        <v>23.479575462143082</v>
      </c>
      <c r="AC151" s="102">
        <f t="shared" ref="AC151" si="1249">SUM(V151:AB151)/SUM(V$144:AB$144)*AC$144</f>
        <v>0</v>
      </c>
      <c r="AD151" s="102">
        <f t="shared" ref="AD151" si="1250">SUM(W151:AC151)/SUM(W$144:AC$144)*AD$144</f>
        <v>15.100830837562659</v>
      </c>
      <c r="AE151" s="102">
        <f t="shared" ref="AE151" si="1251">SUM(X151:AD151)/SUM(X$144:AD$144)*AE$144</f>
        <v>14.908587560460653</v>
      </c>
      <c r="AF151" s="102">
        <f t="shared" ref="AF151" si="1252">SUM(Y151:AE151)/SUM(Y$144:AE$144)*AF$144</f>
        <v>14.688953166270544</v>
      </c>
      <c r="AG151" s="102">
        <f t="shared" ref="AG151" si="1253">SUM(Z151:AF151)/SUM(Z$144:AF$144)*AG$144</f>
        <v>14.43803240478252</v>
      </c>
      <c r="AH151" s="102">
        <f t="shared" ref="AH151" si="1254">SUM(AA151:AG151)/SUM(AA$144:AG$144)*AH$144</f>
        <v>14.151377150973952</v>
      </c>
      <c r="AI151" s="102">
        <f t="shared" ref="AI151" si="1255">SUM(AB151:AH151)/SUM(AB$144:AH$144)*AI$144</f>
        <v>13.823908083170489</v>
      </c>
      <c r="AJ151" s="102">
        <f t="shared" ref="AJ151" si="1256">SUM(AC151:AI151)/SUM(AC$144:AI$144)*AJ$144</f>
        <v>14.518614867203469</v>
      </c>
      <c r="AK151" s="102">
        <f t="shared" ref="AK151" si="1257">SUM(AD151:AJ151)/SUM(AD$144:AJ$144)*AK$144</f>
        <v>14.518614867203469</v>
      </c>
      <c r="AL151" s="102">
        <f t="shared" ref="AL151" si="1258">SUM(AE151:AK151)/SUM(AE$144:AK$144)*AL$144</f>
        <v>14.435441157152155</v>
      </c>
      <c r="AM151" s="102">
        <f t="shared" ref="AM151" si="1259">SUM(AF151:AL151)/SUM(AF$144:AL$144)*AM$144</f>
        <v>14.36784881382237</v>
      </c>
      <c r="AN151" s="102">
        <f t="shared" ref="AN151" si="1260">SUM(AG151:AM151)/SUM(AG$144:AM$144)*AN$144</f>
        <v>28.643953526945268</v>
      </c>
      <c r="AO151" s="102">
        <f t="shared" ref="AO151" si="1261">SUM(AH151:AN151)/SUM(AH$144:AN$144)*AO$144</f>
        <v>0</v>
      </c>
      <c r="AP151" s="102">
        <f t="shared" ref="AP151" si="1262">SUM(AI151:AO151)/SUM(AI$144:AO$144)*AP$144</f>
        <v>14.759661822137449</v>
      </c>
      <c r="AQ151" s="102">
        <f t="shared" ref="AQ151" si="1263">SUM(AJ151:AP151)/SUM(AJ$144:AP$144)*AQ$144</f>
        <v>14.833777966728039</v>
      </c>
      <c r="AR151" s="102">
        <f t="shared" ref="AR151" si="1264">SUM(AK151:AQ151)/SUM(AK$144:AQ$144)*AR$144</f>
        <v>14.816724801502607</v>
      </c>
      <c r="AS151" s="102">
        <f t="shared" ref="AS151" si="1265">SUM(AL151:AR151)/SUM(AL$144:AR$144)*AS$144</f>
        <v>14.797338551613048</v>
      </c>
      <c r="AT151" s="102">
        <f t="shared" ref="AT151" si="1266">SUM(AM151:AS151)/SUM(AM$144:AS$144)*AT$144</f>
        <v>14.787343349330229</v>
      </c>
      <c r="AU151" s="102">
        <f t="shared" ref="AU151" si="1267">SUM(AN151:AT151)/SUM(AN$144:AT$144)*AU$144</f>
        <v>14.785729233399206</v>
      </c>
      <c r="AV151" s="102">
        <f t="shared" ref="AV151" si="1268">SUM(AO151:AU151)/SUM(AO$144:AU$144)*AV$144</f>
        <v>14.796762620785097</v>
      </c>
      <c r="AW151" s="102">
        <f t="shared" ref="AW151" si="1269">SUM(AP151:AV151)/SUM(AP$144:AV$144)*AW$144</f>
        <v>14.796762620785097</v>
      </c>
      <c r="AX151" s="102">
        <f t="shared" ref="AX151" si="1270">SUM(AQ151:AW151)/SUM(AQ$144:AW$144)*AX$144</f>
        <v>14.802062734877618</v>
      </c>
      <c r="AY151" s="102">
        <f t="shared" ref="AY151" si="1271">SUM(AR151:AX151)/SUM(AR$144:AX$144)*AY$144</f>
        <v>14.797531987470416</v>
      </c>
      <c r="AZ151" s="102">
        <f t="shared" ref="AZ151" si="1272">SUM(AS151:AY151)/SUM(AS$144:AY$144)*AZ$144</f>
        <v>29.589580313788773</v>
      </c>
      <c r="BA151" s="102">
        <f t="shared" ref="BA151" si="1273">SUM(AT151:AZ151)/SUM(AT$144:AZ$144)*BA$144</f>
        <v>0</v>
      </c>
      <c r="BB151" s="102">
        <f t="shared" ref="BB151" si="1274">SUM(AU151:BA151)/SUM(AU$144:BA$144)*BB$144</f>
        <v>15.23935462806277</v>
      </c>
      <c r="BC151" s="102">
        <f t="shared" ref="BC151" si="1275">SUM(AV151:BB151)/SUM(AV$144:BB$144)*BC$144</f>
        <v>15.240784715923596</v>
      </c>
      <c r="BD151" s="102">
        <f t="shared" ref="BD151" si="1276">SUM(AW151:BC151)/SUM(AW$144:BC$144)*BD$144</f>
        <v>15.240801602115514</v>
      </c>
      <c r="BE151" s="102">
        <f t="shared" ref="BE151" si="1277">SUM(AX151:BD151)/SUM(AX$144:BD$144)*BE$144</f>
        <v>15.240820798548073</v>
      </c>
      <c r="BF151" s="102">
        <f t="shared" ref="BF151" si="1278">SUM(AY151:BE151)/SUM(AY$144:BE$144)*BF$144</f>
        <v>15.240075880236851</v>
      </c>
      <c r="BG151" s="102">
        <f t="shared" ref="BG151" si="1279">SUM(AZ151:BF151)/SUM(AZ$144:BF$144)*BG$144</f>
        <v>15.239882584172843</v>
      </c>
      <c r="BH151" s="102">
        <f t="shared" ref="BH151" si="1280">SUM(BA151:BG151)/SUM(BA$144:BG$144)*BH$144</f>
        <v>15.240286701509939</v>
      </c>
      <c r="BI151" s="102">
        <f t="shared" ref="BI151" si="1281">SUM(BB151:BH151)/SUM(BB$144:BH$144)*BI$144</f>
        <v>15.240286701509939</v>
      </c>
      <c r="BJ151" s="102">
        <f t="shared" ref="BJ151" si="1282">SUM(BC151:BI151)/SUM(BC$144:BI$144)*BJ$144</f>
        <v>15.240419854859539</v>
      </c>
      <c r="BK151" s="102">
        <f t="shared" ref="BK151" si="1283">SUM(BD151:BJ151)/SUM(BD$144:BJ$144)*BK$144</f>
        <v>15.240367731850387</v>
      </c>
      <c r="BL151" s="102">
        <f t="shared" ref="BL151" si="1284">SUM(BE151:BK151)/SUM(BE$144:BK$144)*BL$144</f>
        <v>30.480611500767871</v>
      </c>
      <c r="BM151" s="102">
        <f t="shared" ref="BM151" si="1285">SUM(BF151:BL151)/SUM(BF$144:BL$144)*BM$144</f>
        <v>0</v>
      </c>
      <c r="BN151" s="102">
        <f t="shared" ref="BN151" si="1286">SUM(BG151:BM151)/SUM(BG$144:BM$144)*BN$144</f>
        <v>15.697472960987232</v>
      </c>
      <c r="BO151" s="102">
        <f t="shared" ref="BO151" si="1287">SUM(BH151:BN151)/SUM(BH$144:BN$144)*BO$144</f>
        <v>15.697528992180578</v>
      </c>
      <c r="BP151" s="102">
        <f t="shared" ref="BP151" si="1288">SUM(BI151:BO151)/SUM(BI$144:BO$144)*BP$144</f>
        <v>15.697533764082182</v>
      </c>
      <c r="BQ151" s="102">
        <f t="shared" ref="BQ151" si="1289">SUM(BJ151:BP151)/SUM(BJ$144:BP$144)*BQ$144</f>
        <v>15.697539188839155</v>
      </c>
      <c r="BR151" s="102">
        <f t="shared" ref="BR151" si="1290">SUM(BK151:BQ151)/SUM(BK$144:BQ$144)*BR$144</f>
        <v>15.697526090290539</v>
      </c>
      <c r="BS151" s="102">
        <f t="shared" ref="BS151" si="1291">SUM(BL151:BR151)/SUM(BL$144:BR$144)*BS$144</f>
        <v>15.697518723365313</v>
      </c>
      <c r="BT151" s="102">
        <f t="shared" ref="BT151" si="1292">SUM(BM151:BS151)/SUM(BM$144:BS$144)*BT$144</f>
        <v>15.697519953290833</v>
      </c>
      <c r="BU151" s="102">
        <f t="shared" ref="BU151" si="1293">SUM(BN151:BT151)/SUM(BN$144:BT$144)*BU$144</f>
        <v>15.697519953290833</v>
      </c>
      <c r="BV151" s="102">
        <f t="shared" ref="BV151" si="1294">SUM(BO151:BU151)/SUM(BO$144:BU$144)*BV$144</f>
        <v>15.697526666477062</v>
      </c>
      <c r="BW151" s="102">
        <f t="shared" ref="BW151" si="1295">SUM(BP151:BV151)/SUM(BP$144:BV$144)*BW$144</f>
        <v>15.697526334233702</v>
      </c>
      <c r="BX151" s="102">
        <f t="shared" ref="BX151" si="1296">SUM(BQ151:BW151)/SUM(BQ$144:BW$144)*BX$144</f>
        <v>31.395050545653554</v>
      </c>
      <c r="BY151" s="8"/>
      <c r="BZ151" s="72">
        <f t="shared" si="1077"/>
        <v>16.420000000000002</v>
      </c>
      <c r="CA151" s="72">
        <f t="shared" si="1078"/>
        <v>82.100000000000009</v>
      </c>
      <c r="CB151" s="97"/>
      <c r="CC151" s="72">
        <f t="shared" si="950"/>
        <v>0</v>
      </c>
      <c r="CD151" s="72">
        <f t="shared" si="1198"/>
        <v>0</v>
      </c>
      <c r="CE151" s="72">
        <f t="shared" si="1198"/>
        <v>111.23</v>
      </c>
      <c r="CF151" s="72">
        <f t="shared" si="1198"/>
        <v>105.57957546214308</v>
      </c>
      <c r="CG151" s="72">
        <f t="shared" si="1198"/>
        <v>173.59616243554757</v>
      </c>
      <c r="CH151" s="72">
        <f t="shared" si="1198"/>
        <v>177.56327600241758</v>
      </c>
      <c r="CI151" s="72">
        <f t="shared" si="1198"/>
        <v>182.88369269955734</v>
      </c>
      <c r="CJ151" s="72">
        <f t="shared" si="1198"/>
        <v>188.37026317269101</v>
      </c>
      <c r="CL151" s="13"/>
      <c r="CM151" s="13"/>
    </row>
    <row r="152" spans="1:91" x14ac:dyDescent="0.3">
      <c r="A152" s="97" t="str">
        <f>'DCS Detail'!A152</f>
        <v xml:space="preserve">         262.2 SPED - SUI SPED Support</v>
      </c>
      <c r="B152" s="106" t="str">
        <f>IF('DCS Detail'!$B152="","",'DCS Detail'!$B152)</f>
        <v>Benefits</v>
      </c>
      <c r="C152" s="106"/>
      <c r="D152" s="106"/>
      <c r="E152" s="18">
        <v>-9.3000000000000007</v>
      </c>
      <c r="F152" s="18">
        <v>9.3000000000000007</v>
      </c>
      <c r="G152" s="18">
        <v>9.44</v>
      </c>
      <c r="H152" s="18">
        <v>9.44</v>
      </c>
      <c r="I152" s="18">
        <v>9.44</v>
      </c>
      <c r="J152" s="18">
        <v>9.44</v>
      </c>
      <c r="K152" s="18">
        <v>9.44</v>
      </c>
      <c r="L152" s="18">
        <v>9.4400000000000048</v>
      </c>
      <c r="M152" s="18">
        <v>7.86</v>
      </c>
      <c r="N152" s="18">
        <v>7.86</v>
      </c>
      <c r="O152" s="18">
        <v>7.86</v>
      </c>
      <c r="P152" s="18">
        <v>23.59</v>
      </c>
      <c r="Q152" s="18">
        <v>0</v>
      </c>
      <c r="R152" s="18">
        <v>7.86</v>
      </c>
      <c r="S152" s="18">
        <v>7.96</v>
      </c>
      <c r="T152" s="18">
        <v>7.86</v>
      </c>
      <c r="U152" s="18">
        <v>7.86</v>
      </c>
      <c r="V152" s="18">
        <v>9.4600000000000009</v>
      </c>
      <c r="W152" s="18">
        <v>8.85</v>
      </c>
      <c r="X152" s="18">
        <v>9.84</v>
      </c>
      <c r="Y152" s="18">
        <v>7.86</v>
      </c>
      <c r="Z152" s="18">
        <v>8.18</v>
      </c>
      <c r="AA152" s="146">
        <v>8.52</v>
      </c>
      <c r="AB152" s="102">
        <f t="shared" ref="AB152" si="1297">SUM(U152:AA152)/SUM(U$145:AA$145)*AB$145</f>
        <v>18.764493078659694</v>
      </c>
      <c r="AC152" s="102">
        <f t="shared" ref="AC152" si="1298">SUM(V152:AB152)/SUM(V$145:AB$145)*AC$145</f>
        <v>0</v>
      </c>
      <c r="AD152" s="102">
        <f t="shared" ref="AD152" si="1299">SUM(W152:AC152)/SUM(W$145:AC$145)*AD$145</f>
        <v>9.3826842229084644</v>
      </c>
      <c r="AE152" s="102">
        <f t="shared" ref="AE152" si="1300">SUM(X152:AD152)/SUM(X$145:AD$145)*AE$145</f>
        <v>9.3829138064786974</v>
      </c>
      <c r="AF152" s="102">
        <f t="shared" ref="AF152" si="1301">SUM(Y152:AE152)/SUM(Y$145:AE$145)*AF$145</f>
        <v>9.3821519169012753</v>
      </c>
      <c r="AG152" s="102">
        <f t="shared" ref="AG152" si="1302">SUM(Z152:AF152)/SUM(Z$145:AF$145)*AG$145</f>
        <v>9.382365773676014</v>
      </c>
      <c r="AH152" s="102">
        <f t="shared" ref="AH152" si="1303">SUM(AA152:AG152)/SUM(AA$145:AG$145)*AH$145</f>
        <v>9.382228417441338</v>
      </c>
      <c r="AI152" s="102">
        <f t="shared" ref="AI152" si="1304">SUM(AB152:AH152)/SUM(AB$145:AH$145)*AI$145</f>
        <v>9.3824053165807832</v>
      </c>
      <c r="AJ152" s="102">
        <f t="shared" ref="AJ152" si="1305">SUM(AC152:AI152)/SUM(AC$145:AI$145)*AJ$145</f>
        <v>9.3824582423310972</v>
      </c>
      <c r="AK152" s="102">
        <f t="shared" ref="AK152" si="1306">SUM(AD152:AJ152)/SUM(AD$145:AJ$145)*AK$145</f>
        <v>9.3824582423310989</v>
      </c>
      <c r="AL152" s="102">
        <f t="shared" ref="AL152" si="1307">SUM(AE152:AK152)/SUM(AE$145:AK$145)*AL$145</f>
        <v>9.3824259593914725</v>
      </c>
      <c r="AM152" s="102">
        <f t="shared" ref="AM152" si="1308">SUM(AF152:AL152)/SUM(AF$145:AL$145)*AM$145</f>
        <v>9.3823562669504401</v>
      </c>
      <c r="AN152" s="102">
        <f t="shared" ref="AN152" si="1309">SUM(AG152:AM152)/SUM(AG$145:AM$145)*AN$145</f>
        <v>18.764770919629214</v>
      </c>
      <c r="AO152" s="102">
        <f t="shared" ref="AO152" si="1310">SUM(AH152:AN152)/SUM(AH$145:AN$145)*AO$145</f>
        <v>0</v>
      </c>
      <c r="AP152" s="102">
        <f t="shared" ref="AP152" si="1311">SUM(AI152:AO152)/SUM(AI$145:AO$145)*AP$145</f>
        <v>9.6638830279472181</v>
      </c>
      <c r="AQ152" s="102">
        <f t="shared" ref="AQ152" si="1312">SUM(AJ152:AP152)/SUM(AJ$145:AP$145)*AQ$145</f>
        <v>9.6638838176867647</v>
      </c>
      <c r="AR152" s="102">
        <f t="shared" ref="AR152" si="1313">SUM(AK152:AQ152)/SUM(AK$145:AQ$145)*AR$145</f>
        <v>9.6638769944694474</v>
      </c>
      <c r="AS152" s="102">
        <f t="shared" ref="AS152" si="1314">SUM(AL152:AR152)/SUM(AL$145:AR$145)*AS$145</f>
        <v>9.6638692377513102</v>
      </c>
      <c r="AT152" s="102">
        <f t="shared" ref="AT152" si="1315">SUM(AM152:AS152)/SUM(AM$145:AS$145)*AT$145</f>
        <v>9.6638650944336284</v>
      </c>
      <c r="AU152" s="102">
        <f t="shared" ref="AU152" si="1316">SUM(AN152:AT152)/SUM(AN$145:AT$145)*AU$145</f>
        <v>9.6638704286258879</v>
      </c>
      <c r="AV152" s="102">
        <f t="shared" ref="AV152" si="1317">SUM(AO152:AU152)/SUM(AO$145:AU$145)*AV$145</f>
        <v>9.6638747668190419</v>
      </c>
      <c r="AW152" s="102">
        <f t="shared" ref="AW152" si="1318">SUM(AP152:AV152)/SUM(AP$145:AV$145)*AW$145</f>
        <v>9.6638747668190401</v>
      </c>
      <c r="AX152" s="102">
        <f t="shared" ref="AX152" si="1319">SUM(AQ152:AW152)/SUM(AQ$145:AW$145)*AX$145</f>
        <v>9.6638735866578767</v>
      </c>
      <c r="AY152" s="102">
        <f t="shared" ref="AY152" si="1320">SUM(AR152:AX152)/SUM(AR$145:AX$145)*AY$145</f>
        <v>9.6638721250823192</v>
      </c>
      <c r="AZ152" s="102">
        <f t="shared" ref="AZ152" si="1321">SUM(AS152:AY152)/SUM(AS$145:AY$145)*AZ$145</f>
        <v>19.327742858911172</v>
      </c>
      <c r="BA152" s="102">
        <f t="shared" ref="BA152" si="1322">SUM(AT152:AZ152)/SUM(AT$145:AZ$145)*BA$145</f>
        <v>0</v>
      </c>
      <c r="BB152" s="102">
        <f t="shared" ref="BB152" si="1323">SUM(AU152:BA152)/SUM(AU$145:BA$145)*BB$145</f>
        <v>9.9537888269861146</v>
      </c>
      <c r="BC152" s="102">
        <f t="shared" ref="BC152" si="1324">SUM(AV152:BB152)/SUM(AV$145:BB$145)*BC$145</f>
        <v>9.9537891520930071</v>
      </c>
      <c r="BD152" s="102">
        <f t="shared" ref="BD152" si="1325">SUM(AW152:BC152)/SUM(AW$145:BC$145)*BD$145</f>
        <v>9.9537888889583606</v>
      </c>
      <c r="BE152" s="102">
        <f t="shared" ref="BE152" si="1326">SUM(AX152:BD152)/SUM(AX$145:BD$145)*BE$145</f>
        <v>9.9537885898236276</v>
      </c>
      <c r="BF152" s="102">
        <f t="shared" ref="BF152" si="1327">SUM(AY152:BE152)/SUM(AY$145:BE$145)*BF$145</f>
        <v>9.953788420661553</v>
      </c>
      <c r="BG152" s="102">
        <f t="shared" ref="BG152" si="1328">SUM(AZ152:BF152)/SUM(AZ$145:BF$145)*BG$145</f>
        <v>9.9537884390988633</v>
      </c>
      <c r="BH152" s="102">
        <f t="shared" ref="BH152" si="1329">SUM(BA152:BG152)/SUM(BA$145:BG$145)*BH$145</f>
        <v>9.9537887196035886</v>
      </c>
      <c r="BI152" s="102">
        <f t="shared" ref="BI152" si="1330">SUM(BB152:BH152)/SUM(BB$145:BH$145)*BI$145</f>
        <v>9.9537887196035886</v>
      </c>
      <c r="BJ152" s="102">
        <f t="shared" ref="BJ152" si="1331">SUM(BC152:BI152)/SUM(BC$145:BI$145)*BJ$145</f>
        <v>9.9537887042632303</v>
      </c>
      <c r="BK152" s="102">
        <f t="shared" ref="BK152" si="1332">SUM(BD152:BJ152)/SUM(BD$145:BJ$145)*BK$145</f>
        <v>9.9537886402875451</v>
      </c>
      <c r="BL152" s="102">
        <f t="shared" ref="BL152" si="1333">SUM(BE152:BK152)/SUM(BE$145:BK$145)*BL$145</f>
        <v>19.907577209526284</v>
      </c>
      <c r="BM152" s="102">
        <f t="shared" ref="BM152" si="1334">SUM(BF152:BL152)/SUM(BF$145:BL$145)*BM$145</f>
        <v>0</v>
      </c>
      <c r="BN152" s="102">
        <f t="shared" ref="BN152" si="1335">SUM(BG152:BM152)/SUM(BG$145:BM$145)*BN$145</f>
        <v>10.252402292193516</v>
      </c>
      <c r="BO152" s="102">
        <f t="shared" ref="BO152" si="1336">SUM(BH152:BN152)/SUM(BH$145:BN$145)*BO$145</f>
        <v>10.252402320631875</v>
      </c>
      <c r="BP152" s="102">
        <f t="shared" ref="BP152" si="1337">SUM(BI152:BO152)/SUM(BI$145:BO$145)*BP$145</f>
        <v>10.252402312053999</v>
      </c>
      <c r="BQ152" s="102">
        <f t="shared" ref="BQ152" si="1338">SUM(BJ152:BP152)/SUM(BJ$145:BP$145)*BQ$145</f>
        <v>10.252402302302556</v>
      </c>
      <c r="BR152" s="102">
        <f t="shared" ref="BR152" si="1339">SUM(BK152:BQ152)/SUM(BK$145:BQ$145)*BR$145</f>
        <v>10.252402293441804</v>
      </c>
      <c r="BS152" s="102">
        <f t="shared" ref="BS152" si="1340">SUM(BL152:BR152)/SUM(BL$145:BR$145)*BS$145</f>
        <v>10.25240229259504</v>
      </c>
      <c r="BT152" s="102">
        <f t="shared" ref="BT152" si="1341">SUM(BM152:BS152)/SUM(BM$145:BS$145)*BT$145</f>
        <v>10.252402302203128</v>
      </c>
      <c r="BU152" s="102">
        <f t="shared" ref="BU152" si="1342">SUM(BN152:BT152)/SUM(BN$145:BT$145)*BU$145</f>
        <v>10.252402302203128</v>
      </c>
      <c r="BV152" s="102">
        <f t="shared" ref="BV152" si="1343">SUM(BO152:BU152)/SUM(BO$145:BU$145)*BV$145</f>
        <v>10.252402303633074</v>
      </c>
      <c r="BW152" s="102">
        <f t="shared" ref="BW152" si="1344">SUM(BP152:BV152)/SUM(BP$145:BV$145)*BW$145</f>
        <v>10.252402301204675</v>
      </c>
      <c r="BX152" s="102">
        <f t="shared" ref="BX152" si="1345">SUM(BQ152:BW152)/SUM(BQ$145:BW$145)*BX$145</f>
        <v>20.504804599309544</v>
      </c>
      <c r="BY152" s="8"/>
      <c r="BZ152" s="72">
        <f t="shared" si="1077"/>
        <v>8.52</v>
      </c>
      <c r="CA152" s="72">
        <f t="shared" si="1078"/>
        <v>84.249999999999986</v>
      </c>
      <c r="CB152" s="97"/>
      <c r="CC152" s="72">
        <f t="shared" si="950"/>
        <v>0</v>
      </c>
      <c r="CD152" s="72">
        <f t="shared" si="1198"/>
        <v>0</v>
      </c>
      <c r="CE152" s="72">
        <f t="shared" si="1198"/>
        <v>103.81</v>
      </c>
      <c r="CF152" s="72">
        <f t="shared" si="1198"/>
        <v>103.01449307865968</v>
      </c>
      <c r="CG152" s="72">
        <f t="shared" si="1198"/>
        <v>112.5892190846199</v>
      </c>
      <c r="CH152" s="72">
        <f t="shared" si="1198"/>
        <v>115.96648670520369</v>
      </c>
      <c r="CI152" s="72">
        <f t="shared" si="1198"/>
        <v>119.44546431090576</v>
      </c>
      <c r="CJ152" s="72">
        <f t="shared" si="1198"/>
        <v>123.02882762177234</v>
      </c>
      <c r="CL152" s="13"/>
      <c r="CM152" s="13"/>
    </row>
    <row r="153" spans="1:91" x14ac:dyDescent="0.3">
      <c r="A153" s="97" t="str">
        <f>'DCS Detail'!A153</f>
        <v xml:space="preserve">         271.2 SPED - WC SPED Teachers</v>
      </c>
      <c r="B153" s="106" t="str">
        <f>IF('DCS Detail'!$B153="","",'DCS Detail'!$B153)</f>
        <v>Benefits</v>
      </c>
      <c r="C153" s="106"/>
      <c r="D153" s="106"/>
      <c r="E153" s="18">
        <v>20.21</v>
      </c>
      <c r="F153" s="18">
        <v>20.21</v>
      </c>
      <c r="G153" s="18">
        <v>20.21</v>
      </c>
      <c r="H153" s="18">
        <v>20.21</v>
      </c>
      <c r="I153" s="18">
        <v>20.21</v>
      </c>
      <c r="J153" s="18">
        <v>20.21</v>
      </c>
      <c r="K153" s="18">
        <v>20.21</v>
      </c>
      <c r="L153" s="18">
        <v>20.20999999999998</v>
      </c>
      <c r="M153" s="18">
        <v>20.21</v>
      </c>
      <c r="N153" s="18">
        <v>20.21</v>
      </c>
      <c r="O153" s="18">
        <v>20.21</v>
      </c>
      <c r="P153" s="18">
        <v>40.42</v>
      </c>
      <c r="Q153" s="18">
        <v>20.21</v>
      </c>
      <c r="R153" s="18">
        <v>20.21</v>
      </c>
      <c r="S153" s="18">
        <v>20.21</v>
      </c>
      <c r="T153" s="18">
        <v>20.21</v>
      </c>
      <c r="U153" s="18">
        <v>20.21</v>
      </c>
      <c r="V153" s="18">
        <v>20.21</v>
      </c>
      <c r="W153" s="18">
        <v>20.21</v>
      </c>
      <c r="X153" s="18">
        <v>20.21</v>
      </c>
      <c r="Y153" s="18">
        <v>20.21</v>
      </c>
      <c r="Z153" s="18">
        <v>20.21</v>
      </c>
      <c r="AA153" s="146">
        <v>20.21</v>
      </c>
      <c r="AB153" s="102">
        <f t="shared" ref="AB153" si="1346">SUM(U153:AA153)/SUM(U$144:AA$144)*AB$144</f>
        <v>40.458654575266536</v>
      </c>
      <c r="AC153" s="102">
        <f t="shared" ref="AC153" si="1347">SUM(V153:AB153)/SUM(V$144:AB$144)*AC$144</f>
        <v>0</v>
      </c>
      <c r="AD153" s="102">
        <f t="shared" ref="AD153" si="1348">SUM(W153:AC153)/SUM(W$144:AC$144)*AD$144</f>
        <v>20.239693571777998</v>
      </c>
      <c r="AE153" s="102">
        <f t="shared" ref="AE153" si="1349">SUM(X153:AD153)/SUM(X$144:AD$144)*AE$144</f>
        <v>20.239100646197393</v>
      </c>
      <c r="AF153" s="102">
        <f t="shared" ref="AF153" si="1350">SUM(Y153:AE153)/SUM(Y$144:AE$144)*AF$144</f>
        <v>20.238423239670311</v>
      </c>
      <c r="AG153" s="102">
        <f t="shared" ref="AG153" si="1351">SUM(Z153:AF153)/SUM(Z$144:AF$144)*AG$144</f>
        <v>20.237649338286431</v>
      </c>
      <c r="AH153" s="102">
        <f t="shared" ref="AH153" si="1352">SUM(AA153:AG153)/SUM(AA$144:AG$144)*AH$144</f>
        <v>20.236765222933425</v>
      </c>
      <c r="AI153" s="102">
        <f t="shared" ref="AI153" si="1353">SUM(AB153:AH153)/SUM(AB$144:AH$144)*AI$144</f>
        <v>20.235755227733154</v>
      </c>
      <c r="AJ153" s="102">
        <f t="shared" ref="AJ153" si="1354">SUM(AC153:AI153)/SUM(AC$144:AI$144)*AJ$144</f>
        <v>20.23789787443312</v>
      </c>
      <c r="AK153" s="102">
        <f t="shared" ref="AK153" si="1355">SUM(AD153:AJ153)/SUM(AD$144:AJ$144)*AK$144</f>
        <v>20.23789787443312</v>
      </c>
      <c r="AL153" s="102">
        <f t="shared" ref="AL153" si="1356">SUM(AE153:AK153)/SUM(AE$144:AK$144)*AL$144</f>
        <v>20.237641346240991</v>
      </c>
      <c r="AM153" s="102">
        <f t="shared" ref="AM153" si="1357">SUM(AF153:AL153)/SUM(AF$144:AL$144)*AM$144</f>
        <v>20.237432874818648</v>
      </c>
      <c r="AN153" s="102">
        <f t="shared" ref="AN153" si="1358">SUM(AG153:AM153)/SUM(AG$144:AM$144)*AN$144</f>
        <v>40.474582788251105</v>
      </c>
      <c r="AO153" s="102">
        <f t="shared" ref="AO153" si="1359">SUM(AH153:AN153)/SUM(AH$144:AN$144)*AO$144</f>
        <v>0</v>
      </c>
      <c r="AP153" s="102">
        <f t="shared" ref="AP153" si="1360">SUM(AI153:AO153)/SUM(AI$144:AO$144)*AP$144</f>
        <v>20.844434889355355</v>
      </c>
      <c r="AQ153" s="102">
        <f t="shared" ref="AQ153" si="1361">SUM(AJ153:AP153)/SUM(AJ$144:AP$144)*AQ$144</f>
        <v>20.844663481786391</v>
      </c>
      <c r="AR153" s="102">
        <f t="shared" ref="AR153" si="1362">SUM(AK153:AQ153)/SUM(AK$144:AQ$144)*AR$144</f>
        <v>20.844610885627787</v>
      </c>
      <c r="AS153" s="102">
        <f t="shared" ref="AS153" si="1363">SUM(AL153:AR153)/SUM(AL$144:AR$144)*AS$144</f>
        <v>20.844551093661874</v>
      </c>
      <c r="AT153" s="102">
        <f t="shared" ref="AT153" si="1364">SUM(AM153:AS153)/SUM(AM$144:AS$144)*AT$144</f>
        <v>20.844520265998057</v>
      </c>
      <c r="AU153" s="102">
        <f t="shared" ref="AU153" si="1365">SUM(AN153:AT153)/SUM(AN$144:AT$144)*AU$144</f>
        <v>20.844515287667267</v>
      </c>
      <c r="AV153" s="102">
        <f t="shared" ref="AV153" si="1366">SUM(AO153:AU153)/SUM(AO$144:AU$144)*AV$144</f>
        <v>20.84454931734945</v>
      </c>
      <c r="AW153" s="102">
        <f t="shared" ref="AW153" si="1367">SUM(AP153:AV153)/SUM(AP$144:AV$144)*AW$144</f>
        <v>20.84454931734945</v>
      </c>
      <c r="AX153" s="102">
        <f t="shared" ref="AX153" si="1368">SUM(AQ153:AW153)/SUM(AQ$144:AW$144)*AX$144</f>
        <v>20.844565664205749</v>
      </c>
      <c r="AY153" s="102">
        <f t="shared" ref="AY153" si="1369">SUM(AR153:AX153)/SUM(AR$144:AX$144)*AY$144</f>
        <v>20.844551690265657</v>
      </c>
      <c r="AZ153" s="102">
        <f t="shared" ref="AZ153" si="1370">SUM(AS153:AY153)/SUM(AS$144:AY$144)*AZ$144</f>
        <v>41.689086467570711</v>
      </c>
      <c r="BA153" s="102">
        <f t="shared" ref="BA153" si="1371">SUM(AT153:AZ153)/SUM(AT$144:AZ$144)*BA$144</f>
        <v>0</v>
      </c>
      <c r="BB153" s="102">
        <f t="shared" ref="BB153" si="1372">SUM(AU153:BA153)/SUM(AU$144:BA$144)*BB$144</f>
        <v>21.469881753820079</v>
      </c>
      <c r="BC153" s="102">
        <f t="shared" ref="BC153" si="1373">SUM(AV153:BB153)/SUM(AV$144:BB$144)*BC$144</f>
        <v>21.469886164563011</v>
      </c>
      <c r="BD153" s="102">
        <f t="shared" ref="BD153" si="1374">SUM(AW153:BC153)/SUM(AW$144:BC$144)*BD$144</f>
        <v>21.469886216644177</v>
      </c>
      <c r="BE153" s="102">
        <f t="shared" ref="BE153" si="1375">SUM(AX153:BD153)/SUM(AX$144:BD$144)*BE$144</f>
        <v>21.469886275850701</v>
      </c>
      <c r="BF153" s="102">
        <f t="shared" ref="BF153" si="1376">SUM(AY153:BE153)/SUM(AY$144:BE$144)*BF$144</f>
        <v>21.46988397833929</v>
      </c>
      <c r="BG153" s="102">
        <f t="shared" ref="BG153" si="1377">SUM(AZ153:BF153)/SUM(AZ$144:BF$144)*BG$144</f>
        <v>21.46988338216666</v>
      </c>
      <c r="BH153" s="102">
        <f t="shared" ref="BH153" si="1378">SUM(BA153:BG153)/SUM(BA$144:BG$144)*BH$144</f>
        <v>21.469884628563985</v>
      </c>
      <c r="BI153" s="102">
        <f t="shared" ref="BI153" si="1379">SUM(BB153:BH153)/SUM(BB$144:BH$144)*BI$144</f>
        <v>21.469884628563985</v>
      </c>
      <c r="BJ153" s="102">
        <f t="shared" ref="BJ153" si="1380">SUM(BC153:BI153)/SUM(BC$144:BI$144)*BJ$144</f>
        <v>21.469885039241682</v>
      </c>
      <c r="BK153" s="102">
        <f t="shared" ref="BK153" si="1381">SUM(BD153:BJ153)/SUM(BD$144:BJ$144)*BK$144</f>
        <v>21.469884878481494</v>
      </c>
      <c r="BL153" s="102">
        <f t="shared" ref="BL153" si="1382">SUM(BE153:BK153)/SUM(BE$144:BK$144)*BL$144</f>
        <v>42.939769374630792</v>
      </c>
      <c r="BM153" s="102">
        <f t="shared" ref="BM153" si="1383">SUM(BF153:BL153)/SUM(BF$144:BL$144)*BM$144</f>
        <v>0</v>
      </c>
      <c r="BN153" s="102">
        <f t="shared" ref="BN153" si="1384">SUM(BG153:BM153)/SUM(BG$144:BM$144)*BN$144</f>
        <v>22.113981098514003</v>
      </c>
      <c r="BO153" s="102">
        <f t="shared" ref="BO153" si="1385">SUM(BH153:BN153)/SUM(BH$144:BN$144)*BO$144</f>
        <v>22.113981271327997</v>
      </c>
      <c r="BP153" s="102">
        <f t="shared" ref="BP153" si="1386">SUM(BI153:BO153)/SUM(BI$144:BO$144)*BP$144</f>
        <v>22.113981286045711</v>
      </c>
      <c r="BQ153" s="102">
        <f t="shared" ref="BQ153" si="1387">SUM(BJ153:BP153)/SUM(BJ$144:BP$144)*BQ$144</f>
        <v>22.113981302777002</v>
      </c>
      <c r="BR153" s="102">
        <f t="shared" ref="BR153" si="1388">SUM(BK153:BQ153)/SUM(BK$144:BQ$144)*BR$144</f>
        <v>22.113981262377855</v>
      </c>
      <c r="BS153" s="102">
        <f t="shared" ref="BS153" si="1389">SUM(BL153:BR153)/SUM(BL$144:BR$144)*BS$144</f>
        <v>22.113981239656443</v>
      </c>
      <c r="BT153" s="102">
        <f t="shared" ref="BT153" si="1390">SUM(BM153:BS153)/SUM(BM$144:BS$144)*BT$144</f>
        <v>22.113981243449839</v>
      </c>
      <c r="BU153" s="102">
        <f t="shared" ref="BU153" si="1391">SUM(BN153:BT153)/SUM(BN$144:BT$144)*BU$144</f>
        <v>22.113981243449839</v>
      </c>
      <c r="BV153" s="102">
        <f t="shared" ref="BV153" si="1392">SUM(BO153:BU153)/SUM(BO$144:BU$144)*BV$144</f>
        <v>22.113981264154951</v>
      </c>
      <c r="BW153" s="102">
        <f t="shared" ref="BW153" si="1393">SUM(BP153:BV153)/SUM(BP$144:BV$144)*BW$144</f>
        <v>22.113981263130231</v>
      </c>
      <c r="BX153" s="102">
        <f t="shared" ref="BX153" si="1394">SUM(BQ153:BW153)/SUM(BQ$144:BW$144)*BX$144</f>
        <v>44.227962519713188</v>
      </c>
      <c r="BY153" s="8"/>
      <c r="BZ153" s="72">
        <f t="shared" si="1077"/>
        <v>20.21</v>
      </c>
      <c r="CA153" s="72">
        <f t="shared" si="1078"/>
        <v>222.31000000000006</v>
      </c>
      <c r="CB153" s="97"/>
      <c r="CC153" s="72">
        <f t="shared" si="950"/>
        <v>0</v>
      </c>
      <c r="CD153" s="72">
        <f t="shared" si="1198"/>
        <v>0</v>
      </c>
      <c r="CE153" s="72">
        <f t="shared" si="1198"/>
        <v>262.73</v>
      </c>
      <c r="CF153" s="72">
        <f t="shared" si="1198"/>
        <v>262.76865457526662</v>
      </c>
      <c r="CG153" s="72">
        <f t="shared" si="1198"/>
        <v>242.85284000477569</v>
      </c>
      <c r="CH153" s="72">
        <f t="shared" si="1198"/>
        <v>250.13459836083777</v>
      </c>
      <c r="CI153" s="72">
        <f t="shared" si="1198"/>
        <v>257.63861632086588</v>
      </c>
      <c r="CJ153" s="72">
        <f t="shared" si="1198"/>
        <v>265.36777499459708</v>
      </c>
      <c r="CL153" s="13"/>
      <c r="CM153" s="13"/>
    </row>
    <row r="154" spans="1:91" x14ac:dyDescent="0.3">
      <c r="A154" s="97" t="str">
        <f>'DCS Detail'!A154</f>
        <v xml:space="preserve">         272.2 SPED - WC SPED Support</v>
      </c>
      <c r="B154" s="106" t="str">
        <f>IF('DCS Detail'!$B154="","",'DCS Detail'!$B154)</f>
        <v>Benefits</v>
      </c>
      <c r="C154" s="145"/>
      <c r="D154" s="145"/>
      <c r="E154" s="146">
        <v>20.21</v>
      </c>
      <c r="F154" s="146">
        <v>20.21</v>
      </c>
      <c r="G154" s="146">
        <v>20.21</v>
      </c>
      <c r="H154" s="146">
        <v>20.21</v>
      </c>
      <c r="I154" s="146">
        <v>20.21</v>
      </c>
      <c r="J154" s="146">
        <v>20.21</v>
      </c>
      <c r="K154" s="146">
        <v>20.21</v>
      </c>
      <c r="L154" s="146">
        <v>20.20999999999998</v>
      </c>
      <c r="M154" s="146">
        <v>20.21</v>
      </c>
      <c r="N154" s="146">
        <v>20.21</v>
      </c>
      <c r="O154" s="146">
        <v>20.21</v>
      </c>
      <c r="P154" s="146">
        <v>40.42</v>
      </c>
      <c r="Q154" s="146">
        <v>20.21</v>
      </c>
      <c r="R154" s="146">
        <v>20.21</v>
      </c>
      <c r="S154" s="146">
        <v>20.21</v>
      </c>
      <c r="T154" s="146">
        <v>20.21</v>
      </c>
      <c r="U154" s="146">
        <v>20.21</v>
      </c>
      <c r="V154" s="146">
        <v>20.21</v>
      </c>
      <c r="W154" s="146">
        <v>20.21</v>
      </c>
      <c r="X154" s="146">
        <v>20.21</v>
      </c>
      <c r="Y154" s="18">
        <v>20.21</v>
      </c>
      <c r="Z154" s="18">
        <v>20.21</v>
      </c>
      <c r="AA154" s="146">
        <v>20.21</v>
      </c>
      <c r="AB154" s="149">
        <f t="shared" ref="AB154" si="1395">SUM(U154:AA154)/SUM(U$145:AA$145)*AB$145</f>
        <v>43.827188968763203</v>
      </c>
      <c r="AC154" s="149">
        <f t="shared" ref="AC154" si="1396">SUM(V154:AB154)/SUM(V$145:AB$145)*AC$145</f>
        <v>0</v>
      </c>
      <c r="AD154" s="149">
        <f t="shared" ref="AD154" si="1397">SUM(W154:AC154)/SUM(W$145:AC$145)*AD$145</f>
        <v>21.919665028501463</v>
      </c>
      <c r="AE154" s="149">
        <f t="shared" ref="AE154" si="1398">SUM(X154:AD154)/SUM(X$145:AD$145)*AE$145</f>
        <v>21.989990205117188</v>
      </c>
      <c r="AF154" s="149">
        <f t="shared" ref="AF154" si="1399">SUM(Y154:AE154)/SUM(Y$145:AE$145)*AF$145</f>
        <v>22.419040573086988</v>
      </c>
      <c r="AG154" s="149">
        <f t="shared" ref="AG154" si="1400">SUM(Z154:AF154)/SUM(Z$145:AF$145)*AG$145</f>
        <v>22.208901313293914</v>
      </c>
      <c r="AH154" s="149">
        <f t="shared" ref="AH154" si="1401">SUM(AA154:AG154)/SUM(AA$145:AG$145)*AH$145</f>
        <v>22.085938962843976</v>
      </c>
      <c r="AI154" s="149">
        <f t="shared" ref="AI154" si="1402">SUM(AB154:AH154)/SUM(AB$145:AH$145)*AI$145</f>
        <v>22.064389293086681</v>
      </c>
      <c r="AJ154" s="149">
        <f t="shared" ref="AJ154" si="1403">SUM(AC154:AI154)/SUM(AC$145:AI$145)*AJ$145</f>
        <v>22.114654229321705</v>
      </c>
      <c r="AK154" s="149">
        <f t="shared" ref="AK154" si="1404">SUM(AD154:AJ154)/SUM(AD$145:AJ$145)*AK$145</f>
        <v>22.114654229321708</v>
      </c>
      <c r="AL154" s="149">
        <f t="shared" ref="AL154" si="1405">SUM(AE154:AK154)/SUM(AE$145:AK$145)*AL$145</f>
        <v>22.142509829438882</v>
      </c>
      <c r="AM154" s="149">
        <f t="shared" ref="AM154" si="1406">SUM(AF154:AL154)/SUM(AF$145:AL$145)*AM$145</f>
        <v>22.164298347199125</v>
      </c>
      <c r="AN154" s="149">
        <f t="shared" ref="AN154" si="1407">SUM(AG154:AM154)/SUM(AG$145:AM$145)*AN$145</f>
        <v>44.255813201287431</v>
      </c>
      <c r="AO154" s="149">
        <f t="shared" ref="AO154" si="1408">SUM(AH154:AN154)/SUM(AH$145:AN$145)*AO$145</f>
        <v>0</v>
      </c>
      <c r="AP154" s="149">
        <f t="shared" ref="AP154" si="1409">SUM(AI154:AO154)/SUM(AI$145:AO$145)*AP$145</f>
        <v>22.7860012433636</v>
      </c>
      <c r="AQ154" s="149">
        <f t="shared" ref="AQ154" si="1410">SUM(AJ154:AP154)/SUM(AJ$145:AP$145)*AQ$145</f>
        <v>22.794490613418265</v>
      </c>
      <c r="AR154" s="149">
        <f t="shared" ref="AR154" si="1411">SUM(AK154:AQ154)/SUM(AK$145:AQ$145)*AR$145</f>
        <v>22.796813100276186</v>
      </c>
      <c r="AS154" s="149">
        <f t="shared" ref="AS154" si="1412">SUM(AL154:AR154)/SUM(AL$145:AR$145)*AS$145</f>
        <v>22.799453332162617</v>
      </c>
      <c r="AT154" s="149">
        <f t="shared" ref="AT154" si="1413">SUM(AM154:AS154)/SUM(AM$145:AS$145)*AT$145</f>
        <v>22.798423586072815</v>
      </c>
      <c r="AU154" s="149">
        <f t="shared" ref="AU154" si="1414">SUM(AN154:AT154)/SUM(AN$145:AT$145)*AU$145</f>
        <v>22.794115374668301</v>
      </c>
      <c r="AV154" s="149">
        <f t="shared" ref="AV154" si="1415">SUM(AO154:AU154)/SUM(AO$145:AU$145)*AV$145</f>
        <v>22.794882874993625</v>
      </c>
      <c r="AW154" s="149">
        <f t="shared" ref="AW154" si="1416">SUM(AP154:AV154)/SUM(AP$145:AV$145)*AW$145</f>
        <v>22.794882874993625</v>
      </c>
      <c r="AX154" s="149">
        <f t="shared" ref="AX154" si="1417">SUM(AQ154:AW154)/SUM(AQ$145:AW$145)*AX$145</f>
        <v>22.796151679512203</v>
      </c>
      <c r="AY154" s="149">
        <f t="shared" ref="AY154" si="1418">SUM(AR154:AX154)/SUM(AR$145:AX$145)*AY$145</f>
        <v>22.796388974668481</v>
      </c>
      <c r="AZ154" s="149">
        <f t="shared" ref="AZ154" si="1419">SUM(AS154:AY154)/SUM(AS$145:AY$145)*AZ$145</f>
        <v>45.592656770591901</v>
      </c>
      <c r="BA154" s="149">
        <f t="shared" ref="BA154" si="1420">SUM(AT154:AZ154)/SUM(AT$145:AZ$145)*BA$145</f>
        <v>0</v>
      </c>
      <c r="BB154" s="149">
        <f t="shared" ref="BB154" si="1421">SUM(AU154:BA154)/SUM(AU$145:BA$145)*BB$145</f>
        <v>23.479450129415852</v>
      </c>
      <c r="BC154" s="149">
        <f t="shared" ref="BC154" si="1422">SUM(AV154:BB154)/SUM(AV$145:BB$145)*BC$145</f>
        <v>23.479665107155189</v>
      </c>
      <c r="BD154" s="149">
        <f t="shared" ref="BD154" si="1423">SUM(AW154:BC154)/SUM(AW$145:BC$145)*BD$145</f>
        <v>23.479797649069035</v>
      </c>
      <c r="BE154" s="149">
        <f t="shared" ref="BE154" si="1424">SUM(AX154:BD154)/SUM(AX$145:BD$145)*BE$145</f>
        <v>23.479948324361786</v>
      </c>
      <c r="BF154" s="149">
        <f t="shared" ref="BF154" si="1425">SUM(AY154:BE154)/SUM(AY$145:BE$145)*BF$145</f>
        <v>23.479935978078668</v>
      </c>
      <c r="BG154" s="149">
        <f t="shared" ref="BG154" si="1426">SUM(AZ154:BF154)/SUM(AZ$145:BF$145)*BG$145</f>
        <v>23.479887773067496</v>
      </c>
      <c r="BH154" s="149">
        <f t="shared" ref="BH154" si="1427">SUM(BA154:BG154)/SUM(BA$145:BG$145)*BH$145</f>
        <v>23.479780826858008</v>
      </c>
      <c r="BI154" s="149">
        <f t="shared" ref="BI154" si="1428">SUM(BB154:BH154)/SUM(BB$145:BH$145)*BI$145</f>
        <v>23.479780826858008</v>
      </c>
      <c r="BJ154" s="149">
        <f t="shared" ref="BJ154" si="1429">SUM(BC154:BI154)/SUM(BC$145:BI$145)*BJ$145</f>
        <v>23.479828069349747</v>
      </c>
      <c r="BK154" s="149">
        <f t="shared" ref="BK154" si="1430">SUM(BD154:BJ154)/SUM(BD$145:BJ$145)*BK$145</f>
        <v>23.479851349663246</v>
      </c>
      <c r="BL154" s="149">
        <f t="shared" ref="BL154" si="1431">SUM(BE154:BK154)/SUM(BE$145:BK$145)*BL$145</f>
        <v>46.959718042353423</v>
      </c>
      <c r="BM154" s="149">
        <f t="shared" ref="BM154" si="1432">SUM(BF154:BL154)/SUM(BF$145:BL$145)*BM$145</f>
        <v>0</v>
      </c>
      <c r="BN154" s="149">
        <f t="shared" ref="BN154" si="1433">SUM(BG154:BM154)/SUM(BG$145:BM$145)*BN$145</f>
        <v>24.18423032782778</v>
      </c>
      <c r="BO154" s="149">
        <f t="shared" ref="BO154" si="1434">SUM(BH154:BN154)/SUM(BH$145:BN$145)*BO$145</f>
        <v>24.184222635305485</v>
      </c>
      <c r="BP154" s="149">
        <f t="shared" ref="BP154" si="1435">SUM(BI154:BO154)/SUM(BI$145:BO$145)*BP$145</f>
        <v>24.184229488512521</v>
      </c>
      <c r="BQ154" s="149">
        <f t="shared" ref="BQ154" si="1436">SUM(BJ154:BP154)/SUM(BJ$145:BP$145)*BQ$145</f>
        <v>24.184237279323352</v>
      </c>
      <c r="BR154" s="149">
        <f t="shared" ref="BR154" si="1437">SUM(BK154:BQ154)/SUM(BK$145:BQ$145)*BR$145</f>
        <v>24.184239297285867</v>
      </c>
      <c r="BS154" s="149">
        <f t="shared" ref="BS154" si="1438">SUM(BL154:BR154)/SUM(BL$145:BR$145)*BS$145</f>
        <v>24.184238235346388</v>
      </c>
      <c r="BT154" s="149">
        <f t="shared" ref="BT154" si="1439">SUM(BM154:BS154)/SUM(BM$145:BS$145)*BT$145</f>
        <v>24.184232877266897</v>
      </c>
      <c r="BU154" s="149">
        <f t="shared" ref="BU154" si="1440">SUM(BN154:BT154)/SUM(BN$145:BT$145)*BU$145</f>
        <v>24.184232877266897</v>
      </c>
      <c r="BV154" s="149">
        <f t="shared" ref="BV154" si="1441">SUM(BO154:BU154)/SUM(BO$145:BU$145)*BV$145</f>
        <v>24.184233241472487</v>
      </c>
      <c r="BW154" s="149">
        <f t="shared" ref="BW154" si="1442">SUM(BP154:BV154)/SUM(BP$145:BV$145)*BW$145</f>
        <v>24.184234756639199</v>
      </c>
      <c r="BX154" s="149">
        <f t="shared" ref="BX154" si="1443">SUM(BQ154:BW154)/SUM(BQ$145:BW$145)*BX$145</f>
        <v>48.368471018457448</v>
      </c>
      <c r="BY154" s="11"/>
      <c r="BZ154" s="386">
        <f t="shared" si="1077"/>
        <v>20.21</v>
      </c>
      <c r="CA154" s="386">
        <f t="shared" si="1078"/>
        <v>222.31000000000006</v>
      </c>
      <c r="CB154" s="97"/>
      <c r="CC154" s="386">
        <f t="shared" si="950"/>
        <v>0</v>
      </c>
      <c r="CD154" s="386">
        <f t="shared" si="1198"/>
        <v>0</v>
      </c>
      <c r="CE154" s="386">
        <f t="shared" si="1198"/>
        <v>262.73</v>
      </c>
      <c r="CF154" s="386">
        <f t="shared" si="1198"/>
        <v>266.13718896876327</v>
      </c>
      <c r="CG154" s="386">
        <f t="shared" si="1198"/>
        <v>265.4798552124991</v>
      </c>
      <c r="CH154" s="386">
        <f t="shared" si="1198"/>
        <v>273.54426042472159</v>
      </c>
      <c r="CI154" s="386">
        <f t="shared" si="1198"/>
        <v>281.75764407623046</v>
      </c>
      <c r="CJ154" s="386">
        <f t="shared" si="1198"/>
        <v>290.21080203470433</v>
      </c>
      <c r="CL154" s="13"/>
      <c r="CM154" s="13"/>
    </row>
    <row r="155" spans="1:91" x14ac:dyDescent="0.3">
      <c r="A155" s="97" t="str">
        <f>'DCS Detail'!A155</f>
        <v xml:space="preserve">         640.20 SPED - Special Ed Supplies</v>
      </c>
      <c r="B155" s="106" t="str">
        <f>IF('DCS Detail'!$B155="","",'DCS Detail'!$B155)</f>
        <v>Supplies</v>
      </c>
      <c r="C155" s="145"/>
      <c r="D155" s="145"/>
      <c r="E155" s="146">
        <v>0</v>
      </c>
      <c r="F155" s="146">
        <v>0</v>
      </c>
      <c r="G155" s="146">
        <v>0</v>
      </c>
      <c r="H155" s="146">
        <v>0</v>
      </c>
      <c r="I155" s="146">
        <v>0</v>
      </c>
      <c r="J155" s="146">
        <v>0</v>
      </c>
      <c r="K155" s="146">
        <v>0</v>
      </c>
      <c r="L155" s="146">
        <v>0</v>
      </c>
      <c r="M155" s="146">
        <v>0</v>
      </c>
      <c r="N155" s="146">
        <v>0</v>
      </c>
      <c r="O155" s="146">
        <v>0</v>
      </c>
      <c r="P155" s="146">
        <v>0</v>
      </c>
      <c r="Q155" s="146">
        <v>0</v>
      </c>
      <c r="R155" s="146">
        <v>0</v>
      </c>
      <c r="S155" s="146">
        <v>0</v>
      </c>
      <c r="T155" s="146">
        <v>0</v>
      </c>
      <c r="U155" s="146">
        <v>0</v>
      </c>
      <c r="V155" s="146">
        <v>0</v>
      </c>
      <c r="W155" s="146">
        <v>0</v>
      </c>
      <c r="X155" s="146">
        <v>0</v>
      </c>
      <c r="Y155" s="18">
        <v>0</v>
      </c>
      <c r="Z155" s="18">
        <v>0</v>
      </c>
      <c r="AA155" s="146">
        <v>0</v>
      </c>
      <c r="AB155" s="120">
        <f t="shared" ref="AB155:BE155" si="1444">P155*(1+AB$263)</f>
        <v>0</v>
      </c>
      <c r="AC155" s="120">
        <f t="shared" si="1444"/>
        <v>0</v>
      </c>
      <c r="AD155" s="120">
        <f t="shared" si="1444"/>
        <v>0</v>
      </c>
      <c r="AE155" s="120">
        <f t="shared" si="1444"/>
        <v>0</v>
      </c>
      <c r="AF155" s="120">
        <f t="shared" si="1444"/>
        <v>0</v>
      </c>
      <c r="AG155" s="120">
        <f t="shared" si="1444"/>
        <v>0</v>
      </c>
      <c r="AH155" s="120">
        <f t="shared" si="1444"/>
        <v>0</v>
      </c>
      <c r="AI155" s="120">
        <f t="shared" si="1444"/>
        <v>0</v>
      </c>
      <c r="AJ155" s="120">
        <f t="shared" si="1444"/>
        <v>0</v>
      </c>
      <c r="AK155" s="120">
        <f t="shared" si="1444"/>
        <v>0</v>
      </c>
      <c r="AL155" s="120">
        <f t="shared" si="1444"/>
        <v>0</v>
      </c>
      <c r="AM155" s="120">
        <f t="shared" si="1444"/>
        <v>0</v>
      </c>
      <c r="AN155" s="120">
        <f t="shared" si="1444"/>
        <v>0</v>
      </c>
      <c r="AO155" s="120">
        <f t="shared" si="1444"/>
        <v>0</v>
      </c>
      <c r="AP155" s="120">
        <f t="shared" si="1444"/>
        <v>0</v>
      </c>
      <c r="AQ155" s="120">
        <f t="shared" si="1444"/>
        <v>0</v>
      </c>
      <c r="AR155" s="120">
        <f t="shared" si="1444"/>
        <v>0</v>
      </c>
      <c r="AS155" s="120">
        <f t="shared" si="1444"/>
        <v>0</v>
      </c>
      <c r="AT155" s="120">
        <f t="shared" si="1444"/>
        <v>0</v>
      </c>
      <c r="AU155" s="120">
        <f t="shared" si="1444"/>
        <v>0</v>
      </c>
      <c r="AV155" s="120">
        <f t="shared" si="1444"/>
        <v>0</v>
      </c>
      <c r="AW155" s="120">
        <f t="shared" si="1444"/>
        <v>0</v>
      </c>
      <c r="AX155" s="120">
        <f t="shared" si="1444"/>
        <v>0</v>
      </c>
      <c r="AY155" s="120">
        <f t="shared" si="1444"/>
        <v>0</v>
      </c>
      <c r="AZ155" s="120">
        <f t="shared" si="1444"/>
        <v>0</v>
      </c>
      <c r="BA155" s="120">
        <f t="shared" si="1444"/>
        <v>0</v>
      </c>
      <c r="BB155" s="120">
        <f t="shared" si="1444"/>
        <v>0</v>
      </c>
      <c r="BC155" s="120">
        <f t="shared" si="1444"/>
        <v>0</v>
      </c>
      <c r="BD155" s="120">
        <f t="shared" si="1444"/>
        <v>0</v>
      </c>
      <c r="BE155" s="120">
        <f t="shared" si="1444"/>
        <v>0</v>
      </c>
      <c r="BF155" s="120">
        <f t="shared" ref="BF155:BX155" si="1445">AT155*(1+BF$263)</f>
        <v>0</v>
      </c>
      <c r="BG155" s="120">
        <f t="shared" si="1445"/>
        <v>0</v>
      </c>
      <c r="BH155" s="120">
        <f t="shared" si="1445"/>
        <v>0</v>
      </c>
      <c r="BI155" s="120">
        <f t="shared" si="1445"/>
        <v>0</v>
      </c>
      <c r="BJ155" s="120">
        <f t="shared" si="1445"/>
        <v>0</v>
      </c>
      <c r="BK155" s="120">
        <f t="shared" si="1445"/>
        <v>0</v>
      </c>
      <c r="BL155" s="120">
        <f t="shared" si="1445"/>
        <v>0</v>
      </c>
      <c r="BM155" s="120">
        <f t="shared" si="1445"/>
        <v>0</v>
      </c>
      <c r="BN155" s="120">
        <f t="shared" si="1445"/>
        <v>0</v>
      </c>
      <c r="BO155" s="120">
        <f t="shared" si="1445"/>
        <v>0</v>
      </c>
      <c r="BP155" s="120">
        <f t="shared" si="1445"/>
        <v>0</v>
      </c>
      <c r="BQ155" s="120">
        <f t="shared" si="1445"/>
        <v>0</v>
      </c>
      <c r="BR155" s="120">
        <f t="shared" si="1445"/>
        <v>0</v>
      </c>
      <c r="BS155" s="120">
        <f t="shared" si="1445"/>
        <v>0</v>
      </c>
      <c r="BT155" s="120">
        <f t="shared" si="1445"/>
        <v>0</v>
      </c>
      <c r="BU155" s="120">
        <f t="shared" si="1445"/>
        <v>0</v>
      </c>
      <c r="BV155" s="120">
        <f t="shared" si="1445"/>
        <v>0</v>
      </c>
      <c r="BW155" s="120">
        <f t="shared" si="1445"/>
        <v>0</v>
      </c>
      <c r="BX155" s="120">
        <f t="shared" si="1445"/>
        <v>0</v>
      </c>
      <c r="BY155" s="11"/>
      <c r="BZ155" s="386">
        <f t="shared" si="1077"/>
        <v>0</v>
      </c>
      <c r="CA155" s="386">
        <f t="shared" si="1078"/>
        <v>0</v>
      </c>
      <c r="CB155" s="97"/>
      <c r="CC155" s="386">
        <f t="shared" si="950"/>
        <v>0</v>
      </c>
      <c r="CD155" s="386">
        <f t="shared" si="1198"/>
        <v>0</v>
      </c>
      <c r="CE155" s="386">
        <f t="shared" si="1198"/>
        <v>0</v>
      </c>
      <c r="CF155" s="386">
        <f t="shared" si="1198"/>
        <v>0</v>
      </c>
      <c r="CG155" s="386">
        <f t="shared" si="1198"/>
        <v>0</v>
      </c>
      <c r="CH155" s="386">
        <f t="shared" si="1198"/>
        <v>0</v>
      </c>
      <c r="CI155" s="386">
        <f t="shared" si="1198"/>
        <v>0</v>
      </c>
      <c r="CJ155" s="386">
        <f t="shared" si="1198"/>
        <v>0</v>
      </c>
      <c r="CL155" s="13"/>
      <c r="CM155" s="13"/>
    </row>
    <row r="156" spans="1:91" x14ac:dyDescent="0.3">
      <c r="A156" s="97" t="str">
        <f>'DCS Detail'!A156</f>
        <v xml:space="preserve">         340.20 SPED - Special Ed Services</v>
      </c>
      <c r="B156" s="106" t="str">
        <f>IF('DCS Detail'!$B156="","",'DCS Detail'!$B156)</f>
        <v>Prof. Serv.</v>
      </c>
      <c r="C156" s="139"/>
      <c r="D156" s="139"/>
      <c r="E156" s="121">
        <v>0</v>
      </c>
      <c r="F156" s="121">
        <v>0</v>
      </c>
      <c r="G156" s="121">
        <v>235.12</v>
      </c>
      <c r="H156" s="121">
        <v>0</v>
      </c>
      <c r="I156" s="121">
        <v>1303.5</v>
      </c>
      <c r="J156" s="121">
        <v>400.12</v>
      </c>
      <c r="K156" s="121">
        <v>0</v>
      </c>
      <c r="L156" s="121">
        <v>816.75</v>
      </c>
      <c r="M156" s="121">
        <v>697.12</v>
      </c>
      <c r="N156" s="121">
        <v>680.62</v>
      </c>
      <c r="O156" s="121">
        <v>0</v>
      </c>
      <c r="P156" s="121">
        <v>701.25</v>
      </c>
      <c r="Q156" s="121">
        <v>110</v>
      </c>
      <c r="R156" s="121">
        <v>0</v>
      </c>
      <c r="S156" s="121">
        <v>0</v>
      </c>
      <c r="T156" s="121">
        <v>0</v>
      </c>
      <c r="U156" s="121">
        <v>0</v>
      </c>
      <c r="V156" s="121">
        <v>0</v>
      </c>
      <c r="W156" s="121">
        <v>0</v>
      </c>
      <c r="X156" s="121">
        <v>0</v>
      </c>
      <c r="Y156" s="121">
        <v>0</v>
      </c>
      <c r="Z156" s="121">
        <v>0</v>
      </c>
      <c r="AA156" s="121">
        <v>0</v>
      </c>
      <c r="AB156" s="110">
        <f t="shared" ref="AB156:BG156" si="1446">AVERAGE($U$156:$X$156)</f>
        <v>0</v>
      </c>
      <c r="AC156" s="110">
        <f t="shared" si="1446"/>
        <v>0</v>
      </c>
      <c r="AD156" s="110">
        <f t="shared" si="1446"/>
        <v>0</v>
      </c>
      <c r="AE156" s="110">
        <f t="shared" si="1446"/>
        <v>0</v>
      </c>
      <c r="AF156" s="110">
        <f t="shared" si="1446"/>
        <v>0</v>
      </c>
      <c r="AG156" s="110">
        <f t="shared" si="1446"/>
        <v>0</v>
      </c>
      <c r="AH156" s="110">
        <f t="shared" si="1446"/>
        <v>0</v>
      </c>
      <c r="AI156" s="110">
        <f t="shared" si="1446"/>
        <v>0</v>
      </c>
      <c r="AJ156" s="110">
        <f t="shared" si="1446"/>
        <v>0</v>
      </c>
      <c r="AK156" s="110">
        <f t="shared" si="1446"/>
        <v>0</v>
      </c>
      <c r="AL156" s="110">
        <f t="shared" si="1446"/>
        <v>0</v>
      </c>
      <c r="AM156" s="110">
        <f t="shared" si="1446"/>
        <v>0</v>
      </c>
      <c r="AN156" s="110">
        <f t="shared" si="1446"/>
        <v>0</v>
      </c>
      <c r="AO156" s="110">
        <f t="shared" si="1446"/>
        <v>0</v>
      </c>
      <c r="AP156" s="110">
        <f t="shared" si="1446"/>
        <v>0</v>
      </c>
      <c r="AQ156" s="110">
        <f t="shared" si="1446"/>
        <v>0</v>
      </c>
      <c r="AR156" s="110">
        <f t="shared" si="1446"/>
        <v>0</v>
      </c>
      <c r="AS156" s="110">
        <f t="shared" si="1446"/>
        <v>0</v>
      </c>
      <c r="AT156" s="110">
        <f t="shared" si="1446"/>
        <v>0</v>
      </c>
      <c r="AU156" s="110">
        <f t="shared" si="1446"/>
        <v>0</v>
      </c>
      <c r="AV156" s="110">
        <f t="shared" si="1446"/>
        <v>0</v>
      </c>
      <c r="AW156" s="110">
        <f t="shared" si="1446"/>
        <v>0</v>
      </c>
      <c r="AX156" s="110">
        <f t="shared" si="1446"/>
        <v>0</v>
      </c>
      <c r="AY156" s="110">
        <f t="shared" si="1446"/>
        <v>0</v>
      </c>
      <c r="AZ156" s="110">
        <f t="shared" si="1446"/>
        <v>0</v>
      </c>
      <c r="BA156" s="110">
        <f t="shared" si="1446"/>
        <v>0</v>
      </c>
      <c r="BB156" s="110">
        <f t="shared" si="1446"/>
        <v>0</v>
      </c>
      <c r="BC156" s="110">
        <f t="shared" si="1446"/>
        <v>0</v>
      </c>
      <c r="BD156" s="110">
        <f t="shared" si="1446"/>
        <v>0</v>
      </c>
      <c r="BE156" s="110">
        <f t="shared" si="1446"/>
        <v>0</v>
      </c>
      <c r="BF156" s="110">
        <f t="shared" si="1446"/>
        <v>0</v>
      </c>
      <c r="BG156" s="110">
        <f t="shared" si="1446"/>
        <v>0</v>
      </c>
      <c r="BH156" s="110">
        <f t="shared" ref="BH156:BX156" si="1447">AVERAGE($U$156:$X$156)</f>
        <v>0</v>
      </c>
      <c r="BI156" s="110">
        <f t="shared" si="1447"/>
        <v>0</v>
      </c>
      <c r="BJ156" s="110">
        <f t="shared" si="1447"/>
        <v>0</v>
      </c>
      <c r="BK156" s="110">
        <f t="shared" si="1447"/>
        <v>0</v>
      </c>
      <c r="BL156" s="110">
        <f t="shared" si="1447"/>
        <v>0</v>
      </c>
      <c r="BM156" s="110">
        <f t="shared" si="1447"/>
        <v>0</v>
      </c>
      <c r="BN156" s="110">
        <f t="shared" si="1447"/>
        <v>0</v>
      </c>
      <c r="BO156" s="110">
        <f t="shared" si="1447"/>
        <v>0</v>
      </c>
      <c r="BP156" s="110">
        <f t="shared" si="1447"/>
        <v>0</v>
      </c>
      <c r="BQ156" s="110">
        <f t="shared" si="1447"/>
        <v>0</v>
      </c>
      <c r="BR156" s="110">
        <f t="shared" si="1447"/>
        <v>0</v>
      </c>
      <c r="BS156" s="110">
        <f t="shared" si="1447"/>
        <v>0</v>
      </c>
      <c r="BT156" s="110">
        <f t="shared" si="1447"/>
        <v>0</v>
      </c>
      <c r="BU156" s="110">
        <f t="shared" si="1447"/>
        <v>0</v>
      </c>
      <c r="BV156" s="110">
        <f t="shared" si="1447"/>
        <v>0</v>
      </c>
      <c r="BW156" s="110">
        <f t="shared" si="1447"/>
        <v>0</v>
      </c>
      <c r="BX156" s="110">
        <f t="shared" si="1447"/>
        <v>0</v>
      </c>
      <c r="BY156" s="8"/>
      <c r="BZ156" s="73">
        <f t="shared" si="1077"/>
        <v>0</v>
      </c>
      <c r="CA156" s="73">
        <f t="shared" si="1078"/>
        <v>110</v>
      </c>
      <c r="CB156" s="97"/>
      <c r="CC156" s="73">
        <f t="shared" si="950"/>
        <v>0</v>
      </c>
      <c r="CD156" s="73">
        <f t="shared" si="1198"/>
        <v>0</v>
      </c>
      <c r="CE156" s="73">
        <f t="shared" si="1198"/>
        <v>4834.4799999999996</v>
      </c>
      <c r="CF156" s="73">
        <f t="shared" si="1198"/>
        <v>110</v>
      </c>
      <c r="CG156" s="73">
        <f t="shared" si="1198"/>
        <v>0</v>
      </c>
      <c r="CH156" s="73">
        <f t="shared" si="1198"/>
        <v>0</v>
      </c>
      <c r="CI156" s="73">
        <f t="shared" si="1198"/>
        <v>0</v>
      </c>
      <c r="CJ156" s="73">
        <f t="shared" si="1198"/>
        <v>0</v>
      </c>
      <c r="CL156" s="13"/>
      <c r="CM156" s="13"/>
    </row>
    <row r="157" spans="1:91" x14ac:dyDescent="0.3">
      <c r="A157" s="97" t="str">
        <f>'DCS Detail'!A157</f>
        <v xml:space="preserve">      Total SP1000 SPED - Instruction</v>
      </c>
      <c r="B157" s="106" t="str">
        <f>IF('DCS Detail'!$B157="","",'DCS Detail'!$B157)</f>
        <v/>
      </c>
      <c r="C157" s="36">
        <f>SUM(C142:C156)</f>
        <v>0</v>
      </c>
      <c r="D157" s="36">
        <f t="shared" ref="D157:AN157" si="1448">SUM(D142:D156)</f>
        <v>0</v>
      </c>
      <c r="E157" s="36">
        <f t="shared" si="1448"/>
        <v>-1436.7599999999998</v>
      </c>
      <c r="F157" s="36">
        <f t="shared" si="1448"/>
        <v>2058.0199999999995</v>
      </c>
      <c r="G157" s="36">
        <f t="shared" si="1448"/>
        <v>2326.35</v>
      </c>
      <c r="H157" s="36">
        <f t="shared" si="1448"/>
        <v>2091.23</v>
      </c>
      <c r="I157" s="36">
        <f t="shared" si="1448"/>
        <v>3394.73</v>
      </c>
      <c r="J157" s="36">
        <f t="shared" si="1448"/>
        <v>2491.35</v>
      </c>
      <c r="K157" s="36">
        <f t="shared" si="1448"/>
        <v>2120.11</v>
      </c>
      <c r="L157" s="36">
        <f t="shared" si="1448"/>
        <v>2933.0599999999995</v>
      </c>
      <c r="M157" s="36">
        <f t="shared" ref="M157" si="1449">SUM(M142:M156)</f>
        <v>2805.8599999999997</v>
      </c>
      <c r="N157" s="36">
        <f t="shared" si="1448"/>
        <v>2790.73</v>
      </c>
      <c r="O157" s="36">
        <f t="shared" si="1448"/>
        <v>2107.64</v>
      </c>
      <c r="P157" s="36">
        <f t="shared" si="1448"/>
        <v>6957.96</v>
      </c>
      <c r="Q157" s="36">
        <f t="shared" si="1448"/>
        <v>150.42000000000002</v>
      </c>
      <c r="R157" s="36">
        <f t="shared" ref="R157:S157" si="1450">SUM(R142:R156)</f>
        <v>2089.65</v>
      </c>
      <c r="S157" s="36">
        <f t="shared" si="1450"/>
        <v>2103.14</v>
      </c>
      <c r="T157" s="36">
        <f t="shared" ref="T157:U157" si="1451">SUM(T142:T156)</f>
        <v>2089.65</v>
      </c>
      <c r="U157" s="36">
        <f t="shared" si="1451"/>
        <v>2089.65</v>
      </c>
      <c r="V157" s="36">
        <f t="shared" ref="V157:W157" si="1452">SUM(V142:V156)</f>
        <v>2206.6800000000003</v>
      </c>
      <c r="W157" s="36">
        <f t="shared" si="1452"/>
        <v>2183.6</v>
      </c>
      <c r="X157" s="36">
        <f t="shared" si="1448"/>
        <v>2247.7000000000003</v>
      </c>
      <c r="Y157" s="36">
        <f t="shared" si="1448"/>
        <v>2108.7400000000002</v>
      </c>
      <c r="Z157" s="36">
        <f t="shared" si="1448"/>
        <v>2127.92</v>
      </c>
      <c r="AA157" s="36">
        <f t="shared" si="1448"/>
        <v>2154.7400000000002</v>
      </c>
      <c r="AB157" s="36">
        <f t="shared" si="1448"/>
        <v>4439.6172456447466</v>
      </c>
      <c r="AC157" s="36">
        <f t="shared" si="1448"/>
        <v>0</v>
      </c>
      <c r="AD157" s="36">
        <f t="shared" si="1448"/>
        <v>2224.1283043388112</v>
      </c>
      <c r="AE157" s="36">
        <f t="shared" si="1448"/>
        <v>2223.4797887322156</v>
      </c>
      <c r="AF157" s="36">
        <f t="shared" si="1448"/>
        <v>2224.9572930218942</v>
      </c>
      <c r="AG157" s="36">
        <f t="shared" si="1448"/>
        <v>2223.674963217506</v>
      </c>
      <c r="AH157" s="36">
        <f t="shared" si="1448"/>
        <v>2223.1767498782228</v>
      </c>
      <c r="AI157" s="36">
        <f t="shared" si="1448"/>
        <v>2222.7191921190561</v>
      </c>
      <c r="AJ157" s="36">
        <f t="shared" si="1448"/>
        <v>2223.6893818846174</v>
      </c>
      <c r="AK157" s="36">
        <f t="shared" si="1448"/>
        <v>2223.6893818846174</v>
      </c>
      <c r="AL157" s="36">
        <f t="shared" si="1448"/>
        <v>2223.6266786768761</v>
      </c>
      <c r="AM157" s="36">
        <f t="shared" si="1448"/>
        <v>2223.6476629546851</v>
      </c>
      <c r="AN157" s="36">
        <f t="shared" si="1448"/>
        <v>4446.9211458901655</v>
      </c>
      <c r="AO157" s="36">
        <f t="shared" ref="AO157:AZ157" si="1453">SUM(AO142:AO156)</f>
        <v>0</v>
      </c>
      <c r="AP157" s="36">
        <f t="shared" si="1453"/>
        <v>2290.174606673188</v>
      </c>
      <c r="AQ157" s="36">
        <f t="shared" si="1453"/>
        <v>2290.2846833148046</v>
      </c>
      <c r="AR157" s="36">
        <f t="shared" si="1453"/>
        <v>2290.2683405348675</v>
      </c>
      <c r="AS157" s="36">
        <f t="shared" si="1453"/>
        <v>2290.2497618597918</v>
      </c>
      <c r="AT157" s="36">
        <f t="shared" si="1453"/>
        <v>2290.2377229303829</v>
      </c>
      <c r="AU157" s="36">
        <f t="shared" si="1453"/>
        <v>2290.2210278376642</v>
      </c>
      <c r="AV157" s="36">
        <f t="shared" si="1453"/>
        <v>2290.2393571917828</v>
      </c>
      <c r="AW157" s="36">
        <f t="shared" si="1453"/>
        <v>2290.2393571917828</v>
      </c>
      <c r="AX157" s="36">
        <f t="shared" si="1453"/>
        <v>2290.248607265868</v>
      </c>
      <c r="AY157" s="36">
        <f t="shared" si="1453"/>
        <v>2290.2434535445914</v>
      </c>
      <c r="AZ157" s="36">
        <f t="shared" si="1453"/>
        <v>4580.4797965205325</v>
      </c>
      <c r="BA157" s="36">
        <f t="shared" ref="BA157:BX157" si="1454">SUM(BA142:BA156)</f>
        <v>0</v>
      </c>
      <c r="BB157" s="36">
        <f t="shared" si="1454"/>
        <v>2358.945963934113</v>
      </c>
      <c r="BC157" s="36">
        <f t="shared" si="1454"/>
        <v>2358.9485678119677</v>
      </c>
      <c r="BD157" s="36">
        <f t="shared" si="1454"/>
        <v>2358.9488553338419</v>
      </c>
      <c r="BE157" s="36">
        <f t="shared" si="1454"/>
        <v>2358.949182192277</v>
      </c>
      <c r="BF157" s="36">
        <f t="shared" si="1454"/>
        <v>2358.9482154378429</v>
      </c>
      <c r="BG157" s="36">
        <f t="shared" si="1454"/>
        <v>2358.947859953495</v>
      </c>
      <c r="BH157" s="36">
        <f t="shared" si="1454"/>
        <v>2358.9481074439227</v>
      </c>
      <c r="BI157" s="36">
        <f t="shared" si="1454"/>
        <v>2358.9481074439227</v>
      </c>
      <c r="BJ157" s="36">
        <f t="shared" si="1454"/>
        <v>2358.9484136596107</v>
      </c>
      <c r="BK157" s="36">
        <f t="shared" si="1454"/>
        <v>2358.9483916378445</v>
      </c>
      <c r="BL157" s="36">
        <f t="shared" si="1454"/>
        <v>4717.8966507911191</v>
      </c>
      <c r="BM157" s="36">
        <f t="shared" si="1454"/>
        <v>0</v>
      </c>
      <c r="BN157" s="36">
        <f t="shared" si="1454"/>
        <v>2429.7166652654018</v>
      </c>
      <c r="BO157" s="36">
        <f t="shared" si="1454"/>
        <v>2429.7167178277496</v>
      </c>
      <c r="BP157" s="36">
        <f t="shared" si="1454"/>
        <v>2429.7167415048743</v>
      </c>
      <c r="BQ157" s="36">
        <f t="shared" si="1454"/>
        <v>2429.7167684213255</v>
      </c>
      <c r="BR157" s="36">
        <f t="shared" si="1454"/>
        <v>2429.7167547067083</v>
      </c>
      <c r="BS157" s="36">
        <f t="shared" si="1454"/>
        <v>2429.7167423038732</v>
      </c>
      <c r="BT157" s="36">
        <f t="shared" si="1454"/>
        <v>2429.7167316716559</v>
      </c>
      <c r="BU157" s="36">
        <f t="shared" si="1454"/>
        <v>2429.7167316716559</v>
      </c>
      <c r="BV157" s="36">
        <f t="shared" si="1454"/>
        <v>2429.7167411582636</v>
      </c>
      <c r="BW157" s="36">
        <f t="shared" si="1454"/>
        <v>2429.7167444911943</v>
      </c>
      <c r="BX157" s="36">
        <f t="shared" si="1454"/>
        <v>4859.433489835621</v>
      </c>
      <c r="BY157" s="8"/>
      <c r="BZ157" s="72">
        <f t="shared" si="1077"/>
        <v>2154.7400000000002</v>
      </c>
      <c r="CA157" s="72">
        <f t="shared" si="1078"/>
        <v>21551.890000000003</v>
      </c>
      <c r="CB157" s="97"/>
      <c r="CC157" s="72">
        <f t="shared" si="950"/>
        <v>0</v>
      </c>
      <c r="CD157" s="72">
        <f t="shared" si="1198"/>
        <v>0</v>
      </c>
      <c r="CE157" s="72">
        <f t="shared" si="1198"/>
        <v>30640.28</v>
      </c>
      <c r="CF157" s="72">
        <f t="shared" si="1198"/>
        <v>25991.507245644749</v>
      </c>
      <c r="CG157" s="72">
        <f t="shared" si="1198"/>
        <v>26683.71054259867</v>
      </c>
      <c r="CH157" s="72">
        <f t="shared" si="1198"/>
        <v>27482.886714865257</v>
      </c>
      <c r="CI157" s="72">
        <f t="shared" si="1198"/>
        <v>28307.378315639959</v>
      </c>
      <c r="CJ157" s="72">
        <f t="shared" si="1198"/>
        <v>29156.600828858322</v>
      </c>
      <c r="CL157" s="13"/>
      <c r="CM157" s="13"/>
    </row>
    <row r="158" spans="1:91" x14ac:dyDescent="0.3">
      <c r="A158" s="97" t="str">
        <f>'DCS Detail'!A158</f>
        <v xml:space="preserve">   Total 200 Special Education Fund</v>
      </c>
      <c r="B158" s="106" t="str">
        <f>IF('DCS Detail'!$B158="","",'DCS Detail'!$B158)</f>
        <v/>
      </c>
      <c r="C158" s="112">
        <f>C157</f>
        <v>0</v>
      </c>
      <c r="D158" s="112">
        <f t="shared" ref="D158:AN158" si="1455">D157</f>
        <v>0</v>
      </c>
      <c r="E158" s="112">
        <f t="shared" si="1455"/>
        <v>-1436.7599999999998</v>
      </c>
      <c r="F158" s="112">
        <f t="shared" si="1455"/>
        <v>2058.0199999999995</v>
      </c>
      <c r="G158" s="112">
        <f t="shared" si="1455"/>
        <v>2326.35</v>
      </c>
      <c r="H158" s="112">
        <f t="shared" si="1455"/>
        <v>2091.23</v>
      </c>
      <c r="I158" s="112">
        <f t="shared" si="1455"/>
        <v>3394.73</v>
      </c>
      <c r="J158" s="112">
        <f t="shared" si="1455"/>
        <v>2491.35</v>
      </c>
      <c r="K158" s="112">
        <f t="shared" si="1455"/>
        <v>2120.11</v>
      </c>
      <c r="L158" s="112">
        <f t="shared" si="1455"/>
        <v>2933.0599999999995</v>
      </c>
      <c r="M158" s="112">
        <f t="shared" ref="M158" si="1456">M157</f>
        <v>2805.8599999999997</v>
      </c>
      <c r="N158" s="112">
        <f t="shared" si="1455"/>
        <v>2790.73</v>
      </c>
      <c r="O158" s="112">
        <f t="shared" si="1455"/>
        <v>2107.64</v>
      </c>
      <c r="P158" s="112">
        <f t="shared" si="1455"/>
        <v>6957.96</v>
      </c>
      <c r="Q158" s="112">
        <f t="shared" si="1455"/>
        <v>150.42000000000002</v>
      </c>
      <c r="R158" s="112">
        <f t="shared" ref="R158:S158" si="1457">R157</f>
        <v>2089.65</v>
      </c>
      <c r="S158" s="112">
        <f t="shared" si="1457"/>
        <v>2103.14</v>
      </c>
      <c r="T158" s="112">
        <f t="shared" ref="T158:U158" si="1458">T157</f>
        <v>2089.65</v>
      </c>
      <c r="U158" s="112">
        <f t="shared" si="1458"/>
        <v>2089.65</v>
      </c>
      <c r="V158" s="112">
        <f t="shared" ref="V158:W158" si="1459">V157</f>
        <v>2206.6800000000003</v>
      </c>
      <c r="W158" s="112">
        <f t="shared" si="1459"/>
        <v>2183.6</v>
      </c>
      <c r="X158" s="112">
        <f t="shared" si="1455"/>
        <v>2247.7000000000003</v>
      </c>
      <c r="Y158" s="112">
        <f t="shared" si="1455"/>
        <v>2108.7400000000002</v>
      </c>
      <c r="Z158" s="112">
        <f t="shared" si="1455"/>
        <v>2127.92</v>
      </c>
      <c r="AA158" s="112">
        <f t="shared" si="1455"/>
        <v>2154.7400000000002</v>
      </c>
      <c r="AB158" s="112">
        <f t="shared" si="1455"/>
        <v>4439.6172456447466</v>
      </c>
      <c r="AC158" s="112">
        <f t="shared" si="1455"/>
        <v>0</v>
      </c>
      <c r="AD158" s="112">
        <f t="shared" si="1455"/>
        <v>2224.1283043388112</v>
      </c>
      <c r="AE158" s="112">
        <f t="shared" si="1455"/>
        <v>2223.4797887322156</v>
      </c>
      <c r="AF158" s="112">
        <f t="shared" si="1455"/>
        <v>2224.9572930218942</v>
      </c>
      <c r="AG158" s="112">
        <f t="shared" si="1455"/>
        <v>2223.674963217506</v>
      </c>
      <c r="AH158" s="112">
        <f t="shared" si="1455"/>
        <v>2223.1767498782228</v>
      </c>
      <c r="AI158" s="112">
        <f t="shared" si="1455"/>
        <v>2222.7191921190561</v>
      </c>
      <c r="AJ158" s="112">
        <f t="shared" si="1455"/>
        <v>2223.6893818846174</v>
      </c>
      <c r="AK158" s="112">
        <f t="shared" si="1455"/>
        <v>2223.6893818846174</v>
      </c>
      <c r="AL158" s="112">
        <f t="shared" si="1455"/>
        <v>2223.6266786768761</v>
      </c>
      <c r="AM158" s="112">
        <f t="shared" si="1455"/>
        <v>2223.6476629546851</v>
      </c>
      <c r="AN158" s="112">
        <f t="shared" si="1455"/>
        <v>4446.9211458901655</v>
      </c>
      <c r="AO158" s="112">
        <f t="shared" ref="AO158:AZ158" si="1460">AO157</f>
        <v>0</v>
      </c>
      <c r="AP158" s="112">
        <f t="shared" si="1460"/>
        <v>2290.174606673188</v>
      </c>
      <c r="AQ158" s="112">
        <f t="shared" si="1460"/>
        <v>2290.2846833148046</v>
      </c>
      <c r="AR158" s="112">
        <f t="shared" si="1460"/>
        <v>2290.2683405348675</v>
      </c>
      <c r="AS158" s="112">
        <f t="shared" si="1460"/>
        <v>2290.2497618597918</v>
      </c>
      <c r="AT158" s="112">
        <f t="shared" si="1460"/>
        <v>2290.2377229303829</v>
      </c>
      <c r="AU158" s="112">
        <f t="shared" si="1460"/>
        <v>2290.2210278376642</v>
      </c>
      <c r="AV158" s="112">
        <f t="shared" si="1460"/>
        <v>2290.2393571917828</v>
      </c>
      <c r="AW158" s="112">
        <f t="shared" si="1460"/>
        <v>2290.2393571917828</v>
      </c>
      <c r="AX158" s="112">
        <f t="shared" si="1460"/>
        <v>2290.248607265868</v>
      </c>
      <c r="AY158" s="112">
        <f t="shared" si="1460"/>
        <v>2290.2434535445914</v>
      </c>
      <c r="AZ158" s="112">
        <f t="shared" si="1460"/>
        <v>4580.4797965205325</v>
      </c>
      <c r="BA158" s="112">
        <f t="shared" ref="BA158:BX158" si="1461">BA157</f>
        <v>0</v>
      </c>
      <c r="BB158" s="112">
        <f t="shared" si="1461"/>
        <v>2358.945963934113</v>
      </c>
      <c r="BC158" s="112">
        <f t="shared" si="1461"/>
        <v>2358.9485678119677</v>
      </c>
      <c r="BD158" s="112">
        <f t="shared" si="1461"/>
        <v>2358.9488553338419</v>
      </c>
      <c r="BE158" s="112">
        <f t="shared" si="1461"/>
        <v>2358.949182192277</v>
      </c>
      <c r="BF158" s="112">
        <f t="shared" si="1461"/>
        <v>2358.9482154378429</v>
      </c>
      <c r="BG158" s="112">
        <f t="shared" si="1461"/>
        <v>2358.947859953495</v>
      </c>
      <c r="BH158" s="112">
        <f t="shared" si="1461"/>
        <v>2358.9481074439227</v>
      </c>
      <c r="BI158" s="112">
        <f t="shared" si="1461"/>
        <v>2358.9481074439227</v>
      </c>
      <c r="BJ158" s="112">
        <f t="shared" si="1461"/>
        <v>2358.9484136596107</v>
      </c>
      <c r="BK158" s="112">
        <f t="shared" si="1461"/>
        <v>2358.9483916378445</v>
      </c>
      <c r="BL158" s="112">
        <f t="shared" si="1461"/>
        <v>4717.8966507911191</v>
      </c>
      <c r="BM158" s="112">
        <f t="shared" si="1461"/>
        <v>0</v>
      </c>
      <c r="BN158" s="112">
        <f t="shared" si="1461"/>
        <v>2429.7166652654018</v>
      </c>
      <c r="BO158" s="112">
        <f t="shared" si="1461"/>
        <v>2429.7167178277496</v>
      </c>
      <c r="BP158" s="112">
        <f t="shared" si="1461"/>
        <v>2429.7167415048743</v>
      </c>
      <c r="BQ158" s="112">
        <f t="shared" si="1461"/>
        <v>2429.7167684213255</v>
      </c>
      <c r="BR158" s="112">
        <f t="shared" si="1461"/>
        <v>2429.7167547067083</v>
      </c>
      <c r="BS158" s="112">
        <f t="shared" si="1461"/>
        <v>2429.7167423038732</v>
      </c>
      <c r="BT158" s="112">
        <f t="shared" si="1461"/>
        <v>2429.7167316716559</v>
      </c>
      <c r="BU158" s="112">
        <f t="shared" si="1461"/>
        <v>2429.7167316716559</v>
      </c>
      <c r="BV158" s="112">
        <f t="shared" si="1461"/>
        <v>2429.7167411582636</v>
      </c>
      <c r="BW158" s="112">
        <f t="shared" si="1461"/>
        <v>2429.7167444911943</v>
      </c>
      <c r="BX158" s="112">
        <f t="shared" si="1461"/>
        <v>4859.433489835621</v>
      </c>
      <c r="BY158" s="8"/>
      <c r="BZ158" s="385">
        <f t="shared" si="1077"/>
        <v>2154.7400000000002</v>
      </c>
      <c r="CA158" s="385">
        <f t="shared" si="1078"/>
        <v>21551.890000000003</v>
      </c>
      <c r="CB158" s="97"/>
      <c r="CC158" s="385">
        <f t="shared" si="950"/>
        <v>0</v>
      </c>
      <c r="CD158" s="385">
        <f t="shared" si="1198"/>
        <v>0</v>
      </c>
      <c r="CE158" s="385">
        <f t="shared" si="1198"/>
        <v>30640.28</v>
      </c>
      <c r="CF158" s="385">
        <f t="shared" si="1198"/>
        <v>25991.507245644749</v>
      </c>
      <c r="CG158" s="385">
        <f t="shared" si="1198"/>
        <v>26683.71054259867</v>
      </c>
      <c r="CH158" s="385">
        <f t="shared" si="1198"/>
        <v>27482.886714865257</v>
      </c>
      <c r="CI158" s="385">
        <f t="shared" si="1198"/>
        <v>28307.378315639959</v>
      </c>
      <c r="CJ158" s="385">
        <f t="shared" si="1198"/>
        <v>29156.600828858322</v>
      </c>
      <c r="CL158" s="13"/>
      <c r="CM158" s="13"/>
    </row>
    <row r="159" spans="1:91" x14ac:dyDescent="0.3">
      <c r="A159" s="97" t="str">
        <f>'DCS Detail'!A159</f>
        <v xml:space="preserve">   241.30 Transportation Expenses</v>
      </c>
      <c r="B159" s="106" t="str">
        <f>IF('DCS Detail'!$B159="","",'DCS Detail'!$B159)</f>
        <v>Misc.</v>
      </c>
      <c r="C159" s="106"/>
      <c r="D159" s="106"/>
      <c r="E159" s="18">
        <v>0</v>
      </c>
      <c r="F159" s="18">
        <v>0</v>
      </c>
      <c r="G159" s="18">
        <v>337.88</v>
      </c>
      <c r="H159" s="18">
        <v>0</v>
      </c>
      <c r="I159" s="18">
        <v>116.06</v>
      </c>
      <c r="J159" s="18">
        <v>0</v>
      </c>
      <c r="K159" s="18">
        <v>460.81</v>
      </c>
      <c r="L159" s="18">
        <v>210.91000000000008</v>
      </c>
      <c r="M159" s="18">
        <v>849.13</v>
      </c>
      <c r="N159" s="18">
        <v>0</v>
      </c>
      <c r="O159" s="18">
        <v>116.6</v>
      </c>
      <c r="P159" s="18">
        <v>158.09</v>
      </c>
      <c r="Q159" s="18">
        <v>187</v>
      </c>
      <c r="R159" s="18">
        <v>198</v>
      </c>
      <c r="S159" s="18">
        <v>288.16000000000003</v>
      </c>
      <c r="T159" s="18">
        <v>192</v>
      </c>
      <c r="U159" s="18">
        <v>218.63</v>
      </c>
      <c r="V159" s="18">
        <v>124.94</v>
      </c>
      <c r="W159" s="18">
        <v>392.85</v>
      </c>
      <c r="X159" s="18">
        <v>195.69</v>
      </c>
      <c r="Y159" s="18">
        <v>286</v>
      </c>
      <c r="Z159" s="18">
        <v>105.25</v>
      </c>
      <c r="AA159" s="442">
        <v>298.58</v>
      </c>
      <c r="AB159" s="120">
        <f t="shared" ref="AB159:BD159" si="1462">P159*(1+AB$263)</f>
        <v>162.83270000000002</v>
      </c>
      <c r="AC159" s="120">
        <f t="shared" si="1462"/>
        <v>192.61</v>
      </c>
      <c r="AD159" s="120">
        <f t="shared" si="1462"/>
        <v>203.94</v>
      </c>
      <c r="AE159" s="120">
        <f t="shared" si="1462"/>
        <v>296.80480000000006</v>
      </c>
      <c r="AF159" s="120">
        <f t="shared" si="1462"/>
        <v>197.76</v>
      </c>
      <c r="AG159" s="120">
        <f t="shared" si="1462"/>
        <v>225.18889999999999</v>
      </c>
      <c r="AH159" s="120">
        <f t="shared" si="1462"/>
        <v>128.68819999999999</v>
      </c>
      <c r="AI159" s="120">
        <f t="shared" si="1462"/>
        <v>404.63550000000004</v>
      </c>
      <c r="AJ159" s="120">
        <f t="shared" si="1462"/>
        <v>201.5607</v>
      </c>
      <c r="AK159" s="120">
        <f t="shared" si="1462"/>
        <v>294.58</v>
      </c>
      <c r="AL159" s="120">
        <f t="shared" si="1462"/>
        <v>108.4075</v>
      </c>
      <c r="AM159" s="120">
        <f t="shared" si="1462"/>
        <v>307.53739999999999</v>
      </c>
      <c r="AN159" s="120">
        <f t="shared" si="1462"/>
        <v>167.71768100000003</v>
      </c>
      <c r="AO159" s="120">
        <f t="shared" si="1462"/>
        <v>198.38830000000002</v>
      </c>
      <c r="AP159" s="120">
        <f t="shared" si="1462"/>
        <v>210.0582</v>
      </c>
      <c r="AQ159" s="120">
        <f t="shared" si="1462"/>
        <v>305.70894400000009</v>
      </c>
      <c r="AR159" s="120">
        <f t="shared" si="1462"/>
        <v>203.69280000000001</v>
      </c>
      <c r="AS159" s="120">
        <f t="shared" si="1462"/>
        <v>231.94456700000001</v>
      </c>
      <c r="AT159" s="120">
        <f t="shared" si="1462"/>
        <v>132.548846</v>
      </c>
      <c r="AU159" s="120">
        <f t="shared" si="1462"/>
        <v>416.77456500000005</v>
      </c>
      <c r="AV159" s="120">
        <f t="shared" si="1462"/>
        <v>207.60752099999999</v>
      </c>
      <c r="AW159" s="120">
        <f t="shared" si="1462"/>
        <v>303.41739999999999</v>
      </c>
      <c r="AX159" s="120">
        <f t="shared" si="1462"/>
        <v>111.65972500000001</v>
      </c>
      <c r="AY159" s="120">
        <f t="shared" si="1462"/>
        <v>316.76352200000002</v>
      </c>
      <c r="AZ159" s="120">
        <f t="shared" si="1462"/>
        <v>172.74921143000003</v>
      </c>
      <c r="BA159" s="120">
        <f t="shared" si="1462"/>
        <v>204.33994900000002</v>
      </c>
      <c r="BB159" s="120">
        <f t="shared" si="1462"/>
        <v>216.35994600000001</v>
      </c>
      <c r="BC159" s="120">
        <f t="shared" si="1462"/>
        <v>314.88021232000011</v>
      </c>
      <c r="BD159" s="120">
        <f t="shared" si="1462"/>
        <v>209.803584</v>
      </c>
      <c r="BE159" s="120">
        <f t="shared" ref="BE159:BX159" si="1463">AS159*(1+BE$263)</f>
        <v>238.90290401000001</v>
      </c>
      <c r="BF159" s="120">
        <f t="shared" si="1463"/>
        <v>136.52531138000001</v>
      </c>
      <c r="BG159" s="120">
        <f t="shared" si="1463"/>
        <v>429.27780195000008</v>
      </c>
      <c r="BH159" s="120">
        <f t="shared" si="1463"/>
        <v>213.83574662999999</v>
      </c>
      <c r="BI159" s="120">
        <f t="shared" si="1463"/>
        <v>312.51992200000001</v>
      </c>
      <c r="BJ159" s="120">
        <f t="shared" si="1463"/>
        <v>115.00951675000002</v>
      </c>
      <c r="BK159" s="120">
        <f t="shared" si="1463"/>
        <v>326.26642766000003</v>
      </c>
      <c r="BL159" s="120">
        <f t="shared" si="1463"/>
        <v>177.93168777290003</v>
      </c>
      <c r="BM159" s="120">
        <f t="shared" si="1463"/>
        <v>210.47014747000003</v>
      </c>
      <c r="BN159" s="120">
        <f t="shared" si="1463"/>
        <v>222.85074438000001</v>
      </c>
      <c r="BO159" s="120">
        <f t="shared" si="1463"/>
        <v>324.32661868960014</v>
      </c>
      <c r="BP159" s="120">
        <f t="shared" si="1463"/>
        <v>216.09769152000001</v>
      </c>
      <c r="BQ159" s="120">
        <f t="shared" si="1463"/>
        <v>246.06999113030002</v>
      </c>
      <c r="BR159" s="120">
        <f t="shared" si="1463"/>
        <v>140.6210707214</v>
      </c>
      <c r="BS159" s="120">
        <f t="shared" si="1463"/>
        <v>442.15613600850008</v>
      </c>
      <c r="BT159" s="120">
        <f t="shared" si="1463"/>
        <v>220.2508190289</v>
      </c>
      <c r="BU159" s="120">
        <f t="shared" si="1463"/>
        <v>321.89551965999999</v>
      </c>
      <c r="BV159" s="120">
        <f t="shared" si="1463"/>
        <v>118.45980225250003</v>
      </c>
      <c r="BW159" s="120">
        <f t="shared" si="1463"/>
        <v>336.05442048980007</v>
      </c>
      <c r="BX159" s="120">
        <f t="shared" si="1463"/>
        <v>183.26963840608704</v>
      </c>
      <c r="BY159" s="8"/>
      <c r="BZ159" s="72">
        <f t="shared" si="1077"/>
        <v>298.58</v>
      </c>
      <c r="CA159" s="72">
        <f t="shared" si="1078"/>
        <v>2487.1</v>
      </c>
      <c r="CB159" s="97"/>
      <c r="CC159" s="72">
        <f t="shared" si="950"/>
        <v>0</v>
      </c>
      <c r="CD159" s="72">
        <f t="shared" si="1198"/>
        <v>0</v>
      </c>
      <c r="CE159" s="72">
        <f t="shared" si="1198"/>
        <v>2249.48</v>
      </c>
      <c r="CF159" s="72">
        <f t="shared" si="1198"/>
        <v>2649.9326999999998</v>
      </c>
      <c r="CG159" s="72">
        <f t="shared" si="1198"/>
        <v>2729.4306810000003</v>
      </c>
      <c r="CH159" s="72">
        <f t="shared" si="1198"/>
        <v>2811.3136014299998</v>
      </c>
      <c r="CI159" s="72">
        <f t="shared" si="1198"/>
        <v>2895.6530094729001</v>
      </c>
      <c r="CJ159" s="72">
        <f t="shared" si="1198"/>
        <v>2982.5225997570874</v>
      </c>
      <c r="CL159" s="13"/>
      <c r="CM159" s="13"/>
    </row>
    <row r="160" spans="1:91" x14ac:dyDescent="0.3">
      <c r="A160" s="97" t="str">
        <f>'DCS Detail'!A160</f>
        <v xml:space="preserve">   639 Part B</v>
      </c>
      <c r="B160" s="106" t="str">
        <f>IF('DCS Detail'!$B160="","",'DCS Detail'!$B160)</f>
        <v/>
      </c>
      <c r="C160" s="106"/>
      <c r="D160" s="106"/>
      <c r="E160" s="18">
        <v>0</v>
      </c>
      <c r="F160" s="18">
        <v>0</v>
      </c>
      <c r="G160" s="18">
        <v>0</v>
      </c>
      <c r="H160" s="18">
        <v>0</v>
      </c>
      <c r="I160" s="18">
        <v>0</v>
      </c>
      <c r="J160" s="18">
        <v>0</v>
      </c>
      <c r="K160" s="18">
        <v>0</v>
      </c>
      <c r="L160" s="18">
        <v>0</v>
      </c>
      <c r="M160" s="18">
        <v>0</v>
      </c>
      <c r="N160" s="18">
        <v>0</v>
      </c>
      <c r="O160" s="18">
        <v>0</v>
      </c>
      <c r="P160" s="18">
        <v>0</v>
      </c>
      <c r="Q160" s="18">
        <v>0</v>
      </c>
      <c r="R160" s="18">
        <v>0</v>
      </c>
      <c r="S160" s="18">
        <v>0</v>
      </c>
      <c r="T160" s="18">
        <v>0</v>
      </c>
      <c r="U160" s="18">
        <v>0</v>
      </c>
      <c r="V160" s="18">
        <v>0</v>
      </c>
      <c r="W160" s="18">
        <v>0</v>
      </c>
      <c r="X160" s="18">
        <v>0</v>
      </c>
      <c r="Y160" s="18">
        <v>0</v>
      </c>
      <c r="Z160" s="18">
        <v>0</v>
      </c>
      <c r="AA160" s="146">
        <v>0</v>
      </c>
      <c r="AB160" s="18">
        <v>0</v>
      </c>
      <c r="AC160" s="18">
        <v>0</v>
      </c>
      <c r="AD160" s="18">
        <v>0</v>
      </c>
      <c r="AE160" s="18">
        <v>0</v>
      </c>
      <c r="AF160" s="18">
        <v>0</v>
      </c>
      <c r="AG160" s="18">
        <v>0</v>
      </c>
      <c r="AH160" s="18">
        <v>0</v>
      </c>
      <c r="AI160" s="18">
        <v>0</v>
      </c>
      <c r="AJ160" s="18">
        <v>0</v>
      </c>
      <c r="AK160" s="18">
        <v>0</v>
      </c>
      <c r="AL160" s="18">
        <v>0</v>
      </c>
      <c r="AM160" s="18">
        <v>0</v>
      </c>
      <c r="AN160" s="18">
        <v>0</v>
      </c>
      <c r="AO160" s="18">
        <v>0</v>
      </c>
      <c r="AP160" s="18">
        <v>0</v>
      </c>
      <c r="AQ160" s="18">
        <v>0</v>
      </c>
      <c r="AR160" s="18">
        <v>0</v>
      </c>
      <c r="AS160" s="18">
        <v>0</v>
      </c>
      <c r="AT160" s="18">
        <v>0</v>
      </c>
      <c r="AU160" s="18">
        <v>0</v>
      </c>
      <c r="AV160" s="18">
        <v>0</v>
      </c>
      <c r="AW160" s="18">
        <v>0</v>
      </c>
      <c r="AX160" s="18">
        <v>0</v>
      </c>
      <c r="AY160" s="18">
        <v>0</v>
      </c>
      <c r="AZ160" s="18">
        <v>0</v>
      </c>
      <c r="BA160" s="18">
        <v>0</v>
      </c>
      <c r="BB160" s="18">
        <v>0</v>
      </c>
      <c r="BC160" s="18">
        <v>0</v>
      </c>
      <c r="BD160" s="18">
        <v>0</v>
      </c>
      <c r="BE160" s="18">
        <v>0</v>
      </c>
      <c r="BF160" s="18">
        <v>0</v>
      </c>
      <c r="BG160" s="18">
        <v>0</v>
      </c>
      <c r="BH160" s="18">
        <v>0</v>
      </c>
      <c r="BI160" s="18">
        <v>0</v>
      </c>
      <c r="BJ160" s="18">
        <v>0</v>
      </c>
      <c r="BK160" s="18">
        <v>0</v>
      </c>
      <c r="BL160" s="18">
        <v>0</v>
      </c>
      <c r="BM160" s="18">
        <v>0</v>
      </c>
      <c r="BN160" s="18">
        <v>0</v>
      </c>
      <c r="BO160" s="18">
        <v>0</v>
      </c>
      <c r="BP160" s="18">
        <v>0</v>
      </c>
      <c r="BQ160" s="18">
        <v>0</v>
      </c>
      <c r="BR160" s="18">
        <v>0</v>
      </c>
      <c r="BS160" s="18">
        <v>0</v>
      </c>
      <c r="BT160" s="18">
        <v>0</v>
      </c>
      <c r="BU160" s="18">
        <v>0</v>
      </c>
      <c r="BV160" s="18">
        <v>0</v>
      </c>
      <c r="BW160" s="18">
        <v>0</v>
      </c>
      <c r="BX160" s="18">
        <v>0</v>
      </c>
      <c r="BY160" s="8"/>
      <c r="BZ160" s="72">
        <f t="shared" si="1077"/>
        <v>0</v>
      </c>
      <c r="CA160" s="72">
        <f t="shared" si="1078"/>
        <v>0</v>
      </c>
      <c r="CB160" s="97"/>
      <c r="CC160" s="72">
        <f t="shared" si="950"/>
        <v>0</v>
      </c>
      <c r="CD160" s="72">
        <f t="shared" ref="CD160:CJ173" si="1464">SUMIF($C$3:$BY$3,CD$3,$C160:$BY160)</f>
        <v>0</v>
      </c>
      <c r="CE160" s="72">
        <f t="shared" si="1464"/>
        <v>0</v>
      </c>
      <c r="CF160" s="72">
        <f t="shared" si="1464"/>
        <v>0</v>
      </c>
      <c r="CG160" s="72">
        <f t="shared" si="1464"/>
        <v>0</v>
      </c>
      <c r="CH160" s="72">
        <f t="shared" si="1464"/>
        <v>0</v>
      </c>
      <c r="CI160" s="72">
        <f t="shared" si="1464"/>
        <v>0</v>
      </c>
      <c r="CJ160" s="72">
        <f t="shared" si="1464"/>
        <v>0</v>
      </c>
      <c r="CL160" s="13"/>
      <c r="CM160" s="13"/>
    </row>
    <row r="161" spans="1:91" x14ac:dyDescent="0.3">
      <c r="A161" s="97" t="str">
        <f>'DCS Detail'!A161</f>
        <v xml:space="preserve">      231.4 PERS</v>
      </c>
      <c r="B161" s="106" t="str">
        <f>IF('DCS Detail'!$B161="","",'DCS Detail'!$B161)</f>
        <v>Misc.</v>
      </c>
      <c r="C161" s="139"/>
      <c r="D161" s="139"/>
      <c r="E161" s="121">
        <v>0</v>
      </c>
      <c r="F161" s="121">
        <v>0</v>
      </c>
      <c r="G161" s="121">
        <v>0</v>
      </c>
      <c r="H161" s="121">
        <v>0</v>
      </c>
      <c r="I161" s="121">
        <v>0</v>
      </c>
      <c r="J161" s="121">
        <v>0</v>
      </c>
      <c r="K161" s="121">
        <v>0</v>
      </c>
      <c r="L161" s="121">
        <v>0</v>
      </c>
      <c r="M161" s="121">
        <v>0</v>
      </c>
      <c r="N161" s="121">
        <v>0</v>
      </c>
      <c r="O161" s="121">
        <v>0</v>
      </c>
      <c r="P161" s="121">
        <v>10913.32</v>
      </c>
      <c r="Q161" s="121">
        <v>0</v>
      </c>
      <c r="R161" s="121">
        <v>0</v>
      </c>
      <c r="S161" s="121">
        <v>0</v>
      </c>
      <c r="T161" s="121">
        <v>0</v>
      </c>
      <c r="U161" s="121">
        <v>0</v>
      </c>
      <c r="V161" s="121">
        <v>0</v>
      </c>
      <c r="W161" s="121">
        <v>0</v>
      </c>
      <c r="X161" s="121">
        <v>0</v>
      </c>
      <c r="Y161" s="121">
        <v>0</v>
      </c>
      <c r="Z161" s="121">
        <v>0</v>
      </c>
      <c r="AA161" s="121">
        <v>0</v>
      </c>
      <c r="AB161" s="121">
        <v>0</v>
      </c>
      <c r="AC161" s="121">
        <v>0</v>
      </c>
      <c r="AD161" s="121">
        <v>0</v>
      </c>
      <c r="AE161" s="121">
        <v>0</v>
      </c>
      <c r="AF161" s="121">
        <v>0</v>
      </c>
      <c r="AG161" s="121">
        <v>0</v>
      </c>
      <c r="AH161" s="121">
        <v>0</v>
      </c>
      <c r="AI161" s="121">
        <v>0</v>
      </c>
      <c r="AJ161" s="121">
        <v>0</v>
      </c>
      <c r="AK161" s="121">
        <v>0</v>
      </c>
      <c r="AL161" s="121">
        <v>0</v>
      </c>
      <c r="AM161" s="121">
        <v>0</v>
      </c>
      <c r="AN161" s="121">
        <v>0</v>
      </c>
      <c r="AO161" s="121">
        <v>0</v>
      </c>
      <c r="AP161" s="121">
        <v>0</v>
      </c>
      <c r="AQ161" s="121">
        <v>0</v>
      </c>
      <c r="AR161" s="121">
        <v>0</v>
      </c>
      <c r="AS161" s="121">
        <v>0</v>
      </c>
      <c r="AT161" s="121">
        <v>0</v>
      </c>
      <c r="AU161" s="121">
        <v>0</v>
      </c>
      <c r="AV161" s="121">
        <v>0</v>
      </c>
      <c r="AW161" s="121">
        <v>0</v>
      </c>
      <c r="AX161" s="121">
        <v>0</v>
      </c>
      <c r="AY161" s="121">
        <v>0</v>
      </c>
      <c r="AZ161" s="121">
        <v>0</v>
      </c>
      <c r="BA161" s="121">
        <v>0</v>
      </c>
      <c r="BB161" s="121">
        <v>0</v>
      </c>
      <c r="BC161" s="121">
        <v>0</v>
      </c>
      <c r="BD161" s="121">
        <v>0</v>
      </c>
      <c r="BE161" s="121">
        <v>0</v>
      </c>
      <c r="BF161" s="121">
        <v>0</v>
      </c>
      <c r="BG161" s="121">
        <v>0</v>
      </c>
      <c r="BH161" s="121">
        <v>0</v>
      </c>
      <c r="BI161" s="121">
        <v>0</v>
      </c>
      <c r="BJ161" s="121">
        <v>0</v>
      </c>
      <c r="BK161" s="121">
        <v>0</v>
      </c>
      <c r="BL161" s="121">
        <v>0</v>
      </c>
      <c r="BM161" s="121">
        <v>0</v>
      </c>
      <c r="BN161" s="121">
        <v>0</v>
      </c>
      <c r="BO161" s="121">
        <v>0</v>
      </c>
      <c r="BP161" s="121">
        <v>0</v>
      </c>
      <c r="BQ161" s="121">
        <v>0</v>
      </c>
      <c r="BR161" s="121">
        <v>0</v>
      </c>
      <c r="BS161" s="121">
        <v>0</v>
      </c>
      <c r="BT161" s="121">
        <v>0</v>
      </c>
      <c r="BU161" s="121">
        <v>0</v>
      </c>
      <c r="BV161" s="121">
        <v>0</v>
      </c>
      <c r="BW161" s="121">
        <v>0</v>
      </c>
      <c r="BX161" s="121">
        <v>0</v>
      </c>
      <c r="BY161" s="8"/>
      <c r="BZ161" s="73">
        <f t="shared" si="1077"/>
        <v>0</v>
      </c>
      <c r="CA161" s="73">
        <f t="shared" si="1078"/>
        <v>0</v>
      </c>
      <c r="CB161" s="97"/>
      <c r="CC161" s="73">
        <f t="shared" si="950"/>
        <v>0</v>
      </c>
      <c r="CD161" s="73">
        <f t="shared" si="1464"/>
        <v>0</v>
      </c>
      <c r="CE161" s="73">
        <f t="shared" si="1464"/>
        <v>10913.32</v>
      </c>
      <c r="CF161" s="73">
        <f t="shared" si="1464"/>
        <v>0</v>
      </c>
      <c r="CG161" s="73">
        <f t="shared" si="1464"/>
        <v>0</v>
      </c>
      <c r="CH161" s="73">
        <f t="shared" si="1464"/>
        <v>0</v>
      </c>
      <c r="CI161" s="73">
        <f t="shared" si="1464"/>
        <v>0</v>
      </c>
      <c r="CJ161" s="73">
        <f t="shared" si="1464"/>
        <v>0</v>
      </c>
      <c r="CL161" s="13"/>
      <c r="CM161" s="13"/>
    </row>
    <row r="162" spans="1:91" x14ac:dyDescent="0.3">
      <c r="A162" s="97" t="str">
        <f>'DCS Detail'!A162</f>
        <v xml:space="preserve">   Total 639 Part B</v>
      </c>
      <c r="B162" s="106" t="str">
        <f>IF('DCS Detail'!$B162="","",'DCS Detail'!$B162)</f>
        <v/>
      </c>
      <c r="C162" s="106"/>
      <c r="D162" s="106"/>
      <c r="E162" s="36">
        <f>SUM(E160:E161)</f>
        <v>0</v>
      </c>
      <c r="F162" s="36">
        <f t="shared" ref="F162:Y162" si="1465">SUM(F160:F161)</f>
        <v>0</v>
      </c>
      <c r="G162" s="36">
        <f t="shared" si="1465"/>
        <v>0</v>
      </c>
      <c r="H162" s="36">
        <f t="shared" si="1465"/>
        <v>0</v>
      </c>
      <c r="I162" s="36">
        <f t="shared" si="1465"/>
        <v>0</v>
      </c>
      <c r="J162" s="36">
        <f t="shared" si="1465"/>
        <v>0</v>
      </c>
      <c r="K162" s="36">
        <f t="shared" si="1465"/>
        <v>0</v>
      </c>
      <c r="L162" s="36">
        <f t="shared" si="1465"/>
        <v>0</v>
      </c>
      <c r="M162" s="36">
        <f t="shared" si="1465"/>
        <v>0</v>
      </c>
      <c r="N162" s="36">
        <f t="shared" si="1465"/>
        <v>0</v>
      </c>
      <c r="O162" s="36">
        <f t="shared" si="1465"/>
        <v>0</v>
      </c>
      <c r="P162" s="36">
        <f t="shared" si="1465"/>
        <v>10913.32</v>
      </c>
      <c r="Q162" s="36">
        <f t="shared" si="1465"/>
        <v>0</v>
      </c>
      <c r="R162" s="36">
        <f t="shared" si="1465"/>
        <v>0</v>
      </c>
      <c r="S162" s="36">
        <f t="shared" si="1465"/>
        <v>0</v>
      </c>
      <c r="T162" s="36">
        <f t="shared" si="1465"/>
        <v>0</v>
      </c>
      <c r="U162" s="36">
        <f t="shared" si="1465"/>
        <v>0</v>
      </c>
      <c r="V162" s="36">
        <f t="shared" si="1465"/>
        <v>0</v>
      </c>
      <c r="W162" s="36">
        <f t="shared" si="1465"/>
        <v>0</v>
      </c>
      <c r="X162" s="36">
        <v>0</v>
      </c>
      <c r="Y162" s="36">
        <f t="shared" si="1465"/>
        <v>0</v>
      </c>
      <c r="Z162" s="36">
        <f t="shared" ref="Z162:AZ162" si="1466">SUM(Z160:Z161)</f>
        <v>0</v>
      </c>
      <c r="AA162" s="36">
        <f t="shared" si="1466"/>
        <v>0</v>
      </c>
      <c r="AB162" s="36">
        <f t="shared" si="1466"/>
        <v>0</v>
      </c>
      <c r="AC162" s="36">
        <f t="shared" si="1466"/>
        <v>0</v>
      </c>
      <c r="AD162" s="36">
        <f t="shared" si="1466"/>
        <v>0</v>
      </c>
      <c r="AE162" s="36">
        <f t="shared" si="1466"/>
        <v>0</v>
      </c>
      <c r="AF162" s="36">
        <f t="shared" si="1466"/>
        <v>0</v>
      </c>
      <c r="AG162" s="36">
        <f t="shared" si="1466"/>
        <v>0</v>
      </c>
      <c r="AH162" s="36">
        <f t="shared" si="1466"/>
        <v>0</v>
      </c>
      <c r="AI162" s="36">
        <f t="shared" si="1466"/>
        <v>0</v>
      </c>
      <c r="AJ162" s="36">
        <f t="shared" si="1466"/>
        <v>0</v>
      </c>
      <c r="AK162" s="36">
        <f t="shared" si="1466"/>
        <v>0</v>
      </c>
      <c r="AL162" s="36">
        <f t="shared" si="1466"/>
        <v>0</v>
      </c>
      <c r="AM162" s="36">
        <f t="shared" si="1466"/>
        <v>0</v>
      </c>
      <c r="AN162" s="36">
        <f t="shared" si="1466"/>
        <v>0</v>
      </c>
      <c r="AO162" s="36">
        <f t="shared" si="1466"/>
        <v>0</v>
      </c>
      <c r="AP162" s="36">
        <f t="shared" si="1466"/>
        <v>0</v>
      </c>
      <c r="AQ162" s="36">
        <f t="shared" si="1466"/>
        <v>0</v>
      </c>
      <c r="AR162" s="36">
        <f t="shared" si="1466"/>
        <v>0</v>
      </c>
      <c r="AS162" s="36">
        <f t="shared" si="1466"/>
        <v>0</v>
      </c>
      <c r="AT162" s="36">
        <f t="shared" si="1466"/>
        <v>0</v>
      </c>
      <c r="AU162" s="36">
        <f t="shared" si="1466"/>
        <v>0</v>
      </c>
      <c r="AV162" s="36">
        <f t="shared" si="1466"/>
        <v>0</v>
      </c>
      <c r="AW162" s="36">
        <f t="shared" si="1466"/>
        <v>0</v>
      </c>
      <c r="AX162" s="36">
        <f t="shared" si="1466"/>
        <v>0</v>
      </c>
      <c r="AY162" s="36">
        <f t="shared" si="1466"/>
        <v>0</v>
      </c>
      <c r="AZ162" s="36">
        <f t="shared" si="1466"/>
        <v>0</v>
      </c>
      <c r="BA162" s="36">
        <f t="shared" ref="BA162:BX162" si="1467">SUM(BA160:BA161)</f>
        <v>0</v>
      </c>
      <c r="BB162" s="36">
        <f t="shared" si="1467"/>
        <v>0</v>
      </c>
      <c r="BC162" s="36">
        <f t="shared" si="1467"/>
        <v>0</v>
      </c>
      <c r="BD162" s="36">
        <f t="shared" si="1467"/>
        <v>0</v>
      </c>
      <c r="BE162" s="36">
        <f t="shared" si="1467"/>
        <v>0</v>
      </c>
      <c r="BF162" s="36">
        <f t="shared" si="1467"/>
        <v>0</v>
      </c>
      <c r="BG162" s="36">
        <f t="shared" si="1467"/>
        <v>0</v>
      </c>
      <c r="BH162" s="36">
        <f t="shared" si="1467"/>
        <v>0</v>
      </c>
      <c r="BI162" s="36">
        <f t="shared" si="1467"/>
        <v>0</v>
      </c>
      <c r="BJ162" s="36">
        <f t="shared" si="1467"/>
        <v>0</v>
      </c>
      <c r="BK162" s="36">
        <f t="shared" si="1467"/>
        <v>0</v>
      </c>
      <c r="BL162" s="36">
        <f t="shared" si="1467"/>
        <v>0</v>
      </c>
      <c r="BM162" s="36">
        <f t="shared" si="1467"/>
        <v>0</v>
      </c>
      <c r="BN162" s="36">
        <f t="shared" si="1467"/>
        <v>0</v>
      </c>
      <c r="BO162" s="36">
        <f t="shared" si="1467"/>
        <v>0</v>
      </c>
      <c r="BP162" s="36">
        <f t="shared" si="1467"/>
        <v>0</v>
      </c>
      <c r="BQ162" s="36">
        <f t="shared" si="1467"/>
        <v>0</v>
      </c>
      <c r="BR162" s="36">
        <f t="shared" si="1467"/>
        <v>0</v>
      </c>
      <c r="BS162" s="36">
        <f t="shared" si="1467"/>
        <v>0</v>
      </c>
      <c r="BT162" s="36">
        <f t="shared" si="1467"/>
        <v>0</v>
      </c>
      <c r="BU162" s="36">
        <f t="shared" si="1467"/>
        <v>0</v>
      </c>
      <c r="BV162" s="36">
        <f t="shared" si="1467"/>
        <v>0</v>
      </c>
      <c r="BW162" s="36">
        <f t="shared" si="1467"/>
        <v>0</v>
      </c>
      <c r="BX162" s="36">
        <f t="shared" si="1467"/>
        <v>0</v>
      </c>
      <c r="BY162" s="8"/>
      <c r="BZ162" s="72">
        <f t="shared" si="1077"/>
        <v>0</v>
      </c>
      <c r="CA162" s="72">
        <f t="shared" si="1078"/>
        <v>0</v>
      </c>
      <c r="CB162" s="97"/>
      <c r="CC162" s="72">
        <f t="shared" si="950"/>
        <v>0</v>
      </c>
      <c r="CD162" s="72">
        <f t="shared" si="1464"/>
        <v>0</v>
      </c>
      <c r="CE162" s="72">
        <f t="shared" si="1464"/>
        <v>10913.32</v>
      </c>
      <c r="CF162" s="72">
        <f t="shared" si="1464"/>
        <v>0</v>
      </c>
      <c r="CG162" s="72">
        <f t="shared" si="1464"/>
        <v>0</v>
      </c>
      <c r="CH162" s="72">
        <f t="shared" si="1464"/>
        <v>0</v>
      </c>
      <c r="CI162" s="72">
        <f t="shared" si="1464"/>
        <v>0</v>
      </c>
      <c r="CJ162" s="72">
        <f t="shared" si="1464"/>
        <v>0</v>
      </c>
      <c r="CL162" s="13"/>
      <c r="CM162" s="13"/>
    </row>
    <row r="163" spans="1:91" x14ac:dyDescent="0.3">
      <c r="A163" s="97" t="str">
        <f>'DCS Detail'!A163</f>
        <v xml:space="preserve">   312.2 Receiver</v>
      </c>
      <c r="B163" s="106" t="str">
        <f>IF('DCS Detail'!$B163="","",'DCS Detail'!$B163)</f>
        <v>Salaries</v>
      </c>
      <c r="C163" s="106"/>
      <c r="D163" s="106"/>
      <c r="E163" s="18">
        <v>0</v>
      </c>
      <c r="F163" s="18">
        <v>0</v>
      </c>
      <c r="G163" s="18">
        <v>0</v>
      </c>
      <c r="H163" s="18">
        <v>0</v>
      </c>
      <c r="I163" s="18">
        <v>0</v>
      </c>
      <c r="J163" s="18">
        <v>-3300</v>
      </c>
      <c r="K163" s="18">
        <v>0</v>
      </c>
      <c r="L163" s="18">
        <v>0</v>
      </c>
      <c r="M163" s="18">
        <v>0</v>
      </c>
      <c r="N163" s="18">
        <v>0</v>
      </c>
      <c r="O163" s="18">
        <v>0</v>
      </c>
      <c r="P163" s="18">
        <v>0</v>
      </c>
      <c r="Q163" s="18">
        <v>0</v>
      </c>
      <c r="R163" s="18">
        <v>0</v>
      </c>
      <c r="S163" s="18">
        <v>0</v>
      </c>
      <c r="T163" s="18">
        <v>0</v>
      </c>
      <c r="U163" s="18">
        <v>0</v>
      </c>
      <c r="V163" s="18">
        <v>0</v>
      </c>
      <c r="W163" s="18">
        <v>0</v>
      </c>
      <c r="X163" s="18">
        <v>0</v>
      </c>
      <c r="Y163" s="18">
        <v>0</v>
      </c>
      <c r="Z163" s="18">
        <v>0</v>
      </c>
      <c r="AA163" s="146">
        <v>0</v>
      </c>
      <c r="AB163" s="18">
        <v>0</v>
      </c>
      <c r="AC163" s="18">
        <v>0</v>
      </c>
      <c r="AD163" s="18">
        <v>0</v>
      </c>
      <c r="AE163" s="18">
        <v>0</v>
      </c>
      <c r="AF163" s="18">
        <v>0</v>
      </c>
      <c r="AG163" s="18">
        <v>0</v>
      </c>
      <c r="AH163" s="18">
        <v>0</v>
      </c>
      <c r="AI163" s="18">
        <v>0</v>
      </c>
      <c r="AJ163" s="18">
        <v>0</v>
      </c>
      <c r="AK163" s="18">
        <v>0</v>
      </c>
      <c r="AL163" s="18">
        <v>0</v>
      </c>
      <c r="AM163" s="18">
        <v>0</v>
      </c>
      <c r="AN163" s="18">
        <v>0</v>
      </c>
      <c r="AO163" s="18">
        <v>0</v>
      </c>
      <c r="AP163" s="18">
        <v>0</v>
      </c>
      <c r="AQ163" s="18">
        <v>0</v>
      </c>
      <c r="AR163" s="18">
        <v>0</v>
      </c>
      <c r="AS163" s="18">
        <v>0</v>
      </c>
      <c r="AT163" s="18">
        <v>0</v>
      </c>
      <c r="AU163" s="18">
        <v>0</v>
      </c>
      <c r="AV163" s="18">
        <v>0</v>
      </c>
      <c r="AW163" s="18">
        <v>0</v>
      </c>
      <c r="AX163" s="18">
        <v>0</v>
      </c>
      <c r="AY163" s="18">
        <v>0</v>
      </c>
      <c r="AZ163" s="18">
        <v>0</v>
      </c>
      <c r="BA163" s="18">
        <v>0</v>
      </c>
      <c r="BB163" s="18">
        <v>0</v>
      </c>
      <c r="BC163" s="18">
        <v>0</v>
      </c>
      <c r="BD163" s="18">
        <v>0</v>
      </c>
      <c r="BE163" s="18">
        <v>0</v>
      </c>
      <c r="BF163" s="18">
        <v>0</v>
      </c>
      <c r="BG163" s="18">
        <v>0</v>
      </c>
      <c r="BH163" s="18">
        <v>0</v>
      </c>
      <c r="BI163" s="18">
        <v>0</v>
      </c>
      <c r="BJ163" s="18">
        <v>0</v>
      </c>
      <c r="BK163" s="18">
        <v>0</v>
      </c>
      <c r="BL163" s="18">
        <v>0</v>
      </c>
      <c r="BM163" s="18">
        <v>0</v>
      </c>
      <c r="BN163" s="18">
        <v>0</v>
      </c>
      <c r="BO163" s="18">
        <v>0</v>
      </c>
      <c r="BP163" s="18">
        <v>0</v>
      </c>
      <c r="BQ163" s="18">
        <v>0</v>
      </c>
      <c r="BR163" s="18">
        <v>0</v>
      </c>
      <c r="BS163" s="18">
        <v>0</v>
      </c>
      <c r="BT163" s="18">
        <v>0</v>
      </c>
      <c r="BU163" s="18">
        <v>0</v>
      </c>
      <c r="BV163" s="18">
        <v>0</v>
      </c>
      <c r="BW163" s="18">
        <v>0</v>
      </c>
      <c r="BX163" s="18">
        <v>0</v>
      </c>
      <c r="BY163" s="8"/>
      <c r="BZ163" s="72">
        <f t="shared" si="1077"/>
        <v>0</v>
      </c>
      <c r="CA163" s="72">
        <f t="shared" si="1078"/>
        <v>0</v>
      </c>
      <c r="CB163" s="97"/>
      <c r="CC163" s="72">
        <f t="shared" si="950"/>
        <v>0</v>
      </c>
      <c r="CD163" s="72">
        <f t="shared" si="1464"/>
        <v>0</v>
      </c>
      <c r="CE163" s="72">
        <f t="shared" si="1464"/>
        <v>-3300</v>
      </c>
      <c r="CF163" s="72">
        <f t="shared" si="1464"/>
        <v>0</v>
      </c>
      <c r="CG163" s="72">
        <f t="shared" si="1464"/>
        <v>0</v>
      </c>
      <c r="CH163" s="72">
        <f t="shared" si="1464"/>
        <v>0</v>
      </c>
      <c r="CI163" s="72">
        <f t="shared" si="1464"/>
        <v>0</v>
      </c>
      <c r="CJ163" s="72">
        <f t="shared" si="1464"/>
        <v>0</v>
      </c>
      <c r="CL163" s="13"/>
      <c r="CM163" s="13"/>
    </row>
    <row r="164" spans="1:91" x14ac:dyDescent="0.3">
      <c r="A164" s="97" t="str">
        <f>'DCS Detail'!A164</f>
        <v xml:space="preserve">   800.1 Parent Involvement</v>
      </c>
      <c r="B164" s="106" t="str">
        <f>IF('DCS Detail'!$B164="","",'DCS Detail'!$B164)</f>
        <v>Curriculum</v>
      </c>
      <c r="C164" s="106"/>
      <c r="D164" s="106"/>
      <c r="E164" s="18">
        <v>0</v>
      </c>
      <c r="F164" s="18">
        <v>0</v>
      </c>
      <c r="G164" s="18">
        <v>0</v>
      </c>
      <c r="H164" s="18">
        <v>0</v>
      </c>
      <c r="I164" s="18">
        <v>0</v>
      </c>
      <c r="J164" s="18">
        <v>0</v>
      </c>
      <c r="K164" s="18">
        <v>0</v>
      </c>
      <c r="L164" s="18">
        <v>0</v>
      </c>
      <c r="M164" s="18">
        <v>0</v>
      </c>
      <c r="N164" s="18">
        <v>0</v>
      </c>
      <c r="O164" s="18">
        <v>129.51</v>
      </c>
      <c r="P164" s="18">
        <v>0</v>
      </c>
      <c r="Q164" s="18">
        <v>0</v>
      </c>
      <c r="R164" s="18">
        <v>103.93</v>
      </c>
      <c r="S164" s="18">
        <v>0</v>
      </c>
      <c r="T164" s="18">
        <v>0</v>
      </c>
      <c r="U164" s="18">
        <v>-3.52</v>
      </c>
      <c r="V164" s="18">
        <v>0</v>
      </c>
      <c r="W164" s="18">
        <v>0</v>
      </c>
      <c r="X164" s="18">
        <v>0</v>
      </c>
      <c r="Y164" s="18">
        <v>0</v>
      </c>
      <c r="Z164" s="18">
        <v>15.49</v>
      </c>
      <c r="AA164" s="146">
        <v>11</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c r="AU164" s="18">
        <v>0</v>
      </c>
      <c r="AV164" s="18">
        <v>0</v>
      </c>
      <c r="AW164" s="18">
        <v>0</v>
      </c>
      <c r="AX164" s="18">
        <v>0</v>
      </c>
      <c r="AY164" s="18">
        <v>0</v>
      </c>
      <c r="AZ164" s="18">
        <v>0</v>
      </c>
      <c r="BA164" s="18">
        <v>0</v>
      </c>
      <c r="BB164" s="18">
        <v>0</v>
      </c>
      <c r="BC164" s="18">
        <v>0</v>
      </c>
      <c r="BD164" s="18">
        <v>0</v>
      </c>
      <c r="BE164" s="18">
        <v>0</v>
      </c>
      <c r="BF164" s="18">
        <v>0</v>
      </c>
      <c r="BG164" s="18">
        <v>0</v>
      </c>
      <c r="BH164" s="18">
        <v>0</v>
      </c>
      <c r="BI164" s="18">
        <v>0</v>
      </c>
      <c r="BJ164" s="18">
        <v>0</v>
      </c>
      <c r="BK164" s="18">
        <v>0</v>
      </c>
      <c r="BL164" s="18">
        <v>0</v>
      </c>
      <c r="BM164" s="18">
        <v>0</v>
      </c>
      <c r="BN164" s="18">
        <v>0</v>
      </c>
      <c r="BO164" s="18">
        <v>0</v>
      </c>
      <c r="BP164" s="18">
        <v>0</v>
      </c>
      <c r="BQ164" s="18">
        <v>0</v>
      </c>
      <c r="BR164" s="18">
        <v>0</v>
      </c>
      <c r="BS164" s="18">
        <v>0</v>
      </c>
      <c r="BT164" s="18">
        <v>0</v>
      </c>
      <c r="BU164" s="18">
        <v>0</v>
      </c>
      <c r="BV164" s="18">
        <v>0</v>
      </c>
      <c r="BW164" s="18">
        <v>0</v>
      </c>
      <c r="BX164" s="18">
        <v>0</v>
      </c>
      <c r="BY164" s="8"/>
      <c r="BZ164" s="72">
        <f t="shared" si="1077"/>
        <v>11</v>
      </c>
      <c r="CA164" s="72">
        <f t="shared" si="1078"/>
        <v>126.9</v>
      </c>
      <c r="CB164" s="97"/>
      <c r="CC164" s="72">
        <f t="shared" ref="CC164:CC173" si="1468">SUMIF($C$3:$BY$3,CC$3,$C164:$BY164)</f>
        <v>0</v>
      </c>
      <c r="CD164" s="72">
        <f t="shared" si="1464"/>
        <v>0</v>
      </c>
      <c r="CE164" s="72">
        <f t="shared" si="1464"/>
        <v>129.51</v>
      </c>
      <c r="CF164" s="72">
        <f t="shared" si="1464"/>
        <v>126.9</v>
      </c>
      <c r="CG164" s="72">
        <f t="shared" si="1464"/>
        <v>0</v>
      </c>
      <c r="CH164" s="72">
        <f t="shared" si="1464"/>
        <v>0</v>
      </c>
      <c r="CI164" s="72">
        <f t="shared" si="1464"/>
        <v>0</v>
      </c>
      <c r="CJ164" s="72">
        <f t="shared" si="1464"/>
        <v>0</v>
      </c>
      <c r="CL164" s="13"/>
      <c r="CM164" s="13"/>
    </row>
    <row r="165" spans="1:91" x14ac:dyDescent="0.3">
      <c r="A165" s="97" t="str">
        <f>'DCS Detail'!A165</f>
        <v xml:space="preserve">   Advertisement</v>
      </c>
      <c r="B165" s="106" t="str">
        <f>IF('DCS Detail'!$B165="","",'DCS Detail'!$B165)</f>
        <v>Prof. Serv.</v>
      </c>
      <c r="C165" s="139"/>
      <c r="D165" s="139"/>
      <c r="E165" s="121">
        <v>0</v>
      </c>
      <c r="F165" s="121">
        <v>0</v>
      </c>
      <c r="G165" s="121">
        <v>0</v>
      </c>
      <c r="H165" s="121">
        <v>0</v>
      </c>
      <c r="I165" s="121">
        <v>0</v>
      </c>
      <c r="J165" s="121">
        <v>0</v>
      </c>
      <c r="K165" s="121">
        <v>0</v>
      </c>
      <c r="L165" s="121">
        <v>0</v>
      </c>
      <c r="M165" s="121">
        <v>0</v>
      </c>
      <c r="N165" s="121">
        <v>0</v>
      </c>
      <c r="O165" s="121">
        <v>5.5</v>
      </c>
      <c r="P165" s="121">
        <v>5.5</v>
      </c>
      <c r="Q165" s="121">
        <v>0</v>
      </c>
      <c r="R165" s="121">
        <v>0</v>
      </c>
      <c r="S165" s="121">
        <v>0</v>
      </c>
      <c r="T165" s="121">
        <v>0</v>
      </c>
      <c r="U165" s="121">
        <v>0</v>
      </c>
      <c r="V165" s="121">
        <v>0</v>
      </c>
      <c r="W165" s="121">
        <v>3.08</v>
      </c>
      <c r="X165" s="121">
        <v>0</v>
      </c>
      <c r="Y165" s="121">
        <v>5.5</v>
      </c>
      <c r="Z165" s="121">
        <v>0</v>
      </c>
      <c r="AA165" s="121">
        <v>0</v>
      </c>
      <c r="AB165" s="121">
        <v>0</v>
      </c>
      <c r="AC165" s="121">
        <v>0</v>
      </c>
      <c r="AD165" s="121">
        <v>0</v>
      </c>
      <c r="AE165" s="121">
        <v>0</v>
      </c>
      <c r="AF165" s="121">
        <v>0</v>
      </c>
      <c r="AG165" s="121">
        <v>0</v>
      </c>
      <c r="AH165" s="121">
        <v>0</v>
      </c>
      <c r="AI165" s="121">
        <v>0</v>
      </c>
      <c r="AJ165" s="121">
        <v>0</v>
      </c>
      <c r="AK165" s="121">
        <v>0</v>
      </c>
      <c r="AL165" s="121">
        <v>0</v>
      </c>
      <c r="AM165" s="121">
        <v>0</v>
      </c>
      <c r="AN165" s="121">
        <v>0</v>
      </c>
      <c r="AO165" s="121">
        <v>0</v>
      </c>
      <c r="AP165" s="121">
        <v>0</v>
      </c>
      <c r="AQ165" s="121">
        <v>0</v>
      </c>
      <c r="AR165" s="121">
        <v>0</v>
      </c>
      <c r="AS165" s="121">
        <v>0</v>
      </c>
      <c r="AT165" s="121">
        <v>0</v>
      </c>
      <c r="AU165" s="121">
        <v>0</v>
      </c>
      <c r="AV165" s="121">
        <v>0</v>
      </c>
      <c r="AW165" s="121">
        <v>0</v>
      </c>
      <c r="AX165" s="121">
        <v>0</v>
      </c>
      <c r="AY165" s="121">
        <v>0</v>
      </c>
      <c r="AZ165" s="121">
        <v>0</v>
      </c>
      <c r="BA165" s="121">
        <v>0</v>
      </c>
      <c r="BB165" s="121">
        <v>0</v>
      </c>
      <c r="BC165" s="121">
        <v>0</v>
      </c>
      <c r="BD165" s="121">
        <v>0</v>
      </c>
      <c r="BE165" s="121">
        <v>0</v>
      </c>
      <c r="BF165" s="121">
        <v>0</v>
      </c>
      <c r="BG165" s="121">
        <v>0</v>
      </c>
      <c r="BH165" s="121">
        <v>0</v>
      </c>
      <c r="BI165" s="121">
        <v>0</v>
      </c>
      <c r="BJ165" s="121">
        <v>0</v>
      </c>
      <c r="BK165" s="121">
        <v>0</v>
      </c>
      <c r="BL165" s="121">
        <v>0</v>
      </c>
      <c r="BM165" s="121">
        <v>0</v>
      </c>
      <c r="BN165" s="121">
        <v>0</v>
      </c>
      <c r="BO165" s="121">
        <v>0</v>
      </c>
      <c r="BP165" s="121">
        <v>0</v>
      </c>
      <c r="BQ165" s="121">
        <v>0</v>
      </c>
      <c r="BR165" s="121">
        <v>0</v>
      </c>
      <c r="BS165" s="121">
        <v>0</v>
      </c>
      <c r="BT165" s="121">
        <v>0</v>
      </c>
      <c r="BU165" s="121">
        <v>0</v>
      </c>
      <c r="BV165" s="121">
        <v>0</v>
      </c>
      <c r="BW165" s="121">
        <v>0</v>
      </c>
      <c r="BX165" s="121">
        <v>0</v>
      </c>
      <c r="BY165" s="8"/>
      <c r="BZ165" s="73">
        <f t="shared" si="1077"/>
        <v>0</v>
      </c>
      <c r="CA165" s="73">
        <f t="shared" si="1078"/>
        <v>8.58</v>
      </c>
      <c r="CB165" s="97"/>
      <c r="CC165" s="73">
        <f t="shared" si="1468"/>
        <v>0</v>
      </c>
      <c r="CD165" s="73">
        <f t="shared" si="1464"/>
        <v>0</v>
      </c>
      <c r="CE165" s="73">
        <f t="shared" si="1464"/>
        <v>11</v>
      </c>
      <c r="CF165" s="73">
        <f t="shared" si="1464"/>
        <v>8.58</v>
      </c>
      <c r="CG165" s="73">
        <f t="shared" si="1464"/>
        <v>0</v>
      </c>
      <c r="CH165" s="73">
        <f t="shared" si="1464"/>
        <v>0</v>
      </c>
      <c r="CI165" s="73">
        <f t="shared" si="1464"/>
        <v>0</v>
      </c>
      <c r="CJ165" s="73">
        <f t="shared" si="1464"/>
        <v>0</v>
      </c>
      <c r="CL165" s="13"/>
      <c r="CM165" s="13"/>
    </row>
    <row r="166" spans="1:91" x14ac:dyDescent="0.3">
      <c r="A166" s="97" t="str">
        <f>'DCS Detail'!A166</f>
        <v>Total Expenses</v>
      </c>
      <c r="B166" s="106" t="str">
        <f>IF('DCS Detail'!$B166="","",'DCS Detail'!$B166)</f>
        <v/>
      </c>
      <c r="C166" s="36">
        <f t="shared" ref="C166:O166" si="1469">C163+C159+C158+C141++C162+C164+C165</f>
        <v>0</v>
      </c>
      <c r="D166" s="36">
        <f t="shared" si="1469"/>
        <v>0</v>
      </c>
      <c r="E166" s="36">
        <f t="shared" si="1469"/>
        <v>-19740.139999999996</v>
      </c>
      <c r="F166" s="36">
        <f t="shared" si="1469"/>
        <v>50315.15</v>
      </c>
      <c r="G166" s="36">
        <f t="shared" si="1469"/>
        <v>62334.970000000008</v>
      </c>
      <c r="H166" s="36">
        <f t="shared" si="1469"/>
        <v>63841.833000000006</v>
      </c>
      <c r="I166" s="36">
        <f t="shared" si="1469"/>
        <v>60366.6558</v>
      </c>
      <c r="J166" s="36">
        <f t="shared" si="1469"/>
        <v>54499.037599999989</v>
      </c>
      <c r="K166" s="36">
        <f t="shared" si="1469"/>
        <v>48281.826000000001</v>
      </c>
      <c r="L166" s="36">
        <f t="shared" si="1469"/>
        <v>58905.507600000004</v>
      </c>
      <c r="M166" s="36">
        <f t="shared" si="1469"/>
        <v>65553.990000000005</v>
      </c>
      <c r="N166" s="36">
        <f t="shared" si="1469"/>
        <v>57771.890000000007</v>
      </c>
      <c r="O166" s="36">
        <f t="shared" si="1469"/>
        <v>57980.380000000005</v>
      </c>
      <c r="P166" s="36">
        <f>P163+P159+P158+P141++P162+P164+P165</f>
        <v>131308.47</v>
      </c>
      <c r="Q166" s="36">
        <f t="shared" ref="Q166:AN166" si="1470">Q163+Q159+Q158+Q141++Q162+Q164+Q165</f>
        <v>18817.369999999995</v>
      </c>
      <c r="R166" s="36">
        <f t="shared" si="1470"/>
        <v>64439.729999999996</v>
      </c>
      <c r="S166" s="36">
        <f t="shared" si="1470"/>
        <v>89137.14</v>
      </c>
      <c r="T166" s="36">
        <f t="shared" si="1470"/>
        <v>68643.659999999989</v>
      </c>
      <c r="U166" s="36">
        <f t="shared" si="1470"/>
        <v>72838.719999999987</v>
      </c>
      <c r="V166" s="36">
        <f t="shared" si="1470"/>
        <v>62690.07</v>
      </c>
      <c r="W166" s="36">
        <f t="shared" si="1470"/>
        <v>63680.100000000006</v>
      </c>
      <c r="X166" s="36">
        <f t="shared" si="1470"/>
        <v>70201.930000000008</v>
      </c>
      <c r="Y166" s="36">
        <f t="shared" si="1470"/>
        <v>57790.32</v>
      </c>
      <c r="Z166" s="36">
        <f t="shared" si="1470"/>
        <v>78169.180000000022</v>
      </c>
      <c r="AA166" s="36">
        <f t="shared" si="1470"/>
        <v>67991.98000000001</v>
      </c>
      <c r="AB166" s="36">
        <f t="shared" si="1470"/>
        <v>102792.74778240638</v>
      </c>
      <c r="AC166" s="36">
        <f t="shared" si="1470"/>
        <v>17471.765099999997</v>
      </c>
      <c r="AD166" s="36">
        <f t="shared" si="1470"/>
        <v>64428.81199673978</v>
      </c>
      <c r="AE166" s="36">
        <f t="shared" si="1470"/>
        <v>87001.743213303984</v>
      </c>
      <c r="AF166" s="36">
        <f t="shared" si="1470"/>
        <v>70516.984541119571</v>
      </c>
      <c r="AG166" s="36">
        <f t="shared" si="1470"/>
        <v>75291.02879117892</v>
      </c>
      <c r="AH166" s="36">
        <f t="shared" si="1470"/>
        <v>59381.606654532668</v>
      </c>
      <c r="AI166" s="36">
        <f t="shared" si="1470"/>
        <v>65634.221011325906</v>
      </c>
      <c r="AJ166" s="36">
        <f t="shared" si="1470"/>
        <v>59816.863168033466</v>
      </c>
      <c r="AK166" s="36">
        <f t="shared" si="1470"/>
        <v>67390.648868033473</v>
      </c>
      <c r="AL166" s="36">
        <f t="shared" si="1470"/>
        <v>61336.709521075427</v>
      </c>
      <c r="AM166" s="36">
        <f t="shared" si="1470"/>
        <v>62251.628550757043</v>
      </c>
      <c r="AN166" s="36">
        <f t="shared" si="1470"/>
        <v>101667.82875955339</v>
      </c>
      <c r="AO166" s="36">
        <f t="shared" ref="AO166:AZ166" si="1471">AO163+AO159+AO158+AO141++AO162+AO164+AO165</f>
        <v>17986.842453000001</v>
      </c>
      <c r="AP166" s="36">
        <f t="shared" si="1471"/>
        <v>66309.71481741601</v>
      </c>
      <c r="AQ166" s="36">
        <f t="shared" si="1471"/>
        <v>89430.068881774525</v>
      </c>
      <c r="AR166" s="36">
        <f t="shared" si="1471"/>
        <v>72651.687141066301</v>
      </c>
      <c r="AS166" s="36">
        <f t="shared" si="1471"/>
        <v>77589.076040255575</v>
      </c>
      <c r="AT166" s="36">
        <f t="shared" si="1471"/>
        <v>61109.800167310044</v>
      </c>
      <c r="AU166" s="36">
        <f t="shared" si="1471"/>
        <v>67590.3906784961</v>
      </c>
      <c r="AV166" s="36">
        <f t="shared" si="1471"/>
        <v>61598.654001719762</v>
      </c>
      <c r="AW166" s="36">
        <f t="shared" si="1471"/>
        <v>69399.653272719763</v>
      </c>
      <c r="AX166" s="36">
        <f t="shared" si="1471"/>
        <v>63169.702385048869</v>
      </c>
      <c r="AY166" s="36">
        <f t="shared" si="1471"/>
        <v>64113.443015088058</v>
      </c>
      <c r="AZ166" s="36">
        <f t="shared" si="1471"/>
        <v>104708.34830769805</v>
      </c>
      <c r="BA166" s="36">
        <f t="shared" ref="BA166:BX166" si="1472">BA163+BA159+BA158+BA141++BA162+BA164+BA165</f>
        <v>18517.372126590002</v>
      </c>
      <c r="BB166" s="36">
        <f t="shared" si="1472"/>
        <v>71994.809030226854</v>
      </c>
      <c r="BC166" s="36">
        <f t="shared" si="1472"/>
        <v>95644.196815673378</v>
      </c>
      <c r="BD166" s="36">
        <f t="shared" si="1472"/>
        <v>78527.924091080975</v>
      </c>
      <c r="BE166" s="36">
        <f t="shared" si="1472"/>
        <v>83613.958619465178</v>
      </c>
      <c r="BF166" s="36">
        <f t="shared" si="1472"/>
        <v>66640.090366819</v>
      </c>
      <c r="BG166" s="36">
        <f t="shared" si="1472"/>
        <v>73314.657887866968</v>
      </c>
      <c r="BH166" s="36">
        <f t="shared" si="1472"/>
        <v>67143.193113942049</v>
      </c>
      <c r="BI166" s="36">
        <f t="shared" si="1472"/>
        <v>75178.222363072055</v>
      </c>
      <c r="BJ166" s="36">
        <f t="shared" si="1472"/>
        <v>68761.48390932566</v>
      </c>
      <c r="BK166" s="36">
        <f t="shared" si="1472"/>
        <v>69733.603127591705</v>
      </c>
      <c r="BL166" s="36">
        <f t="shared" si="1472"/>
        <v>115252.20813996479</v>
      </c>
      <c r="BM166" s="36">
        <f t="shared" si="1472"/>
        <v>19063.817690387703</v>
      </c>
      <c r="BN166" s="36">
        <f t="shared" si="1472"/>
        <v>74145.53338028492</v>
      </c>
      <c r="BO166" s="36">
        <f t="shared" si="1472"/>
        <v>98339.421064771479</v>
      </c>
      <c r="BP166" s="36">
        <f t="shared" si="1472"/>
        <v>80874.677493010531</v>
      </c>
      <c r="BQ166" s="36">
        <f t="shared" si="1472"/>
        <v>86113.312252418356</v>
      </c>
      <c r="BR166" s="36">
        <f t="shared" si="1472"/>
        <v>68630.232037167458</v>
      </c>
      <c r="BS166" s="36">
        <f t="shared" si="1472"/>
        <v>75505.031269308762</v>
      </c>
      <c r="BT166" s="36">
        <f t="shared" si="1472"/>
        <v>69148.40583760952</v>
      </c>
      <c r="BU166" s="36">
        <f t="shared" si="1472"/>
        <v>77424.485964213411</v>
      </c>
      <c r="BV166" s="36">
        <f t="shared" si="1472"/>
        <v>70815.250621297178</v>
      </c>
      <c r="BW166" s="36">
        <f t="shared" si="1472"/>
        <v>71816.536823263174</v>
      </c>
      <c r="BX166" s="36">
        <f t="shared" si="1472"/>
        <v>118700.7040228931</v>
      </c>
      <c r="BY166" s="8"/>
      <c r="BZ166" s="72">
        <f t="shared" si="1077"/>
        <v>67991.98000000001</v>
      </c>
      <c r="CA166" s="72">
        <f t="shared" si="1078"/>
        <v>714400.2</v>
      </c>
      <c r="CB166" s="97"/>
      <c r="CC166" s="72">
        <f t="shared" si="1468"/>
        <v>0</v>
      </c>
      <c r="CD166" s="72">
        <f t="shared" si="1464"/>
        <v>0</v>
      </c>
      <c r="CE166" s="72">
        <f t="shared" si="1464"/>
        <v>691419.57000000007</v>
      </c>
      <c r="CF166" s="72">
        <f t="shared" si="1464"/>
        <v>817192.94778240635</v>
      </c>
      <c r="CG166" s="72">
        <f t="shared" si="1464"/>
        <v>792189.84017565369</v>
      </c>
      <c r="CH166" s="72">
        <f t="shared" si="1464"/>
        <v>815657.38116159313</v>
      </c>
      <c r="CI166" s="72">
        <f t="shared" si="1464"/>
        <v>884321.71959161875</v>
      </c>
      <c r="CJ166" s="72">
        <f t="shared" si="1464"/>
        <v>910577.40845662553</v>
      </c>
      <c r="CL166" s="13"/>
      <c r="CM166" s="13"/>
    </row>
    <row r="167" spans="1:91" x14ac:dyDescent="0.3">
      <c r="A167" s="97" t="str">
        <f>'DCS Detail'!A167</f>
        <v>Net Operating Income</v>
      </c>
      <c r="B167" s="106" t="str">
        <f>IF('DCS Detail'!$B167="","",'DCS Detail'!$B167)</f>
        <v/>
      </c>
      <c r="C167" s="112">
        <f>C53-C166</f>
        <v>0</v>
      </c>
      <c r="D167" s="112">
        <f t="shared" ref="D167:AN167" si="1473">D53-D166</f>
        <v>0</v>
      </c>
      <c r="E167" s="112">
        <f t="shared" si="1473"/>
        <v>115604.55</v>
      </c>
      <c r="F167" s="112">
        <f t="shared" si="1473"/>
        <v>60363.01</v>
      </c>
      <c r="G167" s="112">
        <f t="shared" si="1473"/>
        <v>-9593.7400000000052</v>
      </c>
      <c r="H167" s="112">
        <f t="shared" si="1473"/>
        <v>78355.896999999968</v>
      </c>
      <c r="I167" s="112">
        <f t="shared" si="1473"/>
        <v>-55803.264000000003</v>
      </c>
      <c r="J167" s="112">
        <f t="shared" si="1473"/>
        <v>63909.802400000008</v>
      </c>
      <c r="K167" s="112">
        <f t="shared" si="1473"/>
        <v>-47597.330600000001</v>
      </c>
      <c r="L167" s="112">
        <f t="shared" si="1473"/>
        <v>14785.975200000052</v>
      </c>
      <c r="M167" s="112">
        <f t="shared" ref="M167" si="1474">M53-M166</f>
        <v>-1891.4400000000023</v>
      </c>
      <c r="N167" s="112">
        <f t="shared" si="1473"/>
        <v>71561.670000000013</v>
      </c>
      <c r="O167" s="112">
        <f t="shared" si="1473"/>
        <v>-56129.350000000006</v>
      </c>
      <c r="P167" s="112">
        <f t="shared" si="1473"/>
        <v>-44331.700000000012</v>
      </c>
      <c r="Q167" s="112">
        <f t="shared" si="1473"/>
        <v>28180.500000000007</v>
      </c>
      <c r="R167" s="112">
        <f t="shared" ref="R167:S167" si="1475">R53-R166</f>
        <v>-506.18000000000029</v>
      </c>
      <c r="S167" s="112">
        <f t="shared" si="1475"/>
        <v>80670.750000000015</v>
      </c>
      <c r="T167" s="112">
        <f t="shared" ref="T167:U167" si="1476">T53-T166</f>
        <v>-93.709999999991851</v>
      </c>
      <c r="U167" s="112">
        <f t="shared" si="1476"/>
        <v>3116.960000000021</v>
      </c>
      <c r="V167" s="112">
        <f t="shared" ref="V167:W167" si="1477">V53-V166</f>
        <v>-1102.8800000000047</v>
      </c>
      <c r="W167" s="112">
        <f t="shared" si="1477"/>
        <v>1889.0699999999924</v>
      </c>
      <c r="X167" s="112">
        <f t="shared" si="1473"/>
        <v>-9146.2100000000064</v>
      </c>
      <c r="Y167" s="112">
        <f t="shared" si="1473"/>
        <v>2901.4700000000012</v>
      </c>
      <c r="Z167" s="112">
        <f t="shared" si="1473"/>
        <v>56723.299999999988</v>
      </c>
      <c r="AA167" s="112">
        <f t="shared" si="1473"/>
        <v>-1791.8099999999977</v>
      </c>
      <c r="AB167" s="112">
        <f t="shared" si="1473"/>
        <v>-19212.51944907305</v>
      </c>
      <c r="AC167" s="112">
        <f t="shared" si="1473"/>
        <v>39767.203233333341</v>
      </c>
      <c r="AD167" s="112">
        <f t="shared" si="1473"/>
        <v>5915.0301190102327</v>
      </c>
      <c r="AE167" s="112">
        <f t="shared" si="1473"/>
        <v>89075.488582112695</v>
      </c>
      <c r="AF167" s="112">
        <f t="shared" si="1473"/>
        <v>-2452.1844575362338</v>
      </c>
      <c r="AG167" s="112">
        <f t="shared" si="1473"/>
        <v>-4186.722531345571</v>
      </c>
      <c r="AH167" s="112">
        <f t="shared" si="1473"/>
        <v>5551.2109968006698</v>
      </c>
      <c r="AI167" s="112">
        <f t="shared" si="1473"/>
        <v>-32.117504075911711</v>
      </c>
      <c r="AJ167" s="112">
        <f t="shared" si="1473"/>
        <v>23995.188136966535</v>
      </c>
      <c r="AK167" s="112">
        <f t="shared" si="1473"/>
        <v>11416.734639216549</v>
      </c>
      <c r="AL167" s="112">
        <f t="shared" si="1473"/>
        <v>17172.79065284125</v>
      </c>
      <c r="AM167" s="112">
        <f t="shared" si="1473"/>
        <v>20914.398610159638</v>
      </c>
      <c r="AN167" s="112">
        <f t="shared" si="1473"/>
        <v>-35958.455089636729</v>
      </c>
      <c r="AO167" s="112">
        <f t="shared" ref="AO167:AZ167" si="1478">AO53-AO166</f>
        <v>45729.427720916676</v>
      </c>
      <c r="AP167" s="112">
        <f t="shared" si="1478"/>
        <v>24831.760912242331</v>
      </c>
      <c r="AQ167" s="112">
        <f t="shared" si="1478"/>
        <v>106658.07494953464</v>
      </c>
      <c r="AR167" s="112">
        <f t="shared" si="1478"/>
        <v>13481.097488503714</v>
      </c>
      <c r="AS167" s="112">
        <f t="shared" si="1478"/>
        <v>11600.55208418527</v>
      </c>
      <c r="AT167" s="112">
        <f t="shared" si="1478"/>
        <v>21730.166857042488</v>
      </c>
      <c r="AU167" s="112">
        <f t="shared" si="1478"/>
        <v>15238.267942378065</v>
      </c>
      <c r="AV167" s="112">
        <f t="shared" si="1478"/>
        <v>25352.207315764397</v>
      </c>
      <c r="AW167" s="112">
        <f t="shared" si="1478"/>
        <v>18064.445348154419</v>
      </c>
      <c r="AX167" s="112">
        <f t="shared" si="1478"/>
        <v>18761.106235825304</v>
      </c>
      <c r="AY167" s="112">
        <f t="shared" si="1478"/>
        <v>22660.478302396114</v>
      </c>
      <c r="AZ167" s="112">
        <f t="shared" si="1478"/>
        <v>-21831.757485943876</v>
      </c>
      <c r="BA167" s="112">
        <f t="shared" ref="BA167:BX167" si="1479">BA53-BA166</f>
        <v>62270.166494284167</v>
      </c>
      <c r="BB167" s="112">
        <f t="shared" si="1479"/>
        <v>40069.641557788593</v>
      </c>
      <c r="BC167" s="112">
        <f t="shared" si="1479"/>
        <v>121267.71291577179</v>
      </c>
      <c r="BD167" s="112">
        <f t="shared" si="1479"/>
        <v>29718.945803133771</v>
      </c>
      <c r="BE167" s="112">
        <f t="shared" si="1479"/>
        <v>27731.000005780661</v>
      </c>
      <c r="BF167" s="112">
        <f t="shared" si="1479"/>
        <v>38249.112839086956</v>
      </c>
      <c r="BG167" s="112">
        <f t="shared" si="1479"/>
        <v>31531.910192499767</v>
      </c>
      <c r="BH167" s="112">
        <f t="shared" si="1479"/>
        <v>41949.748260225359</v>
      </c>
      <c r="BI167" s="112">
        <f t="shared" si="1479"/>
        <v>34445.333717294692</v>
      </c>
      <c r="BJ167" s="112">
        <f t="shared" si="1479"/>
        <v>35170.660171041076</v>
      </c>
      <c r="BK167" s="112">
        <f t="shared" si="1479"/>
        <v>39139.206246575719</v>
      </c>
      <c r="BL167" s="112">
        <f t="shared" si="1479"/>
        <v>-10355.910345202647</v>
      </c>
      <c r="BM167" s="112">
        <f t="shared" si="1479"/>
        <v>83708.409389979031</v>
      </c>
      <c r="BN167" s="112">
        <f t="shared" si="1479"/>
        <v>45238.766393318714</v>
      </c>
      <c r="BO167" s="112">
        <f t="shared" si="1479"/>
        <v>125818.57934155472</v>
      </c>
      <c r="BP167" s="112">
        <f t="shared" si="1479"/>
        <v>34643.479015619916</v>
      </c>
      <c r="BQ167" s="112">
        <f t="shared" si="1479"/>
        <v>32522.972858881054</v>
      </c>
      <c r="BR167" s="112">
        <f t="shared" si="1479"/>
        <v>43472.881149550318</v>
      </c>
      <c r="BS167" s="112">
        <f t="shared" si="1479"/>
        <v>36529.69700280056</v>
      </c>
      <c r="BT167" s="112">
        <f t="shared" si="1479"/>
        <v>47886.766401777219</v>
      </c>
      <c r="BU167" s="112">
        <f t="shared" si="1479"/>
        <v>40158.105265200153</v>
      </c>
      <c r="BV167" s="112">
        <f t="shared" si="1479"/>
        <v>40938.181758116378</v>
      </c>
      <c r="BW167" s="112">
        <f t="shared" si="1479"/>
        <v>44953.151816123573</v>
      </c>
      <c r="BX167" s="112">
        <f t="shared" si="1479"/>
        <v>-5976.4795826541958</v>
      </c>
      <c r="BY167" s="8"/>
      <c r="BZ167" s="385">
        <f t="shared" si="1077"/>
        <v>-1791.8099999999977</v>
      </c>
      <c r="CA167" s="385">
        <f t="shared" si="1078"/>
        <v>160841.26</v>
      </c>
      <c r="CB167" s="97"/>
      <c r="CC167" s="385">
        <f t="shared" si="1468"/>
        <v>0</v>
      </c>
      <c r="CD167" s="385">
        <f t="shared" si="1464"/>
        <v>0</v>
      </c>
      <c r="CE167" s="385">
        <f t="shared" si="1464"/>
        <v>189234.08</v>
      </c>
      <c r="CF167" s="385">
        <f t="shared" si="1464"/>
        <v>141628.74055092694</v>
      </c>
      <c r="CG167" s="385">
        <f t="shared" si="1464"/>
        <v>171178.56538784647</v>
      </c>
      <c r="CH167" s="385">
        <f t="shared" si="1464"/>
        <v>302275.82767099957</v>
      </c>
      <c r="CI167" s="385">
        <f t="shared" si="1464"/>
        <v>491187.52785827988</v>
      </c>
      <c r="CJ167" s="385">
        <f t="shared" si="1464"/>
        <v>569894.51081026753</v>
      </c>
      <c r="CL167" s="13"/>
      <c r="CM167" s="13"/>
    </row>
    <row r="168" spans="1:91" x14ac:dyDescent="0.3">
      <c r="A168" s="97" t="str">
        <f>'DCS Detail'!A168</f>
        <v>Other Expenses</v>
      </c>
      <c r="B168" s="106" t="str">
        <f>IF('DCS Detail'!$B168="","",'DCS Detail'!$B168)</f>
        <v/>
      </c>
      <c r="C168" s="36"/>
      <c r="D168" s="36"/>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442">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0</v>
      </c>
      <c r="AZ168" s="18">
        <v>0</v>
      </c>
      <c r="BA168" s="18">
        <v>0</v>
      </c>
      <c r="BB168" s="18">
        <v>0</v>
      </c>
      <c r="BC168" s="18">
        <v>0</v>
      </c>
      <c r="BD168" s="18">
        <v>0</v>
      </c>
      <c r="BE168" s="18">
        <v>0</v>
      </c>
      <c r="BF168" s="18">
        <v>0</v>
      </c>
      <c r="BG168" s="18">
        <v>0</v>
      </c>
      <c r="BH168" s="18">
        <v>0</v>
      </c>
      <c r="BI168" s="18">
        <v>0</v>
      </c>
      <c r="BJ168" s="18">
        <v>0</v>
      </c>
      <c r="BK168" s="18">
        <v>0</v>
      </c>
      <c r="BL168" s="18">
        <v>0</v>
      </c>
      <c r="BM168" s="18">
        <v>0</v>
      </c>
      <c r="BN168" s="18">
        <v>0</v>
      </c>
      <c r="BO168" s="18">
        <v>0</v>
      </c>
      <c r="BP168" s="18">
        <v>0</v>
      </c>
      <c r="BQ168" s="18">
        <v>0</v>
      </c>
      <c r="BR168" s="18">
        <v>0</v>
      </c>
      <c r="BS168" s="18">
        <v>0</v>
      </c>
      <c r="BT168" s="18">
        <v>0</v>
      </c>
      <c r="BU168" s="18">
        <v>0</v>
      </c>
      <c r="BV168" s="18">
        <v>0</v>
      </c>
      <c r="BW168" s="18">
        <v>0</v>
      </c>
      <c r="BX168" s="18">
        <v>0</v>
      </c>
      <c r="BY168" s="8"/>
      <c r="BZ168" s="72">
        <f t="shared" si="1077"/>
        <v>0</v>
      </c>
      <c r="CA168" s="72">
        <f t="shared" si="1078"/>
        <v>0</v>
      </c>
      <c r="CB168" s="97"/>
      <c r="CC168" s="72">
        <f t="shared" si="1468"/>
        <v>0</v>
      </c>
      <c r="CD168" s="72">
        <f t="shared" si="1464"/>
        <v>0</v>
      </c>
      <c r="CE168" s="72">
        <f t="shared" si="1464"/>
        <v>0</v>
      </c>
      <c r="CF168" s="72">
        <f t="shared" si="1464"/>
        <v>0</v>
      </c>
      <c r="CG168" s="72">
        <f t="shared" si="1464"/>
        <v>0</v>
      </c>
      <c r="CH168" s="72">
        <f t="shared" si="1464"/>
        <v>0</v>
      </c>
      <c r="CI168" s="72">
        <f t="shared" si="1464"/>
        <v>0</v>
      </c>
      <c r="CJ168" s="72">
        <f t="shared" si="1464"/>
        <v>0</v>
      </c>
      <c r="CL168" s="13"/>
      <c r="CM168" s="13"/>
    </row>
    <row r="169" spans="1:91" x14ac:dyDescent="0.3">
      <c r="A169" s="97" t="str">
        <f>'DCS Detail'!A169</f>
        <v xml:space="preserve">   900 Interest Expense</v>
      </c>
      <c r="B169" s="106" t="str">
        <f>IF('DCS Detail'!$B169="","",'DCS Detail'!$B169)</f>
        <v>Interest</v>
      </c>
      <c r="C169" s="137"/>
      <c r="D169" s="137"/>
      <c r="E169" s="121">
        <v>0</v>
      </c>
      <c r="F169" s="121">
        <v>0</v>
      </c>
      <c r="G169" s="121">
        <v>0</v>
      </c>
      <c r="H169" s="121">
        <v>0</v>
      </c>
      <c r="I169" s="121">
        <v>0</v>
      </c>
      <c r="J169" s="121">
        <v>0</v>
      </c>
      <c r="K169" s="121">
        <v>0</v>
      </c>
      <c r="L169" s="121">
        <v>0</v>
      </c>
      <c r="M169" s="121">
        <v>0</v>
      </c>
      <c r="N169" s="121">
        <v>0</v>
      </c>
      <c r="O169" s="121">
        <v>0</v>
      </c>
      <c r="P169" s="121">
        <v>0</v>
      </c>
      <c r="Q169" s="121">
        <v>0</v>
      </c>
      <c r="R169" s="121">
        <v>0</v>
      </c>
      <c r="S169" s="121">
        <v>0</v>
      </c>
      <c r="T169" s="121">
        <v>0</v>
      </c>
      <c r="U169" s="121">
        <v>0</v>
      </c>
      <c r="V169" s="121">
        <v>0</v>
      </c>
      <c r="W169" s="121">
        <v>0</v>
      </c>
      <c r="X169" s="121">
        <v>0</v>
      </c>
      <c r="Y169" s="121">
        <v>0</v>
      </c>
      <c r="Z169" s="121">
        <v>0</v>
      </c>
      <c r="AA169" s="121">
        <v>0</v>
      </c>
      <c r="AB169" s="121">
        <v>0</v>
      </c>
      <c r="AC169" s="121">
        <v>0</v>
      </c>
      <c r="AD169" s="121">
        <v>0</v>
      </c>
      <c r="AE169" s="121">
        <v>0</v>
      </c>
      <c r="AF169" s="121">
        <v>0</v>
      </c>
      <c r="AG169" s="121">
        <v>0</v>
      </c>
      <c r="AH169" s="121">
        <v>0</v>
      </c>
      <c r="AI169" s="121">
        <v>0</v>
      </c>
      <c r="AJ169" s="121">
        <v>0</v>
      </c>
      <c r="AK169" s="121">
        <v>0</v>
      </c>
      <c r="AL169" s="121">
        <v>0</v>
      </c>
      <c r="AM169" s="121">
        <v>0</v>
      </c>
      <c r="AN169" s="121">
        <v>0</v>
      </c>
      <c r="AO169" s="121">
        <v>0</v>
      </c>
      <c r="AP169" s="121">
        <v>0</v>
      </c>
      <c r="AQ169" s="121">
        <v>0</v>
      </c>
      <c r="AR169" s="121">
        <v>0</v>
      </c>
      <c r="AS169" s="121">
        <v>0</v>
      </c>
      <c r="AT169" s="121">
        <v>0</v>
      </c>
      <c r="AU169" s="121">
        <v>0</v>
      </c>
      <c r="AV169" s="121">
        <v>0</v>
      </c>
      <c r="AW169" s="121">
        <v>0</v>
      </c>
      <c r="AX169" s="121">
        <v>0</v>
      </c>
      <c r="AY169" s="121">
        <v>0</v>
      </c>
      <c r="AZ169" s="121">
        <v>0</v>
      </c>
      <c r="BA169" s="121">
        <v>0</v>
      </c>
      <c r="BB169" s="121">
        <v>0</v>
      </c>
      <c r="BC169" s="121">
        <v>0</v>
      </c>
      <c r="BD169" s="121">
        <v>0</v>
      </c>
      <c r="BE169" s="121">
        <v>0</v>
      </c>
      <c r="BF169" s="121">
        <v>0</v>
      </c>
      <c r="BG169" s="121">
        <v>0</v>
      </c>
      <c r="BH169" s="121">
        <v>0</v>
      </c>
      <c r="BI169" s="121">
        <v>0</v>
      </c>
      <c r="BJ169" s="121">
        <v>0</v>
      </c>
      <c r="BK169" s="121">
        <v>0</v>
      </c>
      <c r="BL169" s="121">
        <v>0</v>
      </c>
      <c r="BM169" s="121">
        <v>0</v>
      </c>
      <c r="BN169" s="121">
        <v>0</v>
      </c>
      <c r="BO169" s="121">
        <v>0</v>
      </c>
      <c r="BP169" s="121">
        <v>0</v>
      </c>
      <c r="BQ169" s="121">
        <v>0</v>
      </c>
      <c r="BR169" s="121">
        <v>0</v>
      </c>
      <c r="BS169" s="121">
        <v>0</v>
      </c>
      <c r="BT169" s="121">
        <v>0</v>
      </c>
      <c r="BU169" s="121">
        <v>0</v>
      </c>
      <c r="BV169" s="121">
        <v>0</v>
      </c>
      <c r="BW169" s="121">
        <v>0</v>
      </c>
      <c r="BX169" s="121">
        <v>0</v>
      </c>
      <c r="BY169" s="8"/>
      <c r="BZ169" s="73">
        <f t="shared" si="1077"/>
        <v>0</v>
      </c>
      <c r="CA169" s="73">
        <f t="shared" si="1078"/>
        <v>0</v>
      </c>
      <c r="CB169" s="97"/>
      <c r="CC169" s="73">
        <f t="shared" si="1468"/>
        <v>0</v>
      </c>
      <c r="CD169" s="73">
        <f t="shared" si="1464"/>
        <v>0</v>
      </c>
      <c r="CE169" s="73">
        <f t="shared" si="1464"/>
        <v>0</v>
      </c>
      <c r="CF169" s="73">
        <f t="shared" si="1464"/>
        <v>0</v>
      </c>
      <c r="CG169" s="73">
        <f t="shared" si="1464"/>
        <v>0</v>
      </c>
      <c r="CH169" s="73">
        <f t="shared" si="1464"/>
        <v>0</v>
      </c>
      <c r="CI169" s="73">
        <f t="shared" si="1464"/>
        <v>0</v>
      </c>
      <c r="CJ169" s="73">
        <f t="shared" si="1464"/>
        <v>0</v>
      </c>
      <c r="CL169" s="13"/>
      <c r="CM169" s="13"/>
    </row>
    <row r="170" spans="1:91" x14ac:dyDescent="0.3">
      <c r="A170" s="97" t="str">
        <f>'DCS Detail'!A170</f>
        <v>Total Other Expenses</v>
      </c>
      <c r="B170" s="106" t="str">
        <f>IF('DCS Detail'!$B170="","",'DCS Detail'!$B170)</f>
        <v/>
      </c>
      <c r="C170" s="36"/>
      <c r="D170" s="36"/>
      <c r="E170" s="36">
        <f>SUM(E168:E169)</f>
        <v>0</v>
      </c>
      <c r="F170" s="36">
        <f t="shared" ref="F170:AN170" si="1480">SUM(F168:F169)</f>
        <v>0</v>
      </c>
      <c r="G170" s="36">
        <f t="shared" si="1480"/>
        <v>0</v>
      </c>
      <c r="H170" s="36">
        <f t="shared" si="1480"/>
        <v>0</v>
      </c>
      <c r="I170" s="36">
        <f t="shared" si="1480"/>
        <v>0</v>
      </c>
      <c r="J170" s="36">
        <f t="shared" si="1480"/>
        <v>0</v>
      </c>
      <c r="K170" s="36">
        <f t="shared" si="1480"/>
        <v>0</v>
      </c>
      <c r="L170" s="36">
        <f t="shared" si="1480"/>
        <v>0</v>
      </c>
      <c r="M170" s="36">
        <f t="shared" si="1480"/>
        <v>0</v>
      </c>
      <c r="N170" s="36">
        <f t="shared" si="1480"/>
        <v>0</v>
      </c>
      <c r="O170" s="36">
        <f t="shared" si="1480"/>
        <v>0</v>
      </c>
      <c r="P170" s="36">
        <f t="shared" si="1480"/>
        <v>0</v>
      </c>
      <c r="Q170" s="36">
        <f t="shared" si="1480"/>
        <v>0</v>
      </c>
      <c r="R170" s="36">
        <f t="shared" si="1480"/>
        <v>0</v>
      </c>
      <c r="S170" s="36">
        <f t="shared" si="1480"/>
        <v>0</v>
      </c>
      <c r="T170" s="36">
        <f t="shared" si="1480"/>
        <v>0</v>
      </c>
      <c r="U170" s="36">
        <f t="shared" si="1480"/>
        <v>0</v>
      </c>
      <c r="V170" s="36">
        <f t="shared" si="1480"/>
        <v>0</v>
      </c>
      <c r="W170" s="36">
        <f t="shared" si="1480"/>
        <v>0</v>
      </c>
      <c r="X170" s="36">
        <f t="shared" si="1480"/>
        <v>0</v>
      </c>
      <c r="Y170" s="36">
        <f t="shared" si="1480"/>
        <v>0</v>
      </c>
      <c r="Z170" s="36">
        <f t="shared" si="1480"/>
        <v>0</v>
      </c>
      <c r="AA170" s="36">
        <f t="shared" si="1480"/>
        <v>0</v>
      </c>
      <c r="AB170" s="36">
        <f t="shared" si="1480"/>
        <v>0</v>
      </c>
      <c r="AC170" s="36">
        <f t="shared" si="1480"/>
        <v>0</v>
      </c>
      <c r="AD170" s="36">
        <f t="shared" si="1480"/>
        <v>0</v>
      </c>
      <c r="AE170" s="36">
        <f t="shared" si="1480"/>
        <v>0</v>
      </c>
      <c r="AF170" s="36">
        <f t="shared" si="1480"/>
        <v>0</v>
      </c>
      <c r="AG170" s="36">
        <f t="shared" si="1480"/>
        <v>0</v>
      </c>
      <c r="AH170" s="36">
        <f t="shared" si="1480"/>
        <v>0</v>
      </c>
      <c r="AI170" s="36">
        <f t="shared" si="1480"/>
        <v>0</v>
      </c>
      <c r="AJ170" s="36">
        <f t="shared" si="1480"/>
        <v>0</v>
      </c>
      <c r="AK170" s="36">
        <f t="shared" si="1480"/>
        <v>0</v>
      </c>
      <c r="AL170" s="36">
        <f t="shared" si="1480"/>
        <v>0</v>
      </c>
      <c r="AM170" s="36">
        <f t="shared" si="1480"/>
        <v>0</v>
      </c>
      <c r="AN170" s="36">
        <f t="shared" si="1480"/>
        <v>0</v>
      </c>
      <c r="AO170" s="36">
        <f t="shared" ref="AO170:AZ170" si="1481">SUM(AO168:AO169)</f>
        <v>0</v>
      </c>
      <c r="AP170" s="36">
        <f t="shared" si="1481"/>
        <v>0</v>
      </c>
      <c r="AQ170" s="36">
        <f t="shared" si="1481"/>
        <v>0</v>
      </c>
      <c r="AR170" s="36">
        <f t="shared" si="1481"/>
        <v>0</v>
      </c>
      <c r="AS170" s="36">
        <f t="shared" si="1481"/>
        <v>0</v>
      </c>
      <c r="AT170" s="36">
        <f t="shared" si="1481"/>
        <v>0</v>
      </c>
      <c r="AU170" s="36">
        <f t="shared" si="1481"/>
        <v>0</v>
      </c>
      <c r="AV170" s="36">
        <f t="shared" si="1481"/>
        <v>0</v>
      </c>
      <c r="AW170" s="36">
        <f t="shared" si="1481"/>
        <v>0</v>
      </c>
      <c r="AX170" s="36">
        <f t="shared" si="1481"/>
        <v>0</v>
      </c>
      <c r="AY170" s="36">
        <f t="shared" si="1481"/>
        <v>0</v>
      </c>
      <c r="AZ170" s="36">
        <f t="shared" si="1481"/>
        <v>0</v>
      </c>
      <c r="BA170" s="36">
        <f t="shared" ref="BA170:BX170" si="1482">SUM(BA168:BA169)</f>
        <v>0</v>
      </c>
      <c r="BB170" s="36">
        <f t="shared" si="1482"/>
        <v>0</v>
      </c>
      <c r="BC170" s="36">
        <f t="shared" si="1482"/>
        <v>0</v>
      </c>
      <c r="BD170" s="36">
        <f t="shared" si="1482"/>
        <v>0</v>
      </c>
      <c r="BE170" s="36">
        <f t="shared" si="1482"/>
        <v>0</v>
      </c>
      <c r="BF170" s="36">
        <f t="shared" si="1482"/>
        <v>0</v>
      </c>
      <c r="BG170" s="36">
        <f t="shared" si="1482"/>
        <v>0</v>
      </c>
      <c r="BH170" s="36">
        <f t="shared" si="1482"/>
        <v>0</v>
      </c>
      <c r="BI170" s="36">
        <f t="shared" si="1482"/>
        <v>0</v>
      </c>
      <c r="BJ170" s="36">
        <f t="shared" si="1482"/>
        <v>0</v>
      </c>
      <c r="BK170" s="36">
        <f t="shared" si="1482"/>
        <v>0</v>
      </c>
      <c r="BL170" s="36">
        <f t="shared" si="1482"/>
        <v>0</v>
      </c>
      <c r="BM170" s="36">
        <f t="shared" si="1482"/>
        <v>0</v>
      </c>
      <c r="BN170" s="36">
        <f t="shared" si="1482"/>
        <v>0</v>
      </c>
      <c r="BO170" s="36">
        <f t="shared" si="1482"/>
        <v>0</v>
      </c>
      <c r="BP170" s="36">
        <f t="shared" si="1482"/>
        <v>0</v>
      </c>
      <c r="BQ170" s="36">
        <f t="shared" si="1482"/>
        <v>0</v>
      </c>
      <c r="BR170" s="36">
        <f t="shared" si="1482"/>
        <v>0</v>
      </c>
      <c r="BS170" s="36">
        <f t="shared" si="1482"/>
        <v>0</v>
      </c>
      <c r="BT170" s="36">
        <f t="shared" si="1482"/>
        <v>0</v>
      </c>
      <c r="BU170" s="36">
        <f t="shared" si="1482"/>
        <v>0</v>
      </c>
      <c r="BV170" s="36">
        <f t="shared" si="1482"/>
        <v>0</v>
      </c>
      <c r="BW170" s="36">
        <f t="shared" si="1482"/>
        <v>0</v>
      </c>
      <c r="BX170" s="36">
        <f t="shared" si="1482"/>
        <v>0</v>
      </c>
      <c r="BY170" s="8"/>
      <c r="BZ170" s="72">
        <f t="shared" si="1077"/>
        <v>0</v>
      </c>
      <c r="CA170" s="72">
        <f t="shared" si="1078"/>
        <v>0</v>
      </c>
      <c r="CB170" s="97"/>
      <c r="CC170" s="72">
        <f t="shared" si="1468"/>
        <v>0</v>
      </c>
      <c r="CD170" s="72">
        <f t="shared" si="1464"/>
        <v>0</v>
      </c>
      <c r="CE170" s="72">
        <f t="shared" si="1464"/>
        <v>0</v>
      </c>
      <c r="CF170" s="72">
        <f t="shared" si="1464"/>
        <v>0</v>
      </c>
      <c r="CG170" s="72">
        <f t="shared" si="1464"/>
        <v>0</v>
      </c>
      <c r="CH170" s="72">
        <f t="shared" si="1464"/>
        <v>0</v>
      </c>
      <c r="CI170" s="72">
        <f t="shared" si="1464"/>
        <v>0</v>
      </c>
      <c r="CJ170" s="72">
        <f t="shared" si="1464"/>
        <v>0</v>
      </c>
      <c r="CL170" s="13"/>
      <c r="CM170" s="13"/>
    </row>
    <row r="171" spans="1:91" x14ac:dyDescent="0.3">
      <c r="A171" s="97" t="str">
        <f>'DCS Detail'!A171</f>
        <v>Net Other Income</v>
      </c>
      <c r="B171" s="106" t="str">
        <f>IF('DCS Detail'!$B171="","",'DCS Detail'!$B171)</f>
        <v/>
      </c>
      <c r="C171" s="112"/>
      <c r="D171" s="112"/>
      <c r="E171" s="112">
        <f>-E170</f>
        <v>0</v>
      </c>
      <c r="F171" s="112">
        <f t="shared" ref="F171:AN171" si="1483">-F170</f>
        <v>0</v>
      </c>
      <c r="G171" s="112">
        <f t="shared" si="1483"/>
        <v>0</v>
      </c>
      <c r="H171" s="112">
        <f t="shared" si="1483"/>
        <v>0</v>
      </c>
      <c r="I171" s="112">
        <f t="shared" si="1483"/>
        <v>0</v>
      </c>
      <c r="J171" s="112">
        <f t="shared" si="1483"/>
        <v>0</v>
      </c>
      <c r="K171" s="112">
        <f t="shared" si="1483"/>
        <v>0</v>
      </c>
      <c r="L171" s="112">
        <f t="shared" si="1483"/>
        <v>0</v>
      </c>
      <c r="M171" s="112">
        <f t="shared" si="1483"/>
        <v>0</v>
      </c>
      <c r="N171" s="112">
        <f t="shared" si="1483"/>
        <v>0</v>
      </c>
      <c r="O171" s="112">
        <f t="shared" si="1483"/>
        <v>0</v>
      </c>
      <c r="P171" s="112">
        <f t="shared" si="1483"/>
        <v>0</v>
      </c>
      <c r="Q171" s="112">
        <f t="shared" si="1483"/>
        <v>0</v>
      </c>
      <c r="R171" s="112">
        <f t="shared" si="1483"/>
        <v>0</v>
      </c>
      <c r="S171" s="112">
        <f t="shared" si="1483"/>
        <v>0</v>
      </c>
      <c r="T171" s="112">
        <f t="shared" si="1483"/>
        <v>0</v>
      </c>
      <c r="U171" s="112">
        <f t="shared" si="1483"/>
        <v>0</v>
      </c>
      <c r="V171" s="112">
        <f t="shared" si="1483"/>
        <v>0</v>
      </c>
      <c r="W171" s="112">
        <f t="shared" si="1483"/>
        <v>0</v>
      </c>
      <c r="X171" s="112">
        <f t="shared" si="1483"/>
        <v>0</v>
      </c>
      <c r="Y171" s="112">
        <f t="shared" si="1483"/>
        <v>0</v>
      </c>
      <c r="Z171" s="112">
        <f t="shared" si="1483"/>
        <v>0</v>
      </c>
      <c r="AA171" s="112">
        <f t="shared" si="1483"/>
        <v>0</v>
      </c>
      <c r="AB171" s="112">
        <f t="shared" si="1483"/>
        <v>0</v>
      </c>
      <c r="AC171" s="112">
        <f t="shared" si="1483"/>
        <v>0</v>
      </c>
      <c r="AD171" s="112">
        <f t="shared" si="1483"/>
        <v>0</v>
      </c>
      <c r="AE171" s="112">
        <f t="shared" si="1483"/>
        <v>0</v>
      </c>
      <c r="AF171" s="112">
        <f t="shared" si="1483"/>
        <v>0</v>
      </c>
      <c r="AG171" s="112">
        <f t="shared" si="1483"/>
        <v>0</v>
      </c>
      <c r="AH171" s="112">
        <f t="shared" si="1483"/>
        <v>0</v>
      </c>
      <c r="AI171" s="112">
        <f t="shared" si="1483"/>
        <v>0</v>
      </c>
      <c r="AJ171" s="112">
        <f t="shared" si="1483"/>
        <v>0</v>
      </c>
      <c r="AK171" s="112">
        <f t="shared" si="1483"/>
        <v>0</v>
      </c>
      <c r="AL171" s="112">
        <f t="shared" si="1483"/>
        <v>0</v>
      </c>
      <c r="AM171" s="112">
        <f t="shared" si="1483"/>
        <v>0</v>
      </c>
      <c r="AN171" s="112">
        <f t="shared" si="1483"/>
        <v>0</v>
      </c>
      <c r="AO171" s="112">
        <f t="shared" ref="AO171:AZ171" si="1484">-AO170</f>
        <v>0</v>
      </c>
      <c r="AP171" s="112">
        <f t="shared" si="1484"/>
        <v>0</v>
      </c>
      <c r="AQ171" s="112">
        <f t="shared" si="1484"/>
        <v>0</v>
      </c>
      <c r="AR171" s="112">
        <f t="shared" si="1484"/>
        <v>0</v>
      </c>
      <c r="AS171" s="112">
        <f t="shared" si="1484"/>
        <v>0</v>
      </c>
      <c r="AT171" s="112">
        <f t="shared" si="1484"/>
        <v>0</v>
      </c>
      <c r="AU171" s="112">
        <f t="shared" si="1484"/>
        <v>0</v>
      </c>
      <c r="AV171" s="112">
        <f t="shared" si="1484"/>
        <v>0</v>
      </c>
      <c r="AW171" s="112">
        <f t="shared" si="1484"/>
        <v>0</v>
      </c>
      <c r="AX171" s="112">
        <f t="shared" si="1484"/>
        <v>0</v>
      </c>
      <c r="AY171" s="112">
        <f t="shared" si="1484"/>
        <v>0</v>
      </c>
      <c r="AZ171" s="112">
        <f t="shared" si="1484"/>
        <v>0</v>
      </c>
      <c r="BA171" s="112">
        <f t="shared" ref="BA171:BX171" si="1485">-BA170</f>
        <v>0</v>
      </c>
      <c r="BB171" s="112">
        <f t="shared" si="1485"/>
        <v>0</v>
      </c>
      <c r="BC171" s="112">
        <f t="shared" si="1485"/>
        <v>0</v>
      </c>
      <c r="BD171" s="112">
        <f t="shared" si="1485"/>
        <v>0</v>
      </c>
      <c r="BE171" s="112">
        <f t="shared" si="1485"/>
        <v>0</v>
      </c>
      <c r="BF171" s="112">
        <f t="shared" si="1485"/>
        <v>0</v>
      </c>
      <c r="BG171" s="112">
        <f t="shared" si="1485"/>
        <v>0</v>
      </c>
      <c r="BH171" s="112">
        <f t="shared" si="1485"/>
        <v>0</v>
      </c>
      <c r="BI171" s="112">
        <f t="shared" si="1485"/>
        <v>0</v>
      </c>
      <c r="BJ171" s="112">
        <f t="shared" si="1485"/>
        <v>0</v>
      </c>
      <c r="BK171" s="112">
        <f t="shared" si="1485"/>
        <v>0</v>
      </c>
      <c r="BL171" s="112">
        <f t="shared" si="1485"/>
        <v>0</v>
      </c>
      <c r="BM171" s="112">
        <f t="shared" si="1485"/>
        <v>0</v>
      </c>
      <c r="BN171" s="112">
        <f t="shared" si="1485"/>
        <v>0</v>
      </c>
      <c r="BO171" s="112">
        <f t="shared" si="1485"/>
        <v>0</v>
      </c>
      <c r="BP171" s="112">
        <f t="shared" si="1485"/>
        <v>0</v>
      </c>
      <c r="BQ171" s="112">
        <f t="shared" si="1485"/>
        <v>0</v>
      </c>
      <c r="BR171" s="112">
        <f t="shared" si="1485"/>
        <v>0</v>
      </c>
      <c r="BS171" s="112">
        <f t="shared" si="1485"/>
        <v>0</v>
      </c>
      <c r="BT171" s="112">
        <f t="shared" si="1485"/>
        <v>0</v>
      </c>
      <c r="BU171" s="112">
        <f t="shared" si="1485"/>
        <v>0</v>
      </c>
      <c r="BV171" s="112">
        <f t="shared" si="1485"/>
        <v>0</v>
      </c>
      <c r="BW171" s="112">
        <f t="shared" si="1485"/>
        <v>0</v>
      </c>
      <c r="BX171" s="112">
        <f t="shared" si="1485"/>
        <v>0</v>
      </c>
      <c r="BY171" s="8"/>
      <c r="BZ171" s="385">
        <f t="shared" si="1077"/>
        <v>0</v>
      </c>
      <c r="CA171" s="385">
        <f t="shared" si="1078"/>
        <v>0</v>
      </c>
      <c r="CB171" s="97"/>
      <c r="CC171" s="385">
        <f t="shared" si="1468"/>
        <v>0</v>
      </c>
      <c r="CD171" s="385">
        <f t="shared" si="1464"/>
        <v>0</v>
      </c>
      <c r="CE171" s="385">
        <f t="shared" si="1464"/>
        <v>0</v>
      </c>
      <c r="CF171" s="385">
        <f t="shared" si="1464"/>
        <v>0</v>
      </c>
      <c r="CG171" s="385">
        <f t="shared" si="1464"/>
        <v>0</v>
      </c>
      <c r="CH171" s="385">
        <f t="shared" si="1464"/>
        <v>0</v>
      </c>
      <c r="CI171" s="385">
        <f t="shared" si="1464"/>
        <v>0</v>
      </c>
      <c r="CJ171" s="385">
        <f t="shared" si="1464"/>
        <v>0</v>
      </c>
      <c r="CL171" s="13"/>
      <c r="CM171" s="13"/>
    </row>
    <row r="172" spans="1:91" x14ac:dyDescent="0.3">
      <c r="A172" s="97"/>
      <c r="B172" s="106"/>
      <c r="C172" s="106"/>
      <c r="D172" s="106"/>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8"/>
      <c r="BZ172" s="379"/>
      <c r="CA172" s="379"/>
      <c r="CB172" s="97"/>
      <c r="CC172" s="379">
        <f t="shared" si="1468"/>
        <v>0</v>
      </c>
      <c r="CD172" s="379">
        <f t="shared" si="1464"/>
        <v>0</v>
      </c>
      <c r="CE172" s="379">
        <f t="shared" si="1464"/>
        <v>0</v>
      </c>
      <c r="CF172" s="379">
        <f t="shared" si="1464"/>
        <v>0</v>
      </c>
      <c r="CG172" s="379">
        <f t="shared" si="1464"/>
        <v>0</v>
      </c>
      <c r="CH172" s="379">
        <f t="shared" si="1464"/>
        <v>0</v>
      </c>
      <c r="CI172" s="379">
        <f t="shared" si="1464"/>
        <v>0</v>
      </c>
      <c r="CJ172" s="379">
        <f t="shared" si="1464"/>
        <v>0</v>
      </c>
      <c r="CL172" s="13"/>
      <c r="CM172" s="13"/>
    </row>
    <row r="173" spans="1:91" ht="15" thickBot="1" x14ac:dyDescent="0.35">
      <c r="A173" s="97" t="str">
        <f>'DCS Detail'!A173</f>
        <v>Net Income</v>
      </c>
      <c r="B173" s="106" t="str">
        <f>IF('DCS Detail'!$B173="","",'DCS Detail'!$B173)</f>
        <v/>
      </c>
      <c r="C173" s="111">
        <f t="shared" ref="C173:AH173" si="1486">SUM(C23:C31,C33:C51)-SUM(C54:C73,C75:C84,C86:C95,C97:C98,C100:C112,C114:C122,C124:C139,C142:C156,C159:C161,C163:C165,C168:C169)</f>
        <v>0</v>
      </c>
      <c r="D173" s="111">
        <f t="shared" si="1486"/>
        <v>0</v>
      </c>
      <c r="E173" s="111">
        <f t="shared" si="1486"/>
        <v>115604.55</v>
      </c>
      <c r="F173" s="111">
        <f t="shared" si="1486"/>
        <v>60363.010000000017</v>
      </c>
      <c r="G173" s="111">
        <f t="shared" si="1486"/>
        <v>-9593.7399999999834</v>
      </c>
      <c r="H173" s="111">
        <f t="shared" si="1486"/>
        <v>78355.896999999997</v>
      </c>
      <c r="I173" s="111">
        <f t="shared" si="1486"/>
        <v>-55803.263999999996</v>
      </c>
      <c r="J173" s="111">
        <f t="shared" si="1486"/>
        <v>63909.8024</v>
      </c>
      <c r="K173" s="111">
        <f t="shared" si="1486"/>
        <v>-47597.330599999994</v>
      </c>
      <c r="L173" s="111">
        <f t="shared" si="1486"/>
        <v>14785.975200000044</v>
      </c>
      <c r="M173" s="111">
        <f t="shared" si="1486"/>
        <v>-1891.4400000000023</v>
      </c>
      <c r="N173" s="111">
        <f t="shared" si="1486"/>
        <v>71561.670000000013</v>
      </c>
      <c r="O173" s="111">
        <f t="shared" si="1486"/>
        <v>-56129.350000000006</v>
      </c>
      <c r="P173" s="111">
        <f t="shared" si="1486"/>
        <v>-44331.699999999983</v>
      </c>
      <c r="Q173" s="111">
        <f t="shared" si="1486"/>
        <v>28180.500000000004</v>
      </c>
      <c r="R173" s="111">
        <f t="shared" si="1486"/>
        <v>-506.17999999998574</v>
      </c>
      <c r="S173" s="111">
        <f t="shared" si="1486"/>
        <v>80670.75</v>
      </c>
      <c r="T173" s="111">
        <f t="shared" si="1486"/>
        <v>-93.710000000020955</v>
      </c>
      <c r="U173" s="111">
        <f t="shared" si="1486"/>
        <v>3116.9599999999773</v>
      </c>
      <c r="V173" s="111">
        <f t="shared" si="1486"/>
        <v>-1102.8799999999756</v>
      </c>
      <c r="W173" s="111">
        <f t="shared" si="1486"/>
        <v>1889.0700000000143</v>
      </c>
      <c r="X173" s="111">
        <f t="shared" si="1486"/>
        <v>-9146.2099999999773</v>
      </c>
      <c r="Y173" s="111">
        <f t="shared" si="1486"/>
        <v>2901.4700000000084</v>
      </c>
      <c r="Z173" s="111">
        <f t="shared" si="1486"/>
        <v>56723.299999999959</v>
      </c>
      <c r="AA173" s="111">
        <f t="shared" si="1486"/>
        <v>-1791.8100000000268</v>
      </c>
      <c r="AB173" s="111">
        <f t="shared" si="1486"/>
        <v>-19212.519449073006</v>
      </c>
      <c r="AC173" s="111">
        <f t="shared" si="1486"/>
        <v>39767.203233333334</v>
      </c>
      <c r="AD173" s="111">
        <f t="shared" si="1486"/>
        <v>5915.0301190102255</v>
      </c>
      <c r="AE173" s="111">
        <f t="shared" si="1486"/>
        <v>89075.488582112739</v>
      </c>
      <c r="AF173" s="111">
        <f t="shared" si="1486"/>
        <v>-2452.1844575362338</v>
      </c>
      <c r="AG173" s="111">
        <f t="shared" si="1486"/>
        <v>-4186.7225313456001</v>
      </c>
      <c r="AH173" s="111">
        <f t="shared" si="1486"/>
        <v>5551.2109968006771</v>
      </c>
      <c r="AI173" s="111">
        <f t="shared" ref="AI173:BN173" si="1487">SUM(AI23:AI31,AI33:AI51)-SUM(AI54:AI73,AI75:AI84,AI86:AI95,AI97:AI98,AI100:AI112,AI114:AI122,AI124:AI139,AI142:AI156,AI159:AI161,AI163:AI165,AI168:AI169)</f>
        <v>-32.117504075911711</v>
      </c>
      <c r="AJ173" s="111">
        <f t="shared" si="1487"/>
        <v>23995.188136966543</v>
      </c>
      <c r="AK173" s="111">
        <f t="shared" si="1487"/>
        <v>11416.734639216505</v>
      </c>
      <c r="AL173" s="111">
        <f t="shared" si="1487"/>
        <v>17172.790652841228</v>
      </c>
      <c r="AM173" s="111">
        <f t="shared" si="1487"/>
        <v>20914.398610159631</v>
      </c>
      <c r="AN173" s="111">
        <f t="shared" si="1487"/>
        <v>-35958.455089636787</v>
      </c>
      <c r="AO173" s="111">
        <f t="shared" si="1487"/>
        <v>45729.427720916676</v>
      </c>
      <c r="AP173" s="111">
        <f t="shared" si="1487"/>
        <v>24831.760912242331</v>
      </c>
      <c r="AQ173" s="111">
        <f t="shared" si="1487"/>
        <v>106658.07494953464</v>
      </c>
      <c r="AR173" s="111">
        <f t="shared" si="1487"/>
        <v>13481.097488503699</v>
      </c>
      <c r="AS173" s="111">
        <f t="shared" si="1487"/>
        <v>11600.552084185285</v>
      </c>
      <c r="AT173" s="111">
        <f t="shared" si="1487"/>
        <v>21730.166857042481</v>
      </c>
      <c r="AU173" s="111">
        <f t="shared" si="1487"/>
        <v>15238.267942378079</v>
      </c>
      <c r="AV173" s="111">
        <f t="shared" si="1487"/>
        <v>25352.207315764419</v>
      </c>
      <c r="AW173" s="111">
        <f t="shared" si="1487"/>
        <v>18064.44534815439</v>
      </c>
      <c r="AX173" s="111">
        <f t="shared" si="1487"/>
        <v>18761.106235825304</v>
      </c>
      <c r="AY173" s="111">
        <f t="shared" si="1487"/>
        <v>22660.478302396121</v>
      </c>
      <c r="AZ173" s="111">
        <f t="shared" si="1487"/>
        <v>-21831.75748594389</v>
      </c>
      <c r="BA173" s="111">
        <f t="shared" si="1487"/>
        <v>62270.166494284167</v>
      </c>
      <c r="BB173" s="111">
        <f t="shared" si="1487"/>
        <v>40069.641557788622</v>
      </c>
      <c r="BC173" s="111">
        <f t="shared" si="1487"/>
        <v>121267.71291577183</v>
      </c>
      <c r="BD173" s="111">
        <f t="shared" si="1487"/>
        <v>29718.945803133771</v>
      </c>
      <c r="BE173" s="111">
        <f t="shared" si="1487"/>
        <v>27731.00000578069</v>
      </c>
      <c r="BF173" s="111">
        <f t="shared" si="1487"/>
        <v>38249.112839086956</v>
      </c>
      <c r="BG173" s="111">
        <f t="shared" si="1487"/>
        <v>31531.910192499767</v>
      </c>
      <c r="BH173" s="111">
        <f t="shared" si="1487"/>
        <v>41949.748260225388</v>
      </c>
      <c r="BI173" s="111">
        <f t="shared" si="1487"/>
        <v>34445.333717294692</v>
      </c>
      <c r="BJ173" s="111">
        <f t="shared" si="1487"/>
        <v>35170.660171041076</v>
      </c>
      <c r="BK173" s="111">
        <f t="shared" si="1487"/>
        <v>39139.206246575748</v>
      </c>
      <c r="BL173" s="111">
        <f t="shared" si="1487"/>
        <v>-10355.910345202676</v>
      </c>
      <c r="BM173" s="111">
        <f t="shared" si="1487"/>
        <v>83708.409389979046</v>
      </c>
      <c r="BN173" s="111">
        <f t="shared" si="1487"/>
        <v>45238.7663933187</v>
      </c>
      <c r="BO173" s="111">
        <f t="shared" ref="BO173:BX173" si="1488">SUM(BO23:BO31,BO33:BO51)-SUM(BO54:BO73,BO75:BO84,BO86:BO95,BO97:BO98,BO100:BO112,BO114:BO122,BO124:BO139,BO142:BO156,BO159:BO161,BO163:BO165,BO168:BO169)</f>
        <v>125818.57934155469</v>
      </c>
      <c r="BP173" s="111">
        <f t="shared" si="1488"/>
        <v>34643.479015619931</v>
      </c>
      <c r="BQ173" s="111">
        <f t="shared" si="1488"/>
        <v>32522.972858881054</v>
      </c>
      <c r="BR173" s="111">
        <f t="shared" si="1488"/>
        <v>43472.881149550303</v>
      </c>
      <c r="BS173" s="111">
        <f t="shared" si="1488"/>
        <v>36529.697002800516</v>
      </c>
      <c r="BT173" s="111">
        <f t="shared" si="1488"/>
        <v>47886.766401777233</v>
      </c>
      <c r="BU173" s="111">
        <f t="shared" si="1488"/>
        <v>40158.105265200167</v>
      </c>
      <c r="BV173" s="111">
        <f t="shared" si="1488"/>
        <v>40938.181758116378</v>
      </c>
      <c r="BW173" s="111">
        <f t="shared" si="1488"/>
        <v>44953.151816123558</v>
      </c>
      <c r="BX173" s="111">
        <f t="shared" si="1488"/>
        <v>-5976.4795826541958</v>
      </c>
      <c r="BY173" s="8"/>
      <c r="BZ173" s="387">
        <f>SUM(BZ23:BZ31,BZ33:BZ51)-SUM(BZ54:BZ73,BZ75:BZ84,BZ86:BZ95,BZ97:BZ98,BZ100:BZ112,BZ114:BZ122,BZ124:BZ139,BZ142:BZ156,BZ159:BZ161,BZ163:BZ165,BZ168:BZ169)</f>
        <v>-1791.8100000000268</v>
      </c>
      <c r="CA173" s="387">
        <f>SUM(CA23:CA31,CA33:CA51)-SUM(CA54:CA73,CA75:CA84,CA86:CA95,CA97:CA98,CA100:CA112,CA114:CA122,CA124:CA139,CA142:CA156,CA159:CA161,CA163:CA165,CA168:CA169)</f>
        <v>160841.26000000024</v>
      </c>
      <c r="CB173" s="97"/>
      <c r="CC173" s="387">
        <f t="shared" si="1468"/>
        <v>0</v>
      </c>
      <c r="CD173" s="387">
        <f t="shared" si="1464"/>
        <v>0</v>
      </c>
      <c r="CE173" s="387">
        <f t="shared" si="1464"/>
        <v>189234.08000000013</v>
      </c>
      <c r="CF173" s="387">
        <f t="shared" si="1464"/>
        <v>141628.74055092697</v>
      </c>
      <c r="CG173" s="387">
        <f t="shared" si="1464"/>
        <v>171178.56538784632</v>
      </c>
      <c r="CH173" s="387">
        <f t="shared" si="1464"/>
        <v>302275.82767099945</v>
      </c>
      <c r="CI173" s="387">
        <f t="shared" si="1464"/>
        <v>491187.52785828011</v>
      </c>
      <c r="CJ173" s="387">
        <f t="shared" si="1464"/>
        <v>569894.5108102673</v>
      </c>
      <c r="CL173" s="13"/>
      <c r="CM173" s="13"/>
    </row>
    <row r="174" spans="1:91" ht="15" thickTop="1" x14ac:dyDescent="0.3">
      <c r="A174" s="107" t="s">
        <v>246</v>
      </c>
      <c r="B174" s="97"/>
      <c r="C174" s="58">
        <f>C167-C170-C173</f>
        <v>0</v>
      </c>
      <c r="D174" s="58">
        <f t="shared" ref="D174:CA174" si="1489">D167-D170-D173</f>
        <v>0</v>
      </c>
      <c r="E174" s="58">
        <f t="shared" si="1489"/>
        <v>0</v>
      </c>
      <c r="F174" s="58">
        <f t="shared" si="1489"/>
        <v>0</v>
      </c>
      <c r="G174" s="58">
        <f t="shared" si="1489"/>
        <v>-2.1827872842550278E-11</v>
      </c>
      <c r="H174" s="58">
        <f t="shared" si="1489"/>
        <v>0</v>
      </c>
      <c r="I174" s="58">
        <f t="shared" si="1489"/>
        <v>0</v>
      </c>
      <c r="J174" s="58">
        <f t="shared" si="1489"/>
        <v>0</v>
      </c>
      <c r="K174" s="58">
        <f t="shared" si="1489"/>
        <v>0</v>
      </c>
      <c r="L174" s="58">
        <f t="shared" si="1489"/>
        <v>0</v>
      </c>
      <c r="M174" s="58">
        <f t="shared" si="1489"/>
        <v>0</v>
      </c>
      <c r="N174" s="58">
        <f t="shared" si="1489"/>
        <v>0</v>
      </c>
      <c r="O174" s="58">
        <f t="shared" si="1489"/>
        <v>0</v>
      </c>
      <c r="P174" s="58">
        <f t="shared" si="1489"/>
        <v>0</v>
      </c>
      <c r="Q174" s="58">
        <f t="shared" si="1489"/>
        <v>0</v>
      </c>
      <c r="R174" s="58">
        <f t="shared" si="1489"/>
        <v>-1.4551915228366852E-11</v>
      </c>
      <c r="S174" s="58">
        <f t="shared" si="1489"/>
        <v>0</v>
      </c>
      <c r="T174" s="58">
        <f t="shared" si="1489"/>
        <v>2.9103830456733704E-11</v>
      </c>
      <c r="U174" s="58">
        <f t="shared" si="1489"/>
        <v>4.3655745685100555E-11</v>
      </c>
      <c r="V174" s="58">
        <f t="shared" si="1489"/>
        <v>-2.9103830456733704E-11</v>
      </c>
      <c r="W174" s="58">
        <f t="shared" si="1489"/>
        <v>-2.1827872842550278E-11</v>
      </c>
      <c r="X174" s="58">
        <f t="shared" si="1489"/>
        <v>-2.9103830456733704E-11</v>
      </c>
      <c r="Y174" s="58">
        <f t="shared" si="1489"/>
        <v>-7.2759576141834259E-12</v>
      </c>
      <c r="Z174" s="58">
        <f t="shared" si="1489"/>
        <v>0</v>
      </c>
      <c r="AA174" s="58">
        <f t="shared" si="1489"/>
        <v>2.9103830456733704E-11</v>
      </c>
      <c r="AB174" s="58">
        <f t="shared" si="1489"/>
        <v>-4.3655745685100555E-11</v>
      </c>
      <c r="AC174" s="58">
        <f t="shared" si="1489"/>
        <v>0</v>
      </c>
      <c r="AD174" s="58">
        <f t="shared" si="1489"/>
        <v>7.2759576141834259E-12</v>
      </c>
      <c r="AE174" s="58">
        <f t="shared" si="1489"/>
        <v>0</v>
      </c>
      <c r="AF174" s="58">
        <f t="shared" si="1489"/>
        <v>0</v>
      </c>
      <c r="AG174" s="58">
        <f t="shared" si="1489"/>
        <v>2.9103830456733704E-11</v>
      </c>
      <c r="AH174" s="58">
        <f t="shared" si="1489"/>
        <v>-7.2759576141834259E-12</v>
      </c>
      <c r="AI174" s="58">
        <f t="shared" si="1489"/>
        <v>0</v>
      </c>
      <c r="AJ174" s="58">
        <f t="shared" si="1489"/>
        <v>0</v>
      </c>
      <c r="AK174" s="58">
        <f t="shared" si="1489"/>
        <v>4.3655745685100555E-11</v>
      </c>
      <c r="AL174" s="58">
        <f t="shared" si="1489"/>
        <v>0</v>
      </c>
      <c r="AM174" s="58">
        <f t="shared" si="1489"/>
        <v>0</v>
      </c>
      <c r="AN174" s="58">
        <f t="shared" si="1489"/>
        <v>5.8207660913467407E-11</v>
      </c>
      <c r="AO174" s="58">
        <f t="shared" ref="AO174:AZ174" si="1490">AO167-AO170-AO173</f>
        <v>0</v>
      </c>
      <c r="AP174" s="58">
        <f t="shared" si="1490"/>
        <v>0</v>
      </c>
      <c r="AQ174" s="58">
        <f t="shared" si="1490"/>
        <v>0</v>
      </c>
      <c r="AR174" s="58">
        <f t="shared" si="1490"/>
        <v>1.4551915228366852E-11</v>
      </c>
      <c r="AS174" s="58">
        <f t="shared" si="1490"/>
        <v>-1.4551915228366852E-11</v>
      </c>
      <c r="AT174" s="58">
        <f t="shared" si="1490"/>
        <v>0</v>
      </c>
      <c r="AU174" s="58">
        <f t="shared" si="1490"/>
        <v>-1.4551915228366852E-11</v>
      </c>
      <c r="AV174" s="58">
        <f t="shared" si="1490"/>
        <v>0</v>
      </c>
      <c r="AW174" s="58">
        <f t="shared" si="1490"/>
        <v>2.9103830456733704E-11</v>
      </c>
      <c r="AX174" s="58">
        <f t="shared" si="1490"/>
        <v>0</v>
      </c>
      <c r="AY174" s="58">
        <f t="shared" si="1490"/>
        <v>0</v>
      </c>
      <c r="AZ174" s="58">
        <f t="shared" si="1490"/>
        <v>0</v>
      </c>
      <c r="BA174" s="58">
        <f t="shared" ref="BA174:BX174" si="1491">BA167-BA170-BA173</f>
        <v>0</v>
      </c>
      <c r="BB174" s="58">
        <f t="shared" si="1491"/>
        <v>0</v>
      </c>
      <c r="BC174" s="58">
        <f t="shared" si="1491"/>
        <v>0</v>
      </c>
      <c r="BD174" s="58">
        <f t="shared" si="1491"/>
        <v>0</v>
      </c>
      <c r="BE174" s="58">
        <f t="shared" si="1491"/>
        <v>-2.9103830456733704E-11</v>
      </c>
      <c r="BF174" s="58">
        <f t="shared" si="1491"/>
        <v>0</v>
      </c>
      <c r="BG174" s="58">
        <f t="shared" si="1491"/>
        <v>0</v>
      </c>
      <c r="BH174" s="58">
        <f t="shared" si="1491"/>
        <v>0</v>
      </c>
      <c r="BI174" s="58">
        <f t="shared" si="1491"/>
        <v>0</v>
      </c>
      <c r="BJ174" s="58">
        <f t="shared" si="1491"/>
        <v>0</v>
      </c>
      <c r="BK174" s="58">
        <f t="shared" si="1491"/>
        <v>0</v>
      </c>
      <c r="BL174" s="58">
        <f t="shared" si="1491"/>
        <v>2.9103830456733704E-11</v>
      </c>
      <c r="BM174" s="58">
        <f t="shared" si="1491"/>
        <v>0</v>
      </c>
      <c r="BN174" s="58">
        <f t="shared" si="1491"/>
        <v>0</v>
      </c>
      <c r="BO174" s="58">
        <f t="shared" si="1491"/>
        <v>0</v>
      </c>
      <c r="BP174" s="58">
        <f t="shared" si="1491"/>
        <v>0</v>
      </c>
      <c r="BQ174" s="58">
        <f t="shared" si="1491"/>
        <v>0</v>
      </c>
      <c r="BR174" s="58">
        <f t="shared" si="1491"/>
        <v>0</v>
      </c>
      <c r="BS174" s="58">
        <f t="shared" si="1491"/>
        <v>0</v>
      </c>
      <c r="BT174" s="58">
        <f t="shared" si="1491"/>
        <v>0</v>
      </c>
      <c r="BU174" s="58">
        <f t="shared" si="1491"/>
        <v>0</v>
      </c>
      <c r="BV174" s="58">
        <f t="shared" si="1491"/>
        <v>0</v>
      </c>
      <c r="BW174" s="58">
        <f t="shared" si="1491"/>
        <v>0</v>
      </c>
      <c r="BX174" s="58">
        <f t="shared" si="1491"/>
        <v>0</v>
      </c>
      <c r="BY174" s="56"/>
      <c r="BZ174" s="388">
        <f t="shared" si="1489"/>
        <v>2.9103830456733704E-11</v>
      </c>
      <c r="CA174" s="388">
        <f t="shared" si="1489"/>
        <v>-2.3283064365386963E-10</v>
      </c>
      <c r="CB174" s="97"/>
      <c r="CC174" s="388">
        <f t="shared" ref="CC174:CJ174" si="1492">CC167-CC170-CC173</f>
        <v>0</v>
      </c>
      <c r="CD174" s="388">
        <f t="shared" si="1492"/>
        <v>0</v>
      </c>
      <c r="CE174" s="388">
        <f t="shared" si="1492"/>
        <v>0</v>
      </c>
      <c r="CF174" s="388">
        <f t="shared" si="1492"/>
        <v>0</v>
      </c>
      <c r="CG174" s="388">
        <f t="shared" si="1492"/>
        <v>0</v>
      </c>
      <c r="CH174" s="388">
        <f t="shared" si="1492"/>
        <v>0</v>
      </c>
      <c r="CI174" s="388">
        <f t="shared" si="1492"/>
        <v>0</v>
      </c>
      <c r="CJ174" s="388">
        <f t="shared" si="1492"/>
        <v>0</v>
      </c>
    </row>
    <row r="175" spans="1:91" x14ac:dyDescent="0.3">
      <c r="A175" s="24" t="s">
        <v>384</v>
      </c>
      <c r="B175" s="95"/>
      <c r="C175" s="95"/>
      <c r="D175" s="95"/>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383"/>
      <c r="CA175" s="383"/>
      <c r="CB175" s="383"/>
      <c r="CC175" s="383"/>
      <c r="CD175" s="383"/>
      <c r="CE175" s="383"/>
      <c r="CF175" s="383"/>
      <c r="CG175" s="383"/>
      <c r="CH175" s="383"/>
      <c r="CI175" s="383"/>
      <c r="CJ175" s="383"/>
    </row>
    <row r="176" spans="1:91" x14ac:dyDescent="0.3">
      <c r="A176" s="97" t="str">
        <f>'DCS Detail'!A176</f>
        <v>Net Income</v>
      </c>
      <c r="B176" s="106" t="str">
        <f>IF('DCS Detail'!$B176="","",'DCS Detail'!$B176)</f>
        <v/>
      </c>
      <c r="C176" s="369"/>
      <c r="D176" s="369"/>
      <c r="E176" s="369">
        <f>E173</f>
        <v>115604.55</v>
      </c>
      <c r="F176" s="369">
        <f t="shared" ref="F176:BQ176" si="1493">F173</f>
        <v>60363.010000000017</v>
      </c>
      <c r="G176" s="369">
        <f t="shared" si="1493"/>
        <v>-9593.7399999999834</v>
      </c>
      <c r="H176" s="369">
        <f t="shared" si="1493"/>
        <v>78355.896999999997</v>
      </c>
      <c r="I176" s="369">
        <f t="shared" si="1493"/>
        <v>-55803.263999999996</v>
      </c>
      <c r="J176" s="369">
        <f t="shared" si="1493"/>
        <v>63909.8024</v>
      </c>
      <c r="K176" s="369">
        <f t="shared" si="1493"/>
        <v>-47597.330599999994</v>
      </c>
      <c r="L176" s="369">
        <f t="shared" si="1493"/>
        <v>14785.975200000044</v>
      </c>
      <c r="M176" s="369">
        <f t="shared" si="1493"/>
        <v>-1891.4400000000023</v>
      </c>
      <c r="N176" s="369">
        <f t="shared" si="1493"/>
        <v>71561.670000000013</v>
      </c>
      <c r="O176" s="369">
        <f t="shared" si="1493"/>
        <v>-56129.350000000006</v>
      </c>
      <c r="P176" s="369">
        <f t="shared" si="1493"/>
        <v>-44331.699999999983</v>
      </c>
      <c r="Q176" s="369">
        <f t="shared" si="1493"/>
        <v>28180.500000000004</v>
      </c>
      <c r="R176" s="369">
        <f t="shared" si="1493"/>
        <v>-506.17999999998574</v>
      </c>
      <c r="S176" s="369">
        <f t="shared" si="1493"/>
        <v>80670.75</v>
      </c>
      <c r="T176" s="369">
        <f t="shared" si="1493"/>
        <v>-93.710000000020955</v>
      </c>
      <c r="U176" s="369">
        <f t="shared" si="1493"/>
        <v>3116.9599999999773</v>
      </c>
      <c r="V176" s="369">
        <f t="shared" si="1493"/>
        <v>-1102.8799999999756</v>
      </c>
      <c r="W176" s="369">
        <f t="shared" si="1493"/>
        <v>1889.0700000000143</v>
      </c>
      <c r="X176" s="369">
        <f t="shared" si="1493"/>
        <v>-9146.2099999999773</v>
      </c>
      <c r="Y176" s="369">
        <f t="shared" si="1493"/>
        <v>2901.4700000000084</v>
      </c>
      <c r="Z176" s="369">
        <f t="shared" si="1493"/>
        <v>56723.299999999959</v>
      </c>
      <c r="AA176" s="369">
        <f t="shared" si="1493"/>
        <v>-1791.8100000000268</v>
      </c>
      <c r="AB176" s="369">
        <f t="shared" si="1493"/>
        <v>-19212.519449073006</v>
      </c>
      <c r="AC176" s="369">
        <f t="shared" si="1493"/>
        <v>39767.203233333334</v>
      </c>
      <c r="AD176" s="369">
        <f t="shared" si="1493"/>
        <v>5915.0301190102255</v>
      </c>
      <c r="AE176" s="369">
        <f t="shared" si="1493"/>
        <v>89075.488582112739</v>
      </c>
      <c r="AF176" s="369">
        <f t="shared" si="1493"/>
        <v>-2452.1844575362338</v>
      </c>
      <c r="AG176" s="369">
        <f t="shared" si="1493"/>
        <v>-4186.7225313456001</v>
      </c>
      <c r="AH176" s="369">
        <f t="shared" si="1493"/>
        <v>5551.2109968006771</v>
      </c>
      <c r="AI176" s="369">
        <f t="shared" si="1493"/>
        <v>-32.117504075911711</v>
      </c>
      <c r="AJ176" s="369">
        <f t="shared" si="1493"/>
        <v>23995.188136966543</v>
      </c>
      <c r="AK176" s="369">
        <f t="shared" si="1493"/>
        <v>11416.734639216505</v>
      </c>
      <c r="AL176" s="369">
        <f t="shared" si="1493"/>
        <v>17172.790652841228</v>
      </c>
      <c r="AM176" s="369">
        <f t="shared" si="1493"/>
        <v>20914.398610159631</v>
      </c>
      <c r="AN176" s="369">
        <f t="shared" si="1493"/>
        <v>-35958.455089636787</v>
      </c>
      <c r="AO176" s="369">
        <f t="shared" si="1493"/>
        <v>45729.427720916676</v>
      </c>
      <c r="AP176" s="369">
        <f t="shared" si="1493"/>
        <v>24831.760912242331</v>
      </c>
      <c r="AQ176" s="369">
        <f t="shared" si="1493"/>
        <v>106658.07494953464</v>
      </c>
      <c r="AR176" s="369">
        <f t="shared" si="1493"/>
        <v>13481.097488503699</v>
      </c>
      <c r="AS176" s="369">
        <f t="shared" si="1493"/>
        <v>11600.552084185285</v>
      </c>
      <c r="AT176" s="369">
        <f t="shared" si="1493"/>
        <v>21730.166857042481</v>
      </c>
      <c r="AU176" s="369">
        <f t="shared" si="1493"/>
        <v>15238.267942378079</v>
      </c>
      <c r="AV176" s="369">
        <f t="shared" si="1493"/>
        <v>25352.207315764419</v>
      </c>
      <c r="AW176" s="369">
        <f t="shared" si="1493"/>
        <v>18064.44534815439</v>
      </c>
      <c r="AX176" s="369">
        <f t="shared" si="1493"/>
        <v>18761.106235825304</v>
      </c>
      <c r="AY176" s="369">
        <f t="shared" si="1493"/>
        <v>22660.478302396121</v>
      </c>
      <c r="AZ176" s="369">
        <f t="shared" si="1493"/>
        <v>-21831.75748594389</v>
      </c>
      <c r="BA176" s="369">
        <f t="shared" si="1493"/>
        <v>62270.166494284167</v>
      </c>
      <c r="BB176" s="369">
        <f t="shared" si="1493"/>
        <v>40069.641557788622</v>
      </c>
      <c r="BC176" s="369">
        <f t="shared" si="1493"/>
        <v>121267.71291577183</v>
      </c>
      <c r="BD176" s="369">
        <f t="shared" si="1493"/>
        <v>29718.945803133771</v>
      </c>
      <c r="BE176" s="369">
        <f t="shared" si="1493"/>
        <v>27731.00000578069</v>
      </c>
      <c r="BF176" s="369">
        <f t="shared" si="1493"/>
        <v>38249.112839086956</v>
      </c>
      <c r="BG176" s="369">
        <f t="shared" si="1493"/>
        <v>31531.910192499767</v>
      </c>
      <c r="BH176" s="369">
        <f t="shared" si="1493"/>
        <v>41949.748260225388</v>
      </c>
      <c r="BI176" s="369">
        <f t="shared" si="1493"/>
        <v>34445.333717294692</v>
      </c>
      <c r="BJ176" s="369">
        <f t="shared" si="1493"/>
        <v>35170.660171041076</v>
      </c>
      <c r="BK176" s="369">
        <f t="shared" si="1493"/>
        <v>39139.206246575748</v>
      </c>
      <c r="BL176" s="369">
        <f t="shared" si="1493"/>
        <v>-10355.910345202676</v>
      </c>
      <c r="BM176" s="369">
        <f t="shared" si="1493"/>
        <v>83708.409389979046</v>
      </c>
      <c r="BN176" s="369">
        <f t="shared" si="1493"/>
        <v>45238.7663933187</v>
      </c>
      <c r="BO176" s="369">
        <f t="shared" si="1493"/>
        <v>125818.57934155469</v>
      </c>
      <c r="BP176" s="369">
        <f t="shared" si="1493"/>
        <v>34643.479015619931</v>
      </c>
      <c r="BQ176" s="369">
        <f t="shared" si="1493"/>
        <v>32522.972858881054</v>
      </c>
      <c r="BR176" s="369">
        <f t="shared" ref="BR176:CJ176" si="1494">BR173</f>
        <v>43472.881149550303</v>
      </c>
      <c r="BS176" s="369">
        <f t="shared" si="1494"/>
        <v>36529.697002800516</v>
      </c>
      <c r="BT176" s="369">
        <f t="shared" si="1494"/>
        <v>47886.766401777233</v>
      </c>
      <c r="BU176" s="369">
        <f t="shared" si="1494"/>
        <v>40158.105265200167</v>
      </c>
      <c r="BV176" s="369">
        <f t="shared" si="1494"/>
        <v>40938.181758116378</v>
      </c>
      <c r="BW176" s="369">
        <f t="shared" si="1494"/>
        <v>44953.151816123558</v>
      </c>
      <c r="BX176" s="369">
        <f t="shared" si="1494"/>
        <v>-5976.4795826541958</v>
      </c>
      <c r="BY176" s="369"/>
      <c r="BZ176" s="389">
        <f t="shared" si="1494"/>
        <v>-1791.8100000000268</v>
      </c>
      <c r="CA176" s="389">
        <f t="shared" si="1494"/>
        <v>160841.26000000024</v>
      </c>
      <c r="CB176" s="389"/>
      <c r="CC176" s="389">
        <f t="shared" si="1494"/>
        <v>0</v>
      </c>
      <c r="CD176" s="389">
        <f t="shared" si="1494"/>
        <v>0</v>
      </c>
      <c r="CE176" s="389">
        <f t="shared" si="1494"/>
        <v>189234.08000000013</v>
      </c>
      <c r="CF176" s="389">
        <f t="shared" si="1494"/>
        <v>141628.74055092697</v>
      </c>
      <c r="CG176" s="389">
        <f t="shared" si="1494"/>
        <v>171178.56538784632</v>
      </c>
      <c r="CH176" s="389">
        <f t="shared" si="1494"/>
        <v>302275.82767099945</v>
      </c>
      <c r="CI176" s="389">
        <f t="shared" si="1494"/>
        <v>491187.52785828011</v>
      </c>
      <c r="CJ176" s="389">
        <f t="shared" si="1494"/>
        <v>569894.5108102673</v>
      </c>
    </row>
    <row r="177" spans="1:88" x14ac:dyDescent="0.3">
      <c r="A177" s="97" t="str">
        <f>'DCS Detail'!A177</f>
        <v xml:space="preserve">   900 Interest Expense</v>
      </c>
      <c r="B177" s="106" t="str">
        <f>IF('DCS Detail'!$B177="","",'DCS Detail'!$B177)</f>
        <v>Interest</v>
      </c>
      <c r="C177" s="369"/>
      <c r="D177" s="369"/>
      <c r="E177" s="369">
        <f t="shared" ref="E177:N180" si="1495">SUMIF($A$21:$A$174,$A177,E$21:E$174)</f>
        <v>0</v>
      </c>
      <c r="F177" s="369">
        <f t="shared" si="1495"/>
        <v>0</v>
      </c>
      <c r="G177" s="369">
        <f t="shared" si="1495"/>
        <v>0</v>
      </c>
      <c r="H177" s="369">
        <f t="shared" si="1495"/>
        <v>0</v>
      </c>
      <c r="I177" s="369">
        <f t="shared" si="1495"/>
        <v>0</v>
      </c>
      <c r="J177" s="369">
        <f t="shared" si="1495"/>
        <v>0</v>
      </c>
      <c r="K177" s="369">
        <f t="shared" si="1495"/>
        <v>0</v>
      </c>
      <c r="L177" s="369">
        <f t="shared" si="1495"/>
        <v>0</v>
      </c>
      <c r="M177" s="369">
        <f t="shared" si="1495"/>
        <v>0</v>
      </c>
      <c r="N177" s="369">
        <f t="shared" si="1495"/>
        <v>0</v>
      </c>
      <c r="O177" s="369">
        <f t="shared" ref="O177:X180" si="1496">SUMIF($A$21:$A$174,$A177,O$21:O$174)</f>
        <v>0</v>
      </c>
      <c r="P177" s="369">
        <f t="shared" si="1496"/>
        <v>0</v>
      </c>
      <c r="Q177" s="369">
        <f t="shared" si="1496"/>
        <v>0</v>
      </c>
      <c r="R177" s="369">
        <f t="shared" si="1496"/>
        <v>0</v>
      </c>
      <c r="S177" s="369">
        <f t="shared" si="1496"/>
        <v>0</v>
      </c>
      <c r="T177" s="369">
        <f t="shared" si="1496"/>
        <v>0</v>
      </c>
      <c r="U177" s="369">
        <f t="shared" si="1496"/>
        <v>0</v>
      </c>
      <c r="V177" s="369">
        <f t="shared" si="1496"/>
        <v>0</v>
      </c>
      <c r="W177" s="369">
        <f t="shared" si="1496"/>
        <v>0</v>
      </c>
      <c r="X177" s="369">
        <f t="shared" si="1496"/>
        <v>0</v>
      </c>
      <c r="Y177" s="369">
        <f t="shared" ref="Y177:AH180" si="1497">SUMIF($A$21:$A$174,$A177,Y$21:Y$174)</f>
        <v>0</v>
      </c>
      <c r="Z177" s="369">
        <f t="shared" si="1497"/>
        <v>0</v>
      </c>
      <c r="AA177" s="369">
        <f t="shared" si="1497"/>
        <v>0</v>
      </c>
      <c r="AB177" s="369">
        <f t="shared" si="1497"/>
        <v>0</v>
      </c>
      <c r="AC177" s="369">
        <f t="shared" si="1497"/>
        <v>0</v>
      </c>
      <c r="AD177" s="369">
        <f t="shared" si="1497"/>
        <v>0</v>
      </c>
      <c r="AE177" s="369">
        <f t="shared" si="1497"/>
        <v>0</v>
      </c>
      <c r="AF177" s="369">
        <f t="shared" si="1497"/>
        <v>0</v>
      </c>
      <c r="AG177" s="369">
        <f t="shared" si="1497"/>
        <v>0</v>
      </c>
      <c r="AH177" s="369">
        <f t="shared" si="1497"/>
        <v>0</v>
      </c>
      <c r="AI177" s="369">
        <f t="shared" ref="AI177:AR180" si="1498">SUMIF($A$21:$A$174,$A177,AI$21:AI$174)</f>
        <v>0</v>
      </c>
      <c r="AJ177" s="369">
        <f t="shared" si="1498"/>
        <v>0</v>
      </c>
      <c r="AK177" s="369">
        <f t="shared" si="1498"/>
        <v>0</v>
      </c>
      <c r="AL177" s="369">
        <f t="shared" si="1498"/>
        <v>0</v>
      </c>
      <c r="AM177" s="369">
        <f t="shared" si="1498"/>
        <v>0</v>
      </c>
      <c r="AN177" s="369">
        <f t="shared" si="1498"/>
        <v>0</v>
      </c>
      <c r="AO177" s="369">
        <f t="shared" si="1498"/>
        <v>0</v>
      </c>
      <c r="AP177" s="369">
        <f t="shared" si="1498"/>
        <v>0</v>
      </c>
      <c r="AQ177" s="369">
        <f t="shared" si="1498"/>
        <v>0</v>
      </c>
      <c r="AR177" s="369">
        <f t="shared" si="1498"/>
        <v>0</v>
      </c>
      <c r="AS177" s="369">
        <f t="shared" ref="AS177:BB180" si="1499">SUMIF($A$21:$A$174,$A177,AS$21:AS$174)</f>
        <v>0</v>
      </c>
      <c r="AT177" s="369">
        <f t="shared" si="1499"/>
        <v>0</v>
      </c>
      <c r="AU177" s="369">
        <f t="shared" si="1499"/>
        <v>0</v>
      </c>
      <c r="AV177" s="369">
        <f t="shared" si="1499"/>
        <v>0</v>
      </c>
      <c r="AW177" s="369">
        <f t="shared" si="1499"/>
        <v>0</v>
      </c>
      <c r="AX177" s="369">
        <f t="shared" si="1499"/>
        <v>0</v>
      </c>
      <c r="AY177" s="369">
        <f t="shared" si="1499"/>
        <v>0</v>
      </c>
      <c r="AZ177" s="369">
        <f t="shared" si="1499"/>
        <v>0</v>
      </c>
      <c r="BA177" s="369">
        <f t="shared" si="1499"/>
        <v>0</v>
      </c>
      <c r="BB177" s="369">
        <f t="shared" si="1499"/>
        <v>0</v>
      </c>
      <c r="BC177" s="369">
        <f t="shared" ref="BC177:BL180" si="1500">SUMIF($A$21:$A$174,$A177,BC$21:BC$174)</f>
        <v>0</v>
      </c>
      <c r="BD177" s="369">
        <f t="shared" si="1500"/>
        <v>0</v>
      </c>
      <c r="BE177" s="369">
        <f t="shared" si="1500"/>
        <v>0</v>
      </c>
      <c r="BF177" s="369">
        <f t="shared" si="1500"/>
        <v>0</v>
      </c>
      <c r="BG177" s="369">
        <f t="shared" si="1500"/>
        <v>0</v>
      </c>
      <c r="BH177" s="369">
        <f t="shared" si="1500"/>
        <v>0</v>
      </c>
      <c r="BI177" s="369">
        <f t="shared" si="1500"/>
        <v>0</v>
      </c>
      <c r="BJ177" s="369">
        <f t="shared" si="1500"/>
        <v>0</v>
      </c>
      <c r="BK177" s="369">
        <f t="shared" si="1500"/>
        <v>0</v>
      </c>
      <c r="BL177" s="369">
        <f t="shared" si="1500"/>
        <v>0</v>
      </c>
      <c r="BM177" s="369">
        <f t="shared" ref="BM177:BX180" si="1501">SUMIF($A$21:$A$174,$A177,BM$21:BM$174)</f>
        <v>0</v>
      </c>
      <c r="BN177" s="369">
        <f t="shared" si="1501"/>
        <v>0</v>
      </c>
      <c r="BO177" s="369">
        <f t="shared" si="1501"/>
        <v>0</v>
      </c>
      <c r="BP177" s="369">
        <f t="shared" si="1501"/>
        <v>0</v>
      </c>
      <c r="BQ177" s="369">
        <f t="shared" si="1501"/>
        <v>0</v>
      </c>
      <c r="BR177" s="369">
        <f t="shared" si="1501"/>
        <v>0</v>
      </c>
      <c r="BS177" s="369">
        <f t="shared" si="1501"/>
        <v>0</v>
      </c>
      <c r="BT177" s="369">
        <f t="shared" si="1501"/>
        <v>0</v>
      </c>
      <c r="BU177" s="369">
        <f t="shared" si="1501"/>
        <v>0</v>
      </c>
      <c r="BV177" s="369">
        <f t="shared" si="1501"/>
        <v>0</v>
      </c>
      <c r="BW177" s="369">
        <f t="shared" si="1501"/>
        <v>0</v>
      </c>
      <c r="BX177" s="369">
        <f t="shared" si="1501"/>
        <v>0</v>
      </c>
      <c r="BY177" s="369"/>
      <c r="BZ177" s="389">
        <f>SUMIF($B$252:$BY$252,1,$B177:$BY177)</f>
        <v>0</v>
      </c>
      <c r="CA177" s="389">
        <f>SUMIF($B$253:$BY$253,1,$B177:$BY177)</f>
        <v>0</v>
      </c>
      <c r="CB177" s="389"/>
      <c r="CC177" s="389">
        <f t="shared" ref="CC177:CC181" si="1502">SUMIF($C$3:$BY$3,CC$3,$C177:$BY177)</f>
        <v>0</v>
      </c>
      <c r="CD177" s="389">
        <f t="shared" ref="CD177:CJ181" si="1503">SUMIF($C$3:$BY$3,CD$3,$C177:$BY177)</f>
        <v>0</v>
      </c>
      <c r="CE177" s="389">
        <f t="shared" si="1503"/>
        <v>0</v>
      </c>
      <c r="CF177" s="389">
        <f t="shared" si="1503"/>
        <v>0</v>
      </c>
      <c r="CG177" s="389">
        <f t="shared" si="1503"/>
        <v>0</v>
      </c>
      <c r="CH177" s="389">
        <f t="shared" si="1503"/>
        <v>0</v>
      </c>
      <c r="CI177" s="389">
        <f t="shared" si="1503"/>
        <v>0</v>
      </c>
      <c r="CJ177" s="389">
        <f t="shared" si="1503"/>
        <v>0</v>
      </c>
    </row>
    <row r="178" spans="1:88" x14ac:dyDescent="0.3">
      <c r="A178" s="97" t="str">
        <f>'DCS Detail'!A178</f>
        <v xml:space="preserve">         733.1 Depreciation</v>
      </c>
      <c r="B178" s="106" t="str">
        <f>IF('DCS Detail'!$B178="","",'DCS Detail'!$B178)</f>
        <v>Depreciation</v>
      </c>
      <c r="C178" s="369"/>
      <c r="D178" s="369"/>
      <c r="E178" s="369">
        <f t="shared" si="1495"/>
        <v>62.33</v>
      </c>
      <c r="F178" s="369">
        <f t="shared" si="1495"/>
        <v>62.33</v>
      </c>
      <c r="G178" s="369">
        <f t="shared" si="1495"/>
        <v>62.33</v>
      </c>
      <c r="H178" s="369">
        <f t="shared" si="1495"/>
        <v>62.33</v>
      </c>
      <c r="I178" s="369">
        <f t="shared" si="1495"/>
        <v>62.33</v>
      </c>
      <c r="J178" s="369">
        <f t="shared" si="1495"/>
        <v>62.33</v>
      </c>
      <c r="K178" s="369">
        <f t="shared" si="1495"/>
        <v>62.33</v>
      </c>
      <c r="L178" s="369">
        <f t="shared" si="1495"/>
        <v>62.330000000000041</v>
      </c>
      <c r="M178" s="369">
        <f t="shared" si="1495"/>
        <v>1330.49</v>
      </c>
      <c r="N178" s="369">
        <f t="shared" si="1495"/>
        <v>302.52</v>
      </c>
      <c r="O178" s="369">
        <f t="shared" si="1496"/>
        <v>302.52</v>
      </c>
      <c r="P178" s="369">
        <f t="shared" si="1496"/>
        <v>302.52</v>
      </c>
      <c r="Q178" s="369">
        <f t="shared" si="1496"/>
        <v>302.52</v>
      </c>
      <c r="R178" s="369">
        <f t="shared" si="1496"/>
        <v>302.52</v>
      </c>
      <c r="S178" s="369">
        <f t="shared" si="1496"/>
        <v>302.52</v>
      </c>
      <c r="T178" s="369">
        <f t="shared" si="1496"/>
        <v>302.52</v>
      </c>
      <c r="U178" s="369">
        <f t="shared" si="1496"/>
        <v>302.52</v>
      </c>
      <c r="V178" s="369">
        <f t="shared" si="1496"/>
        <v>302.52</v>
      </c>
      <c r="W178" s="369">
        <f t="shared" si="1496"/>
        <v>302.52</v>
      </c>
      <c r="X178" s="369">
        <f t="shared" si="1496"/>
        <v>302.52</v>
      </c>
      <c r="Y178" s="369">
        <f t="shared" si="1497"/>
        <v>302.52</v>
      </c>
      <c r="Z178" s="369">
        <f t="shared" si="1497"/>
        <v>302.52</v>
      </c>
      <c r="AA178" s="369">
        <f t="shared" si="1497"/>
        <v>302.52</v>
      </c>
      <c r="AB178" s="369">
        <f t="shared" si="1497"/>
        <v>302.52</v>
      </c>
      <c r="AC178" s="369">
        <f t="shared" si="1497"/>
        <v>302.52</v>
      </c>
      <c r="AD178" s="369">
        <f t="shared" si="1497"/>
        <v>302.52</v>
      </c>
      <c r="AE178" s="369">
        <f t="shared" si="1497"/>
        <v>302.52</v>
      </c>
      <c r="AF178" s="369">
        <f t="shared" si="1497"/>
        <v>302.52</v>
      </c>
      <c r="AG178" s="369">
        <f t="shared" si="1497"/>
        <v>302.52</v>
      </c>
      <c r="AH178" s="369">
        <f t="shared" si="1497"/>
        <v>302.52</v>
      </c>
      <c r="AI178" s="369">
        <f t="shared" si="1498"/>
        <v>302.52</v>
      </c>
      <c r="AJ178" s="369">
        <f t="shared" si="1498"/>
        <v>302.52</v>
      </c>
      <c r="AK178" s="369">
        <f t="shared" si="1498"/>
        <v>302.52</v>
      </c>
      <c r="AL178" s="369">
        <f t="shared" si="1498"/>
        <v>302.52</v>
      </c>
      <c r="AM178" s="369">
        <f t="shared" si="1498"/>
        <v>302.52</v>
      </c>
      <c r="AN178" s="369">
        <f t="shared" si="1498"/>
        <v>302.52</v>
      </c>
      <c r="AO178" s="369">
        <f t="shared" si="1498"/>
        <v>302.52</v>
      </c>
      <c r="AP178" s="369">
        <f t="shared" si="1498"/>
        <v>302.52</v>
      </c>
      <c r="AQ178" s="369">
        <f t="shared" si="1498"/>
        <v>302.52</v>
      </c>
      <c r="AR178" s="369">
        <f t="shared" si="1498"/>
        <v>302.52</v>
      </c>
      <c r="AS178" s="369">
        <f t="shared" si="1499"/>
        <v>302.52</v>
      </c>
      <c r="AT178" s="369">
        <f t="shared" si="1499"/>
        <v>302.52</v>
      </c>
      <c r="AU178" s="369">
        <f t="shared" si="1499"/>
        <v>302.52</v>
      </c>
      <c r="AV178" s="369">
        <f t="shared" si="1499"/>
        <v>302.52</v>
      </c>
      <c r="AW178" s="369">
        <f t="shared" si="1499"/>
        <v>302.52</v>
      </c>
      <c r="AX178" s="369">
        <f t="shared" si="1499"/>
        <v>302.52</v>
      </c>
      <c r="AY178" s="369">
        <f t="shared" si="1499"/>
        <v>302.52</v>
      </c>
      <c r="AZ178" s="369">
        <f t="shared" si="1499"/>
        <v>302.52</v>
      </c>
      <c r="BA178" s="369">
        <f t="shared" si="1499"/>
        <v>302.52</v>
      </c>
      <c r="BB178" s="369">
        <f t="shared" si="1499"/>
        <v>302.52</v>
      </c>
      <c r="BC178" s="369">
        <f t="shared" si="1500"/>
        <v>302.52</v>
      </c>
      <c r="BD178" s="369">
        <f t="shared" si="1500"/>
        <v>302.52</v>
      </c>
      <c r="BE178" s="369">
        <f t="shared" si="1500"/>
        <v>302.52</v>
      </c>
      <c r="BF178" s="369">
        <f t="shared" si="1500"/>
        <v>302.52</v>
      </c>
      <c r="BG178" s="369">
        <f t="shared" si="1500"/>
        <v>302.52</v>
      </c>
      <c r="BH178" s="369">
        <f t="shared" si="1500"/>
        <v>302.52</v>
      </c>
      <c r="BI178" s="369">
        <f t="shared" si="1500"/>
        <v>302.52</v>
      </c>
      <c r="BJ178" s="369">
        <f t="shared" si="1500"/>
        <v>302.52</v>
      </c>
      <c r="BK178" s="369">
        <f t="shared" si="1500"/>
        <v>302.52</v>
      </c>
      <c r="BL178" s="369">
        <f t="shared" si="1500"/>
        <v>302.52</v>
      </c>
      <c r="BM178" s="369">
        <f t="shared" si="1501"/>
        <v>302.52</v>
      </c>
      <c r="BN178" s="369">
        <f t="shared" si="1501"/>
        <v>302.52</v>
      </c>
      <c r="BO178" s="369">
        <f t="shared" si="1501"/>
        <v>302.52</v>
      </c>
      <c r="BP178" s="369">
        <f t="shared" si="1501"/>
        <v>302.52</v>
      </c>
      <c r="BQ178" s="369">
        <f t="shared" si="1501"/>
        <v>302.52</v>
      </c>
      <c r="BR178" s="369">
        <f t="shared" si="1501"/>
        <v>302.52</v>
      </c>
      <c r="BS178" s="369">
        <f t="shared" si="1501"/>
        <v>302.52</v>
      </c>
      <c r="BT178" s="369">
        <f t="shared" si="1501"/>
        <v>302.52</v>
      </c>
      <c r="BU178" s="369">
        <f t="shared" si="1501"/>
        <v>302.52</v>
      </c>
      <c r="BV178" s="369">
        <f t="shared" si="1501"/>
        <v>302.52</v>
      </c>
      <c r="BW178" s="369">
        <f t="shared" si="1501"/>
        <v>302.52</v>
      </c>
      <c r="BX178" s="369">
        <f t="shared" si="1501"/>
        <v>302.52</v>
      </c>
      <c r="BY178" s="369"/>
      <c r="BZ178" s="389">
        <f>SUMIF($B$252:$BY$252,1,$B178:$BY178)</f>
        <v>302.52</v>
      </c>
      <c r="CA178" s="389">
        <f>SUMIF($B$253:$BY$253,1,$B178:$BY178)</f>
        <v>3327.72</v>
      </c>
      <c r="CB178" s="389"/>
      <c r="CC178" s="389">
        <f t="shared" si="1502"/>
        <v>0</v>
      </c>
      <c r="CD178" s="389">
        <f t="shared" si="1503"/>
        <v>0</v>
      </c>
      <c r="CE178" s="389">
        <f t="shared" si="1503"/>
        <v>2736.69</v>
      </c>
      <c r="CF178" s="389">
        <f t="shared" si="1503"/>
        <v>3630.24</v>
      </c>
      <c r="CG178" s="389">
        <f t="shared" si="1503"/>
        <v>3630.24</v>
      </c>
      <c r="CH178" s="389">
        <f t="shared" si="1503"/>
        <v>3630.24</v>
      </c>
      <c r="CI178" s="389">
        <f t="shared" si="1503"/>
        <v>3630.24</v>
      </c>
      <c r="CJ178" s="389">
        <f t="shared" si="1503"/>
        <v>3630.24</v>
      </c>
    </row>
    <row r="179" spans="1:88" x14ac:dyDescent="0.3">
      <c r="A179" s="97" t="str">
        <f>'DCS Detail'!A179</f>
        <v xml:space="preserve">      231.4 PERS</v>
      </c>
      <c r="B179" s="106" t="str">
        <f>IF('DCS Detail'!$B179="","",'DCS Detail'!$B179)</f>
        <v>Non-Operating</v>
      </c>
      <c r="C179" s="369"/>
      <c r="D179" s="369"/>
      <c r="E179" s="369">
        <f t="shared" si="1495"/>
        <v>0</v>
      </c>
      <c r="F179" s="369">
        <f t="shared" si="1495"/>
        <v>0</v>
      </c>
      <c r="G179" s="369">
        <f t="shared" si="1495"/>
        <v>0</v>
      </c>
      <c r="H179" s="369">
        <f t="shared" si="1495"/>
        <v>0</v>
      </c>
      <c r="I179" s="369">
        <f t="shared" si="1495"/>
        <v>0</v>
      </c>
      <c r="J179" s="369">
        <f t="shared" si="1495"/>
        <v>0</v>
      </c>
      <c r="K179" s="369">
        <f t="shared" si="1495"/>
        <v>0</v>
      </c>
      <c r="L179" s="369">
        <f t="shared" si="1495"/>
        <v>0</v>
      </c>
      <c r="M179" s="369">
        <f t="shared" si="1495"/>
        <v>0</v>
      </c>
      <c r="N179" s="369">
        <f t="shared" si="1495"/>
        <v>0</v>
      </c>
      <c r="O179" s="369">
        <f t="shared" si="1496"/>
        <v>0</v>
      </c>
      <c r="P179" s="369">
        <f t="shared" si="1496"/>
        <v>10913.32</v>
      </c>
      <c r="Q179" s="369">
        <f t="shared" si="1496"/>
        <v>0</v>
      </c>
      <c r="R179" s="369">
        <f t="shared" si="1496"/>
        <v>0</v>
      </c>
      <c r="S179" s="369">
        <f t="shared" si="1496"/>
        <v>0</v>
      </c>
      <c r="T179" s="369">
        <f t="shared" si="1496"/>
        <v>0</v>
      </c>
      <c r="U179" s="369">
        <f t="shared" si="1496"/>
        <v>0</v>
      </c>
      <c r="V179" s="369">
        <f t="shared" si="1496"/>
        <v>0</v>
      </c>
      <c r="W179" s="369">
        <f t="shared" si="1496"/>
        <v>0</v>
      </c>
      <c r="X179" s="369">
        <f t="shared" si="1496"/>
        <v>0</v>
      </c>
      <c r="Y179" s="369">
        <f t="shared" si="1497"/>
        <v>0</v>
      </c>
      <c r="Z179" s="369">
        <f t="shared" si="1497"/>
        <v>0</v>
      </c>
      <c r="AA179" s="369">
        <f t="shared" si="1497"/>
        <v>0</v>
      </c>
      <c r="AB179" s="369">
        <f t="shared" si="1497"/>
        <v>0</v>
      </c>
      <c r="AC179" s="369">
        <f t="shared" si="1497"/>
        <v>0</v>
      </c>
      <c r="AD179" s="369">
        <f t="shared" si="1497"/>
        <v>0</v>
      </c>
      <c r="AE179" s="369">
        <f t="shared" si="1497"/>
        <v>0</v>
      </c>
      <c r="AF179" s="369">
        <f t="shared" si="1497"/>
        <v>0</v>
      </c>
      <c r="AG179" s="369">
        <f t="shared" si="1497"/>
        <v>0</v>
      </c>
      <c r="AH179" s="369">
        <f t="shared" si="1497"/>
        <v>0</v>
      </c>
      <c r="AI179" s="369">
        <f t="shared" si="1498"/>
        <v>0</v>
      </c>
      <c r="AJ179" s="369">
        <f t="shared" si="1498"/>
        <v>0</v>
      </c>
      <c r="AK179" s="369">
        <f t="shared" si="1498"/>
        <v>0</v>
      </c>
      <c r="AL179" s="369">
        <f t="shared" si="1498"/>
        <v>0</v>
      </c>
      <c r="AM179" s="369">
        <f t="shared" si="1498"/>
        <v>0</v>
      </c>
      <c r="AN179" s="369">
        <f t="shared" si="1498"/>
        <v>0</v>
      </c>
      <c r="AO179" s="369">
        <f t="shared" si="1498"/>
        <v>0</v>
      </c>
      <c r="AP179" s="369">
        <f t="shared" si="1498"/>
        <v>0</v>
      </c>
      <c r="AQ179" s="369">
        <f t="shared" si="1498"/>
        <v>0</v>
      </c>
      <c r="AR179" s="369">
        <f t="shared" si="1498"/>
        <v>0</v>
      </c>
      <c r="AS179" s="369">
        <f t="shared" si="1499"/>
        <v>0</v>
      </c>
      <c r="AT179" s="369">
        <f t="shared" si="1499"/>
        <v>0</v>
      </c>
      <c r="AU179" s="369">
        <f t="shared" si="1499"/>
        <v>0</v>
      </c>
      <c r="AV179" s="369">
        <f t="shared" si="1499"/>
        <v>0</v>
      </c>
      <c r="AW179" s="369">
        <f t="shared" si="1499"/>
        <v>0</v>
      </c>
      <c r="AX179" s="369">
        <f t="shared" si="1499"/>
        <v>0</v>
      </c>
      <c r="AY179" s="369">
        <f t="shared" si="1499"/>
        <v>0</v>
      </c>
      <c r="AZ179" s="369">
        <f t="shared" si="1499"/>
        <v>0</v>
      </c>
      <c r="BA179" s="369">
        <f t="shared" si="1499"/>
        <v>0</v>
      </c>
      <c r="BB179" s="369">
        <f t="shared" si="1499"/>
        <v>0</v>
      </c>
      <c r="BC179" s="369">
        <f t="shared" si="1500"/>
        <v>0</v>
      </c>
      <c r="BD179" s="369">
        <f t="shared" si="1500"/>
        <v>0</v>
      </c>
      <c r="BE179" s="369">
        <f t="shared" si="1500"/>
        <v>0</v>
      </c>
      <c r="BF179" s="369">
        <f t="shared" si="1500"/>
        <v>0</v>
      </c>
      <c r="BG179" s="369">
        <f t="shared" si="1500"/>
        <v>0</v>
      </c>
      <c r="BH179" s="369">
        <f t="shared" si="1500"/>
        <v>0</v>
      </c>
      <c r="BI179" s="369">
        <f t="shared" si="1500"/>
        <v>0</v>
      </c>
      <c r="BJ179" s="369">
        <f t="shared" si="1500"/>
        <v>0</v>
      </c>
      <c r="BK179" s="369">
        <f t="shared" si="1500"/>
        <v>0</v>
      </c>
      <c r="BL179" s="369">
        <f t="shared" si="1500"/>
        <v>0</v>
      </c>
      <c r="BM179" s="369">
        <f t="shared" si="1501"/>
        <v>0</v>
      </c>
      <c r="BN179" s="369">
        <f t="shared" si="1501"/>
        <v>0</v>
      </c>
      <c r="BO179" s="369">
        <f t="shared" si="1501"/>
        <v>0</v>
      </c>
      <c r="BP179" s="369">
        <f t="shared" si="1501"/>
        <v>0</v>
      </c>
      <c r="BQ179" s="369">
        <f t="shared" si="1501"/>
        <v>0</v>
      </c>
      <c r="BR179" s="369">
        <f t="shared" si="1501"/>
        <v>0</v>
      </c>
      <c r="BS179" s="369">
        <f t="shared" si="1501"/>
        <v>0</v>
      </c>
      <c r="BT179" s="369">
        <f t="shared" si="1501"/>
        <v>0</v>
      </c>
      <c r="BU179" s="369">
        <f t="shared" si="1501"/>
        <v>0</v>
      </c>
      <c r="BV179" s="369">
        <f t="shared" si="1501"/>
        <v>0</v>
      </c>
      <c r="BW179" s="369">
        <f t="shared" si="1501"/>
        <v>0</v>
      </c>
      <c r="BX179" s="369">
        <f t="shared" si="1501"/>
        <v>0</v>
      </c>
      <c r="BY179" s="369"/>
      <c r="BZ179" s="389">
        <f>SUMIF($B$252:$BY$252,1,$B179:$BY179)</f>
        <v>0</v>
      </c>
      <c r="CA179" s="389">
        <f>SUMIF($B$253:$BY$253,1,$B179:$BY179)</f>
        <v>0</v>
      </c>
      <c r="CB179" s="389"/>
      <c r="CC179" s="389">
        <f t="shared" si="1502"/>
        <v>0</v>
      </c>
      <c r="CD179" s="389">
        <f t="shared" si="1503"/>
        <v>0</v>
      </c>
      <c r="CE179" s="389">
        <f t="shared" si="1503"/>
        <v>10913.32</v>
      </c>
      <c r="CF179" s="389">
        <f t="shared" si="1503"/>
        <v>0</v>
      </c>
      <c r="CG179" s="389">
        <f t="shared" si="1503"/>
        <v>0</v>
      </c>
      <c r="CH179" s="389">
        <f t="shared" si="1503"/>
        <v>0</v>
      </c>
      <c r="CI179" s="389">
        <f t="shared" si="1503"/>
        <v>0</v>
      </c>
      <c r="CJ179" s="389">
        <f t="shared" si="1503"/>
        <v>0</v>
      </c>
    </row>
    <row r="180" spans="1:88" x14ac:dyDescent="0.3">
      <c r="A180" s="97" t="str">
        <f>'DCS Detail'!A180</f>
        <v xml:space="preserve">   312.2 Receiver</v>
      </c>
      <c r="B180" s="106" t="str">
        <f>IF('DCS Detail'!$B180="","",'DCS Detail'!$B180)</f>
        <v>Non-Operating</v>
      </c>
      <c r="C180" s="369"/>
      <c r="D180" s="369"/>
      <c r="E180" s="369">
        <f t="shared" si="1495"/>
        <v>0</v>
      </c>
      <c r="F180" s="369">
        <f t="shared" si="1495"/>
        <v>0</v>
      </c>
      <c r="G180" s="369">
        <f t="shared" si="1495"/>
        <v>0</v>
      </c>
      <c r="H180" s="369">
        <f t="shared" si="1495"/>
        <v>0</v>
      </c>
      <c r="I180" s="369">
        <f t="shared" si="1495"/>
        <v>0</v>
      </c>
      <c r="J180" s="369">
        <f t="shared" si="1495"/>
        <v>-3300</v>
      </c>
      <c r="K180" s="369">
        <f t="shared" si="1495"/>
        <v>0</v>
      </c>
      <c r="L180" s="369">
        <f t="shared" si="1495"/>
        <v>0</v>
      </c>
      <c r="M180" s="369">
        <f t="shared" si="1495"/>
        <v>0</v>
      </c>
      <c r="N180" s="369">
        <f t="shared" si="1495"/>
        <v>0</v>
      </c>
      <c r="O180" s="369">
        <f t="shared" si="1496"/>
        <v>0</v>
      </c>
      <c r="P180" s="369">
        <f t="shared" si="1496"/>
        <v>0</v>
      </c>
      <c r="Q180" s="369">
        <f t="shared" si="1496"/>
        <v>0</v>
      </c>
      <c r="R180" s="369">
        <f t="shared" si="1496"/>
        <v>0</v>
      </c>
      <c r="S180" s="369">
        <f t="shared" si="1496"/>
        <v>0</v>
      </c>
      <c r="T180" s="369">
        <f t="shared" si="1496"/>
        <v>0</v>
      </c>
      <c r="U180" s="369">
        <f t="shared" si="1496"/>
        <v>0</v>
      </c>
      <c r="V180" s="369">
        <f t="shared" si="1496"/>
        <v>0</v>
      </c>
      <c r="W180" s="369">
        <f t="shared" si="1496"/>
        <v>0</v>
      </c>
      <c r="X180" s="369">
        <f t="shared" si="1496"/>
        <v>0</v>
      </c>
      <c r="Y180" s="369">
        <f t="shared" si="1497"/>
        <v>0</v>
      </c>
      <c r="Z180" s="369">
        <f t="shared" si="1497"/>
        <v>0</v>
      </c>
      <c r="AA180" s="369">
        <f t="shared" si="1497"/>
        <v>0</v>
      </c>
      <c r="AB180" s="369">
        <f t="shared" si="1497"/>
        <v>0</v>
      </c>
      <c r="AC180" s="369">
        <f t="shared" si="1497"/>
        <v>0</v>
      </c>
      <c r="AD180" s="369">
        <f t="shared" si="1497"/>
        <v>0</v>
      </c>
      <c r="AE180" s="369">
        <f t="shared" si="1497"/>
        <v>0</v>
      </c>
      <c r="AF180" s="369">
        <f t="shared" si="1497"/>
        <v>0</v>
      </c>
      <c r="AG180" s="369">
        <f t="shared" si="1497"/>
        <v>0</v>
      </c>
      <c r="AH180" s="369">
        <f t="shared" si="1497"/>
        <v>0</v>
      </c>
      <c r="AI180" s="369">
        <f t="shared" si="1498"/>
        <v>0</v>
      </c>
      <c r="AJ180" s="369">
        <f t="shared" si="1498"/>
        <v>0</v>
      </c>
      <c r="AK180" s="369">
        <f t="shared" si="1498"/>
        <v>0</v>
      </c>
      <c r="AL180" s="369">
        <f t="shared" si="1498"/>
        <v>0</v>
      </c>
      <c r="AM180" s="369">
        <f t="shared" si="1498"/>
        <v>0</v>
      </c>
      <c r="AN180" s="369">
        <f t="shared" si="1498"/>
        <v>0</v>
      </c>
      <c r="AO180" s="369">
        <f t="shared" si="1498"/>
        <v>0</v>
      </c>
      <c r="AP180" s="369">
        <f t="shared" si="1498"/>
        <v>0</v>
      </c>
      <c r="AQ180" s="369">
        <f t="shared" si="1498"/>
        <v>0</v>
      </c>
      <c r="AR180" s="369">
        <f t="shared" si="1498"/>
        <v>0</v>
      </c>
      <c r="AS180" s="369">
        <f t="shared" si="1499"/>
        <v>0</v>
      </c>
      <c r="AT180" s="369">
        <f t="shared" si="1499"/>
        <v>0</v>
      </c>
      <c r="AU180" s="369">
        <f t="shared" si="1499"/>
        <v>0</v>
      </c>
      <c r="AV180" s="369">
        <f t="shared" si="1499"/>
        <v>0</v>
      </c>
      <c r="AW180" s="369">
        <f t="shared" si="1499"/>
        <v>0</v>
      </c>
      <c r="AX180" s="369">
        <f t="shared" si="1499"/>
        <v>0</v>
      </c>
      <c r="AY180" s="369">
        <f t="shared" si="1499"/>
        <v>0</v>
      </c>
      <c r="AZ180" s="369">
        <f t="shared" si="1499"/>
        <v>0</v>
      </c>
      <c r="BA180" s="369">
        <f t="shared" si="1499"/>
        <v>0</v>
      </c>
      <c r="BB180" s="369">
        <f t="shared" si="1499"/>
        <v>0</v>
      </c>
      <c r="BC180" s="369">
        <f t="shared" si="1500"/>
        <v>0</v>
      </c>
      <c r="BD180" s="369">
        <f t="shared" si="1500"/>
        <v>0</v>
      </c>
      <c r="BE180" s="369">
        <f t="shared" si="1500"/>
        <v>0</v>
      </c>
      <c r="BF180" s="369">
        <f t="shared" si="1500"/>
        <v>0</v>
      </c>
      <c r="BG180" s="369">
        <f t="shared" si="1500"/>
        <v>0</v>
      </c>
      <c r="BH180" s="369">
        <f t="shared" si="1500"/>
        <v>0</v>
      </c>
      <c r="BI180" s="369">
        <f t="shared" si="1500"/>
        <v>0</v>
      </c>
      <c r="BJ180" s="369">
        <f t="shared" si="1500"/>
        <v>0</v>
      </c>
      <c r="BK180" s="369">
        <f t="shared" si="1500"/>
        <v>0</v>
      </c>
      <c r="BL180" s="369">
        <f t="shared" si="1500"/>
        <v>0</v>
      </c>
      <c r="BM180" s="369">
        <f t="shared" si="1501"/>
        <v>0</v>
      </c>
      <c r="BN180" s="369">
        <f t="shared" si="1501"/>
        <v>0</v>
      </c>
      <c r="BO180" s="369">
        <f t="shared" si="1501"/>
        <v>0</v>
      </c>
      <c r="BP180" s="369">
        <f t="shared" si="1501"/>
        <v>0</v>
      </c>
      <c r="BQ180" s="369">
        <f t="shared" si="1501"/>
        <v>0</v>
      </c>
      <c r="BR180" s="369">
        <f t="shared" si="1501"/>
        <v>0</v>
      </c>
      <c r="BS180" s="369">
        <f t="shared" si="1501"/>
        <v>0</v>
      </c>
      <c r="BT180" s="369">
        <f t="shared" si="1501"/>
        <v>0</v>
      </c>
      <c r="BU180" s="369">
        <f t="shared" si="1501"/>
        <v>0</v>
      </c>
      <c r="BV180" s="369">
        <f t="shared" si="1501"/>
        <v>0</v>
      </c>
      <c r="BW180" s="369">
        <f t="shared" si="1501"/>
        <v>0</v>
      </c>
      <c r="BX180" s="369">
        <f t="shared" si="1501"/>
        <v>0</v>
      </c>
      <c r="BY180" s="369"/>
      <c r="BZ180" s="389">
        <f>SUMIF($B$252:$BY$252,1,$B180:$BY180)</f>
        <v>0</v>
      </c>
      <c r="CA180" s="389">
        <f>SUMIF($B$253:$BY$253,1,$B180:$BY180)</f>
        <v>0</v>
      </c>
      <c r="CB180" s="389"/>
      <c r="CC180" s="389">
        <f t="shared" si="1502"/>
        <v>0</v>
      </c>
      <c r="CD180" s="389">
        <f t="shared" si="1503"/>
        <v>0</v>
      </c>
      <c r="CE180" s="389">
        <f t="shared" si="1503"/>
        <v>-3300</v>
      </c>
      <c r="CF180" s="389">
        <f t="shared" si="1503"/>
        <v>0</v>
      </c>
      <c r="CG180" s="389">
        <f t="shared" si="1503"/>
        <v>0</v>
      </c>
      <c r="CH180" s="389">
        <f t="shared" si="1503"/>
        <v>0</v>
      </c>
      <c r="CI180" s="389">
        <f t="shared" si="1503"/>
        <v>0</v>
      </c>
      <c r="CJ180" s="389">
        <f t="shared" si="1503"/>
        <v>0</v>
      </c>
    </row>
    <row r="181" spans="1:88" x14ac:dyDescent="0.3">
      <c r="A181" s="97" t="str">
        <f>'DCS Detail'!A181</f>
        <v>Non-Cash Gain</v>
      </c>
      <c r="B181" s="106" t="str">
        <f>IF('DCS Detail'!$B181="","",'DCS Detail'!$B181)</f>
        <v>Non-Operating</v>
      </c>
      <c r="C181" s="369"/>
      <c r="D181" s="369"/>
      <c r="E181" s="369"/>
      <c r="F181" s="369"/>
      <c r="G181" s="369"/>
      <c r="H181" s="369"/>
      <c r="I181" s="369"/>
      <c r="J181" s="369"/>
      <c r="K181" s="369"/>
      <c r="L181" s="369"/>
      <c r="M181" s="369"/>
      <c r="N181" s="369"/>
      <c r="O181" s="369"/>
      <c r="P181" s="369"/>
      <c r="Q181" s="369"/>
      <c r="R181" s="369"/>
      <c r="S181" s="369"/>
      <c r="T181" s="369"/>
      <c r="U181" s="369"/>
      <c r="V181" s="369"/>
      <c r="W181" s="369"/>
      <c r="X181" s="369"/>
      <c r="Y181" s="369"/>
      <c r="Z181" s="369"/>
      <c r="AA181" s="369"/>
      <c r="AB181" s="369"/>
      <c r="AC181" s="369"/>
      <c r="AD181" s="369"/>
      <c r="AE181" s="369"/>
      <c r="AF181" s="369"/>
      <c r="AG181" s="369"/>
      <c r="AH181" s="369"/>
      <c r="AI181" s="369"/>
      <c r="AJ181" s="369"/>
      <c r="AK181" s="369"/>
      <c r="AL181" s="369"/>
      <c r="AM181" s="369"/>
      <c r="AN181" s="369"/>
      <c r="AO181" s="369"/>
      <c r="AP181" s="369"/>
      <c r="AQ181" s="369"/>
      <c r="AR181" s="369"/>
      <c r="AS181" s="369"/>
      <c r="AT181" s="369"/>
      <c r="AU181" s="369"/>
      <c r="AV181" s="369"/>
      <c r="AW181" s="369"/>
      <c r="AX181" s="369"/>
      <c r="AY181" s="369"/>
      <c r="AZ181" s="369"/>
      <c r="BA181" s="369"/>
      <c r="BB181" s="369"/>
      <c r="BC181" s="369"/>
      <c r="BD181" s="369"/>
      <c r="BE181" s="369"/>
      <c r="BF181" s="369"/>
      <c r="BG181" s="369"/>
      <c r="BH181" s="369"/>
      <c r="BI181" s="369"/>
      <c r="BJ181" s="369"/>
      <c r="BK181" s="369"/>
      <c r="BL181" s="369"/>
      <c r="BM181" s="369"/>
      <c r="BN181" s="369"/>
      <c r="BO181" s="369"/>
      <c r="BP181" s="369"/>
      <c r="BQ181" s="369"/>
      <c r="BR181" s="369"/>
      <c r="BS181" s="369"/>
      <c r="BT181" s="369"/>
      <c r="BU181" s="369"/>
      <c r="BV181" s="369"/>
      <c r="BW181" s="369"/>
      <c r="BX181" s="369"/>
      <c r="BY181" s="369"/>
      <c r="BZ181" s="389">
        <f>SUMIF($B$252:$BY$252,1,$B181:$BY181)</f>
        <v>0</v>
      </c>
      <c r="CA181" s="389">
        <f>SUMIF($B$253:$BY$253,1,$B181:$BY181)</f>
        <v>0</v>
      </c>
      <c r="CB181" s="389"/>
      <c r="CC181" s="389">
        <f t="shared" si="1502"/>
        <v>0</v>
      </c>
      <c r="CD181" s="389">
        <f t="shared" si="1503"/>
        <v>0</v>
      </c>
      <c r="CE181" s="389">
        <f t="shared" si="1503"/>
        <v>0</v>
      </c>
      <c r="CF181" s="389">
        <f t="shared" si="1503"/>
        <v>0</v>
      </c>
      <c r="CG181" s="389">
        <f t="shared" si="1503"/>
        <v>0</v>
      </c>
      <c r="CH181" s="389">
        <f t="shared" si="1503"/>
        <v>0</v>
      </c>
      <c r="CI181" s="389">
        <f t="shared" si="1503"/>
        <v>0</v>
      </c>
      <c r="CJ181" s="389">
        <f t="shared" si="1503"/>
        <v>0</v>
      </c>
    </row>
    <row r="182" spans="1:88" x14ac:dyDescent="0.3">
      <c r="A182" s="97"/>
      <c r="B182" s="106"/>
      <c r="C182" s="369"/>
      <c r="D182" s="369"/>
      <c r="E182" s="370"/>
      <c r="F182" s="370"/>
      <c r="G182" s="370"/>
      <c r="H182" s="370"/>
      <c r="I182" s="370"/>
      <c r="J182" s="370"/>
      <c r="K182" s="370"/>
      <c r="L182" s="370"/>
      <c r="M182" s="370"/>
      <c r="N182" s="370"/>
      <c r="O182" s="370"/>
      <c r="P182" s="370"/>
      <c r="Q182" s="370"/>
      <c r="R182" s="370"/>
      <c r="S182" s="370"/>
      <c r="T182" s="370"/>
      <c r="U182" s="370"/>
      <c r="V182" s="370"/>
      <c r="W182" s="370"/>
      <c r="X182" s="370"/>
      <c r="Y182" s="370"/>
      <c r="Z182" s="370"/>
      <c r="AA182" s="370"/>
      <c r="AB182" s="370"/>
      <c r="AC182" s="370"/>
      <c r="AD182" s="370"/>
      <c r="AE182" s="370"/>
      <c r="AF182" s="370"/>
      <c r="AG182" s="370"/>
      <c r="AH182" s="370"/>
      <c r="AI182" s="370"/>
      <c r="AJ182" s="370"/>
      <c r="AK182" s="370"/>
      <c r="AL182" s="370"/>
      <c r="AM182" s="370"/>
      <c r="AN182" s="370"/>
      <c r="AO182" s="370"/>
      <c r="AP182" s="370"/>
      <c r="AQ182" s="370"/>
      <c r="AR182" s="370"/>
      <c r="AS182" s="370"/>
      <c r="AT182" s="370"/>
      <c r="AU182" s="370"/>
      <c r="AV182" s="370"/>
      <c r="AW182" s="370"/>
      <c r="AX182" s="370"/>
      <c r="AY182" s="370"/>
      <c r="AZ182" s="370"/>
      <c r="BA182" s="370"/>
      <c r="BB182" s="370"/>
      <c r="BC182" s="370"/>
      <c r="BD182" s="370"/>
      <c r="BE182" s="370"/>
      <c r="BF182" s="370"/>
      <c r="BG182" s="370"/>
      <c r="BH182" s="370"/>
      <c r="BI182" s="370"/>
      <c r="BJ182" s="370"/>
      <c r="BK182" s="370"/>
      <c r="BL182" s="370"/>
      <c r="BM182" s="370"/>
      <c r="BN182" s="370"/>
      <c r="BO182" s="370"/>
      <c r="BP182" s="370"/>
      <c r="BQ182" s="370"/>
      <c r="BR182" s="370"/>
      <c r="BS182" s="370"/>
      <c r="BT182" s="370"/>
      <c r="BU182" s="370"/>
      <c r="BV182" s="370"/>
      <c r="BW182" s="370"/>
      <c r="BX182" s="370"/>
      <c r="BY182" s="369"/>
      <c r="BZ182" s="389"/>
      <c r="CA182" s="389"/>
      <c r="CB182" s="389"/>
      <c r="CC182" s="389"/>
      <c r="CD182" s="389"/>
      <c r="CE182" s="389"/>
      <c r="CF182" s="389"/>
      <c r="CG182" s="389"/>
      <c r="CH182" s="389"/>
      <c r="CI182" s="389"/>
      <c r="CJ182" s="389"/>
    </row>
    <row r="183" spans="1:88" x14ac:dyDescent="0.3">
      <c r="A183" s="108" t="s">
        <v>384</v>
      </c>
      <c r="B183" s="97"/>
      <c r="C183" s="372">
        <f t="shared" ref="C183:AH183" si="1504">SUM(C176:C182)</f>
        <v>0</v>
      </c>
      <c r="D183" s="372">
        <f t="shared" si="1504"/>
        <v>0</v>
      </c>
      <c r="E183" s="372">
        <f t="shared" si="1504"/>
        <v>115666.88</v>
      </c>
      <c r="F183" s="372">
        <f t="shared" si="1504"/>
        <v>60425.340000000018</v>
      </c>
      <c r="G183" s="372">
        <f t="shared" si="1504"/>
        <v>-9531.4099999999835</v>
      </c>
      <c r="H183" s="372">
        <f t="shared" si="1504"/>
        <v>78418.226999999999</v>
      </c>
      <c r="I183" s="372">
        <f t="shared" si="1504"/>
        <v>-55740.933999999994</v>
      </c>
      <c r="J183" s="372">
        <f t="shared" si="1504"/>
        <v>60672.132400000002</v>
      </c>
      <c r="K183" s="372">
        <f t="shared" si="1504"/>
        <v>-47535.000599999992</v>
      </c>
      <c r="L183" s="372">
        <f t="shared" si="1504"/>
        <v>14848.305200000044</v>
      </c>
      <c r="M183" s="372">
        <f t="shared" si="1504"/>
        <v>-560.95000000000232</v>
      </c>
      <c r="N183" s="372">
        <f t="shared" si="1504"/>
        <v>71864.190000000017</v>
      </c>
      <c r="O183" s="372">
        <f t="shared" si="1504"/>
        <v>-55826.830000000009</v>
      </c>
      <c r="P183" s="372">
        <f t="shared" si="1504"/>
        <v>-33115.859999999986</v>
      </c>
      <c r="Q183" s="372">
        <f t="shared" si="1504"/>
        <v>28483.020000000004</v>
      </c>
      <c r="R183" s="372">
        <f t="shared" si="1504"/>
        <v>-203.65999999998576</v>
      </c>
      <c r="S183" s="372">
        <f t="shared" si="1504"/>
        <v>80973.27</v>
      </c>
      <c r="T183" s="372">
        <f t="shared" si="1504"/>
        <v>208.80999999997903</v>
      </c>
      <c r="U183" s="372">
        <f t="shared" si="1504"/>
        <v>3419.4799999999773</v>
      </c>
      <c r="V183" s="372">
        <f t="shared" si="1504"/>
        <v>-800.35999999997557</v>
      </c>
      <c r="W183" s="372">
        <f t="shared" si="1504"/>
        <v>2191.5900000000142</v>
      </c>
      <c r="X183" s="372">
        <f t="shared" si="1504"/>
        <v>-8843.6899999999769</v>
      </c>
      <c r="Y183" s="372">
        <f t="shared" si="1504"/>
        <v>3203.9900000000084</v>
      </c>
      <c r="Z183" s="372">
        <f t="shared" si="1504"/>
        <v>57025.819999999956</v>
      </c>
      <c r="AA183" s="372">
        <f t="shared" si="1504"/>
        <v>-1489.2900000000268</v>
      </c>
      <c r="AB183" s="372">
        <f t="shared" si="1504"/>
        <v>-18909.999449073006</v>
      </c>
      <c r="AC183" s="372">
        <f t="shared" si="1504"/>
        <v>40069.72323333333</v>
      </c>
      <c r="AD183" s="372">
        <f t="shared" si="1504"/>
        <v>6217.5501190102259</v>
      </c>
      <c r="AE183" s="372">
        <f t="shared" si="1504"/>
        <v>89378.008582112743</v>
      </c>
      <c r="AF183" s="372">
        <f t="shared" si="1504"/>
        <v>-2149.6644575362338</v>
      </c>
      <c r="AG183" s="372">
        <f t="shared" si="1504"/>
        <v>-3884.2025313456002</v>
      </c>
      <c r="AH183" s="372">
        <f t="shared" si="1504"/>
        <v>5853.7309968006775</v>
      </c>
      <c r="AI183" s="372">
        <f t="shared" ref="AI183:BN183" si="1505">SUM(AI176:AI182)</f>
        <v>270.40249592408827</v>
      </c>
      <c r="AJ183" s="372">
        <f t="shared" si="1505"/>
        <v>24297.708136966543</v>
      </c>
      <c r="AK183" s="372">
        <f t="shared" si="1505"/>
        <v>11719.254639216506</v>
      </c>
      <c r="AL183" s="372">
        <f t="shared" si="1505"/>
        <v>17475.310652841228</v>
      </c>
      <c r="AM183" s="372">
        <f t="shared" si="1505"/>
        <v>21216.918610159631</v>
      </c>
      <c r="AN183" s="372">
        <f t="shared" si="1505"/>
        <v>-35655.935089636791</v>
      </c>
      <c r="AO183" s="372">
        <f t="shared" si="1505"/>
        <v>46031.947720916673</v>
      </c>
      <c r="AP183" s="372">
        <f t="shared" si="1505"/>
        <v>25134.280912242331</v>
      </c>
      <c r="AQ183" s="372">
        <f t="shared" si="1505"/>
        <v>106960.59494953464</v>
      </c>
      <c r="AR183" s="372">
        <f t="shared" si="1505"/>
        <v>13783.6174885037</v>
      </c>
      <c r="AS183" s="372">
        <f t="shared" si="1505"/>
        <v>11903.072084185285</v>
      </c>
      <c r="AT183" s="372">
        <f t="shared" si="1505"/>
        <v>22032.686857042481</v>
      </c>
      <c r="AU183" s="372">
        <f t="shared" si="1505"/>
        <v>15540.78794237808</v>
      </c>
      <c r="AV183" s="372">
        <f t="shared" si="1505"/>
        <v>25654.727315764419</v>
      </c>
      <c r="AW183" s="372">
        <f t="shared" si="1505"/>
        <v>18366.96534815439</v>
      </c>
      <c r="AX183" s="372">
        <f t="shared" si="1505"/>
        <v>19063.626235825304</v>
      </c>
      <c r="AY183" s="372">
        <f t="shared" si="1505"/>
        <v>22962.998302396121</v>
      </c>
      <c r="AZ183" s="372">
        <f t="shared" si="1505"/>
        <v>-21529.23748594389</v>
      </c>
      <c r="BA183" s="372">
        <f t="shared" si="1505"/>
        <v>62572.686494284164</v>
      </c>
      <c r="BB183" s="372">
        <f t="shared" si="1505"/>
        <v>40372.161557788619</v>
      </c>
      <c r="BC183" s="372">
        <f t="shared" si="1505"/>
        <v>121570.23291577183</v>
      </c>
      <c r="BD183" s="372">
        <f t="shared" si="1505"/>
        <v>30021.465803133771</v>
      </c>
      <c r="BE183" s="372">
        <f t="shared" si="1505"/>
        <v>28033.520005780691</v>
      </c>
      <c r="BF183" s="372">
        <f t="shared" si="1505"/>
        <v>38551.632839086953</v>
      </c>
      <c r="BG183" s="372">
        <f t="shared" si="1505"/>
        <v>31834.430192499767</v>
      </c>
      <c r="BH183" s="372">
        <f t="shared" si="1505"/>
        <v>42252.268260225384</v>
      </c>
      <c r="BI183" s="372">
        <f t="shared" si="1505"/>
        <v>34747.853717294689</v>
      </c>
      <c r="BJ183" s="372">
        <f t="shared" si="1505"/>
        <v>35473.180171041073</v>
      </c>
      <c r="BK183" s="372">
        <f t="shared" si="1505"/>
        <v>39441.726246575745</v>
      </c>
      <c r="BL183" s="372">
        <f t="shared" si="1505"/>
        <v>-10053.390345202675</v>
      </c>
      <c r="BM183" s="372">
        <f t="shared" si="1505"/>
        <v>84010.92938997905</v>
      </c>
      <c r="BN183" s="372">
        <f t="shared" si="1505"/>
        <v>45541.286393318696</v>
      </c>
      <c r="BO183" s="372">
        <f t="shared" ref="BO183:BX183" si="1506">SUM(BO176:BO182)</f>
        <v>126121.0993415547</v>
      </c>
      <c r="BP183" s="372">
        <f t="shared" si="1506"/>
        <v>34945.999015619927</v>
      </c>
      <c r="BQ183" s="372">
        <f t="shared" si="1506"/>
        <v>32825.492858881051</v>
      </c>
      <c r="BR183" s="372">
        <f t="shared" si="1506"/>
        <v>43775.4011495503</v>
      </c>
      <c r="BS183" s="372">
        <f t="shared" si="1506"/>
        <v>36832.217002800513</v>
      </c>
      <c r="BT183" s="372">
        <f t="shared" si="1506"/>
        <v>48189.28640177723</v>
      </c>
      <c r="BU183" s="372">
        <f t="shared" si="1506"/>
        <v>40460.625265200164</v>
      </c>
      <c r="BV183" s="372">
        <f t="shared" si="1506"/>
        <v>41240.701758116375</v>
      </c>
      <c r="BW183" s="372">
        <f t="shared" si="1506"/>
        <v>45255.671816123555</v>
      </c>
      <c r="BX183" s="372">
        <f t="shared" si="1506"/>
        <v>-5673.9595826541954</v>
      </c>
      <c r="BY183" s="369"/>
      <c r="BZ183" s="390">
        <f>SUM(BZ176:BZ182)</f>
        <v>-1489.2900000000268</v>
      </c>
      <c r="CA183" s="390">
        <f>SUM(CA176:CA182)</f>
        <v>164168.98000000024</v>
      </c>
      <c r="CB183" s="389"/>
      <c r="CC183" s="390">
        <f t="shared" ref="CC183:CJ183" si="1507">SUM(CC176:CC182)</f>
        <v>0</v>
      </c>
      <c r="CD183" s="390">
        <f t="shared" si="1507"/>
        <v>0</v>
      </c>
      <c r="CE183" s="390">
        <f t="shared" si="1507"/>
        <v>199584.09000000014</v>
      </c>
      <c r="CF183" s="390">
        <f t="shared" si="1507"/>
        <v>145258.98055092696</v>
      </c>
      <c r="CG183" s="390">
        <f t="shared" si="1507"/>
        <v>174808.80538784631</v>
      </c>
      <c r="CH183" s="390">
        <f t="shared" si="1507"/>
        <v>305906.06767099944</v>
      </c>
      <c r="CI183" s="390">
        <f t="shared" si="1507"/>
        <v>494817.7678582801</v>
      </c>
      <c r="CJ183" s="390">
        <f t="shared" si="1507"/>
        <v>573524.75081026729</v>
      </c>
    </row>
    <row r="184" spans="1:88" x14ac:dyDescent="0.3">
      <c r="A184" s="107"/>
      <c r="B184" s="97"/>
      <c r="C184" s="369"/>
      <c r="D184" s="369"/>
      <c r="E184" s="369"/>
      <c r="F184" s="369"/>
      <c r="G184" s="369"/>
      <c r="H184" s="369"/>
      <c r="I184" s="369"/>
      <c r="J184" s="369"/>
      <c r="K184" s="369"/>
      <c r="L184" s="369"/>
      <c r="M184" s="369"/>
      <c r="N184" s="369"/>
      <c r="O184" s="369"/>
      <c r="P184" s="369"/>
      <c r="Q184" s="369"/>
      <c r="R184" s="369"/>
      <c r="S184" s="369"/>
      <c r="T184" s="369"/>
      <c r="U184" s="369"/>
      <c r="V184" s="369"/>
      <c r="W184" s="369"/>
      <c r="X184" s="369"/>
      <c r="Y184" s="369"/>
      <c r="Z184" s="369"/>
      <c r="AA184" s="369"/>
      <c r="AB184" s="369"/>
      <c r="AC184" s="369"/>
      <c r="AD184" s="369"/>
      <c r="AE184" s="369"/>
      <c r="AF184" s="369"/>
      <c r="AG184" s="369"/>
      <c r="AH184" s="369"/>
      <c r="AI184" s="369"/>
      <c r="AJ184" s="369"/>
      <c r="AK184" s="369"/>
      <c r="AL184" s="369"/>
      <c r="AM184" s="369"/>
      <c r="AN184" s="369"/>
      <c r="AO184" s="369"/>
      <c r="AP184" s="369"/>
      <c r="AQ184" s="369"/>
      <c r="AR184" s="369"/>
      <c r="AS184" s="369"/>
      <c r="AT184" s="369"/>
      <c r="AU184" s="369"/>
      <c r="AV184" s="369"/>
      <c r="AW184" s="369"/>
      <c r="AX184" s="369"/>
      <c r="AY184" s="369"/>
      <c r="AZ184" s="369"/>
      <c r="BA184" s="369"/>
      <c r="BB184" s="369"/>
      <c r="BC184" s="369"/>
      <c r="BD184" s="369"/>
      <c r="BE184" s="369"/>
      <c r="BF184" s="369"/>
      <c r="BG184" s="369"/>
      <c r="BH184" s="369"/>
      <c r="BI184" s="369"/>
      <c r="BJ184" s="369"/>
      <c r="BK184" s="369"/>
      <c r="BL184" s="369"/>
      <c r="BM184" s="369"/>
      <c r="BN184" s="369"/>
      <c r="BO184" s="369"/>
      <c r="BP184" s="369"/>
      <c r="BQ184" s="369"/>
      <c r="BR184" s="369"/>
      <c r="BS184" s="369"/>
      <c r="BT184" s="369"/>
      <c r="BU184" s="369"/>
      <c r="BV184" s="369"/>
      <c r="BW184" s="369"/>
      <c r="BX184" s="369"/>
      <c r="BY184" s="369"/>
      <c r="BZ184" s="389"/>
      <c r="CA184" s="389"/>
      <c r="CB184" s="389"/>
      <c r="CC184" s="389"/>
      <c r="CD184" s="389"/>
      <c r="CE184" s="389"/>
      <c r="CF184" s="389"/>
      <c r="CG184" s="389"/>
      <c r="CH184" s="389"/>
      <c r="CI184" s="389"/>
      <c r="CJ184" s="389"/>
    </row>
    <row r="185" spans="1:88" x14ac:dyDescent="0.3">
      <c r="A185" s="24" t="s">
        <v>151</v>
      </c>
      <c r="B185" s="95"/>
      <c r="C185" s="95"/>
      <c r="D185" s="95"/>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383"/>
      <c r="CA185" s="383"/>
      <c r="CB185" s="383"/>
      <c r="CC185" s="383"/>
      <c r="CD185" s="383"/>
      <c r="CE185" s="383"/>
      <c r="CF185" s="383"/>
      <c r="CG185" s="383"/>
      <c r="CH185" s="383"/>
      <c r="CI185" s="383"/>
      <c r="CJ185" s="383"/>
    </row>
    <row r="186" spans="1:88" x14ac:dyDescent="0.3">
      <c r="A186" s="108" t="s">
        <v>131</v>
      </c>
      <c r="B186" s="97"/>
      <c r="C186" s="97"/>
      <c r="D186" s="97"/>
      <c r="O186" s="13"/>
      <c r="P186" s="13"/>
      <c r="Q186" s="13"/>
      <c r="BZ186" s="97"/>
      <c r="CA186" s="97"/>
      <c r="CB186" s="97"/>
      <c r="CC186" s="97"/>
      <c r="CD186" s="97"/>
      <c r="CE186" s="97"/>
      <c r="CF186" s="97"/>
      <c r="CG186" s="97"/>
      <c r="CH186" s="97"/>
      <c r="CI186" s="97"/>
      <c r="CJ186" s="97"/>
    </row>
    <row r="187" spans="1:88" x14ac:dyDescent="0.3">
      <c r="A187" s="97" t="str">
        <f>'DCS Detail'!A187</f>
        <v>DAP</v>
      </c>
      <c r="B187" s="97"/>
      <c r="C187" s="36">
        <f t="shared" ref="C187:L191" si="1508">SUMIF($B$4:$B$174,$A187,C$4:C$174)</f>
        <v>0</v>
      </c>
      <c r="D187" s="36">
        <f t="shared" si="1508"/>
        <v>0</v>
      </c>
      <c r="E187" s="36">
        <f t="shared" si="1508"/>
        <v>0</v>
      </c>
      <c r="F187" s="36">
        <f t="shared" si="1508"/>
        <v>0</v>
      </c>
      <c r="G187" s="36">
        <f t="shared" si="1508"/>
        <v>832</v>
      </c>
      <c r="H187" s="36">
        <f t="shared" si="1508"/>
        <v>2797.2799999999997</v>
      </c>
      <c r="I187" s="36">
        <f t="shared" si="1508"/>
        <v>295</v>
      </c>
      <c r="J187" s="36">
        <f t="shared" si="1508"/>
        <v>528.76</v>
      </c>
      <c r="K187" s="36">
        <f t="shared" si="1508"/>
        <v>527</v>
      </c>
      <c r="L187" s="36">
        <f t="shared" si="1508"/>
        <v>628</v>
      </c>
      <c r="M187" s="36">
        <f t="shared" ref="M187:V191" si="1509">SUMIF($B$4:$B$174,$A187,M$4:M$174)</f>
        <v>1173</v>
      </c>
      <c r="N187" s="36">
        <f t="shared" si="1509"/>
        <v>852</v>
      </c>
      <c r="O187" s="36">
        <f t="shared" si="1509"/>
        <v>827.26</v>
      </c>
      <c r="P187" s="36">
        <f t="shared" si="1509"/>
        <v>145.86000000000001</v>
      </c>
      <c r="Q187" s="36">
        <f t="shared" si="1509"/>
        <v>178.2</v>
      </c>
      <c r="R187" s="36">
        <f t="shared" si="1509"/>
        <v>816.81</v>
      </c>
      <c r="S187" s="36">
        <f t="shared" si="1509"/>
        <v>765.61</v>
      </c>
      <c r="T187" s="36">
        <f t="shared" si="1509"/>
        <v>928.56</v>
      </c>
      <c r="U187" s="36">
        <f t="shared" si="1509"/>
        <v>621.13</v>
      </c>
      <c r="V187" s="36">
        <f t="shared" si="1509"/>
        <v>611.58000000000004</v>
      </c>
      <c r="W187" s="36">
        <f t="shared" ref="W187:AF191" si="1510">SUMIF($B$4:$B$174,$A187,W$4:W$174)</f>
        <v>519.32000000000005</v>
      </c>
      <c r="X187" s="36">
        <f t="shared" si="1510"/>
        <v>930.64</v>
      </c>
      <c r="Y187" s="36">
        <f t="shared" si="1510"/>
        <v>1059.8</v>
      </c>
      <c r="Z187" s="36">
        <f t="shared" si="1510"/>
        <v>353.58</v>
      </c>
      <c r="AA187" s="36">
        <f t="shared" si="1510"/>
        <v>498.72</v>
      </c>
      <c r="AB187" s="36">
        <f t="shared" si="1510"/>
        <v>145.86000000000001</v>
      </c>
      <c r="AC187" s="36">
        <f t="shared" si="1510"/>
        <v>297</v>
      </c>
      <c r="AD187" s="36">
        <f t="shared" si="1510"/>
        <v>1361.35</v>
      </c>
      <c r="AE187" s="36">
        <f t="shared" si="1510"/>
        <v>1276.0166666666667</v>
      </c>
      <c r="AF187" s="36">
        <f t="shared" si="1510"/>
        <v>1547.6</v>
      </c>
      <c r="AG187" s="36">
        <f t="shared" ref="AG187:AP191" si="1511">SUMIF($B$4:$B$174,$A187,AG$4:AG$174)</f>
        <v>1035.2166666666667</v>
      </c>
      <c r="AH187" s="36">
        <f t="shared" si="1511"/>
        <v>1019.3000000000001</v>
      </c>
      <c r="AI187" s="36">
        <f t="shared" si="1511"/>
        <v>865.53333333333342</v>
      </c>
      <c r="AJ187" s="36">
        <f t="shared" si="1511"/>
        <v>1551.0666666666666</v>
      </c>
      <c r="AK187" s="36">
        <f t="shared" si="1511"/>
        <v>1766.3333333333333</v>
      </c>
      <c r="AL187" s="36">
        <f t="shared" si="1511"/>
        <v>589.29999999999995</v>
      </c>
      <c r="AM187" s="36">
        <f t="shared" si="1511"/>
        <v>831.2</v>
      </c>
      <c r="AN187" s="36">
        <f t="shared" si="1511"/>
        <v>243.10000000000002</v>
      </c>
      <c r="AO187" s="36">
        <f t="shared" si="1511"/>
        <v>356.4</v>
      </c>
      <c r="AP187" s="36">
        <f t="shared" si="1511"/>
        <v>1633.62</v>
      </c>
      <c r="AQ187" s="36">
        <f t="shared" ref="AQ187:AZ191" si="1512">SUMIF($B$4:$B$174,$A187,AQ$4:AQ$174)</f>
        <v>1531.22</v>
      </c>
      <c r="AR187" s="36">
        <f t="shared" si="1512"/>
        <v>1857.12</v>
      </c>
      <c r="AS187" s="36">
        <f t="shared" si="1512"/>
        <v>1242.26</v>
      </c>
      <c r="AT187" s="36">
        <f t="shared" si="1512"/>
        <v>1223.1600000000001</v>
      </c>
      <c r="AU187" s="36">
        <f t="shared" si="1512"/>
        <v>1038.6400000000001</v>
      </c>
      <c r="AV187" s="36">
        <f t="shared" si="1512"/>
        <v>1861.2799999999997</v>
      </c>
      <c r="AW187" s="36">
        <f t="shared" si="1512"/>
        <v>2119.6</v>
      </c>
      <c r="AX187" s="36">
        <f t="shared" si="1512"/>
        <v>707.16</v>
      </c>
      <c r="AY187" s="36">
        <f t="shared" si="1512"/>
        <v>997.44</v>
      </c>
      <c r="AZ187" s="36">
        <f t="shared" si="1512"/>
        <v>291.72000000000003</v>
      </c>
      <c r="BA187" s="36">
        <f t="shared" ref="BA187:BJ191" si="1513">SUMIF($B$4:$B$174,$A187,BA$4:BA$174)</f>
        <v>374.21999999999997</v>
      </c>
      <c r="BB187" s="36">
        <f t="shared" si="1513"/>
        <v>1715.3009999999999</v>
      </c>
      <c r="BC187" s="36">
        <f t="shared" si="1513"/>
        <v>1607.7810000000002</v>
      </c>
      <c r="BD187" s="36">
        <f t="shared" si="1513"/>
        <v>1949.9759999999999</v>
      </c>
      <c r="BE187" s="36">
        <f t="shared" si="1513"/>
        <v>1304.373</v>
      </c>
      <c r="BF187" s="36">
        <f t="shared" si="1513"/>
        <v>1284.3180000000002</v>
      </c>
      <c r="BG187" s="36">
        <f t="shared" si="1513"/>
        <v>1090.5720000000001</v>
      </c>
      <c r="BH187" s="36">
        <f t="shared" si="1513"/>
        <v>1954.3439999999998</v>
      </c>
      <c r="BI187" s="36">
        <f t="shared" si="1513"/>
        <v>2225.58</v>
      </c>
      <c r="BJ187" s="36">
        <f t="shared" si="1513"/>
        <v>742.51800000000003</v>
      </c>
      <c r="BK187" s="36">
        <f t="shared" ref="BK187:BX191" si="1514">SUMIF($B$4:$B$174,$A187,BK$4:BK$174)</f>
        <v>1047.3120000000001</v>
      </c>
      <c r="BL187" s="36">
        <f t="shared" si="1514"/>
        <v>306.30600000000004</v>
      </c>
      <c r="BM187" s="36">
        <f t="shared" si="1514"/>
        <v>392.93099999999998</v>
      </c>
      <c r="BN187" s="36">
        <f t="shared" si="1514"/>
        <v>1801.0660499999999</v>
      </c>
      <c r="BO187" s="36">
        <f t="shared" si="1514"/>
        <v>1688.1700500000002</v>
      </c>
      <c r="BP187" s="36">
        <f t="shared" si="1514"/>
        <v>2047.4748</v>
      </c>
      <c r="BQ187" s="36">
        <f t="shared" si="1514"/>
        <v>1369.5916500000001</v>
      </c>
      <c r="BR187" s="36">
        <f t="shared" si="1514"/>
        <v>1348.5339000000004</v>
      </c>
      <c r="BS187" s="36">
        <f t="shared" si="1514"/>
        <v>1145.1006000000002</v>
      </c>
      <c r="BT187" s="36">
        <f t="shared" si="1514"/>
        <v>2052.0612000000001</v>
      </c>
      <c r="BU187" s="36">
        <f t="shared" si="1514"/>
        <v>2336.8589999999999</v>
      </c>
      <c r="BV187" s="36">
        <f t="shared" si="1514"/>
        <v>779.64390000000003</v>
      </c>
      <c r="BW187" s="36">
        <f t="shared" si="1514"/>
        <v>1099.6776000000002</v>
      </c>
      <c r="BX187" s="36">
        <f t="shared" si="1514"/>
        <v>321.62130000000008</v>
      </c>
      <c r="BZ187" s="379">
        <f>SUMIF($B$252:$BY$252,1,$B187:$BY187)</f>
        <v>498.72</v>
      </c>
      <c r="CA187" s="379">
        <f>SUMIF($B$253:$BY$253,1,$B187:$BY187)</f>
        <v>7283.9500000000007</v>
      </c>
      <c r="CB187" s="97"/>
      <c r="CC187" s="379">
        <f t="shared" ref="CC187:CJ196" si="1515">SUMIF($C$3:$BY$3,CC$3,$C187:$BY187)</f>
        <v>0</v>
      </c>
      <c r="CD187" s="379">
        <f t="shared" si="1515"/>
        <v>0</v>
      </c>
      <c r="CE187" s="379">
        <f t="shared" si="1515"/>
        <v>8606.16</v>
      </c>
      <c r="CF187" s="379">
        <f t="shared" si="1515"/>
        <v>7429.81</v>
      </c>
      <c r="CG187" s="379">
        <f t="shared" si="1515"/>
        <v>12383.01666666667</v>
      </c>
      <c r="CH187" s="379">
        <f t="shared" si="1515"/>
        <v>14859.62</v>
      </c>
      <c r="CI187" s="379">
        <f t="shared" si="1515"/>
        <v>15602.601000000001</v>
      </c>
      <c r="CJ187" s="379">
        <f t="shared" si="1515"/>
        <v>16382.731050000002</v>
      </c>
    </row>
    <row r="188" spans="1:88" x14ac:dyDescent="0.3">
      <c r="A188" s="97" t="str">
        <f>'DCS Detail'!A188</f>
        <v>DSA</v>
      </c>
      <c r="B188" s="97"/>
      <c r="C188" s="36">
        <f t="shared" si="1508"/>
        <v>0</v>
      </c>
      <c r="D188" s="36">
        <f t="shared" si="1508"/>
        <v>0</v>
      </c>
      <c r="E188" s="36">
        <f t="shared" si="1508"/>
        <v>98266.41</v>
      </c>
      <c r="F188" s="36">
        <f t="shared" si="1508"/>
        <v>0</v>
      </c>
      <c r="G188" s="36">
        <f t="shared" si="1508"/>
        <v>47646.675600000002</v>
      </c>
      <c r="H188" s="36">
        <f t="shared" si="1508"/>
        <v>136149.57999999999</v>
      </c>
      <c r="I188" s="36">
        <f t="shared" si="1508"/>
        <v>0</v>
      </c>
      <c r="J188" s="36">
        <f t="shared" si="1508"/>
        <v>117859.36</v>
      </c>
      <c r="K188" s="36">
        <f t="shared" si="1508"/>
        <v>0</v>
      </c>
      <c r="L188" s="36">
        <f t="shared" si="1508"/>
        <v>66358.404400000058</v>
      </c>
      <c r="M188" s="36">
        <f t="shared" si="1509"/>
        <v>60786.86</v>
      </c>
      <c r="N188" s="36">
        <f t="shared" si="1509"/>
        <v>128347.71</v>
      </c>
      <c r="O188" s="36">
        <f t="shared" si="1509"/>
        <v>964.1</v>
      </c>
      <c r="P188" s="36">
        <f t="shared" si="1509"/>
        <v>76531.44</v>
      </c>
      <c r="Q188" s="36">
        <f t="shared" si="1509"/>
        <v>46748.72</v>
      </c>
      <c r="R188" s="36">
        <f t="shared" si="1509"/>
        <v>58565.75</v>
      </c>
      <c r="S188" s="36">
        <f t="shared" si="1509"/>
        <v>58612.1</v>
      </c>
      <c r="T188" s="36">
        <f t="shared" si="1509"/>
        <v>56389.13</v>
      </c>
      <c r="U188" s="36">
        <f t="shared" si="1509"/>
        <v>70454.02</v>
      </c>
      <c r="V188" s="36">
        <f t="shared" si="1509"/>
        <v>60964.07</v>
      </c>
      <c r="W188" s="36">
        <f t="shared" si="1510"/>
        <v>60964.07</v>
      </c>
      <c r="X188" s="36">
        <f t="shared" si="1510"/>
        <v>55576.54</v>
      </c>
      <c r="Y188" s="36">
        <f t="shared" si="1510"/>
        <v>59629.86</v>
      </c>
      <c r="Z188" s="36">
        <f t="shared" si="1510"/>
        <v>58133.38</v>
      </c>
      <c r="AA188" s="36">
        <f t="shared" si="1510"/>
        <v>60466.01</v>
      </c>
      <c r="AB188" s="36">
        <f t="shared" si="1510"/>
        <v>56871.018333333333</v>
      </c>
      <c r="AC188" s="36">
        <f t="shared" si="1510"/>
        <v>56871.018333333333</v>
      </c>
      <c r="AD188" s="36">
        <f t="shared" si="1510"/>
        <v>64371.035128750002</v>
      </c>
      <c r="AE188" s="36">
        <f t="shared" si="1510"/>
        <v>64371.035128750002</v>
      </c>
      <c r="AF188" s="36">
        <f t="shared" si="1510"/>
        <v>65597.150083583343</v>
      </c>
      <c r="AG188" s="36">
        <f t="shared" si="1511"/>
        <v>64984.092606166669</v>
      </c>
      <c r="AH188" s="36">
        <f t="shared" si="1511"/>
        <v>63757.977651333342</v>
      </c>
      <c r="AI188" s="36">
        <f t="shared" si="1511"/>
        <v>63144.920173916675</v>
      </c>
      <c r="AJ188" s="36">
        <f t="shared" si="1511"/>
        <v>63757.977651333342</v>
      </c>
      <c r="AK188" s="36">
        <f t="shared" si="1511"/>
        <v>63144.920173916675</v>
      </c>
      <c r="AL188" s="36">
        <f t="shared" si="1511"/>
        <v>63144.920173916675</v>
      </c>
      <c r="AM188" s="36">
        <f t="shared" si="1511"/>
        <v>63144.920173916675</v>
      </c>
      <c r="AN188" s="36">
        <f t="shared" si="1511"/>
        <v>63144.920173916675</v>
      </c>
      <c r="AO188" s="36">
        <f t="shared" si="1511"/>
        <v>63144.920173916675</v>
      </c>
      <c r="AP188" s="36">
        <f t="shared" si="1511"/>
        <v>84614.193033048345</v>
      </c>
      <c r="AQ188" s="36">
        <f t="shared" si="1512"/>
        <v>83982.74383130917</v>
      </c>
      <c r="AR188" s="36">
        <f t="shared" si="1512"/>
        <v>83351.294629570009</v>
      </c>
      <c r="AS188" s="36">
        <f t="shared" si="1512"/>
        <v>82719.845427830835</v>
      </c>
      <c r="AT188" s="36">
        <f t="shared" si="1512"/>
        <v>81456.947024352514</v>
      </c>
      <c r="AU188" s="36">
        <f t="shared" si="1512"/>
        <v>80194.048620874164</v>
      </c>
      <c r="AV188" s="36">
        <f t="shared" si="1512"/>
        <v>80194.048620874164</v>
      </c>
      <c r="AW188" s="36">
        <f t="shared" si="1512"/>
        <v>80194.048620874164</v>
      </c>
      <c r="AX188" s="36">
        <f t="shared" si="1512"/>
        <v>80194.048620874164</v>
      </c>
      <c r="AY188" s="36">
        <f t="shared" si="1512"/>
        <v>80194.048620874164</v>
      </c>
      <c r="AZ188" s="36">
        <f t="shared" si="1512"/>
        <v>80194.048620874164</v>
      </c>
      <c r="BA188" s="36">
        <f t="shared" si="1513"/>
        <v>80194.048620874164</v>
      </c>
      <c r="BB188" s="36">
        <f t="shared" si="1513"/>
        <v>105369.92829421475</v>
      </c>
      <c r="BC188" s="36">
        <f t="shared" si="1513"/>
        <v>104727.42873144516</v>
      </c>
      <c r="BD188" s="36">
        <f t="shared" si="1513"/>
        <v>105369.92829421475</v>
      </c>
      <c r="BE188" s="36">
        <f t="shared" si="1513"/>
        <v>104727.42873144516</v>
      </c>
      <c r="BF188" s="36">
        <f t="shared" si="1513"/>
        <v>103442.42960590596</v>
      </c>
      <c r="BG188" s="36">
        <f t="shared" si="1513"/>
        <v>102157.43048036675</v>
      </c>
      <c r="BH188" s="36">
        <f t="shared" si="1513"/>
        <v>102157.43048036675</v>
      </c>
      <c r="BI188" s="36">
        <f t="shared" si="1513"/>
        <v>102157.43048036675</v>
      </c>
      <c r="BJ188" s="36">
        <f t="shared" si="1513"/>
        <v>102157.43048036675</v>
      </c>
      <c r="BK188" s="36">
        <f t="shared" si="1514"/>
        <v>102157.43048036675</v>
      </c>
      <c r="BL188" s="36">
        <f t="shared" si="1514"/>
        <v>102157.43048036675</v>
      </c>
      <c r="BM188" s="36">
        <f t="shared" si="1514"/>
        <v>102157.43048036675</v>
      </c>
      <c r="BN188" s="36">
        <f t="shared" si="1514"/>
        <v>112541.82966363044</v>
      </c>
      <c r="BO188" s="36">
        <f t="shared" si="1514"/>
        <v>111891.29885632622</v>
      </c>
      <c r="BP188" s="36">
        <f t="shared" si="1514"/>
        <v>112541.82966363044</v>
      </c>
      <c r="BQ188" s="36">
        <f t="shared" si="1514"/>
        <v>111891.29885632622</v>
      </c>
      <c r="BR188" s="36">
        <f t="shared" si="1514"/>
        <v>110590.23724171777</v>
      </c>
      <c r="BS188" s="36">
        <f t="shared" si="1514"/>
        <v>109289.17562710932</v>
      </c>
      <c r="BT188" s="36">
        <f t="shared" si="1514"/>
        <v>109939.70643441356</v>
      </c>
      <c r="BU188" s="36">
        <f t="shared" si="1514"/>
        <v>109939.70643441356</v>
      </c>
      <c r="BV188" s="36">
        <f t="shared" si="1514"/>
        <v>109939.70643441356</v>
      </c>
      <c r="BW188" s="36">
        <f t="shared" si="1514"/>
        <v>109939.70643441356</v>
      </c>
      <c r="BX188" s="36">
        <f t="shared" si="1514"/>
        <v>109939.70643441356</v>
      </c>
      <c r="BZ188" s="379">
        <f>SUMIF($B$252:$BY$252,1,$B188:$BY188)</f>
        <v>60466.01</v>
      </c>
      <c r="CA188" s="379">
        <f>SUMIF($B$253:$BY$253,1,$B188:$BY188)</f>
        <v>646503.65</v>
      </c>
      <c r="CB188" s="97"/>
      <c r="CC188" s="379">
        <f t="shared" si="1515"/>
        <v>0</v>
      </c>
      <c r="CD188" s="379">
        <f t="shared" si="1515"/>
        <v>0</v>
      </c>
      <c r="CE188" s="379">
        <f t="shared" si="1515"/>
        <v>732910.54</v>
      </c>
      <c r="CF188" s="379">
        <f t="shared" si="1515"/>
        <v>703374.66833333333</v>
      </c>
      <c r="CG188" s="379">
        <f t="shared" si="1515"/>
        <v>759434.88745283359</v>
      </c>
      <c r="CH188" s="379">
        <f t="shared" si="1515"/>
        <v>960434.23584527255</v>
      </c>
      <c r="CI188" s="379">
        <f t="shared" si="1515"/>
        <v>1216775.7751603008</v>
      </c>
      <c r="CJ188" s="379">
        <f t="shared" si="1515"/>
        <v>1320601.6325611752</v>
      </c>
    </row>
    <row r="189" spans="1:88" x14ac:dyDescent="0.3">
      <c r="A189" s="97" t="str">
        <f>'DCS Detail'!A189</f>
        <v>Special Educ.</v>
      </c>
      <c r="B189" s="97"/>
      <c r="C189" s="36">
        <f t="shared" si="1508"/>
        <v>0</v>
      </c>
      <c r="D189" s="36">
        <f t="shared" si="1508"/>
        <v>0</v>
      </c>
      <c r="E189" s="36">
        <f t="shared" si="1508"/>
        <v>0</v>
      </c>
      <c r="F189" s="36">
        <f t="shared" si="1508"/>
        <v>0</v>
      </c>
      <c r="G189" s="36">
        <f t="shared" si="1508"/>
        <v>4146.1243999999997</v>
      </c>
      <c r="H189" s="36">
        <f t="shared" si="1508"/>
        <v>0</v>
      </c>
      <c r="I189" s="36">
        <f t="shared" si="1508"/>
        <v>4263.0918000000001</v>
      </c>
      <c r="J189" s="36">
        <f t="shared" si="1508"/>
        <v>0</v>
      </c>
      <c r="K189" s="36">
        <f t="shared" si="1508"/>
        <v>0</v>
      </c>
      <c r="L189" s="36">
        <f t="shared" si="1508"/>
        <v>4263.0838000000003</v>
      </c>
      <c r="M189" s="36">
        <f t="shared" si="1509"/>
        <v>0</v>
      </c>
      <c r="N189" s="36">
        <f t="shared" si="1509"/>
        <v>0</v>
      </c>
      <c r="O189" s="36">
        <f t="shared" si="1509"/>
        <v>0</v>
      </c>
      <c r="P189" s="36">
        <f t="shared" si="1509"/>
        <v>6689.51</v>
      </c>
      <c r="Q189" s="36">
        <f t="shared" si="1509"/>
        <v>0</v>
      </c>
      <c r="R189" s="36">
        <f t="shared" si="1509"/>
        <v>4546.3900000000003</v>
      </c>
      <c r="S189" s="36">
        <f t="shared" si="1509"/>
        <v>0</v>
      </c>
      <c r="T189" s="36">
        <f t="shared" si="1509"/>
        <v>0</v>
      </c>
      <c r="U189" s="36">
        <f t="shared" si="1509"/>
        <v>4546.3900000000003</v>
      </c>
      <c r="V189" s="36">
        <f t="shared" si="1509"/>
        <v>0</v>
      </c>
      <c r="W189" s="36">
        <f t="shared" si="1510"/>
        <v>0</v>
      </c>
      <c r="X189" s="36">
        <f t="shared" si="1510"/>
        <v>4546.3900000000003</v>
      </c>
      <c r="Y189" s="36">
        <f t="shared" si="1510"/>
        <v>0</v>
      </c>
      <c r="Z189" s="36">
        <f t="shared" si="1510"/>
        <v>0</v>
      </c>
      <c r="AA189" s="36">
        <f t="shared" si="1510"/>
        <v>4546.3900000000003</v>
      </c>
      <c r="AB189" s="36">
        <f t="shared" si="1510"/>
        <v>2143.12</v>
      </c>
      <c r="AC189" s="36">
        <f t="shared" si="1510"/>
        <v>0</v>
      </c>
      <c r="AD189" s="36">
        <f t="shared" si="1510"/>
        <v>4606.856987000001</v>
      </c>
      <c r="AE189" s="36">
        <f t="shared" si="1510"/>
        <v>0</v>
      </c>
      <c r="AF189" s="36">
        <f t="shared" si="1510"/>
        <v>0</v>
      </c>
      <c r="AG189" s="36">
        <f t="shared" si="1511"/>
        <v>4606.856987000001</v>
      </c>
      <c r="AH189" s="36">
        <f t="shared" si="1511"/>
        <v>0</v>
      </c>
      <c r="AI189" s="36">
        <f t="shared" si="1511"/>
        <v>0</v>
      </c>
      <c r="AJ189" s="36">
        <f t="shared" si="1511"/>
        <v>4606.856987000001</v>
      </c>
      <c r="AK189" s="36">
        <f t="shared" si="1511"/>
        <v>0</v>
      </c>
      <c r="AL189" s="36">
        <f t="shared" si="1511"/>
        <v>0</v>
      </c>
      <c r="AM189" s="36">
        <f t="shared" si="1511"/>
        <v>4606.856987000001</v>
      </c>
      <c r="AN189" s="36">
        <f t="shared" si="1511"/>
        <v>2171.6234960000002</v>
      </c>
      <c r="AO189" s="36">
        <f t="shared" si="1511"/>
        <v>0</v>
      </c>
      <c r="AP189" s="36">
        <f t="shared" si="1511"/>
        <v>4745.0626966100008</v>
      </c>
      <c r="AQ189" s="36">
        <f t="shared" si="1512"/>
        <v>0</v>
      </c>
      <c r="AR189" s="36">
        <f t="shared" si="1512"/>
        <v>0</v>
      </c>
      <c r="AS189" s="36">
        <f t="shared" si="1512"/>
        <v>4745.0626966100008</v>
      </c>
      <c r="AT189" s="36">
        <f t="shared" si="1512"/>
        <v>0</v>
      </c>
      <c r="AU189" s="36">
        <f t="shared" si="1512"/>
        <v>0</v>
      </c>
      <c r="AV189" s="36">
        <f t="shared" si="1512"/>
        <v>4745.0626966100008</v>
      </c>
      <c r="AW189" s="36">
        <f t="shared" si="1512"/>
        <v>0</v>
      </c>
      <c r="AX189" s="36">
        <f t="shared" si="1512"/>
        <v>0</v>
      </c>
      <c r="AY189" s="36">
        <f t="shared" si="1512"/>
        <v>4745.0626966100008</v>
      </c>
      <c r="AZ189" s="36">
        <f t="shared" si="1512"/>
        <v>2236.7722008800001</v>
      </c>
      <c r="BA189" s="36">
        <f t="shared" si="1513"/>
        <v>0</v>
      </c>
      <c r="BB189" s="36">
        <f t="shared" si="1513"/>
        <v>4828.1012938006761</v>
      </c>
      <c r="BC189" s="36">
        <f t="shared" si="1513"/>
        <v>0</v>
      </c>
      <c r="BD189" s="36">
        <f t="shared" si="1513"/>
        <v>0</v>
      </c>
      <c r="BE189" s="36">
        <f t="shared" si="1513"/>
        <v>4828.1012938006761</v>
      </c>
      <c r="BF189" s="36">
        <f t="shared" si="1513"/>
        <v>0</v>
      </c>
      <c r="BG189" s="36">
        <f t="shared" si="1513"/>
        <v>0</v>
      </c>
      <c r="BH189" s="36">
        <f t="shared" si="1513"/>
        <v>4828.1012938006761</v>
      </c>
      <c r="BI189" s="36">
        <f t="shared" si="1513"/>
        <v>0</v>
      </c>
      <c r="BJ189" s="36">
        <f t="shared" si="1513"/>
        <v>0</v>
      </c>
      <c r="BK189" s="36">
        <f t="shared" si="1514"/>
        <v>4828.1012938006761</v>
      </c>
      <c r="BL189" s="36">
        <f t="shared" si="1514"/>
        <v>2275.9157143954003</v>
      </c>
      <c r="BM189" s="36">
        <f t="shared" si="1514"/>
        <v>0</v>
      </c>
      <c r="BN189" s="36">
        <f t="shared" si="1514"/>
        <v>4888.4525599731842</v>
      </c>
      <c r="BO189" s="36">
        <f t="shared" si="1514"/>
        <v>0</v>
      </c>
      <c r="BP189" s="36">
        <f t="shared" si="1514"/>
        <v>0</v>
      </c>
      <c r="BQ189" s="36">
        <f t="shared" si="1514"/>
        <v>4888.4525599731842</v>
      </c>
      <c r="BR189" s="36">
        <f t="shared" si="1514"/>
        <v>0</v>
      </c>
      <c r="BS189" s="36">
        <f t="shared" si="1514"/>
        <v>0</v>
      </c>
      <c r="BT189" s="36">
        <f t="shared" si="1514"/>
        <v>4888.4525599731842</v>
      </c>
      <c r="BU189" s="36">
        <f t="shared" si="1514"/>
        <v>0</v>
      </c>
      <c r="BV189" s="36">
        <f t="shared" si="1514"/>
        <v>0</v>
      </c>
      <c r="BW189" s="36">
        <f t="shared" si="1514"/>
        <v>4888.4525599731842</v>
      </c>
      <c r="BX189" s="36">
        <f t="shared" si="1514"/>
        <v>2304.3646608253425</v>
      </c>
      <c r="BZ189" s="379">
        <f>SUMIF($B$252:$BY$252,1,$B189:$BY189)</f>
        <v>4546.3900000000003</v>
      </c>
      <c r="CA189" s="379">
        <f>SUMIF($B$253:$BY$253,1,$B189:$BY189)</f>
        <v>18185.560000000001</v>
      </c>
      <c r="CB189" s="97"/>
      <c r="CC189" s="379">
        <f t="shared" si="1515"/>
        <v>0</v>
      </c>
      <c r="CD189" s="379">
        <f t="shared" si="1515"/>
        <v>0</v>
      </c>
      <c r="CE189" s="379">
        <f t="shared" si="1515"/>
        <v>19361.809999999998</v>
      </c>
      <c r="CF189" s="379">
        <f t="shared" si="1515"/>
        <v>20328.68</v>
      </c>
      <c r="CG189" s="379">
        <f t="shared" si="1515"/>
        <v>20599.051444000004</v>
      </c>
      <c r="CH189" s="379">
        <f t="shared" si="1515"/>
        <v>21217.022987320004</v>
      </c>
      <c r="CI189" s="379">
        <f t="shared" si="1515"/>
        <v>21588.320889598104</v>
      </c>
      <c r="CJ189" s="379">
        <f t="shared" si="1515"/>
        <v>21858.174900718081</v>
      </c>
    </row>
    <row r="190" spans="1:88" x14ac:dyDescent="0.3">
      <c r="A190" s="97" t="str">
        <f>'DCS Detail'!A190</f>
        <v>Grants</v>
      </c>
      <c r="B190" s="97"/>
      <c r="C190" s="36">
        <f t="shared" si="1508"/>
        <v>0</v>
      </c>
      <c r="D190" s="36">
        <f t="shared" si="1508"/>
        <v>0</v>
      </c>
      <c r="E190" s="36">
        <f t="shared" si="1508"/>
        <v>0</v>
      </c>
      <c r="F190" s="36">
        <f t="shared" si="1508"/>
        <v>110000</v>
      </c>
      <c r="G190" s="36">
        <f t="shared" si="1508"/>
        <v>0</v>
      </c>
      <c r="H190" s="36">
        <f t="shared" si="1508"/>
        <v>3199.95</v>
      </c>
      <c r="I190" s="36">
        <f t="shared" si="1508"/>
        <v>0</v>
      </c>
      <c r="J190" s="36">
        <f t="shared" si="1508"/>
        <v>15.5</v>
      </c>
      <c r="K190" s="36">
        <f t="shared" si="1508"/>
        <v>0</v>
      </c>
      <c r="L190" s="36">
        <f t="shared" si="1508"/>
        <v>2435.4900000000034</v>
      </c>
      <c r="M190" s="36">
        <f t="shared" si="1509"/>
        <v>-2539.9500000000003</v>
      </c>
      <c r="N190" s="36">
        <f t="shared" si="1509"/>
        <v>0</v>
      </c>
      <c r="O190" s="36">
        <f t="shared" si="1509"/>
        <v>0</v>
      </c>
      <c r="P190" s="36">
        <f t="shared" si="1509"/>
        <v>3604.23</v>
      </c>
      <c r="Q190" s="36">
        <f t="shared" si="1509"/>
        <v>0</v>
      </c>
      <c r="R190" s="36">
        <f t="shared" si="1509"/>
        <v>0</v>
      </c>
      <c r="S190" s="36">
        <f t="shared" si="1509"/>
        <v>110000</v>
      </c>
      <c r="T190" s="36">
        <f t="shared" si="1509"/>
        <v>10456.209999999999</v>
      </c>
      <c r="U190" s="36">
        <f t="shared" si="1509"/>
        <v>260</v>
      </c>
      <c r="V190" s="36">
        <f t="shared" si="1509"/>
        <v>8.8000000000000007</v>
      </c>
      <c r="W190" s="36">
        <f t="shared" si="1510"/>
        <v>2638.13</v>
      </c>
      <c r="X190" s="36">
        <f t="shared" si="1510"/>
        <v>0</v>
      </c>
      <c r="Y190" s="36">
        <f t="shared" si="1510"/>
        <v>0</v>
      </c>
      <c r="Z190" s="36">
        <f t="shared" si="1510"/>
        <v>75524.240000000005</v>
      </c>
      <c r="AA190" s="36">
        <f t="shared" si="1510"/>
        <v>0</v>
      </c>
      <c r="AB190" s="36">
        <f t="shared" si="1510"/>
        <v>24414.5</v>
      </c>
      <c r="AC190" s="36">
        <f t="shared" si="1510"/>
        <v>0</v>
      </c>
      <c r="AD190" s="36">
        <f t="shared" si="1510"/>
        <v>0</v>
      </c>
      <c r="AE190" s="36">
        <f t="shared" si="1510"/>
        <v>110000</v>
      </c>
      <c r="AF190" s="36">
        <f t="shared" si="1510"/>
        <v>144</v>
      </c>
      <c r="AG190" s="36">
        <f t="shared" si="1511"/>
        <v>404</v>
      </c>
      <c r="AH190" s="36">
        <f t="shared" si="1511"/>
        <v>152.80000000000001</v>
      </c>
      <c r="AI190" s="36">
        <f t="shared" si="1511"/>
        <v>144</v>
      </c>
      <c r="AJ190" s="36">
        <f t="shared" si="1511"/>
        <v>13894</v>
      </c>
      <c r="AK190" s="36">
        <f t="shared" si="1511"/>
        <v>13894</v>
      </c>
      <c r="AL190" s="36">
        <f t="shared" si="1511"/>
        <v>13894</v>
      </c>
      <c r="AM190" s="36">
        <f t="shared" si="1511"/>
        <v>13894</v>
      </c>
      <c r="AN190" s="36">
        <f t="shared" si="1511"/>
        <v>144</v>
      </c>
      <c r="AO190" s="36">
        <f t="shared" si="1511"/>
        <v>144</v>
      </c>
      <c r="AP190" s="36">
        <f t="shared" si="1511"/>
        <v>144</v>
      </c>
      <c r="AQ190" s="36">
        <f t="shared" si="1512"/>
        <v>110144</v>
      </c>
      <c r="AR190" s="36">
        <f t="shared" si="1512"/>
        <v>148.32</v>
      </c>
      <c r="AS190" s="36">
        <f t="shared" si="1512"/>
        <v>408.32</v>
      </c>
      <c r="AT190" s="36">
        <f t="shared" si="1512"/>
        <v>157.12</v>
      </c>
      <c r="AU190" s="36">
        <f t="shared" si="1512"/>
        <v>148.32</v>
      </c>
      <c r="AV190" s="36">
        <f t="shared" si="1512"/>
        <v>148.32</v>
      </c>
      <c r="AW190" s="36">
        <f t="shared" si="1512"/>
        <v>5148.32</v>
      </c>
      <c r="AX190" s="36">
        <f t="shared" si="1512"/>
        <v>148.32</v>
      </c>
      <c r="AY190" s="36">
        <f t="shared" si="1512"/>
        <v>148.32</v>
      </c>
      <c r="AZ190" s="36">
        <f t="shared" si="1512"/>
        <v>148.32</v>
      </c>
      <c r="BA190" s="36">
        <f t="shared" si="1513"/>
        <v>148.32</v>
      </c>
      <c r="BB190" s="36">
        <f t="shared" si="1513"/>
        <v>146.52000000000001</v>
      </c>
      <c r="BC190" s="36">
        <f t="shared" si="1513"/>
        <v>110146.52</v>
      </c>
      <c r="BD190" s="36">
        <f t="shared" si="1513"/>
        <v>150.91560000000001</v>
      </c>
      <c r="BE190" s="36">
        <f t="shared" si="1513"/>
        <v>410.91560000000004</v>
      </c>
      <c r="BF190" s="36">
        <f t="shared" si="1513"/>
        <v>159.71560000000002</v>
      </c>
      <c r="BG190" s="36">
        <f t="shared" si="1513"/>
        <v>150.91560000000001</v>
      </c>
      <c r="BH190" s="36">
        <f t="shared" si="1513"/>
        <v>150.91560000000001</v>
      </c>
      <c r="BI190" s="36">
        <f t="shared" si="1513"/>
        <v>5238.4156000000003</v>
      </c>
      <c r="BJ190" s="36">
        <f t="shared" si="1513"/>
        <v>150.91560000000001</v>
      </c>
      <c r="BK190" s="36">
        <f t="shared" si="1514"/>
        <v>150.91560000000001</v>
      </c>
      <c r="BL190" s="36">
        <f t="shared" si="1514"/>
        <v>150.91560000000001</v>
      </c>
      <c r="BM190" s="36">
        <f t="shared" si="1514"/>
        <v>150.91560000000001</v>
      </c>
      <c r="BN190" s="36">
        <f t="shared" si="1514"/>
        <v>148.35150000000002</v>
      </c>
      <c r="BO190" s="36">
        <f t="shared" si="1514"/>
        <v>110148.3515</v>
      </c>
      <c r="BP190" s="36">
        <f t="shared" si="1514"/>
        <v>152.80204499999999</v>
      </c>
      <c r="BQ190" s="36">
        <f t="shared" si="1514"/>
        <v>412.80204500000002</v>
      </c>
      <c r="BR190" s="36">
        <f t="shared" si="1514"/>
        <v>161.602045</v>
      </c>
      <c r="BS190" s="36">
        <f t="shared" si="1514"/>
        <v>152.80204499999999</v>
      </c>
      <c r="BT190" s="36">
        <f t="shared" si="1514"/>
        <v>152.80204499999999</v>
      </c>
      <c r="BU190" s="36">
        <f t="shared" si="1514"/>
        <v>5303.8957950000004</v>
      </c>
      <c r="BV190" s="36">
        <f t="shared" si="1514"/>
        <v>152.80204499999999</v>
      </c>
      <c r="BW190" s="36">
        <f t="shared" si="1514"/>
        <v>152.80204499999999</v>
      </c>
      <c r="BX190" s="36">
        <f t="shared" si="1514"/>
        <v>152.80204499999999</v>
      </c>
      <c r="BZ190" s="379">
        <f>SUMIF($B$252:$BY$252,1,$B190:$BY190)</f>
        <v>0</v>
      </c>
      <c r="CA190" s="379">
        <f>SUMIF($B$253:$BY$253,1,$B190:$BY190)</f>
        <v>198887.38</v>
      </c>
      <c r="CB190" s="97"/>
      <c r="CC190" s="379">
        <f t="shared" si="1515"/>
        <v>0</v>
      </c>
      <c r="CD190" s="379">
        <f t="shared" si="1515"/>
        <v>0</v>
      </c>
      <c r="CE190" s="379">
        <f t="shared" si="1515"/>
        <v>116715.22</v>
      </c>
      <c r="CF190" s="379">
        <f t="shared" si="1515"/>
        <v>223301.88</v>
      </c>
      <c r="CG190" s="379">
        <f t="shared" si="1515"/>
        <v>166564.79999999999</v>
      </c>
      <c r="CH190" s="379">
        <f t="shared" si="1515"/>
        <v>117035.68000000005</v>
      </c>
      <c r="CI190" s="379">
        <f t="shared" si="1515"/>
        <v>117155.90039999994</v>
      </c>
      <c r="CJ190" s="379">
        <f t="shared" si="1515"/>
        <v>117242.73075500004</v>
      </c>
    </row>
    <row r="191" spans="1:88" x14ac:dyDescent="0.3">
      <c r="A191" s="97" t="str">
        <f>'DCS Detail'!A191</f>
        <v>Other</v>
      </c>
      <c r="B191" s="97"/>
      <c r="C191" s="36">
        <f t="shared" si="1508"/>
        <v>0</v>
      </c>
      <c r="D191" s="36">
        <f t="shared" si="1508"/>
        <v>0</v>
      </c>
      <c r="E191" s="36">
        <f t="shared" si="1508"/>
        <v>-2402</v>
      </c>
      <c r="F191" s="36">
        <f t="shared" si="1508"/>
        <v>678.16</v>
      </c>
      <c r="G191" s="36">
        <f t="shared" si="1508"/>
        <v>116.43</v>
      </c>
      <c r="H191" s="36">
        <f t="shared" si="1508"/>
        <v>50.92</v>
      </c>
      <c r="I191" s="36">
        <f t="shared" si="1508"/>
        <v>5.3</v>
      </c>
      <c r="J191" s="36">
        <f t="shared" si="1508"/>
        <v>5.22</v>
      </c>
      <c r="K191" s="36">
        <f t="shared" si="1508"/>
        <v>157.49540000000002</v>
      </c>
      <c r="L191" s="36">
        <f t="shared" si="1508"/>
        <v>6.5046000000000035</v>
      </c>
      <c r="M191" s="36">
        <f t="shared" si="1509"/>
        <v>4242.6399999999994</v>
      </c>
      <c r="N191" s="36">
        <f t="shared" si="1509"/>
        <v>133.85</v>
      </c>
      <c r="O191" s="36">
        <f t="shared" si="1509"/>
        <v>59.67</v>
      </c>
      <c r="P191" s="36">
        <f t="shared" si="1509"/>
        <v>5.73</v>
      </c>
      <c r="Q191" s="36">
        <f t="shared" si="1509"/>
        <v>70.949999999999974</v>
      </c>
      <c r="R191" s="36">
        <f t="shared" si="1509"/>
        <v>4.5999999999999996</v>
      </c>
      <c r="S191" s="36">
        <f t="shared" si="1509"/>
        <v>430.18</v>
      </c>
      <c r="T191" s="36">
        <f t="shared" si="1509"/>
        <v>776.05</v>
      </c>
      <c r="U191" s="36">
        <f t="shared" si="1509"/>
        <v>74.14</v>
      </c>
      <c r="V191" s="36">
        <f t="shared" si="1509"/>
        <v>2.74</v>
      </c>
      <c r="W191" s="36">
        <f t="shared" si="1510"/>
        <v>1447.65</v>
      </c>
      <c r="X191" s="36">
        <f t="shared" si="1510"/>
        <v>2.15</v>
      </c>
      <c r="Y191" s="36">
        <f t="shared" si="1510"/>
        <v>2.13</v>
      </c>
      <c r="Z191" s="36">
        <f t="shared" si="1510"/>
        <v>881.28</v>
      </c>
      <c r="AA191" s="36">
        <f t="shared" si="1510"/>
        <v>689.05</v>
      </c>
      <c r="AB191" s="36">
        <f t="shared" si="1510"/>
        <v>5.73</v>
      </c>
      <c r="AC191" s="36">
        <f t="shared" si="1510"/>
        <v>70.949999999999974</v>
      </c>
      <c r="AD191" s="36">
        <f t="shared" si="1510"/>
        <v>4.5999999999999996</v>
      </c>
      <c r="AE191" s="36">
        <f t="shared" si="1510"/>
        <v>430.18</v>
      </c>
      <c r="AF191" s="36">
        <f t="shared" si="1510"/>
        <v>776.05</v>
      </c>
      <c r="AG191" s="36">
        <f t="shared" si="1511"/>
        <v>74.14</v>
      </c>
      <c r="AH191" s="36">
        <f t="shared" si="1511"/>
        <v>2.74</v>
      </c>
      <c r="AI191" s="36">
        <f t="shared" si="1511"/>
        <v>1447.65</v>
      </c>
      <c r="AJ191" s="36">
        <f t="shared" si="1511"/>
        <v>2.15</v>
      </c>
      <c r="AK191" s="36">
        <f t="shared" si="1511"/>
        <v>2.13</v>
      </c>
      <c r="AL191" s="36">
        <f t="shared" si="1511"/>
        <v>881.28</v>
      </c>
      <c r="AM191" s="36">
        <f t="shared" si="1511"/>
        <v>689.05</v>
      </c>
      <c r="AN191" s="36">
        <f t="shared" si="1511"/>
        <v>5.73</v>
      </c>
      <c r="AO191" s="36">
        <f t="shared" si="1511"/>
        <v>70.949999999999974</v>
      </c>
      <c r="AP191" s="36">
        <f t="shared" si="1511"/>
        <v>4.5999999999999996</v>
      </c>
      <c r="AQ191" s="36">
        <f t="shared" si="1512"/>
        <v>430.18</v>
      </c>
      <c r="AR191" s="36">
        <f t="shared" si="1512"/>
        <v>776.05</v>
      </c>
      <c r="AS191" s="36">
        <f t="shared" si="1512"/>
        <v>74.14</v>
      </c>
      <c r="AT191" s="36">
        <f t="shared" si="1512"/>
        <v>2.74</v>
      </c>
      <c r="AU191" s="36">
        <f t="shared" si="1512"/>
        <v>1447.65</v>
      </c>
      <c r="AV191" s="36">
        <f t="shared" si="1512"/>
        <v>2.15</v>
      </c>
      <c r="AW191" s="36">
        <f t="shared" si="1512"/>
        <v>2.13</v>
      </c>
      <c r="AX191" s="36">
        <f t="shared" si="1512"/>
        <v>881.28</v>
      </c>
      <c r="AY191" s="36">
        <f t="shared" si="1512"/>
        <v>689.05</v>
      </c>
      <c r="AZ191" s="36">
        <f t="shared" si="1512"/>
        <v>5.73</v>
      </c>
      <c r="BA191" s="36">
        <f t="shared" si="1513"/>
        <v>70.949999999999974</v>
      </c>
      <c r="BB191" s="36">
        <f t="shared" si="1513"/>
        <v>4.5999999999999996</v>
      </c>
      <c r="BC191" s="36">
        <f t="shared" si="1513"/>
        <v>430.18</v>
      </c>
      <c r="BD191" s="36">
        <f t="shared" si="1513"/>
        <v>776.05</v>
      </c>
      <c r="BE191" s="36">
        <f t="shared" si="1513"/>
        <v>74.14</v>
      </c>
      <c r="BF191" s="36">
        <f t="shared" si="1513"/>
        <v>2.74</v>
      </c>
      <c r="BG191" s="36">
        <f t="shared" si="1513"/>
        <v>1447.65</v>
      </c>
      <c r="BH191" s="36">
        <f t="shared" si="1513"/>
        <v>2.15</v>
      </c>
      <c r="BI191" s="36">
        <f t="shared" si="1513"/>
        <v>2.13</v>
      </c>
      <c r="BJ191" s="36">
        <f t="shared" si="1513"/>
        <v>881.28</v>
      </c>
      <c r="BK191" s="36">
        <f t="shared" si="1514"/>
        <v>689.05</v>
      </c>
      <c r="BL191" s="36">
        <f t="shared" si="1514"/>
        <v>5.73</v>
      </c>
      <c r="BM191" s="36">
        <f t="shared" si="1514"/>
        <v>70.949999999999974</v>
      </c>
      <c r="BN191" s="36">
        <f t="shared" si="1514"/>
        <v>4.5999999999999996</v>
      </c>
      <c r="BO191" s="36">
        <f t="shared" si="1514"/>
        <v>430.18</v>
      </c>
      <c r="BP191" s="36">
        <f t="shared" si="1514"/>
        <v>776.05</v>
      </c>
      <c r="BQ191" s="36">
        <f t="shared" si="1514"/>
        <v>74.14</v>
      </c>
      <c r="BR191" s="36">
        <f t="shared" si="1514"/>
        <v>2.74</v>
      </c>
      <c r="BS191" s="36">
        <f t="shared" si="1514"/>
        <v>1447.65</v>
      </c>
      <c r="BT191" s="36">
        <f t="shared" si="1514"/>
        <v>2.15</v>
      </c>
      <c r="BU191" s="36">
        <f t="shared" si="1514"/>
        <v>2.13</v>
      </c>
      <c r="BV191" s="36">
        <f t="shared" si="1514"/>
        <v>881.28</v>
      </c>
      <c r="BW191" s="36">
        <f t="shared" si="1514"/>
        <v>689.05</v>
      </c>
      <c r="BX191" s="36">
        <f t="shared" si="1514"/>
        <v>5.73</v>
      </c>
      <c r="BZ191" s="379">
        <f>SUMIF($B$252:$BY$252,1,$B191:$BY191)</f>
        <v>689.05</v>
      </c>
      <c r="CA191" s="379">
        <f>SUMIF($B$253:$BY$253,1,$B191:$BY191)</f>
        <v>4380.920000000001</v>
      </c>
      <c r="CB191" s="97"/>
      <c r="CC191" s="379">
        <f t="shared" si="1515"/>
        <v>0</v>
      </c>
      <c r="CD191" s="379">
        <f t="shared" si="1515"/>
        <v>0</v>
      </c>
      <c r="CE191" s="379">
        <f t="shared" si="1515"/>
        <v>3059.9199999999992</v>
      </c>
      <c r="CF191" s="379">
        <f t="shared" si="1515"/>
        <v>4386.6500000000005</v>
      </c>
      <c r="CG191" s="379">
        <f t="shared" si="1515"/>
        <v>4386.6500000000005</v>
      </c>
      <c r="CH191" s="379">
        <f t="shared" si="1515"/>
        <v>4386.6500000000005</v>
      </c>
      <c r="CI191" s="379">
        <f t="shared" si="1515"/>
        <v>4386.6500000000005</v>
      </c>
      <c r="CJ191" s="379">
        <f t="shared" si="1515"/>
        <v>4386.6500000000005</v>
      </c>
    </row>
    <row r="192" spans="1:88" ht="3" customHeight="1" x14ac:dyDescent="0.3">
      <c r="A192" s="97"/>
      <c r="B192" s="9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Z192" s="391"/>
      <c r="CA192" s="391"/>
      <c r="CB192" s="97"/>
      <c r="CC192" s="391">
        <f t="shared" si="1515"/>
        <v>0</v>
      </c>
      <c r="CD192" s="391">
        <f t="shared" si="1515"/>
        <v>0</v>
      </c>
      <c r="CE192" s="391">
        <f t="shared" si="1515"/>
        <v>0</v>
      </c>
      <c r="CF192" s="391">
        <f t="shared" si="1515"/>
        <v>0</v>
      </c>
      <c r="CG192" s="391">
        <f t="shared" si="1515"/>
        <v>0</v>
      </c>
      <c r="CH192" s="391">
        <f t="shared" si="1515"/>
        <v>0</v>
      </c>
      <c r="CI192" s="391">
        <f t="shared" si="1515"/>
        <v>0</v>
      </c>
      <c r="CJ192" s="391">
        <f t="shared" si="1515"/>
        <v>0</v>
      </c>
    </row>
    <row r="193" spans="1:88" x14ac:dyDescent="0.3">
      <c r="A193" s="108" t="s">
        <v>16</v>
      </c>
      <c r="B193" s="97"/>
      <c r="C193" s="8">
        <f>SUM(C187:C192)</f>
        <v>0</v>
      </c>
      <c r="D193" s="8">
        <f>SUM(D187:D192)</f>
        <v>0</v>
      </c>
      <c r="E193" s="8">
        <f>SUM(E187:E192)</f>
        <v>95864.41</v>
      </c>
      <c r="F193" s="8">
        <f t="shared" ref="F193:CA193" si="1516">SUM(F187:F192)</f>
        <v>110678.16</v>
      </c>
      <c r="G193" s="8">
        <f t="shared" si="1516"/>
        <v>52741.23</v>
      </c>
      <c r="H193" s="8">
        <f t="shared" si="1516"/>
        <v>142197.73000000001</v>
      </c>
      <c r="I193" s="8">
        <f t="shared" si="1516"/>
        <v>4563.3918000000003</v>
      </c>
      <c r="J193" s="8">
        <f t="shared" si="1516"/>
        <v>118408.84</v>
      </c>
      <c r="K193" s="8">
        <f t="shared" ref="K193:P193" si="1517">SUM(K187:K192)</f>
        <v>684.49540000000002</v>
      </c>
      <c r="L193" s="8">
        <f t="shared" si="1517"/>
        <v>73691.482800000056</v>
      </c>
      <c r="M193" s="8">
        <f t="shared" si="1517"/>
        <v>63662.55</v>
      </c>
      <c r="N193" s="8">
        <f t="shared" si="1517"/>
        <v>129333.56000000001</v>
      </c>
      <c r="O193" s="8">
        <f t="shared" si="1517"/>
        <v>1851.0300000000002</v>
      </c>
      <c r="P193" s="8">
        <f t="shared" si="1517"/>
        <v>86976.76999999999</v>
      </c>
      <c r="Q193" s="8">
        <f t="shared" ref="Q193:AB193" si="1518">SUM(Q187:Q192)</f>
        <v>46997.869999999995</v>
      </c>
      <c r="R193" s="8">
        <f t="shared" si="1518"/>
        <v>63933.549999999996</v>
      </c>
      <c r="S193" s="8">
        <f t="shared" si="1518"/>
        <v>169807.88999999998</v>
      </c>
      <c r="T193" s="8">
        <f t="shared" si="1518"/>
        <v>68549.95</v>
      </c>
      <c r="U193" s="8">
        <f t="shared" si="1518"/>
        <v>75955.680000000008</v>
      </c>
      <c r="V193" s="8">
        <f t="shared" si="1518"/>
        <v>61587.19</v>
      </c>
      <c r="W193" s="8">
        <f t="shared" si="1518"/>
        <v>65569.17</v>
      </c>
      <c r="X193" s="8">
        <f t="shared" si="1518"/>
        <v>61055.72</v>
      </c>
      <c r="Y193" s="8">
        <f t="shared" si="1518"/>
        <v>60691.79</v>
      </c>
      <c r="Z193" s="8">
        <f t="shared" si="1518"/>
        <v>134892.48000000001</v>
      </c>
      <c r="AA193" s="8">
        <f t="shared" si="1518"/>
        <v>66200.17</v>
      </c>
      <c r="AB193" s="8">
        <f t="shared" si="1518"/>
        <v>83580.228333333333</v>
      </c>
      <c r="AC193" s="8">
        <f t="shared" ref="AC193:AN193" si="1519">SUM(AC187:AC192)</f>
        <v>57238.968333333331</v>
      </c>
      <c r="AD193" s="8">
        <f t="shared" si="1519"/>
        <v>70343.842115750012</v>
      </c>
      <c r="AE193" s="8">
        <f t="shared" si="1519"/>
        <v>176077.23179541668</v>
      </c>
      <c r="AF193" s="8">
        <f t="shared" si="1519"/>
        <v>68064.800083583352</v>
      </c>
      <c r="AG193" s="8">
        <f t="shared" si="1519"/>
        <v>71104.306259833334</v>
      </c>
      <c r="AH193" s="8">
        <f t="shared" si="1519"/>
        <v>64932.817651333346</v>
      </c>
      <c r="AI193" s="8">
        <f t="shared" si="1519"/>
        <v>65602.103507250009</v>
      </c>
      <c r="AJ193" s="8">
        <f t="shared" si="1519"/>
        <v>83812.051305000001</v>
      </c>
      <c r="AK193" s="8">
        <f t="shared" si="1519"/>
        <v>78807.383507250022</v>
      </c>
      <c r="AL193" s="8">
        <f t="shared" si="1519"/>
        <v>78509.500173916676</v>
      </c>
      <c r="AM193" s="8">
        <f t="shared" si="1519"/>
        <v>83166.027160916681</v>
      </c>
      <c r="AN193" s="8">
        <f t="shared" si="1519"/>
        <v>65709.373669916662</v>
      </c>
      <c r="AO193" s="8">
        <f t="shared" ref="AO193:AZ193" si="1520">SUM(AO187:AO192)</f>
        <v>63716.270173916673</v>
      </c>
      <c r="AP193" s="8">
        <f t="shared" si="1520"/>
        <v>91141.475729658341</v>
      </c>
      <c r="AQ193" s="8">
        <f t="shared" si="1520"/>
        <v>196088.14383130916</v>
      </c>
      <c r="AR193" s="8">
        <f t="shared" si="1520"/>
        <v>86132.784629570015</v>
      </c>
      <c r="AS193" s="8">
        <f t="shared" si="1520"/>
        <v>89189.628124440831</v>
      </c>
      <c r="AT193" s="8">
        <f t="shared" si="1520"/>
        <v>82839.967024352518</v>
      </c>
      <c r="AU193" s="8">
        <f t="shared" si="1520"/>
        <v>82828.658620874165</v>
      </c>
      <c r="AV193" s="8">
        <f t="shared" si="1520"/>
        <v>86950.861317484159</v>
      </c>
      <c r="AW193" s="8">
        <f t="shared" si="1520"/>
        <v>87464.098620874167</v>
      </c>
      <c r="AX193" s="8">
        <f t="shared" si="1520"/>
        <v>81930.808620874173</v>
      </c>
      <c r="AY193" s="8">
        <f t="shared" si="1520"/>
        <v>86773.921317484172</v>
      </c>
      <c r="AZ193" s="8">
        <f t="shared" si="1520"/>
        <v>82876.590821754173</v>
      </c>
      <c r="BA193" s="8">
        <f t="shared" ref="BA193:BX193" si="1521">SUM(BA187:BA192)</f>
        <v>80787.538620874169</v>
      </c>
      <c r="BB193" s="8">
        <f t="shared" si="1521"/>
        <v>112064.45058801545</v>
      </c>
      <c r="BC193" s="8">
        <f t="shared" si="1521"/>
        <v>216911.90973144516</v>
      </c>
      <c r="BD193" s="8">
        <f t="shared" si="1521"/>
        <v>108246.86989421475</v>
      </c>
      <c r="BE193" s="8">
        <f t="shared" si="1521"/>
        <v>111344.95862524584</v>
      </c>
      <c r="BF193" s="8">
        <f t="shared" si="1521"/>
        <v>104889.20320590596</v>
      </c>
      <c r="BG193" s="8">
        <f t="shared" si="1521"/>
        <v>104846.56808036673</v>
      </c>
      <c r="BH193" s="8">
        <f t="shared" si="1521"/>
        <v>109092.94137416741</v>
      </c>
      <c r="BI193" s="8">
        <f t="shared" si="1521"/>
        <v>109623.55608036675</v>
      </c>
      <c r="BJ193" s="8">
        <f t="shared" si="1521"/>
        <v>103932.14408036674</v>
      </c>
      <c r="BK193" s="8">
        <f t="shared" si="1521"/>
        <v>108872.80937416742</v>
      </c>
      <c r="BL193" s="8">
        <f t="shared" si="1521"/>
        <v>104896.29779476214</v>
      </c>
      <c r="BM193" s="8">
        <f t="shared" si="1521"/>
        <v>102772.22708036673</v>
      </c>
      <c r="BN193" s="8">
        <f t="shared" si="1521"/>
        <v>119384.29977360363</v>
      </c>
      <c r="BO193" s="8">
        <f t="shared" si="1521"/>
        <v>224158.0004063262</v>
      </c>
      <c r="BP193" s="8">
        <f t="shared" si="1521"/>
        <v>115518.15650863045</v>
      </c>
      <c r="BQ193" s="8">
        <f t="shared" si="1521"/>
        <v>118636.28511129941</v>
      </c>
      <c r="BR193" s="8">
        <f t="shared" si="1521"/>
        <v>112103.11318671778</v>
      </c>
      <c r="BS193" s="8">
        <f t="shared" si="1521"/>
        <v>112034.72827210932</v>
      </c>
      <c r="BT193" s="8">
        <f t="shared" si="1521"/>
        <v>117035.17223938674</v>
      </c>
      <c r="BU193" s="8">
        <f t="shared" si="1521"/>
        <v>117582.59122941356</v>
      </c>
      <c r="BV193" s="8">
        <f t="shared" si="1521"/>
        <v>111753.43237941356</v>
      </c>
      <c r="BW193" s="8">
        <f t="shared" si="1521"/>
        <v>116769.68863938675</v>
      </c>
      <c r="BX193" s="8">
        <f t="shared" si="1521"/>
        <v>112724.2244402389</v>
      </c>
      <c r="BZ193" s="379">
        <f t="shared" si="1516"/>
        <v>66200.17</v>
      </c>
      <c r="CA193" s="379">
        <f t="shared" si="1516"/>
        <v>875241.46000000008</v>
      </c>
      <c r="CB193" s="97"/>
      <c r="CC193" s="379">
        <f t="shared" si="1515"/>
        <v>0</v>
      </c>
      <c r="CD193" s="379">
        <f t="shared" si="1515"/>
        <v>0</v>
      </c>
      <c r="CE193" s="379">
        <f t="shared" si="1515"/>
        <v>880653.65000000014</v>
      </c>
      <c r="CF193" s="379">
        <f t="shared" si="1515"/>
        <v>958821.68833333324</v>
      </c>
      <c r="CG193" s="379">
        <f t="shared" si="1515"/>
        <v>963368.40556350001</v>
      </c>
      <c r="CH193" s="379">
        <f t="shared" si="1515"/>
        <v>1117933.2088325925</v>
      </c>
      <c r="CI193" s="379">
        <f t="shared" si="1515"/>
        <v>1375509.2474498984</v>
      </c>
      <c r="CJ193" s="379">
        <f t="shared" si="1515"/>
        <v>1480471.9192668931</v>
      </c>
    </row>
    <row r="194" spans="1:88" x14ac:dyDescent="0.3">
      <c r="A194" s="97" t="str">
        <f>'DCS Detail'!A194</f>
        <v>Salaries</v>
      </c>
      <c r="B194" s="97"/>
      <c r="C194" s="36">
        <f t="shared" ref="C194:L208" si="1522">SUMIF($B$4:$B$174,$A194,C$4:C$174)</f>
        <v>0</v>
      </c>
      <c r="D194" s="36">
        <f t="shared" si="1522"/>
        <v>0</v>
      </c>
      <c r="E194" s="36">
        <f t="shared" si="1522"/>
        <v>-25802.909999999996</v>
      </c>
      <c r="F194" s="36">
        <f t="shared" si="1522"/>
        <v>25404.289999999997</v>
      </c>
      <c r="G194" s="36">
        <f t="shared" si="1522"/>
        <v>27661.32</v>
      </c>
      <c r="H194" s="36">
        <f t="shared" si="1522"/>
        <v>30402.690000000002</v>
      </c>
      <c r="I194" s="36">
        <f t="shared" si="1522"/>
        <v>30554.14</v>
      </c>
      <c r="J194" s="36">
        <f t="shared" si="1522"/>
        <v>26827.389599999995</v>
      </c>
      <c r="K194" s="36">
        <f t="shared" si="1522"/>
        <v>29127.9</v>
      </c>
      <c r="L194" s="36">
        <f t="shared" si="1522"/>
        <v>30115.320399999997</v>
      </c>
      <c r="M194" s="36">
        <f t="shared" ref="M194:V208" si="1523">SUMIF($B$4:$B$174,$A194,M$4:M$174)</f>
        <v>29948.300000000003</v>
      </c>
      <c r="N194" s="36">
        <f t="shared" si="1523"/>
        <v>30633.83</v>
      </c>
      <c r="O194" s="36">
        <f t="shared" si="1523"/>
        <v>30696.28</v>
      </c>
      <c r="P194" s="36">
        <f t="shared" si="1523"/>
        <v>72814.17</v>
      </c>
      <c r="Q194" s="36">
        <f t="shared" si="1523"/>
        <v>204.64</v>
      </c>
      <c r="R194" s="36">
        <f t="shared" si="1523"/>
        <v>33321.019999999997</v>
      </c>
      <c r="S194" s="36">
        <f t="shared" si="1523"/>
        <v>34735.300000000003</v>
      </c>
      <c r="T194" s="36">
        <f t="shared" si="1523"/>
        <v>33406.28</v>
      </c>
      <c r="U194" s="36">
        <f t="shared" si="1523"/>
        <v>33739.5</v>
      </c>
      <c r="V194" s="36">
        <f t="shared" si="1523"/>
        <v>35838.539999999994</v>
      </c>
      <c r="W194" s="36">
        <f t="shared" ref="W194:AF208" si="1524">SUMIF($B$4:$B$174,$A194,W$4:W$174)</f>
        <v>33447.31</v>
      </c>
      <c r="X194" s="36">
        <f t="shared" si="1524"/>
        <v>35040.549999999996</v>
      </c>
      <c r="Y194" s="36">
        <f t="shared" si="1524"/>
        <v>34438.080000000002</v>
      </c>
      <c r="Z194" s="36">
        <f t="shared" si="1524"/>
        <v>34462.57</v>
      </c>
      <c r="AA194" s="36">
        <f t="shared" si="1524"/>
        <v>38478.57</v>
      </c>
      <c r="AB194" s="36">
        <f t="shared" si="1524"/>
        <v>69418.933333333334</v>
      </c>
      <c r="AC194" s="36">
        <f t="shared" si="1524"/>
        <v>0</v>
      </c>
      <c r="AD194" s="36">
        <f t="shared" si="1524"/>
        <v>34777.44666666667</v>
      </c>
      <c r="AE194" s="36">
        <f t="shared" si="1524"/>
        <v>34709.466666666667</v>
      </c>
      <c r="AF194" s="36">
        <f t="shared" si="1524"/>
        <v>34709.466666666667</v>
      </c>
      <c r="AG194" s="36">
        <f t="shared" ref="AG194:AP208" si="1525">SUMIF($B$4:$B$174,$A194,AG$4:AG$174)</f>
        <v>35015.376666666671</v>
      </c>
      <c r="AH194" s="36">
        <f t="shared" si="1525"/>
        <v>34709.466666666667</v>
      </c>
      <c r="AI194" s="36">
        <f t="shared" si="1525"/>
        <v>34913.406666666669</v>
      </c>
      <c r="AJ194" s="36">
        <f t="shared" si="1525"/>
        <v>34709.466666666667</v>
      </c>
      <c r="AK194" s="36">
        <f t="shared" si="1525"/>
        <v>34709.466666666667</v>
      </c>
      <c r="AL194" s="36">
        <f t="shared" si="1525"/>
        <v>34947.396666666667</v>
      </c>
      <c r="AM194" s="36">
        <f t="shared" si="1525"/>
        <v>34732.126666666671</v>
      </c>
      <c r="AN194" s="36">
        <f t="shared" si="1525"/>
        <v>69418.933333333334</v>
      </c>
      <c r="AO194" s="36">
        <f t="shared" si="1525"/>
        <v>0</v>
      </c>
      <c r="AP194" s="36">
        <f t="shared" si="1525"/>
        <v>35820.770066666664</v>
      </c>
      <c r="AQ194" s="36">
        <f t="shared" ref="AQ194:AZ208" si="1526">SUMIF($B$4:$B$174,$A194,AQ$4:AQ$174)</f>
        <v>35750.750666666667</v>
      </c>
      <c r="AR194" s="36">
        <f t="shared" si="1526"/>
        <v>35750.750666666667</v>
      </c>
      <c r="AS194" s="36">
        <f t="shared" si="1526"/>
        <v>36065.837966666666</v>
      </c>
      <c r="AT194" s="36">
        <f t="shared" si="1526"/>
        <v>35750.750666666667</v>
      </c>
      <c r="AU194" s="36">
        <f t="shared" si="1526"/>
        <v>35960.808866666666</v>
      </c>
      <c r="AV194" s="36">
        <f t="shared" si="1526"/>
        <v>35750.750666666667</v>
      </c>
      <c r="AW194" s="36">
        <f t="shared" si="1526"/>
        <v>35750.750666666667</v>
      </c>
      <c r="AX194" s="36">
        <f t="shared" si="1526"/>
        <v>35995.818566666661</v>
      </c>
      <c r="AY194" s="36">
        <f t="shared" si="1526"/>
        <v>35774.090466666668</v>
      </c>
      <c r="AZ194" s="36">
        <f t="shared" si="1526"/>
        <v>71501.501333333334</v>
      </c>
      <c r="BA194" s="36">
        <f t="shared" ref="BA194:BJ208" si="1527">SUMIF($B$4:$B$174,$A194,BA$4:BA$174)</f>
        <v>0</v>
      </c>
      <c r="BB194" s="36">
        <f t="shared" si="1527"/>
        <v>39895.75628566667</v>
      </c>
      <c r="BC194" s="36">
        <f t="shared" si="1527"/>
        <v>39823.636303666673</v>
      </c>
      <c r="BD194" s="36">
        <f t="shared" si="1527"/>
        <v>39823.636303666673</v>
      </c>
      <c r="BE194" s="36">
        <f t="shared" si="1527"/>
        <v>40148.176222666676</v>
      </c>
      <c r="BF194" s="36">
        <f t="shared" si="1527"/>
        <v>39823.636303666673</v>
      </c>
      <c r="BG194" s="36">
        <f t="shared" si="1527"/>
        <v>40039.99624966667</v>
      </c>
      <c r="BH194" s="36">
        <f t="shared" si="1527"/>
        <v>39823.636303666673</v>
      </c>
      <c r="BI194" s="36">
        <f t="shared" si="1527"/>
        <v>39823.636303666673</v>
      </c>
      <c r="BJ194" s="36">
        <f t="shared" si="1527"/>
        <v>40076.056240666672</v>
      </c>
      <c r="BK194" s="36">
        <f t="shared" ref="BK194:BX208" si="1528">SUMIF($B$4:$B$174,$A194,BK$4:BK$174)</f>
        <v>39847.676297666672</v>
      </c>
      <c r="BL194" s="36">
        <f t="shared" si="1528"/>
        <v>79647.272607333347</v>
      </c>
      <c r="BM194" s="36">
        <f t="shared" si="1528"/>
        <v>0</v>
      </c>
      <c r="BN194" s="36">
        <f t="shared" si="1528"/>
        <v>41092.628974236672</v>
      </c>
      <c r="BO194" s="36">
        <f t="shared" si="1528"/>
        <v>41018.345392776675</v>
      </c>
      <c r="BP194" s="36">
        <f t="shared" si="1528"/>
        <v>41018.345392776675</v>
      </c>
      <c r="BQ194" s="36">
        <f t="shared" si="1528"/>
        <v>41352.621509346674</v>
      </c>
      <c r="BR194" s="36">
        <f t="shared" si="1528"/>
        <v>41018.345392776675</v>
      </c>
      <c r="BS194" s="36">
        <f t="shared" si="1528"/>
        <v>41241.196137156672</v>
      </c>
      <c r="BT194" s="36">
        <f t="shared" si="1528"/>
        <v>41018.345392776675</v>
      </c>
      <c r="BU194" s="36">
        <f t="shared" si="1528"/>
        <v>41018.345392776675</v>
      </c>
      <c r="BV194" s="36">
        <f t="shared" si="1528"/>
        <v>41278.337927886678</v>
      </c>
      <c r="BW194" s="36">
        <f t="shared" si="1528"/>
        <v>41043.106586596674</v>
      </c>
      <c r="BX194" s="36">
        <f t="shared" si="1528"/>
        <v>82036.69078555335</v>
      </c>
      <c r="BZ194" s="379">
        <f t="shared" ref="BZ194:BZ208" si="1529">SUMIF($B$252:$BY$252,1,$B194:$BY194)</f>
        <v>38478.57</v>
      </c>
      <c r="CA194" s="379">
        <f t="shared" ref="CA194:CA208" si="1530">SUMIF($B$253:$BY$253,1,$B194:$BY194)</f>
        <v>347112.36</v>
      </c>
      <c r="CB194" s="97"/>
      <c r="CC194" s="379">
        <f t="shared" si="1515"/>
        <v>0</v>
      </c>
      <c r="CD194" s="379">
        <f t="shared" si="1515"/>
        <v>0</v>
      </c>
      <c r="CE194" s="379">
        <f t="shared" si="1515"/>
        <v>338382.72000000003</v>
      </c>
      <c r="CF194" s="379">
        <f t="shared" si="1515"/>
        <v>416531.29333333333</v>
      </c>
      <c r="CG194" s="379">
        <f t="shared" si="1515"/>
        <v>417352.02</v>
      </c>
      <c r="CH194" s="379">
        <f t="shared" si="1515"/>
        <v>429872.58059999999</v>
      </c>
      <c r="CI194" s="379">
        <f t="shared" si="1515"/>
        <v>478773.11542200006</v>
      </c>
      <c r="CJ194" s="379">
        <f t="shared" si="1515"/>
        <v>493136.30888466013</v>
      </c>
    </row>
    <row r="195" spans="1:88" x14ac:dyDescent="0.3">
      <c r="A195" s="97" t="str">
        <f>'DCS Detail'!A195</f>
        <v>Benefits</v>
      </c>
      <c r="B195" s="97"/>
      <c r="C195" s="36">
        <f t="shared" si="1522"/>
        <v>0</v>
      </c>
      <c r="D195" s="36">
        <f t="shared" si="1522"/>
        <v>0</v>
      </c>
      <c r="E195" s="36">
        <f t="shared" si="1522"/>
        <v>-6013.1299999999992</v>
      </c>
      <c r="F195" s="36">
        <f t="shared" si="1522"/>
        <v>6893.1600000000017</v>
      </c>
      <c r="G195" s="36">
        <f t="shared" si="1522"/>
        <v>7685.89</v>
      </c>
      <c r="H195" s="36">
        <f t="shared" si="1522"/>
        <v>7485.340000000002</v>
      </c>
      <c r="I195" s="36">
        <f t="shared" si="1522"/>
        <v>7446.8900000000012</v>
      </c>
      <c r="J195" s="36">
        <f t="shared" si="1522"/>
        <v>12064.864199999996</v>
      </c>
      <c r="K195" s="36">
        <f t="shared" si="1522"/>
        <v>8795.9060000000009</v>
      </c>
      <c r="L195" s="36">
        <f t="shared" si="1522"/>
        <v>10172.209800000002</v>
      </c>
      <c r="M195" s="36">
        <f t="shared" si="1523"/>
        <v>9150.0799999999945</v>
      </c>
      <c r="N195" s="36">
        <f t="shared" si="1523"/>
        <v>7579.1500000000015</v>
      </c>
      <c r="O195" s="36">
        <f t="shared" si="1523"/>
        <v>8753.8100000000013</v>
      </c>
      <c r="P195" s="36">
        <f t="shared" si="1523"/>
        <v>20258.37999999999</v>
      </c>
      <c r="Q195" s="36">
        <f t="shared" si="1523"/>
        <v>1622.3000000000002</v>
      </c>
      <c r="R195" s="36">
        <f t="shared" si="1523"/>
        <v>9915.779999999997</v>
      </c>
      <c r="S195" s="36">
        <f t="shared" si="1523"/>
        <v>9389.4799999999959</v>
      </c>
      <c r="T195" s="36">
        <f t="shared" si="1523"/>
        <v>6721.99</v>
      </c>
      <c r="U195" s="36">
        <f t="shared" si="1523"/>
        <v>7019.3600000000006</v>
      </c>
      <c r="V195" s="36">
        <f t="shared" si="1523"/>
        <v>6683.1200000000017</v>
      </c>
      <c r="W195" s="36">
        <f t="shared" si="1524"/>
        <v>7013.5300000000016</v>
      </c>
      <c r="X195" s="36">
        <f t="shared" si="1524"/>
        <v>16278.509999999993</v>
      </c>
      <c r="Y195" s="36">
        <f t="shared" si="1524"/>
        <v>-2245.4500000000003</v>
      </c>
      <c r="Z195" s="36">
        <f t="shared" si="1524"/>
        <v>21683.679999999997</v>
      </c>
      <c r="AA195" s="36">
        <f t="shared" si="1524"/>
        <v>9278.9699999999975</v>
      </c>
      <c r="AB195" s="36">
        <f t="shared" si="1524"/>
        <v>14605.499749073046</v>
      </c>
      <c r="AC195" s="36">
        <f t="shared" si="1524"/>
        <v>93.997800000000012</v>
      </c>
      <c r="AD195" s="36">
        <f t="shared" si="1524"/>
        <v>7928.4709300731147</v>
      </c>
      <c r="AE195" s="36">
        <f t="shared" si="1524"/>
        <v>7442.3784466372954</v>
      </c>
      <c r="AF195" s="36">
        <f t="shared" si="1524"/>
        <v>7271.0942744528929</v>
      </c>
      <c r="AG195" s="36">
        <f t="shared" si="1525"/>
        <v>7562.8463245122557</v>
      </c>
      <c r="AH195" s="36">
        <f t="shared" si="1525"/>
        <v>7432.0147878659864</v>
      </c>
      <c r="AI195" s="36">
        <f t="shared" si="1525"/>
        <v>7322.1955446592283</v>
      </c>
      <c r="AJ195" s="36">
        <f t="shared" si="1525"/>
        <v>7337.8410013667954</v>
      </c>
      <c r="AK195" s="36">
        <f t="shared" si="1525"/>
        <v>7302.1721013667948</v>
      </c>
      <c r="AL195" s="36">
        <f t="shared" si="1525"/>
        <v>7319.82525440875</v>
      </c>
      <c r="AM195" s="36">
        <f t="shared" si="1525"/>
        <v>7405.5942840903863</v>
      </c>
      <c r="AN195" s="36">
        <f t="shared" si="1525"/>
        <v>14597.331885220063</v>
      </c>
      <c r="AO195" s="36">
        <f t="shared" si="1525"/>
        <v>96.817734000000016</v>
      </c>
      <c r="AP195" s="36">
        <f t="shared" si="1525"/>
        <v>8123.4391187493393</v>
      </c>
      <c r="AQ195" s="36">
        <f t="shared" si="1526"/>
        <v>7657.9987721078514</v>
      </c>
      <c r="AR195" s="36">
        <f t="shared" si="1526"/>
        <v>7517.4957663996429</v>
      </c>
      <c r="AS195" s="36">
        <f t="shared" si="1526"/>
        <v>7838.1236995889003</v>
      </c>
      <c r="AT195" s="36">
        <f t="shared" si="1526"/>
        <v>7610.7961446433801</v>
      </c>
      <c r="AU195" s="36">
        <f t="shared" si="1526"/>
        <v>7538.0800478294314</v>
      </c>
      <c r="AV195" s="36">
        <f t="shared" si="1526"/>
        <v>7554.3367700530907</v>
      </c>
      <c r="AW195" s="36">
        <f t="shared" si="1526"/>
        <v>7517.5978030530896</v>
      </c>
      <c r="AX195" s="36">
        <f t="shared" si="1526"/>
        <v>7541.3871903821982</v>
      </c>
      <c r="AY195" s="36">
        <f t="shared" si="1526"/>
        <v>7631.10332042139</v>
      </c>
      <c r="AZ195" s="36">
        <f t="shared" si="1526"/>
        <v>15034.81212713471</v>
      </c>
      <c r="BA195" s="36">
        <f t="shared" si="1527"/>
        <v>99.722266020000021</v>
      </c>
      <c r="BB195" s="36">
        <f t="shared" si="1527"/>
        <v>9071.6575436001713</v>
      </c>
      <c r="BC195" s="36">
        <f t="shared" si="1527"/>
        <v>8592.6770857167012</v>
      </c>
      <c r="BD195" s="36">
        <f t="shared" si="1527"/>
        <v>8448.4194581743122</v>
      </c>
      <c r="BE195" s="36">
        <f t="shared" si="1527"/>
        <v>8779.1901915785038</v>
      </c>
      <c r="BF195" s="36">
        <f t="shared" si="1527"/>
        <v>8544.8287064723154</v>
      </c>
      <c r="BG195" s="36">
        <f t="shared" si="1527"/>
        <v>8469.4904212803176</v>
      </c>
      <c r="BH195" s="36">
        <f t="shared" si="1527"/>
        <v>8486.2588483253894</v>
      </c>
      <c r="BI195" s="36">
        <f t="shared" si="1527"/>
        <v>8448.4177123153895</v>
      </c>
      <c r="BJ195" s="36">
        <f t="shared" si="1527"/>
        <v>8473.0317418189898</v>
      </c>
      <c r="BK195" s="36">
        <f t="shared" si="1528"/>
        <v>8565.5057250850296</v>
      </c>
      <c r="BL195" s="36">
        <f t="shared" si="1528"/>
        <v>16896.815239984557</v>
      </c>
      <c r="BM195" s="36">
        <f t="shared" si="1528"/>
        <v>102.71393400060002</v>
      </c>
      <c r="BN195" s="36">
        <f t="shared" si="1528"/>
        <v>9343.7629490594518</v>
      </c>
      <c r="BO195" s="36">
        <f t="shared" si="1528"/>
        <v>8850.4313429160884</v>
      </c>
      <c r="BP195" s="36">
        <f t="shared" si="1528"/>
        <v>8701.863321116658</v>
      </c>
      <c r="BQ195" s="36">
        <f t="shared" si="1528"/>
        <v>9042.5763716950642</v>
      </c>
      <c r="BR195" s="36">
        <f t="shared" si="1528"/>
        <v>8801.1881270103786</v>
      </c>
      <c r="BS195" s="36">
        <f t="shared" si="1528"/>
        <v>8723.5843787244958</v>
      </c>
      <c r="BT195" s="36">
        <f t="shared" si="1528"/>
        <v>8740.8391440243395</v>
      </c>
      <c r="BU195" s="36">
        <f t="shared" si="1528"/>
        <v>8701.8627739340391</v>
      </c>
      <c r="BV195" s="36">
        <f t="shared" si="1528"/>
        <v>8727.2204887653079</v>
      </c>
      <c r="BW195" s="36">
        <f t="shared" si="1528"/>
        <v>8822.4720986813118</v>
      </c>
      <c r="BX195" s="36">
        <f t="shared" si="1528"/>
        <v>17403.724935913433</v>
      </c>
      <c r="BZ195" s="379">
        <f t="shared" si="1529"/>
        <v>9278.9699999999975</v>
      </c>
      <c r="CA195" s="379">
        <f t="shared" si="1530"/>
        <v>93361.26999999999</v>
      </c>
      <c r="CB195" s="97"/>
      <c r="CC195" s="379">
        <f t="shared" si="1515"/>
        <v>0</v>
      </c>
      <c r="CD195" s="379">
        <f t="shared" si="1515"/>
        <v>0</v>
      </c>
      <c r="CE195" s="379">
        <f t="shared" si="1515"/>
        <v>100272.55</v>
      </c>
      <c r="CF195" s="379">
        <f t="shared" si="1515"/>
        <v>107966.76974907304</v>
      </c>
      <c r="CG195" s="379">
        <f t="shared" si="1515"/>
        <v>89015.762634653554</v>
      </c>
      <c r="CH195" s="379">
        <f t="shared" si="1515"/>
        <v>91661.988494363017</v>
      </c>
      <c r="CI195" s="379">
        <f t="shared" si="1515"/>
        <v>102876.01494037169</v>
      </c>
      <c r="CJ195" s="379">
        <f t="shared" si="1515"/>
        <v>105962.23986584117</v>
      </c>
    </row>
    <row r="196" spans="1:88" x14ac:dyDescent="0.3">
      <c r="A196" s="97" t="str">
        <f>'DCS Detail'!A196</f>
        <v>Lease</v>
      </c>
      <c r="B196" s="97"/>
      <c r="C196" s="36">
        <f t="shared" si="1522"/>
        <v>0</v>
      </c>
      <c r="D196" s="36">
        <f t="shared" si="1522"/>
        <v>0</v>
      </c>
      <c r="E196" s="36">
        <f t="shared" si="1522"/>
        <v>8098</v>
      </c>
      <c r="F196" s="36">
        <f t="shared" si="1522"/>
        <v>8331</v>
      </c>
      <c r="G196" s="36">
        <f t="shared" si="1522"/>
        <v>8331</v>
      </c>
      <c r="H196" s="36">
        <f t="shared" si="1522"/>
        <v>8631</v>
      </c>
      <c r="I196" s="36">
        <f t="shared" si="1522"/>
        <v>8331</v>
      </c>
      <c r="J196" s="36">
        <f t="shared" si="1522"/>
        <v>8331</v>
      </c>
      <c r="K196" s="36">
        <f t="shared" si="1522"/>
        <v>0</v>
      </c>
      <c r="L196" s="36">
        <f t="shared" si="1522"/>
        <v>8331</v>
      </c>
      <c r="M196" s="36">
        <f t="shared" si="1523"/>
        <v>16129</v>
      </c>
      <c r="N196" s="36">
        <f t="shared" si="1523"/>
        <v>9252</v>
      </c>
      <c r="O196" s="36">
        <f t="shared" si="1523"/>
        <v>8331</v>
      </c>
      <c r="P196" s="36">
        <f t="shared" si="1523"/>
        <v>8331</v>
      </c>
      <c r="Q196" s="36">
        <f t="shared" si="1523"/>
        <v>8331</v>
      </c>
      <c r="R196" s="36">
        <f t="shared" si="1523"/>
        <v>8331</v>
      </c>
      <c r="S196" s="36">
        <f t="shared" si="1523"/>
        <v>8331</v>
      </c>
      <c r="T196" s="36">
        <f t="shared" si="1523"/>
        <v>8331</v>
      </c>
      <c r="U196" s="36">
        <f t="shared" si="1523"/>
        <v>8331</v>
      </c>
      <c r="V196" s="36">
        <f t="shared" si="1523"/>
        <v>8331</v>
      </c>
      <c r="W196" s="36">
        <f t="shared" si="1524"/>
        <v>8331</v>
      </c>
      <c r="X196" s="36">
        <f t="shared" si="1524"/>
        <v>8331</v>
      </c>
      <c r="Y196" s="36">
        <f t="shared" si="1524"/>
        <v>8331</v>
      </c>
      <c r="Z196" s="36">
        <f t="shared" si="1524"/>
        <v>8331</v>
      </c>
      <c r="AA196" s="36">
        <f t="shared" si="1524"/>
        <v>8331</v>
      </c>
      <c r="AB196" s="36">
        <f t="shared" si="1524"/>
        <v>8331</v>
      </c>
      <c r="AC196" s="36">
        <f t="shared" si="1524"/>
        <v>8580.93</v>
      </c>
      <c r="AD196" s="36">
        <f t="shared" si="1524"/>
        <v>8580.93</v>
      </c>
      <c r="AE196" s="36">
        <f t="shared" si="1524"/>
        <v>8580.93</v>
      </c>
      <c r="AF196" s="36">
        <f t="shared" si="1524"/>
        <v>8580.93</v>
      </c>
      <c r="AG196" s="36">
        <f t="shared" si="1525"/>
        <v>8580.93</v>
      </c>
      <c r="AH196" s="36">
        <f t="shared" si="1525"/>
        <v>8580.93</v>
      </c>
      <c r="AI196" s="36">
        <f t="shared" si="1525"/>
        <v>8580.93</v>
      </c>
      <c r="AJ196" s="36">
        <f t="shared" si="1525"/>
        <v>8580.93</v>
      </c>
      <c r="AK196" s="36">
        <f t="shared" si="1525"/>
        <v>8580.93</v>
      </c>
      <c r="AL196" s="36">
        <f t="shared" si="1525"/>
        <v>8580.93</v>
      </c>
      <c r="AM196" s="36">
        <f t="shared" si="1525"/>
        <v>8580.93</v>
      </c>
      <c r="AN196" s="36">
        <f t="shared" si="1525"/>
        <v>8580.93</v>
      </c>
      <c r="AO196" s="36">
        <f t="shared" si="1525"/>
        <v>8838.3579000000009</v>
      </c>
      <c r="AP196" s="36">
        <f t="shared" si="1525"/>
        <v>8838.3579000000009</v>
      </c>
      <c r="AQ196" s="36">
        <f t="shared" si="1526"/>
        <v>8838.3579000000009</v>
      </c>
      <c r="AR196" s="36">
        <f t="shared" si="1526"/>
        <v>8838.3579000000009</v>
      </c>
      <c r="AS196" s="36">
        <f t="shared" si="1526"/>
        <v>8838.3579000000009</v>
      </c>
      <c r="AT196" s="36">
        <f t="shared" si="1526"/>
        <v>8838.3579000000009</v>
      </c>
      <c r="AU196" s="36">
        <f t="shared" si="1526"/>
        <v>8838.3579000000009</v>
      </c>
      <c r="AV196" s="36">
        <f t="shared" si="1526"/>
        <v>8838.3579000000009</v>
      </c>
      <c r="AW196" s="36">
        <f t="shared" si="1526"/>
        <v>8838.3579000000009</v>
      </c>
      <c r="AX196" s="36">
        <f t="shared" si="1526"/>
        <v>8838.3579000000009</v>
      </c>
      <c r="AY196" s="36">
        <f t="shared" si="1526"/>
        <v>8838.3579000000009</v>
      </c>
      <c r="AZ196" s="36">
        <f t="shared" si="1526"/>
        <v>8838.3579000000009</v>
      </c>
      <c r="BA196" s="36">
        <f t="shared" si="1527"/>
        <v>9103.5086370000008</v>
      </c>
      <c r="BB196" s="36">
        <f t="shared" si="1527"/>
        <v>9103.5086370000008</v>
      </c>
      <c r="BC196" s="36">
        <f t="shared" si="1527"/>
        <v>9103.5086370000008</v>
      </c>
      <c r="BD196" s="36">
        <f t="shared" si="1527"/>
        <v>9103.5086370000008</v>
      </c>
      <c r="BE196" s="36">
        <f t="shared" si="1527"/>
        <v>9103.5086370000008</v>
      </c>
      <c r="BF196" s="36">
        <f t="shared" si="1527"/>
        <v>9103.5086370000008</v>
      </c>
      <c r="BG196" s="36">
        <f t="shared" si="1527"/>
        <v>9103.5086370000008</v>
      </c>
      <c r="BH196" s="36">
        <f t="shared" si="1527"/>
        <v>9103.5086370000008</v>
      </c>
      <c r="BI196" s="36">
        <f t="shared" si="1527"/>
        <v>9103.5086370000008</v>
      </c>
      <c r="BJ196" s="36">
        <f t="shared" si="1527"/>
        <v>9103.5086370000008</v>
      </c>
      <c r="BK196" s="36">
        <f t="shared" si="1528"/>
        <v>9103.5086370000008</v>
      </c>
      <c r="BL196" s="36">
        <f t="shared" si="1528"/>
        <v>9103.5086370000008</v>
      </c>
      <c r="BM196" s="36">
        <f t="shared" si="1528"/>
        <v>9376.6138961100005</v>
      </c>
      <c r="BN196" s="36">
        <f t="shared" si="1528"/>
        <v>9376.6138961100005</v>
      </c>
      <c r="BO196" s="36">
        <f t="shared" si="1528"/>
        <v>9376.6138961100005</v>
      </c>
      <c r="BP196" s="36">
        <f t="shared" si="1528"/>
        <v>9376.6138961100005</v>
      </c>
      <c r="BQ196" s="36">
        <f t="shared" si="1528"/>
        <v>9376.6138961100005</v>
      </c>
      <c r="BR196" s="36">
        <f t="shared" si="1528"/>
        <v>9376.6138961100005</v>
      </c>
      <c r="BS196" s="36">
        <f t="shared" si="1528"/>
        <v>9376.6138961100005</v>
      </c>
      <c r="BT196" s="36">
        <f t="shared" si="1528"/>
        <v>9376.6138961100005</v>
      </c>
      <c r="BU196" s="36">
        <f t="shared" si="1528"/>
        <v>9376.6138961100005</v>
      </c>
      <c r="BV196" s="36">
        <f t="shared" si="1528"/>
        <v>9376.6138961100005</v>
      </c>
      <c r="BW196" s="36">
        <f t="shared" si="1528"/>
        <v>9376.6138961100005</v>
      </c>
      <c r="BX196" s="36">
        <f t="shared" si="1528"/>
        <v>9376.6138961100005</v>
      </c>
      <c r="BZ196" s="379">
        <f t="shared" si="1529"/>
        <v>8331</v>
      </c>
      <c r="CA196" s="379">
        <f t="shared" si="1530"/>
        <v>91641</v>
      </c>
      <c r="CB196" s="97"/>
      <c r="CC196" s="379">
        <f t="shared" si="1515"/>
        <v>0</v>
      </c>
      <c r="CD196" s="379">
        <f t="shared" si="1515"/>
        <v>0</v>
      </c>
      <c r="CE196" s="379">
        <f t="shared" si="1515"/>
        <v>100427</v>
      </c>
      <c r="CF196" s="379">
        <f t="shared" si="1515"/>
        <v>99972</v>
      </c>
      <c r="CG196" s="379">
        <f t="shared" si="1515"/>
        <v>102971.15999999997</v>
      </c>
      <c r="CH196" s="379">
        <f t="shared" si="1515"/>
        <v>106060.29480000002</v>
      </c>
      <c r="CI196" s="379">
        <f t="shared" si="1515"/>
        <v>109242.10364400003</v>
      </c>
      <c r="CJ196" s="379">
        <f t="shared" si="1515"/>
        <v>112519.36675332004</v>
      </c>
    </row>
    <row r="197" spans="1:88" x14ac:dyDescent="0.3">
      <c r="A197" s="97" t="str">
        <f>'DCS Detail'!A197</f>
        <v>Utilities</v>
      </c>
      <c r="B197" s="97"/>
      <c r="C197" s="36">
        <f t="shared" si="1522"/>
        <v>0</v>
      </c>
      <c r="D197" s="36">
        <f t="shared" si="1522"/>
        <v>0</v>
      </c>
      <c r="E197" s="36">
        <f t="shared" si="1522"/>
        <v>4171.58</v>
      </c>
      <c r="F197" s="36">
        <f t="shared" si="1522"/>
        <v>2666.84</v>
      </c>
      <c r="G197" s="36">
        <f t="shared" si="1522"/>
        <v>1321.79</v>
      </c>
      <c r="H197" s="36">
        <f t="shared" si="1522"/>
        <v>833.84</v>
      </c>
      <c r="I197" s="36">
        <f t="shared" si="1522"/>
        <v>1364.19</v>
      </c>
      <c r="J197" s="36">
        <f t="shared" si="1522"/>
        <v>1551.55</v>
      </c>
      <c r="K197" s="36">
        <f t="shared" si="1522"/>
        <v>1291.0999999999999</v>
      </c>
      <c r="L197" s="36">
        <f t="shared" si="1522"/>
        <v>1080.8100000000002</v>
      </c>
      <c r="M197" s="36">
        <f t="shared" si="1523"/>
        <v>827.8599999999999</v>
      </c>
      <c r="N197" s="36">
        <f t="shared" si="1523"/>
        <v>1954.44</v>
      </c>
      <c r="O197" s="36">
        <f t="shared" si="1523"/>
        <v>0</v>
      </c>
      <c r="P197" s="36">
        <f t="shared" si="1523"/>
        <v>1197.9000000000001</v>
      </c>
      <c r="Q197" s="36">
        <f t="shared" si="1523"/>
        <v>1793.21</v>
      </c>
      <c r="R197" s="36">
        <f t="shared" si="1523"/>
        <v>1872.5300000000002</v>
      </c>
      <c r="S197" s="36">
        <f t="shared" si="1523"/>
        <v>1851.34</v>
      </c>
      <c r="T197" s="36">
        <f t="shared" si="1523"/>
        <v>3376.3</v>
      </c>
      <c r="U197" s="36">
        <f t="shared" si="1523"/>
        <v>1154.72</v>
      </c>
      <c r="V197" s="36">
        <f t="shared" si="1523"/>
        <v>914.2</v>
      </c>
      <c r="W197" s="36">
        <f t="shared" si="1524"/>
        <v>298.87999999999994</v>
      </c>
      <c r="X197" s="36">
        <f t="shared" si="1524"/>
        <v>518.4</v>
      </c>
      <c r="Y197" s="36">
        <f t="shared" si="1524"/>
        <v>554.79</v>
      </c>
      <c r="Z197" s="36">
        <f t="shared" si="1524"/>
        <v>290.75</v>
      </c>
      <c r="AA197" s="36">
        <f t="shared" si="1524"/>
        <v>744.42</v>
      </c>
      <c r="AB197" s="36">
        <f t="shared" si="1524"/>
        <v>1233.837</v>
      </c>
      <c r="AC197" s="36">
        <f t="shared" si="1524"/>
        <v>1847.0063000000002</v>
      </c>
      <c r="AD197" s="36">
        <f t="shared" si="1524"/>
        <v>1928.7059000000002</v>
      </c>
      <c r="AE197" s="36">
        <f t="shared" si="1524"/>
        <v>1906.8802000000001</v>
      </c>
      <c r="AF197" s="36">
        <f t="shared" si="1524"/>
        <v>3477.5890000000004</v>
      </c>
      <c r="AG197" s="36">
        <f t="shared" si="1525"/>
        <v>1189.3616000000002</v>
      </c>
      <c r="AH197" s="36">
        <f t="shared" si="1525"/>
        <v>941.62600000000009</v>
      </c>
      <c r="AI197" s="36">
        <f t="shared" si="1525"/>
        <v>307.84639999999996</v>
      </c>
      <c r="AJ197" s="36">
        <f t="shared" si="1525"/>
        <v>533.952</v>
      </c>
      <c r="AK197" s="36">
        <f t="shared" si="1525"/>
        <v>571.43370000000004</v>
      </c>
      <c r="AL197" s="36">
        <f t="shared" si="1525"/>
        <v>299.47250000000003</v>
      </c>
      <c r="AM197" s="36">
        <f t="shared" si="1525"/>
        <v>766.75260000000003</v>
      </c>
      <c r="AN197" s="36">
        <f t="shared" si="1525"/>
        <v>1270.8521100000003</v>
      </c>
      <c r="AO197" s="36">
        <f t="shared" si="1525"/>
        <v>1902.4164890000002</v>
      </c>
      <c r="AP197" s="36">
        <f t="shared" si="1525"/>
        <v>1986.5670770000002</v>
      </c>
      <c r="AQ197" s="36">
        <f t="shared" si="1526"/>
        <v>1964.0866060000001</v>
      </c>
      <c r="AR197" s="36">
        <f t="shared" si="1526"/>
        <v>3581.9166700000005</v>
      </c>
      <c r="AS197" s="36">
        <f t="shared" si="1526"/>
        <v>1225.0424480000001</v>
      </c>
      <c r="AT197" s="36">
        <f t="shared" si="1526"/>
        <v>969.8747800000001</v>
      </c>
      <c r="AU197" s="36">
        <f t="shared" si="1526"/>
        <v>317.08179199999995</v>
      </c>
      <c r="AV197" s="36">
        <f t="shared" si="1526"/>
        <v>549.97055999999998</v>
      </c>
      <c r="AW197" s="36">
        <f t="shared" si="1526"/>
        <v>588.57671100000005</v>
      </c>
      <c r="AX197" s="36">
        <f t="shared" si="1526"/>
        <v>308.45667500000002</v>
      </c>
      <c r="AY197" s="36">
        <f t="shared" si="1526"/>
        <v>789.755178</v>
      </c>
      <c r="AZ197" s="36">
        <f t="shared" si="1526"/>
        <v>1308.9776733000003</v>
      </c>
      <c r="BA197" s="36">
        <f t="shared" si="1527"/>
        <v>1959.4889836700004</v>
      </c>
      <c r="BB197" s="36">
        <f t="shared" si="1527"/>
        <v>2046.1640893100002</v>
      </c>
      <c r="BC197" s="36">
        <f t="shared" si="1527"/>
        <v>2023.0092041800001</v>
      </c>
      <c r="BD197" s="36">
        <f t="shared" si="1527"/>
        <v>3689.3741701000008</v>
      </c>
      <c r="BE197" s="36">
        <f t="shared" si="1527"/>
        <v>1261.7937214400001</v>
      </c>
      <c r="BF197" s="36">
        <f t="shared" si="1527"/>
        <v>998.97102340000004</v>
      </c>
      <c r="BG197" s="36">
        <f t="shared" si="1527"/>
        <v>326.59424575999998</v>
      </c>
      <c r="BH197" s="36">
        <f t="shared" si="1527"/>
        <v>566.46967680000012</v>
      </c>
      <c r="BI197" s="36">
        <f t="shared" si="1527"/>
        <v>606.23401233000016</v>
      </c>
      <c r="BJ197" s="36">
        <f t="shared" si="1527"/>
        <v>317.71037525000003</v>
      </c>
      <c r="BK197" s="36">
        <f t="shared" si="1528"/>
        <v>813.4478333400001</v>
      </c>
      <c r="BL197" s="36">
        <f t="shared" si="1528"/>
        <v>1348.2470034990001</v>
      </c>
      <c r="BM197" s="36">
        <f t="shared" si="1528"/>
        <v>2018.2736531801006</v>
      </c>
      <c r="BN197" s="36">
        <f t="shared" si="1528"/>
        <v>2107.5490119893002</v>
      </c>
      <c r="BO197" s="36">
        <f t="shared" si="1528"/>
        <v>2083.6994803053999</v>
      </c>
      <c r="BP197" s="36">
        <f t="shared" si="1528"/>
        <v>3800.0553952030009</v>
      </c>
      <c r="BQ197" s="36">
        <f t="shared" si="1528"/>
        <v>1299.6475330832</v>
      </c>
      <c r="BR197" s="36">
        <f t="shared" si="1528"/>
        <v>1028.9401541020002</v>
      </c>
      <c r="BS197" s="36">
        <f t="shared" si="1528"/>
        <v>336.39207313279996</v>
      </c>
      <c r="BT197" s="36">
        <f t="shared" si="1528"/>
        <v>583.463767104</v>
      </c>
      <c r="BU197" s="36">
        <f t="shared" si="1528"/>
        <v>624.42103269990014</v>
      </c>
      <c r="BV197" s="36">
        <f t="shared" si="1528"/>
        <v>327.24168650750005</v>
      </c>
      <c r="BW197" s="36">
        <f t="shared" si="1528"/>
        <v>837.85126834020002</v>
      </c>
      <c r="BX197" s="36">
        <f t="shared" si="1528"/>
        <v>1388.6944136039704</v>
      </c>
      <c r="BZ197" s="379">
        <f t="shared" si="1529"/>
        <v>744.42</v>
      </c>
      <c r="CA197" s="379">
        <f t="shared" si="1530"/>
        <v>13369.539999999999</v>
      </c>
      <c r="CB197" s="97"/>
      <c r="CC197" s="379">
        <f t="shared" ref="CC197:CJ208" si="1531">SUMIF($C$3:$BY$3,CC$3,$C197:$BY197)</f>
        <v>0</v>
      </c>
      <c r="CD197" s="379">
        <f t="shared" si="1531"/>
        <v>0</v>
      </c>
      <c r="CE197" s="379">
        <f t="shared" si="1531"/>
        <v>18261.900000000001</v>
      </c>
      <c r="CF197" s="379">
        <f t="shared" si="1531"/>
        <v>14603.376999999999</v>
      </c>
      <c r="CG197" s="379">
        <f t="shared" si="1531"/>
        <v>15041.47831</v>
      </c>
      <c r="CH197" s="379">
        <f t="shared" si="1531"/>
        <v>15492.7226593</v>
      </c>
      <c r="CI197" s="379">
        <f t="shared" si="1531"/>
        <v>15957.504339079002</v>
      </c>
      <c r="CJ197" s="379">
        <f t="shared" si="1531"/>
        <v>16436.229469251371</v>
      </c>
    </row>
    <row r="198" spans="1:88" x14ac:dyDescent="0.3">
      <c r="A198" s="97" t="str">
        <f>'DCS Detail'!A198</f>
        <v>Repairs/Maint</v>
      </c>
      <c r="B198" s="97"/>
      <c r="C198" s="36">
        <f t="shared" si="1522"/>
        <v>0</v>
      </c>
      <c r="D198" s="36">
        <f t="shared" si="1522"/>
        <v>0</v>
      </c>
      <c r="E198" s="36">
        <f t="shared" si="1522"/>
        <v>0</v>
      </c>
      <c r="F198" s="36">
        <f t="shared" si="1522"/>
        <v>118</v>
      </c>
      <c r="G198" s="36">
        <f t="shared" si="1522"/>
        <v>330</v>
      </c>
      <c r="H198" s="36">
        <f t="shared" si="1522"/>
        <v>1586.68</v>
      </c>
      <c r="I198" s="36">
        <f t="shared" si="1522"/>
        <v>0</v>
      </c>
      <c r="J198" s="36">
        <f t="shared" si="1522"/>
        <v>0</v>
      </c>
      <c r="K198" s="36">
        <f t="shared" si="1522"/>
        <v>0</v>
      </c>
      <c r="L198" s="36">
        <f t="shared" si="1522"/>
        <v>224.99999999999977</v>
      </c>
      <c r="M198" s="36">
        <f t="shared" si="1523"/>
        <v>300.00000000000045</v>
      </c>
      <c r="N198" s="36">
        <f t="shared" si="1523"/>
        <v>377.7</v>
      </c>
      <c r="O198" s="36">
        <f t="shared" si="1523"/>
        <v>0</v>
      </c>
      <c r="P198" s="36">
        <f t="shared" si="1523"/>
        <v>313.06</v>
      </c>
      <c r="Q198" s="36">
        <f t="shared" si="1523"/>
        <v>-209.88</v>
      </c>
      <c r="R198" s="36">
        <f t="shared" si="1523"/>
        <v>388.17</v>
      </c>
      <c r="S198" s="36">
        <f t="shared" si="1523"/>
        <v>62.24</v>
      </c>
      <c r="T198" s="36">
        <f t="shared" si="1523"/>
        <v>338</v>
      </c>
      <c r="U198" s="36">
        <f t="shared" si="1523"/>
        <v>1639</v>
      </c>
      <c r="V198" s="36">
        <f t="shared" si="1523"/>
        <v>194.52</v>
      </c>
      <c r="W198" s="36">
        <f t="shared" si="1524"/>
        <v>1269</v>
      </c>
      <c r="X198" s="36">
        <f t="shared" si="1524"/>
        <v>-111.55</v>
      </c>
      <c r="Y198" s="36">
        <f t="shared" si="1524"/>
        <v>407</v>
      </c>
      <c r="Z198" s="36">
        <f t="shared" si="1524"/>
        <v>0</v>
      </c>
      <c r="AA198" s="36">
        <f t="shared" si="1524"/>
        <v>128.03</v>
      </c>
      <c r="AB198" s="36">
        <f t="shared" si="1524"/>
        <v>322.45179999999999</v>
      </c>
      <c r="AC198" s="36">
        <f t="shared" si="1524"/>
        <v>-216.1764</v>
      </c>
      <c r="AD198" s="36">
        <f t="shared" si="1524"/>
        <v>399.81510000000003</v>
      </c>
      <c r="AE198" s="36">
        <f t="shared" si="1524"/>
        <v>64.107200000000006</v>
      </c>
      <c r="AF198" s="36">
        <f t="shared" si="1524"/>
        <v>348.14</v>
      </c>
      <c r="AG198" s="36">
        <f t="shared" si="1525"/>
        <v>1688.17</v>
      </c>
      <c r="AH198" s="36">
        <f t="shared" si="1525"/>
        <v>200.35560000000001</v>
      </c>
      <c r="AI198" s="36">
        <f t="shared" si="1525"/>
        <v>1307.07</v>
      </c>
      <c r="AJ198" s="36">
        <f t="shared" si="1525"/>
        <v>-114.8965</v>
      </c>
      <c r="AK198" s="36">
        <f t="shared" si="1525"/>
        <v>419.21000000000004</v>
      </c>
      <c r="AL198" s="36">
        <f t="shared" si="1525"/>
        <v>0</v>
      </c>
      <c r="AM198" s="36">
        <f t="shared" si="1525"/>
        <v>131.87090000000001</v>
      </c>
      <c r="AN198" s="36">
        <f t="shared" si="1525"/>
        <v>332.12535400000002</v>
      </c>
      <c r="AO198" s="36">
        <f t="shared" si="1525"/>
        <v>-222.66169200000002</v>
      </c>
      <c r="AP198" s="36">
        <f t="shared" si="1525"/>
        <v>411.80955300000005</v>
      </c>
      <c r="AQ198" s="36">
        <f t="shared" si="1526"/>
        <v>66.030416000000002</v>
      </c>
      <c r="AR198" s="36">
        <f t="shared" si="1526"/>
        <v>358.58420000000001</v>
      </c>
      <c r="AS198" s="36">
        <f t="shared" si="1526"/>
        <v>1738.8151</v>
      </c>
      <c r="AT198" s="36">
        <f t="shared" si="1526"/>
        <v>206.36626800000002</v>
      </c>
      <c r="AU198" s="36">
        <f t="shared" si="1526"/>
        <v>1346.2820999999999</v>
      </c>
      <c r="AV198" s="36">
        <f t="shared" si="1526"/>
        <v>-118.343395</v>
      </c>
      <c r="AW198" s="36">
        <f t="shared" si="1526"/>
        <v>431.78630000000004</v>
      </c>
      <c r="AX198" s="36">
        <f t="shared" si="1526"/>
        <v>0</v>
      </c>
      <c r="AY198" s="36">
        <f t="shared" si="1526"/>
        <v>135.82702700000002</v>
      </c>
      <c r="AZ198" s="36">
        <f t="shared" si="1526"/>
        <v>342.08911462000003</v>
      </c>
      <c r="BA198" s="36">
        <f t="shared" si="1527"/>
        <v>-229.34154276000001</v>
      </c>
      <c r="BB198" s="36">
        <f t="shared" si="1527"/>
        <v>424.16383959000007</v>
      </c>
      <c r="BC198" s="36">
        <f t="shared" si="1527"/>
        <v>68.011328480000003</v>
      </c>
      <c r="BD198" s="36">
        <f t="shared" si="1527"/>
        <v>369.34172599999999</v>
      </c>
      <c r="BE198" s="36">
        <f t="shared" si="1527"/>
        <v>1790.9795530000001</v>
      </c>
      <c r="BF198" s="36">
        <f t="shared" si="1527"/>
        <v>212.55725604000003</v>
      </c>
      <c r="BG198" s="36">
        <f t="shared" si="1527"/>
        <v>1386.6705629999999</v>
      </c>
      <c r="BH198" s="36">
        <f t="shared" si="1527"/>
        <v>-121.89369685</v>
      </c>
      <c r="BI198" s="36">
        <f t="shared" si="1527"/>
        <v>444.73988900000006</v>
      </c>
      <c r="BJ198" s="36">
        <f t="shared" si="1527"/>
        <v>0</v>
      </c>
      <c r="BK198" s="36">
        <f t="shared" si="1528"/>
        <v>139.90183781000002</v>
      </c>
      <c r="BL198" s="36">
        <f t="shared" si="1528"/>
        <v>352.35178805860005</v>
      </c>
      <c r="BM198" s="36">
        <f t="shared" si="1528"/>
        <v>-236.22178904280003</v>
      </c>
      <c r="BN198" s="36">
        <f t="shared" si="1528"/>
        <v>436.88875477770006</v>
      </c>
      <c r="BO198" s="36">
        <f t="shared" si="1528"/>
        <v>70.051668334400006</v>
      </c>
      <c r="BP198" s="36">
        <f t="shared" si="1528"/>
        <v>380.42197778000002</v>
      </c>
      <c r="BQ198" s="36">
        <f t="shared" si="1528"/>
        <v>1844.7089395900002</v>
      </c>
      <c r="BR198" s="36">
        <f t="shared" si="1528"/>
        <v>218.93397372120003</v>
      </c>
      <c r="BS198" s="36">
        <f t="shared" si="1528"/>
        <v>1428.2706798899999</v>
      </c>
      <c r="BT198" s="36">
        <f t="shared" si="1528"/>
        <v>-125.55050775550001</v>
      </c>
      <c r="BU198" s="36">
        <f t="shared" si="1528"/>
        <v>458.08208567000008</v>
      </c>
      <c r="BV198" s="36">
        <f t="shared" si="1528"/>
        <v>0</v>
      </c>
      <c r="BW198" s="36">
        <f t="shared" si="1528"/>
        <v>144.09889294430002</v>
      </c>
      <c r="BX198" s="36">
        <f t="shared" si="1528"/>
        <v>362.92234170035806</v>
      </c>
      <c r="BZ198" s="379">
        <f t="shared" si="1529"/>
        <v>128.03</v>
      </c>
      <c r="CA198" s="379">
        <f t="shared" si="1530"/>
        <v>4104.53</v>
      </c>
      <c r="CB198" s="97"/>
      <c r="CC198" s="379">
        <f t="shared" si="1531"/>
        <v>0</v>
      </c>
      <c r="CD198" s="379">
        <f t="shared" si="1531"/>
        <v>0</v>
      </c>
      <c r="CE198" s="379">
        <f t="shared" si="1531"/>
        <v>3250.44</v>
      </c>
      <c r="CF198" s="379">
        <f t="shared" si="1531"/>
        <v>4426.9817999999996</v>
      </c>
      <c r="CG198" s="379">
        <f t="shared" si="1531"/>
        <v>4559.7912539999998</v>
      </c>
      <c r="CH198" s="379">
        <f t="shared" si="1531"/>
        <v>4696.5849916200004</v>
      </c>
      <c r="CI198" s="379">
        <f t="shared" si="1531"/>
        <v>4837.4825413686012</v>
      </c>
      <c r="CJ198" s="379">
        <f t="shared" si="1531"/>
        <v>4982.6070176096582</v>
      </c>
    </row>
    <row r="199" spans="1:88" x14ac:dyDescent="0.3">
      <c r="A199" s="97" t="str">
        <f>'DCS Detail'!A199</f>
        <v>Supplies</v>
      </c>
      <c r="B199" s="97"/>
      <c r="C199" s="36">
        <f t="shared" si="1522"/>
        <v>0</v>
      </c>
      <c r="D199" s="36">
        <f t="shared" si="1522"/>
        <v>0</v>
      </c>
      <c r="E199" s="36">
        <f t="shared" si="1522"/>
        <v>473.2</v>
      </c>
      <c r="F199" s="36">
        <f t="shared" si="1522"/>
        <v>184.95999999999998</v>
      </c>
      <c r="G199" s="36">
        <f t="shared" si="1522"/>
        <v>487.83000000000004</v>
      </c>
      <c r="H199" s="36">
        <f t="shared" si="1522"/>
        <v>2060.12</v>
      </c>
      <c r="I199" s="36">
        <f t="shared" si="1522"/>
        <v>133.93</v>
      </c>
      <c r="J199" s="36">
        <f t="shared" si="1522"/>
        <v>374.62</v>
      </c>
      <c r="K199" s="36">
        <f t="shared" si="1522"/>
        <v>260.48</v>
      </c>
      <c r="L199" s="36">
        <f t="shared" si="1522"/>
        <v>-49.090000000000259</v>
      </c>
      <c r="M199" s="36">
        <f t="shared" si="1523"/>
        <v>113.44999999999995</v>
      </c>
      <c r="N199" s="36">
        <f t="shared" si="1523"/>
        <v>74.350000000000009</v>
      </c>
      <c r="O199" s="36">
        <f t="shared" si="1523"/>
        <v>256.95</v>
      </c>
      <c r="P199" s="36">
        <f t="shared" si="1523"/>
        <v>617.28</v>
      </c>
      <c r="Q199" s="36">
        <f t="shared" si="1523"/>
        <v>874.13000000000011</v>
      </c>
      <c r="R199" s="36">
        <f t="shared" si="1523"/>
        <v>453.29999999999995</v>
      </c>
      <c r="S199" s="36">
        <f t="shared" si="1523"/>
        <v>482.85</v>
      </c>
      <c r="T199" s="36">
        <f t="shared" si="1523"/>
        <v>282.64</v>
      </c>
      <c r="U199" s="36">
        <f t="shared" si="1523"/>
        <v>650.19000000000005</v>
      </c>
      <c r="V199" s="36">
        <f t="shared" si="1523"/>
        <v>76.39</v>
      </c>
      <c r="W199" s="36">
        <f t="shared" si="1524"/>
        <v>804.07999999999993</v>
      </c>
      <c r="X199" s="36">
        <f t="shared" si="1524"/>
        <v>178.95000000000002</v>
      </c>
      <c r="Y199" s="36">
        <f t="shared" si="1524"/>
        <v>189.20000000000002</v>
      </c>
      <c r="Z199" s="36">
        <f t="shared" si="1524"/>
        <v>144.82999999999998</v>
      </c>
      <c r="AA199" s="36">
        <f t="shared" si="1524"/>
        <v>212.46999999999989</v>
      </c>
      <c r="AB199" s="36">
        <f t="shared" si="1524"/>
        <v>635.79840000000002</v>
      </c>
      <c r="AC199" s="36">
        <f t="shared" si="1524"/>
        <v>900.35390000000007</v>
      </c>
      <c r="AD199" s="36">
        <f t="shared" si="1524"/>
        <v>466.899</v>
      </c>
      <c r="AE199" s="36">
        <f t="shared" si="1524"/>
        <v>497.33550000000002</v>
      </c>
      <c r="AF199" s="36">
        <f t="shared" si="1524"/>
        <v>291.11919999999998</v>
      </c>
      <c r="AG199" s="36">
        <f t="shared" si="1525"/>
        <v>669.6957000000001</v>
      </c>
      <c r="AH199" s="36">
        <f t="shared" si="1525"/>
        <v>78.681699999999992</v>
      </c>
      <c r="AI199" s="36">
        <f t="shared" si="1525"/>
        <v>828.20240000000001</v>
      </c>
      <c r="AJ199" s="36">
        <f t="shared" si="1525"/>
        <v>184.31850000000003</v>
      </c>
      <c r="AK199" s="36">
        <f t="shared" si="1525"/>
        <v>194.87600000000003</v>
      </c>
      <c r="AL199" s="36">
        <f t="shared" si="1525"/>
        <v>149.17489999999998</v>
      </c>
      <c r="AM199" s="36">
        <f t="shared" si="1525"/>
        <v>218.84409999999988</v>
      </c>
      <c r="AN199" s="36">
        <f t="shared" si="1525"/>
        <v>654.87235199999998</v>
      </c>
      <c r="AO199" s="36">
        <f t="shared" si="1525"/>
        <v>927.36451700000021</v>
      </c>
      <c r="AP199" s="36">
        <f t="shared" si="1525"/>
        <v>480.90596999999991</v>
      </c>
      <c r="AQ199" s="36">
        <f t="shared" si="1526"/>
        <v>512.25556500000005</v>
      </c>
      <c r="AR199" s="36">
        <f t="shared" si="1526"/>
        <v>299.85277600000001</v>
      </c>
      <c r="AS199" s="36">
        <f t="shared" si="1526"/>
        <v>689.78657100000009</v>
      </c>
      <c r="AT199" s="36">
        <f t="shared" si="1526"/>
        <v>81.04215099999999</v>
      </c>
      <c r="AU199" s="36">
        <f t="shared" si="1526"/>
        <v>853.04847200000006</v>
      </c>
      <c r="AV199" s="36">
        <f t="shared" si="1526"/>
        <v>189.84805500000004</v>
      </c>
      <c r="AW199" s="36">
        <f t="shared" si="1526"/>
        <v>200.72228000000001</v>
      </c>
      <c r="AX199" s="36">
        <f t="shared" si="1526"/>
        <v>153.650147</v>
      </c>
      <c r="AY199" s="36">
        <f t="shared" si="1526"/>
        <v>225.40942299999989</v>
      </c>
      <c r="AZ199" s="36">
        <f t="shared" si="1526"/>
        <v>674.51852256000006</v>
      </c>
      <c r="BA199" s="36">
        <f t="shared" si="1527"/>
        <v>955.18545251000023</v>
      </c>
      <c r="BB199" s="36">
        <f t="shared" si="1527"/>
        <v>495.33314909999996</v>
      </c>
      <c r="BC199" s="36">
        <f t="shared" si="1527"/>
        <v>527.62323194999999</v>
      </c>
      <c r="BD199" s="36">
        <f t="shared" si="1527"/>
        <v>308.84835928000001</v>
      </c>
      <c r="BE199" s="36">
        <f t="shared" si="1527"/>
        <v>710.48016813000015</v>
      </c>
      <c r="BF199" s="36">
        <f t="shared" si="1527"/>
        <v>83.473415530000011</v>
      </c>
      <c r="BG199" s="36">
        <f t="shared" si="1527"/>
        <v>878.63992616000019</v>
      </c>
      <c r="BH199" s="36">
        <f t="shared" si="1527"/>
        <v>195.54349665000007</v>
      </c>
      <c r="BI199" s="36">
        <f t="shared" si="1527"/>
        <v>206.74394840000005</v>
      </c>
      <c r="BJ199" s="36">
        <f t="shared" si="1527"/>
        <v>158.25965141000003</v>
      </c>
      <c r="BK199" s="36">
        <f t="shared" si="1528"/>
        <v>232.1717056899999</v>
      </c>
      <c r="BL199" s="36">
        <f t="shared" si="1528"/>
        <v>694.75407823680018</v>
      </c>
      <c r="BM199" s="36">
        <f t="shared" si="1528"/>
        <v>983.84101608530023</v>
      </c>
      <c r="BN199" s="36">
        <f t="shared" si="1528"/>
        <v>510.19314357299999</v>
      </c>
      <c r="BO199" s="36">
        <f t="shared" si="1528"/>
        <v>543.45192890850001</v>
      </c>
      <c r="BP199" s="36">
        <f t="shared" si="1528"/>
        <v>318.11381005839996</v>
      </c>
      <c r="BQ199" s="36">
        <f t="shared" si="1528"/>
        <v>731.79457317390018</v>
      </c>
      <c r="BR199" s="36">
        <f t="shared" si="1528"/>
        <v>85.977617995900005</v>
      </c>
      <c r="BS199" s="36">
        <f t="shared" si="1528"/>
        <v>904.9991239448002</v>
      </c>
      <c r="BT199" s="36">
        <f t="shared" si="1528"/>
        <v>201.40980154950012</v>
      </c>
      <c r="BU199" s="36">
        <f t="shared" si="1528"/>
        <v>212.94626685200001</v>
      </c>
      <c r="BV199" s="36">
        <f t="shared" si="1528"/>
        <v>163.00744095230004</v>
      </c>
      <c r="BW199" s="36">
        <f t="shared" si="1528"/>
        <v>239.13685686069994</v>
      </c>
      <c r="BX199" s="36">
        <f t="shared" si="1528"/>
        <v>715.59670058390407</v>
      </c>
      <c r="BZ199" s="379">
        <f t="shared" si="1529"/>
        <v>212.46999999999989</v>
      </c>
      <c r="CA199" s="379">
        <f t="shared" si="1530"/>
        <v>4349.03</v>
      </c>
      <c r="CB199" s="97"/>
      <c r="CC199" s="379">
        <f t="shared" si="1531"/>
        <v>0</v>
      </c>
      <c r="CD199" s="379">
        <f t="shared" si="1531"/>
        <v>0</v>
      </c>
      <c r="CE199" s="379">
        <f t="shared" si="1531"/>
        <v>4988.079999999999</v>
      </c>
      <c r="CF199" s="379">
        <f t="shared" si="1531"/>
        <v>4984.8283999999994</v>
      </c>
      <c r="CG199" s="379">
        <f t="shared" si="1531"/>
        <v>5134.3732520000012</v>
      </c>
      <c r="CH199" s="379">
        <f t="shared" si="1531"/>
        <v>5288.404449560001</v>
      </c>
      <c r="CI199" s="379">
        <f t="shared" si="1531"/>
        <v>5447.0565830467995</v>
      </c>
      <c r="CJ199" s="379">
        <f t="shared" si="1531"/>
        <v>5610.4682805382045</v>
      </c>
    </row>
    <row r="200" spans="1:88" x14ac:dyDescent="0.3">
      <c r="A200" s="97" t="str">
        <f>'DCS Detail'!A200</f>
        <v>Curriculum</v>
      </c>
      <c r="B200" s="97"/>
      <c r="C200" s="36">
        <f t="shared" si="1522"/>
        <v>0</v>
      </c>
      <c r="D200" s="36">
        <f t="shared" si="1522"/>
        <v>0</v>
      </c>
      <c r="E200" s="36">
        <f t="shared" si="1522"/>
        <v>-384.22</v>
      </c>
      <c r="F200" s="36">
        <f t="shared" si="1522"/>
        <v>1292.31</v>
      </c>
      <c r="G200" s="36">
        <f t="shared" si="1522"/>
        <v>10156.629999999999</v>
      </c>
      <c r="H200" s="36">
        <f t="shared" si="1522"/>
        <v>1652.5629999999999</v>
      </c>
      <c r="I200" s="36">
        <f t="shared" si="1522"/>
        <v>599.5</v>
      </c>
      <c r="J200" s="36">
        <f t="shared" si="1522"/>
        <v>158.72120000000001</v>
      </c>
      <c r="K200" s="36">
        <f t="shared" si="1522"/>
        <v>0</v>
      </c>
      <c r="L200" s="36">
        <f t="shared" si="1522"/>
        <v>176.66580000000022</v>
      </c>
      <c r="M200" s="36">
        <f t="shared" si="1523"/>
        <v>699.73</v>
      </c>
      <c r="N200" s="36">
        <f t="shared" si="1523"/>
        <v>839.88</v>
      </c>
      <c r="O200" s="36">
        <f t="shared" si="1523"/>
        <v>706.61</v>
      </c>
      <c r="P200" s="36">
        <f t="shared" si="1523"/>
        <v>44</v>
      </c>
      <c r="Q200" s="36">
        <f t="shared" si="1523"/>
        <v>0</v>
      </c>
      <c r="R200" s="36">
        <f t="shared" si="1523"/>
        <v>3131.87</v>
      </c>
      <c r="S200" s="36">
        <f t="shared" si="1523"/>
        <v>15376.84</v>
      </c>
      <c r="T200" s="36">
        <f t="shared" si="1523"/>
        <v>4350.07</v>
      </c>
      <c r="U200" s="36">
        <f t="shared" si="1523"/>
        <v>1703.1100000000001</v>
      </c>
      <c r="V200" s="36">
        <f t="shared" si="1523"/>
        <v>0</v>
      </c>
      <c r="W200" s="36">
        <f t="shared" si="1524"/>
        <v>718.53</v>
      </c>
      <c r="X200" s="36">
        <f t="shared" si="1524"/>
        <v>90.009999999999991</v>
      </c>
      <c r="Y200" s="36">
        <f t="shared" si="1524"/>
        <v>8255.9399999999987</v>
      </c>
      <c r="Z200" s="36">
        <f t="shared" si="1524"/>
        <v>2501.4499999999998</v>
      </c>
      <c r="AA200" s="36">
        <f t="shared" si="1524"/>
        <v>1368.75</v>
      </c>
      <c r="AB200" s="36">
        <f t="shared" si="1524"/>
        <v>45.32</v>
      </c>
      <c r="AC200" s="36">
        <f t="shared" si="1524"/>
        <v>0</v>
      </c>
      <c r="AD200" s="36">
        <f t="shared" si="1524"/>
        <v>3118.7782000000002</v>
      </c>
      <c r="AE200" s="36">
        <f t="shared" si="1524"/>
        <v>15838.145200000001</v>
      </c>
      <c r="AF200" s="36">
        <f t="shared" si="1524"/>
        <v>4480.5721000000003</v>
      </c>
      <c r="AG200" s="36">
        <f t="shared" si="1525"/>
        <v>1757.8289</v>
      </c>
      <c r="AH200" s="36">
        <f t="shared" si="1525"/>
        <v>0</v>
      </c>
      <c r="AI200" s="36">
        <f t="shared" si="1525"/>
        <v>740.08590000000004</v>
      </c>
      <c r="AJ200" s="36">
        <f t="shared" si="1525"/>
        <v>92.710299999999989</v>
      </c>
      <c r="AK200" s="36">
        <f t="shared" si="1525"/>
        <v>8503.6182000000008</v>
      </c>
      <c r="AL200" s="36">
        <f t="shared" si="1525"/>
        <v>2560.5387999999998</v>
      </c>
      <c r="AM200" s="36">
        <f t="shared" si="1525"/>
        <v>1398.4825000000001</v>
      </c>
      <c r="AN200" s="36">
        <f t="shared" si="1525"/>
        <v>46.679600000000001</v>
      </c>
      <c r="AO200" s="36">
        <f t="shared" si="1525"/>
        <v>0</v>
      </c>
      <c r="AP200" s="36">
        <f t="shared" si="1525"/>
        <v>3212.3415460000001</v>
      </c>
      <c r="AQ200" s="36">
        <f t="shared" si="1526"/>
        <v>16313.289556</v>
      </c>
      <c r="AR200" s="36">
        <f t="shared" si="1526"/>
        <v>4614.9892630000004</v>
      </c>
      <c r="AS200" s="36">
        <f t="shared" si="1526"/>
        <v>1810.5637670000001</v>
      </c>
      <c r="AT200" s="36">
        <f t="shared" si="1526"/>
        <v>0</v>
      </c>
      <c r="AU200" s="36">
        <f t="shared" si="1526"/>
        <v>762.28847700000006</v>
      </c>
      <c r="AV200" s="36">
        <f t="shared" si="1526"/>
        <v>95.491608999999997</v>
      </c>
      <c r="AW200" s="36">
        <f t="shared" si="1526"/>
        <v>8758.7267460000003</v>
      </c>
      <c r="AX200" s="36">
        <f t="shared" si="1526"/>
        <v>2637.3549640000001</v>
      </c>
      <c r="AY200" s="36">
        <f t="shared" si="1526"/>
        <v>1440.4369750000001</v>
      </c>
      <c r="AZ200" s="36">
        <f t="shared" si="1526"/>
        <v>48.079988</v>
      </c>
      <c r="BA200" s="36">
        <f t="shared" si="1527"/>
        <v>0</v>
      </c>
      <c r="BB200" s="36">
        <f t="shared" si="1527"/>
        <v>3308.7117923800001</v>
      </c>
      <c r="BC200" s="36">
        <f t="shared" si="1527"/>
        <v>16802.68824268</v>
      </c>
      <c r="BD200" s="36">
        <f t="shared" si="1527"/>
        <v>4753.4389408900006</v>
      </c>
      <c r="BE200" s="36">
        <f t="shared" si="1527"/>
        <v>1864.8806800100001</v>
      </c>
      <c r="BF200" s="36">
        <f t="shared" si="1527"/>
        <v>0</v>
      </c>
      <c r="BG200" s="36">
        <f t="shared" si="1527"/>
        <v>785.15713131000007</v>
      </c>
      <c r="BH200" s="36">
        <f t="shared" si="1527"/>
        <v>98.35635726999999</v>
      </c>
      <c r="BI200" s="36">
        <f t="shared" si="1527"/>
        <v>9021.488548379999</v>
      </c>
      <c r="BJ200" s="36">
        <f t="shared" si="1527"/>
        <v>2716.47561292</v>
      </c>
      <c r="BK200" s="36">
        <f t="shared" si="1528"/>
        <v>1483.65008425</v>
      </c>
      <c r="BL200" s="36">
        <f t="shared" si="1528"/>
        <v>49.522387639999998</v>
      </c>
      <c r="BM200" s="36">
        <f t="shared" si="1528"/>
        <v>0</v>
      </c>
      <c r="BN200" s="36">
        <f t="shared" si="1528"/>
        <v>3407.9731461514002</v>
      </c>
      <c r="BO200" s="36">
        <f t="shared" si="1528"/>
        <v>17306.7688899604</v>
      </c>
      <c r="BP200" s="36">
        <f t="shared" si="1528"/>
        <v>4896.0421091167009</v>
      </c>
      <c r="BQ200" s="36">
        <f t="shared" si="1528"/>
        <v>1920.8271004103001</v>
      </c>
      <c r="BR200" s="36">
        <f t="shared" si="1528"/>
        <v>0</v>
      </c>
      <c r="BS200" s="36">
        <f t="shared" si="1528"/>
        <v>808.71184524930004</v>
      </c>
      <c r="BT200" s="36">
        <f t="shared" si="1528"/>
        <v>101.3070479881</v>
      </c>
      <c r="BU200" s="36">
        <f t="shared" si="1528"/>
        <v>9292.1332048313998</v>
      </c>
      <c r="BV200" s="36">
        <f t="shared" si="1528"/>
        <v>2797.9698813076002</v>
      </c>
      <c r="BW200" s="36">
        <f t="shared" si="1528"/>
        <v>1528.1595867775</v>
      </c>
      <c r="BX200" s="36">
        <f t="shared" si="1528"/>
        <v>51.008059269199997</v>
      </c>
      <c r="BZ200" s="379">
        <f t="shared" si="1529"/>
        <v>1368.75</v>
      </c>
      <c r="CA200" s="379">
        <f t="shared" si="1530"/>
        <v>37496.569999999992</v>
      </c>
      <c r="CB200" s="97"/>
      <c r="CC200" s="379">
        <f t="shared" si="1531"/>
        <v>0</v>
      </c>
      <c r="CD200" s="379">
        <f t="shared" si="1531"/>
        <v>0</v>
      </c>
      <c r="CE200" s="379">
        <f t="shared" si="1531"/>
        <v>15942.39</v>
      </c>
      <c r="CF200" s="379">
        <f t="shared" si="1531"/>
        <v>37541.889999999992</v>
      </c>
      <c r="CG200" s="379">
        <f t="shared" si="1531"/>
        <v>38537.43970000001</v>
      </c>
      <c r="CH200" s="379">
        <f t="shared" si="1531"/>
        <v>39693.562890999987</v>
      </c>
      <c r="CI200" s="379">
        <f t="shared" si="1531"/>
        <v>40884.369777729997</v>
      </c>
      <c r="CJ200" s="379">
        <f t="shared" si="1531"/>
        <v>42110.900871061909</v>
      </c>
    </row>
    <row r="201" spans="1:88" x14ac:dyDescent="0.3">
      <c r="A201" s="97" t="str">
        <f>'DCS Detail'!A201</f>
        <v>Insurance</v>
      </c>
      <c r="B201" s="97"/>
      <c r="C201" s="36">
        <f t="shared" si="1522"/>
        <v>0</v>
      </c>
      <c r="D201" s="36">
        <f t="shared" si="1522"/>
        <v>0</v>
      </c>
      <c r="E201" s="36">
        <f t="shared" si="1522"/>
        <v>-1060.33</v>
      </c>
      <c r="F201" s="36">
        <f t="shared" si="1522"/>
        <v>4734.1400000000003</v>
      </c>
      <c r="G201" s="36">
        <f t="shared" si="1522"/>
        <v>4904.24</v>
      </c>
      <c r="H201" s="36">
        <f t="shared" si="1522"/>
        <v>7235.91</v>
      </c>
      <c r="I201" s="36">
        <f t="shared" si="1522"/>
        <v>7636.6158000000005</v>
      </c>
      <c r="J201" s="36">
        <f t="shared" si="1522"/>
        <v>4107.1426000000001</v>
      </c>
      <c r="K201" s="36">
        <f t="shared" si="1522"/>
        <v>4533.54</v>
      </c>
      <c r="L201" s="36">
        <f t="shared" si="1522"/>
        <v>4141.2715999999982</v>
      </c>
      <c r="M201" s="36">
        <f t="shared" si="1523"/>
        <v>3927.180000000003</v>
      </c>
      <c r="N201" s="36">
        <f t="shared" si="1523"/>
        <v>4097</v>
      </c>
      <c r="O201" s="36">
        <f t="shared" si="1523"/>
        <v>3925.37</v>
      </c>
      <c r="P201" s="36">
        <f t="shared" si="1523"/>
        <v>4241.87</v>
      </c>
      <c r="Q201" s="36">
        <f t="shared" si="1523"/>
        <v>4370.4399999999996</v>
      </c>
      <c r="R201" s="36">
        <f t="shared" si="1523"/>
        <v>3905.1400000000003</v>
      </c>
      <c r="S201" s="36">
        <f t="shared" si="1523"/>
        <v>4052.89</v>
      </c>
      <c r="T201" s="36">
        <f t="shared" si="1523"/>
        <v>4836.32</v>
      </c>
      <c r="U201" s="36">
        <f t="shared" si="1523"/>
        <v>7949.0599999999995</v>
      </c>
      <c r="V201" s="36">
        <f t="shared" si="1523"/>
        <v>6312.2900000000009</v>
      </c>
      <c r="W201" s="36">
        <f t="shared" si="1524"/>
        <v>6580.42</v>
      </c>
      <c r="X201" s="36">
        <f t="shared" si="1524"/>
        <v>5425.5</v>
      </c>
      <c r="Y201" s="36">
        <f t="shared" si="1524"/>
        <v>5607.7</v>
      </c>
      <c r="Z201" s="36">
        <f t="shared" si="1524"/>
        <v>5287.48</v>
      </c>
      <c r="AA201" s="36">
        <f t="shared" si="1524"/>
        <v>5022.8599999999997</v>
      </c>
      <c r="AB201" s="36">
        <f t="shared" si="1524"/>
        <v>4369.1261000000004</v>
      </c>
      <c r="AC201" s="36">
        <f t="shared" si="1524"/>
        <v>4501.5531999999994</v>
      </c>
      <c r="AD201" s="36">
        <f t="shared" si="1524"/>
        <v>4022.2942000000003</v>
      </c>
      <c r="AE201" s="36">
        <f t="shared" si="1524"/>
        <v>4174.4767000000002</v>
      </c>
      <c r="AF201" s="36">
        <f t="shared" si="1524"/>
        <v>4981.4096</v>
      </c>
      <c r="AG201" s="36">
        <f t="shared" si="1525"/>
        <v>8187.5317999999997</v>
      </c>
      <c r="AH201" s="36">
        <f t="shared" si="1525"/>
        <v>6501.6587000000009</v>
      </c>
      <c r="AI201" s="36">
        <f t="shared" si="1525"/>
        <v>6777.8325999999997</v>
      </c>
      <c r="AJ201" s="36">
        <f t="shared" si="1525"/>
        <v>5588.2650000000003</v>
      </c>
      <c r="AK201" s="36">
        <f t="shared" si="1525"/>
        <v>5775.9309999999996</v>
      </c>
      <c r="AL201" s="36">
        <f t="shared" si="1525"/>
        <v>5446.1043999999993</v>
      </c>
      <c r="AM201" s="36">
        <f t="shared" si="1525"/>
        <v>5173.5457999999999</v>
      </c>
      <c r="AN201" s="36">
        <f t="shared" si="1525"/>
        <v>4500.1998830000002</v>
      </c>
      <c r="AO201" s="36">
        <f t="shared" si="1525"/>
        <v>4636.5997959999995</v>
      </c>
      <c r="AP201" s="36">
        <f t="shared" si="1525"/>
        <v>4142.9630260000004</v>
      </c>
      <c r="AQ201" s="36">
        <f t="shared" si="1526"/>
        <v>4299.7110010000006</v>
      </c>
      <c r="AR201" s="36">
        <f t="shared" si="1526"/>
        <v>5130.8518880000001</v>
      </c>
      <c r="AS201" s="36">
        <f t="shared" si="1526"/>
        <v>8433.1577539999998</v>
      </c>
      <c r="AT201" s="36">
        <f t="shared" si="1526"/>
        <v>6696.7084610000011</v>
      </c>
      <c r="AU201" s="36">
        <f t="shared" si="1526"/>
        <v>6981.1675780000005</v>
      </c>
      <c r="AV201" s="36">
        <f t="shared" si="1526"/>
        <v>5755.9129500000008</v>
      </c>
      <c r="AW201" s="36">
        <f t="shared" si="1526"/>
        <v>5949.2089299999998</v>
      </c>
      <c r="AX201" s="36">
        <f t="shared" si="1526"/>
        <v>5609.4875319999992</v>
      </c>
      <c r="AY201" s="36">
        <f t="shared" si="1526"/>
        <v>5328.7521740000002</v>
      </c>
      <c r="AZ201" s="36">
        <f t="shared" si="1526"/>
        <v>4635.2058794900004</v>
      </c>
      <c r="BA201" s="36">
        <f t="shared" si="1527"/>
        <v>4775.6977898799996</v>
      </c>
      <c r="BB201" s="36">
        <f t="shared" si="1527"/>
        <v>4267.2519167800001</v>
      </c>
      <c r="BC201" s="36">
        <f t="shared" si="1527"/>
        <v>4428.702331030001</v>
      </c>
      <c r="BD201" s="36">
        <f t="shared" si="1527"/>
        <v>5284.7774446399999</v>
      </c>
      <c r="BE201" s="36">
        <f t="shared" si="1527"/>
        <v>8686.1524866199998</v>
      </c>
      <c r="BF201" s="36">
        <f t="shared" si="1527"/>
        <v>6897.6097148300014</v>
      </c>
      <c r="BG201" s="36">
        <f t="shared" si="1527"/>
        <v>7190.6026053400001</v>
      </c>
      <c r="BH201" s="36">
        <f t="shared" si="1527"/>
        <v>5928.5903385000011</v>
      </c>
      <c r="BI201" s="36">
        <f t="shared" si="1527"/>
        <v>6127.6851979000003</v>
      </c>
      <c r="BJ201" s="36">
        <f t="shared" si="1527"/>
        <v>5777.7721579599993</v>
      </c>
      <c r="BK201" s="36">
        <f t="shared" si="1528"/>
        <v>5488.61473922</v>
      </c>
      <c r="BL201" s="36">
        <f t="shared" si="1528"/>
        <v>4774.2620558747003</v>
      </c>
      <c r="BM201" s="36">
        <f t="shared" si="1528"/>
        <v>4918.9687235763995</v>
      </c>
      <c r="BN201" s="36">
        <f t="shared" si="1528"/>
        <v>4395.2694742834001</v>
      </c>
      <c r="BO201" s="36">
        <f t="shared" si="1528"/>
        <v>4561.5634009609012</v>
      </c>
      <c r="BP201" s="36">
        <f t="shared" si="1528"/>
        <v>5443.3207679792004</v>
      </c>
      <c r="BQ201" s="36">
        <f t="shared" si="1528"/>
        <v>8946.7370612186005</v>
      </c>
      <c r="BR201" s="36">
        <f t="shared" si="1528"/>
        <v>7104.5380062749009</v>
      </c>
      <c r="BS201" s="36">
        <f t="shared" si="1528"/>
        <v>7406.3206835002011</v>
      </c>
      <c r="BT201" s="36">
        <f t="shared" si="1528"/>
        <v>6106.448048655001</v>
      </c>
      <c r="BU201" s="36">
        <f t="shared" si="1528"/>
        <v>6311.5157538370004</v>
      </c>
      <c r="BV201" s="36">
        <f t="shared" si="1528"/>
        <v>5951.1053226987997</v>
      </c>
      <c r="BW201" s="36">
        <f t="shared" si="1528"/>
        <v>5653.2731813966002</v>
      </c>
      <c r="BX201" s="36">
        <f t="shared" si="1528"/>
        <v>4917.4899175509418</v>
      </c>
      <c r="BZ201" s="379">
        <f t="shared" si="1529"/>
        <v>5022.8599999999997</v>
      </c>
      <c r="CA201" s="379">
        <f t="shared" si="1530"/>
        <v>59350.099999999991</v>
      </c>
      <c r="CB201" s="97"/>
      <c r="CC201" s="379">
        <f t="shared" si="1531"/>
        <v>0</v>
      </c>
      <c r="CD201" s="379">
        <f t="shared" si="1531"/>
        <v>0</v>
      </c>
      <c r="CE201" s="379">
        <f t="shared" si="1531"/>
        <v>52423.950000000004</v>
      </c>
      <c r="CF201" s="379">
        <f t="shared" si="1531"/>
        <v>63719.226099999993</v>
      </c>
      <c r="CG201" s="379">
        <f t="shared" si="1531"/>
        <v>65630.802882999982</v>
      </c>
      <c r="CH201" s="379">
        <f t="shared" si="1531"/>
        <v>67599.726969490002</v>
      </c>
      <c r="CI201" s="379">
        <f t="shared" si="1531"/>
        <v>69627.718778574694</v>
      </c>
      <c r="CJ201" s="379">
        <f t="shared" si="1531"/>
        <v>71716.550341931928</v>
      </c>
    </row>
    <row r="202" spans="1:88" x14ac:dyDescent="0.3">
      <c r="A202" s="97" t="str">
        <f>'DCS Detail'!A202</f>
        <v>Computers</v>
      </c>
      <c r="B202" s="97"/>
      <c r="C202" s="36">
        <f t="shared" si="1522"/>
        <v>0</v>
      </c>
      <c r="D202" s="36">
        <f t="shared" si="1522"/>
        <v>0</v>
      </c>
      <c r="E202" s="36">
        <f t="shared" si="1522"/>
        <v>16.690000000000001</v>
      </c>
      <c r="F202" s="36">
        <f t="shared" si="1522"/>
        <v>165</v>
      </c>
      <c r="G202" s="36">
        <f t="shared" si="1522"/>
        <v>0</v>
      </c>
      <c r="H202" s="36">
        <f t="shared" si="1522"/>
        <v>1801</v>
      </c>
      <c r="I202" s="36">
        <f t="shared" si="1522"/>
        <v>725.77</v>
      </c>
      <c r="J202" s="36">
        <f t="shared" si="1522"/>
        <v>31.23</v>
      </c>
      <c r="K202" s="36">
        <f t="shared" si="1522"/>
        <v>182.77</v>
      </c>
      <c r="L202" s="36">
        <f t="shared" si="1522"/>
        <v>1364.3899999999999</v>
      </c>
      <c r="M202" s="36">
        <f t="shared" si="1523"/>
        <v>767.5</v>
      </c>
      <c r="N202" s="36">
        <f t="shared" si="1523"/>
        <v>166.32</v>
      </c>
      <c r="O202" s="36">
        <f t="shared" si="1523"/>
        <v>383.24</v>
      </c>
      <c r="P202" s="36">
        <f t="shared" si="1523"/>
        <v>9044.84</v>
      </c>
      <c r="Q202" s="36">
        <f t="shared" si="1523"/>
        <v>219.12</v>
      </c>
      <c r="R202" s="36">
        <f t="shared" si="1523"/>
        <v>990</v>
      </c>
      <c r="S202" s="36">
        <f t="shared" si="1523"/>
        <v>523.57000000000005</v>
      </c>
      <c r="T202" s="36">
        <f t="shared" si="1523"/>
        <v>1377.1499999999999</v>
      </c>
      <c r="U202" s="36">
        <f t="shared" si="1523"/>
        <v>794.64</v>
      </c>
      <c r="V202" s="36">
        <f t="shared" si="1523"/>
        <v>0</v>
      </c>
      <c r="W202" s="36">
        <f t="shared" si="1524"/>
        <v>0</v>
      </c>
      <c r="X202" s="36">
        <f t="shared" si="1524"/>
        <v>0</v>
      </c>
      <c r="Y202" s="36">
        <f t="shared" si="1524"/>
        <v>0</v>
      </c>
      <c r="Z202" s="36">
        <f t="shared" si="1524"/>
        <v>0</v>
      </c>
      <c r="AA202" s="36">
        <f t="shared" si="1524"/>
        <v>0</v>
      </c>
      <c r="AB202" s="36">
        <f t="shared" si="1524"/>
        <v>0</v>
      </c>
      <c r="AC202" s="36">
        <f t="shared" si="1524"/>
        <v>225.69359999999998</v>
      </c>
      <c r="AD202" s="36">
        <f t="shared" si="1524"/>
        <v>1019.7</v>
      </c>
      <c r="AE202" s="36">
        <f t="shared" si="1524"/>
        <v>5000</v>
      </c>
      <c r="AF202" s="36">
        <f t="shared" si="1524"/>
        <v>421.68200000000002</v>
      </c>
      <c r="AG202" s="36">
        <f t="shared" si="1525"/>
        <v>818.47919999999999</v>
      </c>
      <c r="AH202" s="36">
        <f t="shared" si="1525"/>
        <v>0</v>
      </c>
      <c r="AI202" s="36">
        <f t="shared" si="1525"/>
        <v>0</v>
      </c>
      <c r="AJ202" s="36">
        <f t="shared" si="1525"/>
        <v>0</v>
      </c>
      <c r="AK202" s="36">
        <f t="shared" si="1525"/>
        <v>0</v>
      </c>
      <c r="AL202" s="36">
        <f t="shared" si="1525"/>
        <v>0</v>
      </c>
      <c r="AM202" s="36">
        <f t="shared" si="1525"/>
        <v>0</v>
      </c>
      <c r="AN202" s="36">
        <f t="shared" si="1525"/>
        <v>0</v>
      </c>
      <c r="AO202" s="36">
        <f t="shared" si="1525"/>
        <v>232.46440799999999</v>
      </c>
      <c r="AP202" s="36">
        <f t="shared" si="1525"/>
        <v>1050.2910000000002</v>
      </c>
      <c r="AQ202" s="36">
        <f t="shared" si="1526"/>
        <v>5150</v>
      </c>
      <c r="AR202" s="36">
        <f t="shared" si="1526"/>
        <v>434.33245999999997</v>
      </c>
      <c r="AS202" s="36">
        <f t="shared" si="1526"/>
        <v>843.03357600000004</v>
      </c>
      <c r="AT202" s="36">
        <f t="shared" si="1526"/>
        <v>0</v>
      </c>
      <c r="AU202" s="36">
        <f t="shared" si="1526"/>
        <v>0</v>
      </c>
      <c r="AV202" s="36">
        <f t="shared" si="1526"/>
        <v>0</v>
      </c>
      <c r="AW202" s="36">
        <f t="shared" si="1526"/>
        <v>0</v>
      </c>
      <c r="AX202" s="36">
        <f t="shared" si="1526"/>
        <v>0</v>
      </c>
      <c r="AY202" s="36">
        <f t="shared" si="1526"/>
        <v>0</v>
      </c>
      <c r="AZ202" s="36">
        <f t="shared" si="1526"/>
        <v>0</v>
      </c>
      <c r="BA202" s="36">
        <f t="shared" si="1527"/>
        <v>239.43834024</v>
      </c>
      <c r="BB202" s="36">
        <f t="shared" si="1527"/>
        <v>1081.7997300000002</v>
      </c>
      <c r="BC202" s="36">
        <f t="shared" si="1527"/>
        <v>5304.5</v>
      </c>
      <c r="BD202" s="36">
        <f t="shared" si="1527"/>
        <v>447.36243379999996</v>
      </c>
      <c r="BE202" s="36">
        <f t="shared" si="1527"/>
        <v>868.32458328000007</v>
      </c>
      <c r="BF202" s="36">
        <f t="shared" si="1527"/>
        <v>0</v>
      </c>
      <c r="BG202" s="36">
        <f t="shared" si="1527"/>
        <v>0</v>
      </c>
      <c r="BH202" s="36">
        <f t="shared" si="1527"/>
        <v>0</v>
      </c>
      <c r="BI202" s="36">
        <f t="shared" si="1527"/>
        <v>0</v>
      </c>
      <c r="BJ202" s="36">
        <f t="shared" si="1527"/>
        <v>0</v>
      </c>
      <c r="BK202" s="36">
        <f t="shared" si="1528"/>
        <v>0</v>
      </c>
      <c r="BL202" s="36">
        <f t="shared" si="1528"/>
        <v>0</v>
      </c>
      <c r="BM202" s="36">
        <f t="shared" si="1528"/>
        <v>246.62149044720002</v>
      </c>
      <c r="BN202" s="36">
        <f t="shared" si="1528"/>
        <v>1114.2537219000003</v>
      </c>
      <c r="BO202" s="36">
        <f t="shared" si="1528"/>
        <v>5463.6350000000002</v>
      </c>
      <c r="BP202" s="36">
        <f t="shared" si="1528"/>
        <v>460.78330681399996</v>
      </c>
      <c r="BQ202" s="36">
        <f t="shared" si="1528"/>
        <v>894.37432077840015</v>
      </c>
      <c r="BR202" s="36">
        <f t="shared" si="1528"/>
        <v>0</v>
      </c>
      <c r="BS202" s="36">
        <f t="shared" si="1528"/>
        <v>0</v>
      </c>
      <c r="BT202" s="36">
        <f t="shared" si="1528"/>
        <v>0</v>
      </c>
      <c r="BU202" s="36">
        <f t="shared" si="1528"/>
        <v>0</v>
      </c>
      <c r="BV202" s="36">
        <f t="shared" si="1528"/>
        <v>0</v>
      </c>
      <c r="BW202" s="36">
        <f t="shared" si="1528"/>
        <v>0</v>
      </c>
      <c r="BX202" s="36">
        <f t="shared" si="1528"/>
        <v>0</v>
      </c>
      <c r="BZ202" s="379">
        <f t="shared" si="1529"/>
        <v>0</v>
      </c>
      <c r="CA202" s="379">
        <f t="shared" si="1530"/>
        <v>3904.48</v>
      </c>
      <c r="CB202" s="97"/>
      <c r="CC202" s="379">
        <f t="shared" si="1531"/>
        <v>0</v>
      </c>
      <c r="CD202" s="379">
        <f t="shared" si="1531"/>
        <v>0</v>
      </c>
      <c r="CE202" s="379">
        <f t="shared" si="1531"/>
        <v>14648.75</v>
      </c>
      <c r="CF202" s="379">
        <f t="shared" si="1531"/>
        <v>3904.48</v>
      </c>
      <c r="CG202" s="379">
        <f t="shared" si="1531"/>
        <v>7485.5547999999999</v>
      </c>
      <c r="CH202" s="379">
        <f t="shared" si="1531"/>
        <v>7710.1214439999994</v>
      </c>
      <c r="CI202" s="379">
        <f t="shared" si="1531"/>
        <v>7941.4250873200008</v>
      </c>
      <c r="CJ202" s="379">
        <f t="shared" si="1531"/>
        <v>8179.6678399396005</v>
      </c>
    </row>
    <row r="203" spans="1:88" x14ac:dyDescent="0.3">
      <c r="A203" s="97" t="str">
        <f>'DCS Detail'!A203</f>
        <v>Prof. Serv.</v>
      </c>
      <c r="B203" s="97"/>
      <c r="C203" s="36">
        <f t="shared" si="1522"/>
        <v>0</v>
      </c>
      <c r="D203" s="36">
        <f t="shared" si="1522"/>
        <v>0</v>
      </c>
      <c r="E203" s="36">
        <f t="shared" si="1522"/>
        <v>641.85</v>
      </c>
      <c r="F203" s="36">
        <f t="shared" si="1522"/>
        <v>207.62</v>
      </c>
      <c r="G203" s="36">
        <f t="shared" si="1522"/>
        <v>1039.5700000000002</v>
      </c>
      <c r="H203" s="36">
        <f t="shared" si="1522"/>
        <v>1949.01</v>
      </c>
      <c r="I203" s="36">
        <f t="shared" si="1522"/>
        <v>3157.8599999999997</v>
      </c>
      <c r="J203" s="36">
        <f t="shared" si="1522"/>
        <v>990.18999999999994</v>
      </c>
      <c r="K203" s="36">
        <f t="shared" si="1522"/>
        <v>3561.49</v>
      </c>
      <c r="L203" s="36">
        <f t="shared" si="1522"/>
        <v>2963.7099999999996</v>
      </c>
      <c r="M203" s="36">
        <f t="shared" si="1523"/>
        <v>1462.62</v>
      </c>
      <c r="N203" s="36">
        <f t="shared" si="1523"/>
        <v>2198.62</v>
      </c>
      <c r="O203" s="36">
        <f t="shared" si="1523"/>
        <v>4336.3999999999996</v>
      </c>
      <c r="P203" s="36">
        <f t="shared" si="1523"/>
        <v>2994.6</v>
      </c>
      <c r="Q203" s="36">
        <f t="shared" si="1523"/>
        <v>975.19</v>
      </c>
      <c r="R203" s="36">
        <f t="shared" si="1523"/>
        <v>1393.15</v>
      </c>
      <c r="S203" s="36">
        <f t="shared" si="1523"/>
        <v>13602.25</v>
      </c>
      <c r="T203" s="36">
        <f t="shared" si="1523"/>
        <v>3778.31</v>
      </c>
      <c r="U203" s="36">
        <f t="shared" si="1523"/>
        <v>9079.6999999999989</v>
      </c>
      <c r="V203" s="36">
        <f t="shared" si="1523"/>
        <v>3907.05</v>
      </c>
      <c r="W203" s="36">
        <f t="shared" si="1524"/>
        <v>4403.88</v>
      </c>
      <c r="X203" s="36">
        <f t="shared" si="1524"/>
        <v>3482.5</v>
      </c>
      <c r="Y203" s="36">
        <f t="shared" si="1524"/>
        <v>1434.5</v>
      </c>
      <c r="Z203" s="36">
        <f t="shared" si="1524"/>
        <v>4554.32</v>
      </c>
      <c r="AA203" s="36">
        <f t="shared" si="1524"/>
        <v>3521.64</v>
      </c>
      <c r="AB203" s="36">
        <f t="shared" si="1524"/>
        <v>3285.6655000000001</v>
      </c>
      <c r="AC203" s="36">
        <f t="shared" si="1524"/>
        <v>891.14570000000003</v>
      </c>
      <c r="AD203" s="36">
        <f t="shared" si="1524"/>
        <v>1434.9445000000001</v>
      </c>
      <c r="AE203" s="36">
        <f t="shared" si="1524"/>
        <v>8045.8374999999996</v>
      </c>
      <c r="AF203" s="36">
        <f t="shared" si="1524"/>
        <v>4063.0893000000005</v>
      </c>
      <c r="AG203" s="36">
        <f t="shared" si="1525"/>
        <v>9028.0910000000003</v>
      </c>
      <c r="AH203" s="36">
        <f t="shared" si="1525"/>
        <v>500</v>
      </c>
      <c r="AI203" s="36">
        <f t="shared" si="1525"/>
        <v>4027.8530000000001</v>
      </c>
      <c r="AJ203" s="36">
        <f t="shared" si="1525"/>
        <v>1916.25</v>
      </c>
      <c r="AK203" s="36">
        <f t="shared" si="1525"/>
        <v>500</v>
      </c>
      <c r="AL203" s="36">
        <f t="shared" si="1525"/>
        <v>1101.8496</v>
      </c>
      <c r="AM203" s="36">
        <f t="shared" si="1525"/>
        <v>2920.1292000000003</v>
      </c>
      <c r="AN203" s="36">
        <f t="shared" si="1525"/>
        <v>1713.5104650000003</v>
      </c>
      <c r="AO203" s="36">
        <f t="shared" si="1525"/>
        <v>917.88007100000016</v>
      </c>
      <c r="AP203" s="36">
        <f t="shared" si="1525"/>
        <v>1477.992835</v>
      </c>
      <c r="AQ203" s="36">
        <f t="shared" si="1526"/>
        <v>8122.2126250000001</v>
      </c>
      <c r="AR203" s="36">
        <f t="shared" si="1526"/>
        <v>4184.9819790000001</v>
      </c>
      <c r="AS203" s="36">
        <f t="shared" si="1526"/>
        <v>9298.9337299999988</v>
      </c>
      <c r="AT203" s="36">
        <f t="shared" si="1526"/>
        <v>515</v>
      </c>
      <c r="AU203" s="36">
        <f t="shared" si="1526"/>
        <v>4148.6885899999997</v>
      </c>
      <c r="AV203" s="36">
        <f t="shared" si="1526"/>
        <v>1973.7375</v>
      </c>
      <c r="AW203" s="36">
        <f t="shared" si="1526"/>
        <v>515</v>
      </c>
      <c r="AX203" s="36">
        <f t="shared" si="1526"/>
        <v>1134.905088</v>
      </c>
      <c r="AY203" s="36">
        <f t="shared" si="1526"/>
        <v>3007.7330760000004</v>
      </c>
      <c r="AZ203" s="36">
        <f t="shared" si="1526"/>
        <v>1764.91577895</v>
      </c>
      <c r="BA203" s="36">
        <f t="shared" si="1527"/>
        <v>945.41647313000021</v>
      </c>
      <c r="BB203" s="36">
        <f t="shared" si="1527"/>
        <v>1522.3326200500001</v>
      </c>
      <c r="BC203" s="36">
        <f t="shared" si="1527"/>
        <v>8200.8790037500003</v>
      </c>
      <c r="BD203" s="36">
        <f t="shared" si="1527"/>
        <v>4310.5314383700006</v>
      </c>
      <c r="BE203" s="36">
        <f t="shared" si="1527"/>
        <v>9577.9017419000011</v>
      </c>
      <c r="BF203" s="36">
        <f t="shared" si="1527"/>
        <v>530.45000000000005</v>
      </c>
      <c r="BG203" s="36">
        <f t="shared" si="1527"/>
        <v>4273.1492477000002</v>
      </c>
      <c r="BH203" s="36">
        <f t="shared" si="1527"/>
        <v>2032.949625</v>
      </c>
      <c r="BI203" s="36">
        <f t="shared" si="1527"/>
        <v>530.45000000000005</v>
      </c>
      <c r="BJ203" s="36">
        <f t="shared" si="1527"/>
        <v>1168.9522406400001</v>
      </c>
      <c r="BK203" s="36">
        <f t="shared" si="1528"/>
        <v>3097.9650682800002</v>
      </c>
      <c r="BL203" s="36">
        <f t="shared" si="1528"/>
        <v>1817.8632523185001</v>
      </c>
      <c r="BM203" s="36">
        <f t="shared" si="1528"/>
        <v>973.77896732390025</v>
      </c>
      <c r="BN203" s="36">
        <f t="shared" si="1528"/>
        <v>1568.0025986515002</v>
      </c>
      <c r="BO203" s="36">
        <f t="shared" si="1528"/>
        <v>8281.9053738625007</v>
      </c>
      <c r="BP203" s="36">
        <f t="shared" si="1528"/>
        <v>4439.8473815211</v>
      </c>
      <c r="BQ203" s="36">
        <f t="shared" si="1528"/>
        <v>9865.2387941570014</v>
      </c>
      <c r="BR203" s="36">
        <f t="shared" si="1528"/>
        <v>546.36350000000004</v>
      </c>
      <c r="BS203" s="36">
        <f t="shared" si="1528"/>
        <v>4401.3437251310006</v>
      </c>
      <c r="BT203" s="36">
        <f t="shared" si="1528"/>
        <v>2093.93811375</v>
      </c>
      <c r="BU203" s="36">
        <f t="shared" si="1528"/>
        <v>546.36350000000004</v>
      </c>
      <c r="BV203" s="36">
        <f t="shared" si="1528"/>
        <v>1204.0208078592</v>
      </c>
      <c r="BW203" s="36">
        <f t="shared" si="1528"/>
        <v>3190.9040203284007</v>
      </c>
      <c r="BX203" s="36">
        <f t="shared" si="1528"/>
        <v>1872.3991498880553</v>
      </c>
      <c r="BZ203" s="379">
        <f t="shared" si="1529"/>
        <v>3521.64</v>
      </c>
      <c r="CA203" s="379">
        <f t="shared" si="1530"/>
        <v>50132.49</v>
      </c>
      <c r="CB203" s="97"/>
      <c r="CC203" s="379">
        <f t="shared" si="1531"/>
        <v>0</v>
      </c>
      <c r="CD203" s="379">
        <f t="shared" si="1531"/>
        <v>0</v>
      </c>
      <c r="CE203" s="379">
        <f t="shared" si="1531"/>
        <v>25503.539999999994</v>
      </c>
      <c r="CF203" s="379">
        <f t="shared" si="1531"/>
        <v>53418.155500000001</v>
      </c>
      <c r="CG203" s="379">
        <f t="shared" si="1531"/>
        <v>36142.700264999999</v>
      </c>
      <c r="CH203" s="379">
        <f t="shared" si="1531"/>
        <v>37061.981272949997</v>
      </c>
      <c r="CI203" s="379">
        <f t="shared" si="1531"/>
        <v>38008.840711138502</v>
      </c>
      <c r="CJ203" s="379">
        <f t="shared" si="1531"/>
        <v>38984.105932472659</v>
      </c>
    </row>
    <row r="204" spans="1:88" x14ac:dyDescent="0.3">
      <c r="A204" s="97" t="str">
        <f>'DCS Detail'!A204</f>
        <v>Cleaning Serv.</v>
      </c>
      <c r="B204" s="97"/>
      <c r="C204" s="36">
        <f t="shared" si="1522"/>
        <v>0</v>
      </c>
      <c r="D204" s="36">
        <f t="shared" si="1522"/>
        <v>0</v>
      </c>
      <c r="E204" s="36">
        <f t="shared" si="1522"/>
        <v>0</v>
      </c>
      <c r="F204" s="36">
        <f t="shared" si="1522"/>
        <v>250</v>
      </c>
      <c r="G204" s="36">
        <f t="shared" si="1522"/>
        <v>0</v>
      </c>
      <c r="H204" s="36">
        <f t="shared" si="1522"/>
        <v>129.32</v>
      </c>
      <c r="I204" s="36">
        <f t="shared" si="1522"/>
        <v>227.37</v>
      </c>
      <c r="J204" s="36">
        <f t="shared" si="1522"/>
        <v>0</v>
      </c>
      <c r="K204" s="36">
        <f t="shared" si="1522"/>
        <v>0</v>
      </c>
      <c r="L204" s="36">
        <f t="shared" si="1522"/>
        <v>100.24000000000001</v>
      </c>
      <c r="M204" s="36">
        <f t="shared" si="1523"/>
        <v>43.149999999999977</v>
      </c>
      <c r="N204" s="36">
        <f t="shared" si="1523"/>
        <v>290.58</v>
      </c>
      <c r="O204" s="36">
        <f t="shared" si="1523"/>
        <v>0</v>
      </c>
      <c r="P204" s="36">
        <f t="shared" si="1523"/>
        <v>0</v>
      </c>
      <c r="Q204" s="36">
        <f t="shared" si="1523"/>
        <v>0</v>
      </c>
      <c r="R204" s="36">
        <f t="shared" si="1523"/>
        <v>231.75</v>
      </c>
      <c r="S204" s="36">
        <f t="shared" si="1523"/>
        <v>133.19999999999999</v>
      </c>
      <c r="T204" s="36">
        <f t="shared" si="1523"/>
        <v>1319.28</v>
      </c>
      <c r="U204" s="36">
        <f t="shared" si="1523"/>
        <v>240.35</v>
      </c>
      <c r="V204" s="36">
        <f t="shared" si="1523"/>
        <v>0</v>
      </c>
      <c r="W204" s="36">
        <f t="shared" si="1524"/>
        <v>-142.13</v>
      </c>
      <c r="X204" s="36">
        <f t="shared" si="1524"/>
        <v>435.18</v>
      </c>
      <c r="Y204" s="36">
        <f t="shared" si="1524"/>
        <v>191.73</v>
      </c>
      <c r="Z204" s="36">
        <f t="shared" si="1524"/>
        <v>389.26</v>
      </c>
      <c r="AA204" s="36">
        <f t="shared" si="1524"/>
        <v>0</v>
      </c>
      <c r="AB204" s="36">
        <f t="shared" si="1524"/>
        <v>0</v>
      </c>
      <c r="AC204" s="36">
        <f t="shared" si="1524"/>
        <v>0</v>
      </c>
      <c r="AD204" s="36">
        <f t="shared" si="1524"/>
        <v>238.70250000000001</v>
      </c>
      <c r="AE204" s="36">
        <f t="shared" si="1524"/>
        <v>137.196</v>
      </c>
      <c r="AF204" s="36">
        <f t="shared" si="1524"/>
        <v>1358.8584000000001</v>
      </c>
      <c r="AG204" s="36">
        <f t="shared" si="1525"/>
        <v>247.56049999999999</v>
      </c>
      <c r="AH204" s="36">
        <f t="shared" si="1525"/>
        <v>0</v>
      </c>
      <c r="AI204" s="36">
        <f t="shared" si="1525"/>
        <v>-146.3939</v>
      </c>
      <c r="AJ204" s="36">
        <f t="shared" si="1525"/>
        <v>448.23540000000003</v>
      </c>
      <c r="AK204" s="36">
        <f t="shared" si="1525"/>
        <v>197.4819</v>
      </c>
      <c r="AL204" s="36">
        <f t="shared" si="1525"/>
        <v>400.93779999999998</v>
      </c>
      <c r="AM204" s="36">
        <f t="shared" si="1525"/>
        <v>0</v>
      </c>
      <c r="AN204" s="36">
        <f t="shared" si="1525"/>
        <v>0</v>
      </c>
      <c r="AO204" s="36">
        <f t="shared" si="1525"/>
        <v>0</v>
      </c>
      <c r="AP204" s="36">
        <f t="shared" si="1525"/>
        <v>245.86357500000003</v>
      </c>
      <c r="AQ204" s="36">
        <f t="shared" si="1526"/>
        <v>141.31188</v>
      </c>
      <c r="AR204" s="36">
        <f t="shared" si="1526"/>
        <v>1399.6241520000001</v>
      </c>
      <c r="AS204" s="36">
        <f t="shared" si="1526"/>
        <v>254.987315</v>
      </c>
      <c r="AT204" s="36">
        <f t="shared" si="1526"/>
        <v>0</v>
      </c>
      <c r="AU204" s="36">
        <f t="shared" si="1526"/>
        <v>-150.78571700000001</v>
      </c>
      <c r="AV204" s="36">
        <f t="shared" si="1526"/>
        <v>461.68246200000004</v>
      </c>
      <c r="AW204" s="36">
        <f t="shared" si="1526"/>
        <v>203.40635700000001</v>
      </c>
      <c r="AX204" s="36">
        <f t="shared" si="1526"/>
        <v>412.965934</v>
      </c>
      <c r="AY204" s="36">
        <f t="shared" si="1526"/>
        <v>0</v>
      </c>
      <c r="AZ204" s="36">
        <f t="shared" si="1526"/>
        <v>0</v>
      </c>
      <c r="BA204" s="36">
        <f t="shared" si="1527"/>
        <v>0</v>
      </c>
      <c r="BB204" s="36">
        <f t="shared" si="1527"/>
        <v>253.23948225000004</v>
      </c>
      <c r="BC204" s="36">
        <f t="shared" si="1527"/>
        <v>145.55123639999999</v>
      </c>
      <c r="BD204" s="36">
        <f t="shared" si="1527"/>
        <v>1441.6128765600001</v>
      </c>
      <c r="BE204" s="36">
        <f t="shared" si="1527"/>
        <v>262.63693445000001</v>
      </c>
      <c r="BF204" s="36">
        <f t="shared" si="1527"/>
        <v>0</v>
      </c>
      <c r="BG204" s="36">
        <f t="shared" si="1527"/>
        <v>-155.30928851000002</v>
      </c>
      <c r="BH204" s="36">
        <f t="shared" si="1527"/>
        <v>475.53293586000007</v>
      </c>
      <c r="BI204" s="36">
        <f t="shared" si="1527"/>
        <v>209.50854771000002</v>
      </c>
      <c r="BJ204" s="36">
        <f t="shared" si="1527"/>
        <v>425.35491202000003</v>
      </c>
      <c r="BK204" s="36">
        <f t="shared" si="1528"/>
        <v>0</v>
      </c>
      <c r="BL204" s="36">
        <f t="shared" si="1528"/>
        <v>0</v>
      </c>
      <c r="BM204" s="36">
        <f t="shared" si="1528"/>
        <v>0</v>
      </c>
      <c r="BN204" s="36">
        <f t="shared" si="1528"/>
        <v>260.83666671750007</v>
      </c>
      <c r="BO204" s="36">
        <f t="shared" si="1528"/>
        <v>149.91777349200001</v>
      </c>
      <c r="BP204" s="36">
        <f t="shared" si="1528"/>
        <v>1484.8612628568001</v>
      </c>
      <c r="BQ204" s="36">
        <f t="shared" si="1528"/>
        <v>270.51604248350003</v>
      </c>
      <c r="BR204" s="36">
        <f t="shared" si="1528"/>
        <v>0</v>
      </c>
      <c r="BS204" s="36">
        <f t="shared" si="1528"/>
        <v>-159.96856716530002</v>
      </c>
      <c r="BT204" s="36">
        <f t="shared" si="1528"/>
        <v>489.79892393580008</v>
      </c>
      <c r="BU204" s="36">
        <f t="shared" si="1528"/>
        <v>215.79380414130003</v>
      </c>
      <c r="BV204" s="36">
        <f t="shared" si="1528"/>
        <v>438.11555938060002</v>
      </c>
      <c r="BW204" s="36">
        <f t="shared" si="1528"/>
        <v>0</v>
      </c>
      <c r="BX204" s="36">
        <f t="shared" si="1528"/>
        <v>0</v>
      </c>
      <c r="BZ204" s="379">
        <f t="shared" si="1529"/>
        <v>0</v>
      </c>
      <c r="CA204" s="379">
        <f t="shared" si="1530"/>
        <v>2798.62</v>
      </c>
      <c r="CB204" s="97"/>
      <c r="CC204" s="379">
        <f t="shared" si="1531"/>
        <v>0</v>
      </c>
      <c r="CD204" s="379">
        <f t="shared" si="1531"/>
        <v>0</v>
      </c>
      <c r="CE204" s="379">
        <f t="shared" si="1531"/>
        <v>1040.6600000000001</v>
      </c>
      <c r="CF204" s="379">
        <f t="shared" si="1531"/>
        <v>2798.62</v>
      </c>
      <c r="CG204" s="379">
        <f t="shared" si="1531"/>
        <v>2882.5786000000003</v>
      </c>
      <c r="CH204" s="379">
        <f t="shared" si="1531"/>
        <v>2969.0559579999999</v>
      </c>
      <c r="CI204" s="379">
        <f t="shared" si="1531"/>
        <v>3058.1276367400005</v>
      </c>
      <c r="CJ204" s="379">
        <f t="shared" si="1531"/>
        <v>3149.8714658422</v>
      </c>
    </row>
    <row r="205" spans="1:88" x14ac:dyDescent="0.3">
      <c r="A205" s="97" t="str">
        <f>'DCS Detail'!A205</f>
        <v>DAP Payroll</v>
      </c>
      <c r="B205" s="97"/>
      <c r="C205" s="36">
        <f t="shared" si="1522"/>
        <v>0</v>
      </c>
      <c r="D205" s="36">
        <f t="shared" si="1522"/>
        <v>0</v>
      </c>
      <c r="E205" s="36">
        <f t="shared" si="1522"/>
        <v>0</v>
      </c>
      <c r="F205" s="36">
        <f t="shared" si="1522"/>
        <v>0</v>
      </c>
      <c r="G205" s="36">
        <f t="shared" si="1522"/>
        <v>0</v>
      </c>
      <c r="H205" s="36">
        <f t="shared" si="1522"/>
        <v>0</v>
      </c>
      <c r="I205" s="36">
        <f t="shared" si="1522"/>
        <v>0</v>
      </c>
      <c r="J205" s="36">
        <f t="shared" si="1522"/>
        <v>0</v>
      </c>
      <c r="K205" s="36">
        <f t="shared" si="1522"/>
        <v>0</v>
      </c>
      <c r="L205" s="36">
        <f t="shared" si="1522"/>
        <v>0</v>
      </c>
      <c r="M205" s="36">
        <f t="shared" si="1523"/>
        <v>0</v>
      </c>
      <c r="N205" s="36">
        <f t="shared" si="1523"/>
        <v>0</v>
      </c>
      <c r="O205" s="36">
        <f t="shared" si="1523"/>
        <v>0</v>
      </c>
      <c r="P205" s="36">
        <f t="shared" si="1523"/>
        <v>0</v>
      </c>
      <c r="Q205" s="36">
        <f t="shared" si="1523"/>
        <v>0</v>
      </c>
      <c r="R205" s="36">
        <f t="shared" si="1523"/>
        <v>0</v>
      </c>
      <c r="S205" s="36">
        <f t="shared" si="1523"/>
        <v>0</v>
      </c>
      <c r="T205" s="36">
        <f t="shared" si="1523"/>
        <v>0</v>
      </c>
      <c r="U205" s="36">
        <f t="shared" si="1523"/>
        <v>0</v>
      </c>
      <c r="V205" s="36">
        <f t="shared" si="1523"/>
        <v>0</v>
      </c>
      <c r="W205" s="36">
        <f t="shared" si="1524"/>
        <v>0</v>
      </c>
      <c r="X205" s="36">
        <f t="shared" si="1524"/>
        <v>0</v>
      </c>
      <c r="Y205" s="36">
        <f t="shared" si="1524"/>
        <v>0</v>
      </c>
      <c r="Z205" s="36">
        <f t="shared" si="1524"/>
        <v>0</v>
      </c>
      <c r="AA205" s="36">
        <f t="shared" si="1524"/>
        <v>0</v>
      </c>
      <c r="AB205" s="36">
        <f t="shared" si="1524"/>
        <v>0</v>
      </c>
      <c r="AC205" s="36">
        <f t="shared" si="1524"/>
        <v>0</v>
      </c>
      <c r="AD205" s="36">
        <f t="shared" si="1524"/>
        <v>0</v>
      </c>
      <c r="AE205" s="36">
        <f t="shared" si="1524"/>
        <v>0</v>
      </c>
      <c r="AF205" s="36">
        <f t="shared" si="1524"/>
        <v>0</v>
      </c>
      <c r="AG205" s="36">
        <f t="shared" si="1525"/>
        <v>0</v>
      </c>
      <c r="AH205" s="36">
        <f t="shared" si="1525"/>
        <v>0</v>
      </c>
      <c r="AI205" s="36">
        <f t="shared" si="1525"/>
        <v>0</v>
      </c>
      <c r="AJ205" s="36">
        <f t="shared" si="1525"/>
        <v>0</v>
      </c>
      <c r="AK205" s="36">
        <f t="shared" si="1525"/>
        <v>0</v>
      </c>
      <c r="AL205" s="36">
        <f t="shared" si="1525"/>
        <v>0</v>
      </c>
      <c r="AM205" s="36">
        <f t="shared" si="1525"/>
        <v>0</v>
      </c>
      <c r="AN205" s="36">
        <f t="shared" si="1525"/>
        <v>0</v>
      </c>
      <c r="AO205" s="36">
        <f t="shared" si="1525"/>
        <v>0</v>
      </c>
      <c r="AP205" s="36">
        <f t="shared" si="1525"/>
        <v>0</v>
      </c>
      <c r="AQ205" s="36">
        <f t="shared" si="1526"/>
        <v>0</v>
      </c>
      <c r="AR205" s="36">
        <f t="shared" si="1526"/>
        <v>0</v>
      </c>
      <c r="AS205" s="36">
        <f t="shared" si="1526"/>
        <v>0</v>
      </c>
      <c r="AT205" s="36">
        <f t="shared" si="1526"/>
        <v>0</v>
      </c>
      <c r="AU205" s="36">
        <f t="shared" si="1526"/>
        <v>0</v>
      </c>
      <c r="AV205" s="36">
        <f t="shared" si="1526"/>
        <v>0</v>
      </c>
      <c r="AW205" s="36">
        <f t="shared" si="1526"/>
        <v>0</v>
      </c>
      <c r="AX205" s="36">
        <f t="shared" si="1526"/>
        <v>0</v>
      </c>
      <c r="AY205" s="36">
        <f t="shared" si="1526"/>
        <v>0</v>
      </c>
      <c r="AZ205" s="36">
        <f t="shared" si="1526"/>
        <v>0</v>
      </c>
      <c r="BA205" s="36">
        <f t="shared" si="1527"/>
        <v>0</v>
      </c>
      <c r="BB205" s="36">
        <f t="shared" si="1527"/>
        <v>0</v>
      </c>
      <c r="BC205" s="36">
        <f t="shared" si="1527"/>
        <v>0</v>
      </c>
      <c r="BD205" s="36">
        <f t="shared" si="1527"/>
        <v>0</v>
      </c>
      <c r="BE205" s="36">
        <f t="shared" si="1527"/>
        <v>0</v>
      </c>
      <c r="BF205" s="36">
        <f t="shared" si="1527"/>
        <v>0</v>
      </c>
      <c r="BG205" s="36">
        <f t="shared" si="1527"/>
        <v>0</v>
      </c>
      <c r="BH205" s="36">
        <f t="shared" si="1527"/>
        <v>0</v>
      </c>
      <c r="BI205" s="36">
        <f t="shared" si="1527"/>
        <v>0</v>
      </c>
      <c r="BJ205" s="36">
        <f t="shared" si="1527"/>
        <v>0</v>
      </c>
      <c r="BK205" s="36">
        <f t="shared" si="1528"/>
        <v>0</v>
      </c>
      <c r="BL205" s="36">
        <f t="shared" si="1528"/>
        <v>0</v>
      </c>
      <c r="BM205" s="36">
        <f t="shared" si="1528"/>
        <v>0</v>
      </c>
      <c r="BN205" s="36">
        <f t="shared" si="1528"/>
        <v>0</v>
      </c>
      <c r="BO205" s="36">
        <f t="shared" si="1528"/>
        <v>0</v>
      </c>
      <c r="BP205" s="36">
        <f t="shared" si="1528"/>
        <v>0</v>
      </c>
      <c r="BQ205" s="36">
        <f t="shared" si="1528"/>
        <v>0</v>
      </c>
      <c r="BR205" s="36">
        <f t="shared" si="1528"/>
        <v>0</v>
      </c>
      <c r="BS205" s="36">
        <f t="shared" si="1528"/>
        <v>0</v>
      </c>
      <c r="BT205" s="36">
        <f t="shared" si="1528"/>
        <v>0</v>
      </c>
      <c r="BU205" s="36">
        <f t="shared" si="1528"/>
        <v>0</v>
      </c>
      <c r="BV205" s="36">
        <f t="shared" si="1528"/>
        <v>0</v>
      </c>
      <c r="BW205" s="36">
        <f t="shared" si="1528"/>
        <v>0</v>
      </c>
      <c r="BX205" s="36">
        <f t="shared" si="1528"/>
        <v>0</v>
      </c>
      <c r="BZ205" s="379">
        <f t="shared" si="1529"/>
        <v>0</v>
      </c>
      <c r="CA205" s="379">
        <f t="shared" si="1530"/>
        <v>0</v>
      </c>
      <c r="CB205" s="97"/>
      <c r="CC205" s="379">
        <f t="shared" si="1531"/>
        <v>0</v>
      </c>
      <c r="CD205" s="379">
        <f t="shared" si="1531"/>
        <v>0</v>
      </c>
      <c r="CE205" s="379">
        <f t="shared" si="1531"/>
        <v>0</v>
      </c>
      <c r="CF205" s="379">
        <f t="shared" si="1531"/>
        <v>0</v>
      </c>
      <c r="CG205" s="379">
        <f t="shared" si="1531"/>
        <v>0</v>
      </c>
      <c r="CH205" s="379">
        <f t="shared" si="1531"/>
        <v>0</v>
      </c>
      <c r="CI205" s="379">
        <f t="shared" si="1531"/>
        <v>0</v>
      </c>
      <c r="CJ205" s="379">
        <f t="shared" si="1531"/>
        <v>0</v>
      </c>
    </row>
    <row r="206" spans="1:88" x14ac:dyDescent="0.3">
      <c r="A206" s="97" t="str">
        <f>'DCS Detail'!A206</f>
        <v>Depreciation</v>
      </c>
      <c r="B206" s="97"/>
      <c r="C206" s="36">
        <f t="shared" si="1522"/>
        <v>0</v>
      </c>
      <c r="D206" s="36">
        <f t="shared" si="1522"/>
        <v>0</v>
      </c>
      <c r="E206" s="36">
        <f t="shared" si="1522"/>
        <v>62.33</v>
      </c>
      <c r="F206" s="36">
        <f t="shared" si="1522"/>
        <v>62.33</v>
      </c>
      <c r="G206" s="36">
        <f t="shared" si="1522"/>
        <v>62.33</v>
      </c>
      <c r="H206" s="36">
        <f t="shared" si="1522"/>
        <v>62.33</v>
      </c>
      <c r="I206" s="36">
        <f t="shared" si="1522"/>
        <v>62.33</v>
      </c>
      <c r="J206" s="36">
        <f t="shared" si="1522"/>
        <v>62.33</v>
      </c>
      <c r="K206" s="36">
        <f t="shared" si="1522"/>
        <v>62.33</v>
      </c>
      <c r="L206" s="36">
        <f t="shared" si="1522"/>
        <v>62.330000000000041</v>
      </c>
      <c r="M206" s="36">
        <f t="shared" si="1523"/>
        <v>1330.49</v>
      </c>
      <c r="N206" s="36">
        <f t="shared" si="1523"/>
        <v>302.52</v>
      </c>
      <c r="O206" s="36">
        <f t="shared" si="1523"/>
        <v>302.52</v>
      </c>
      <c r="P206" s="36">
        <f t="shared" si="1523"/>
        <v>302.52</v>
      </c>
      <c r="Q206" s="36">
        <f t="shared" si="1523"/>
        <v>302.52</v>
      </c>
      <c r="R206" s="36">
        <f t="shared" si="1523"/>
        <v>302.52</v>
      </c>
      <c r="S206" s="36">
        <f t="shared" si="1523"/>
        <v>302.52</v>
      </c>
      <c r="T206" s="36">
        <f t="shared" si="1523"/>
        <v>302.52</v>
      </c>
      <c r="U206" s="36">
        <f t="shared" si="1523"/>
        <v>302.52</v>
      </c>
      <c r="V206" s="36">
        <f t="shared" si="1523"/>
        <v>302.52</v>
      </c>
      <c r="W206" s="36">
        <f t="shared" si="1524"/>
        <v>302.52</v>
      </c>
      <c r="X206" s="36">
        <f t="shared" si="1524"/>
        <v>302.52</v>
      </c>
      <c r="Y206" s="36">
        <f t="shared" si="1524"/>
        <v>302.52</v>
      </c>
      <c r="Z206" s="36">
        <f t="shared" si="1524"/>
        <v>302.52</v>
      </c>
      <c r="AA206" s="36">
        <f t="shared" si="1524"/>
        <v>302.52</v>
      </c>
      <c r="AB206" s="36">
        <f t="shared" si="1524"/>
        <v>302.52</v>
      </c>
      <c r="AC206" s="36">
        <f t="shared" si="1524"/>
        <v>302.52</v>
      </c>
      <c r="AD206" s="36">
        <f t="shared" si="1524"/>
        <v>302.52</v>
      </c>
      <c r="AE206" s="36">
        <f t="shared" si="1524"/>
        <v>302.52</v>
      </c>
      <c r="AF206" s="36">
        <f t="shared" si="1524"/>
        <v>302.52</v>
      </c>
      <c r="AG206" s="36">
        <f t="shared" si="1525"/>
        <v>302.52</v>
      </c>
      <c r="AH206" s="36">
        <f t="shared" si="1525"/>
        <v>302.52</v>
      </c>
      <c r="AI206" s="36">
        <f t="shared" si="1525"/>
        <v>302.52</v>
      </c>
      <c r="AJ206" s="36">
        <f t="shared" si="1525"/>
        <v>302.52</v>
      </c>
      <c r="AK206" s="36">
        <f t="shared" si="1525"/>
        <v>302.52</v>
      </c>
      <c r="AL206" s="36">
        <f t="shared" si="1525"/>
        <v>302.52</v>
      </c>
      <c r="AM206" s="36">
        <f t="shared" si="1525"/>
        <v>302.52</v>
      </c>
      <c r="AN206" s="36">
        <f t="shared" si="1525"/>
        <v>302.52</v>
      </c>
      <c r="AO206" s="36">
        <f t="shared" si="1525"/>
        <v>302.52</v>
      </c>
      <c r="AP206" s="36">
        <f t="shared" si="1525"/>
        <v>302.52</v>
      </c>
      <c r="AQ206" s="36">
        <f t="shared" si="1526"/>
        <v>302.52</v>
      </c>
      <c r="AR206" s="36">
        <f t="shared" si="1526"/>
        <v>302.52</v>
      </c>
      <c r="AS206" s="36">
        <f t="shared" si="1526"/>
        <v>302.52</v>
      </c>
      <c r="AT206" s="36">
        <f t="shared" si="1526"/>
        <v>302.52</v>
      </c>
      <c r="AU206" s="36">
        <f t="shared" si="1526"/>
        <v>302.52</v>
      </c>
      <c r="AV206" s="36">
        <f t="shared" si="1526"/>
        <v>302.52</v>
      </c>
      <c r="AW206" s="36">
        <f t="shared" si="1526"/>
        <v>302.52</v>
      </c>
      <c r="AX206" s="36">
        <f t="shared" si="1526"/>
        <v>302.52</v>
      </c>
      <c r="AY206" s="36">
        <f t="shared" si="1526"/>
        <v>302.52</v>
      </c>
      <c r="AZ206" s="36">
        <f t="shared" si="1526"/>
        <v>302.52</v>
      </c>
      <c r="BA206" s="36">
        <f t="shared" si="1527"/>
        <v>302.52</v>
      </c>
      <c r="BB206" s="36">
        <f t="shared" si="1527"/>
        <v>302.52</v>
      </c>
      <c r="BC206" s="36">
        <f t="shared" si="1527"/>
        <v>302.52</v>
      </c>
      <c r="BD206" s="36">
        <f t="shared" si="1527"/>
        <v>302.52</v>
      </c>
      <c r="BE206" s="36">
        <f t="shared" si="1527"/>
        <v>302.52</v>
      </c>
      <c r="BF206" s="36">
        <f t="shared" si="1527"/>
        <v>302.52</v>
      </c>
      <c r="BG206" s="36">
        <f t="shared" si="1527"/>
        <v>302.52</v>
      </c>
      <c r="BH206" s="36">
        <f t="shared" si="1527"/>
        <v>302.52</v>
      </c>
      <c r="BI206" s="36">
        <f t="shared" si="1527"/>
        <v>302.52</v>
      </c>
      <c r="BJ206" s="36">
        <f t="shared" si="1527"/>
        <v>302.52</v>
      </c>
      <c r="BK206" s="36">
        <f t="shared" si="1528"/>
        <v>302.52</v>
      </c>
      <c r="BL206" s="36">
        <f t="shared" si="1528"/>
        <v>302.52</v>
      </c>
      <c r="BM206" s="36">
        <f t="shared" si="1528"/>
        <v>302.52</v>
      </c>
      <c r="BN206" s="36">
        <f t="shared" si="1528"/>
        <v>302.52</v>
      </c>
      <c r="BO206" s="36">
        <f t="shared" si="1528"/>
        <v>302.52</v>
      </c>
      <c r="BP206" s="36">
        <f t="shared" si="1528"/>
        <v>302.52</v>
      </c>
      <c r="BQ206" s="36">
        <f t="shared" si="1528"/>
        <v>302.52</v>
      </c>
      <c r="BR206" s="36">
        <f t="shared" si="1528"/>
        <v>302.52</v>
      </c>
      <c r="BS206" s="36">
        <f t="shared" si="1528"/>
        <v>302.52</v>
      </c>
      <c r="BT206" s="36">
        <f t="shared" si="1528"/>
        <v>302.52</v>
      </c>
      <c r="BU206" s="36">
        <f t="shared" si="1528"/>
        <v>302.52</v>
      </c>
      <c r="BV206" s="36">
        <f t="shared" si="1528"/>
        <v>302.52</v>
      </c>
      <c r="BW206" s="36">
        <f t="shared" si="1528"/>
        <v>302.52</v>
      </c>
      <c r="BX206" s="36">
        <f t="shared" si="1528"/>
        <v>302.52</v>
      </c>
      <c r="BZ206" s="379">
        <f t="shared" si="1529"/>
        <v>302.52</v>
      </c>
      <c r="CA206" s="379">
        <f t="shared" si="1530"/>
        <v>3327.72</v>
      </c>
      <c r="CB206" s="97"/>
      <c r="CC206" s="379">
        <f t="shared" si="1531"/>
        <v>0</v>
      </c>
      <c r="CD206" s="379">
        <f t="shared" si="1531"/>
        <v>0</v>
      </c>
      <c r="CE206" s="379">
        <f t="shared" si="1531"/>
        <v>2736.69</v>
      </c>
      <c r="CF206" s="379">
        <f t="shared" si="1531"/>
        <v>3630.24</v>
      </c>
      <c r="CG206" s="379">
        <f t="shared" si="1531"/>
        <v>3630.24</v>
      </c>
      <c r="CH206" s="379">
        <f t="shared" si="1531"/>
        <v>3630.24</v>
      </c>
      <c r="CI206" s="379">
        <f t="shared" si="1531"/>
        <v>3630.24</v>
      </c>
      <c r="CJ206" s="379">
        <f t="shared" si="1531"/>
        <v>3630.24</v>
      </c>
    </row>
    <row r="207" spans="1:88" x14ac:dyDescent="0.3">
      <c r="A207" s="97" t="str">
        <f>'DCS Detail'!A207</f>
        <v>Interest</v>
      </c>
      <c r="B207" s="97"/>
      <c r="C207" s="36">
        <f t="shared" si="1522"/>
        <v>0</v>
      </c>
      <c r="D207" s="36">
        <f t="shared" si="1522"/>
        <v>0</v>
      </c>
      <c r="E207" s="36">
        <f t="shared" si="1522"/>
        <v>0</v>
      </c>
      <c r="F207" s="36">
        <f t="shared" si="1522"/>
        <v>0</v>
      </c>
      <c r="G207" s="36">
        <f t="shared" si="1522"/>
        <v>0</v>
      </c>
      <c r="H207" s="36">
        <f t="shared" si="1522"/>
        <v>0</v>
      </c>
      <c r="I207" s="36">
        <f t="shared" si="1522"/>
        <v>0</v>
      </c>
      <c r="J207" s="36">
        <f t="shared" si="1522"/>
        <v>0</v>
      </c>
      <c r="K207" s="36">
        <f t="shared" si="1522"/>
        <v>0</v>
      </c>
      <c r="L207" s="36">
        <f t="shared" si="1522"/>
        <v>0</v>
      </c>
      <c r="M207" s="36">
        <f t="shared" si="1523"/>
        <v>0</v>
      </c>
      <c r="N207" s="36">
        <f t="shared" si="1523"/>
        <v>0</v>
      </c>
      <c r="O207" s="36">
        <f t="shared" si="1523"/>
        <v>0</v>
      </c>
      <c r="P207" s="36">
        <f t="shared" si="1523"/>
        <v>0</v>
      </c>
      <c r="Q207" s="36">
        <f t="shared" si="1523"/>
        <v>0</v>
      </c>
      <c r="R207" s="36">
        <f t="shared" si="1523"/>
        <v>0</v>
      </c>
      <c r="S207" s="36">
        <f t="shared" si="1523"/>
        <v>0</v>
      </c>
      <c r="T207" s="36">
        <f t="shared" si="1523"/>
        <v>0</v>
      </c>
      <c r="U207" s="36">
        <f t="shared" si="1523"/>
        <v>0</v>
      </c>
      <c r="V207" s="36">
        <f t="shared" si="1523"/>
        <v>0</v>
      </c>
      <c r="W207" s="36">
        <f t="shared" si="1524"/>
        <v>0</v>
      </c>
      <c r="X207" s="36">
        <f t="shared" si="1524"/>
        <v>0</v>
      </c>
      <c r="Y207" s="36">
        <f t="shared" si="1524"/>
        <v>0</v>
      </c>
      <c r="Z207" s="36">
        <f t="shared" si="1524"/>
        <v>0</v>
      </c>
      <c r="AA207" s="36">
        <f t="shared" si="1524"/>
        <v>0</v>
      </c>
      <c r="AB207" s="36">
        <f t="shared" si="1524"/>
        <v>0</v>
      </c>
      <c r="AC207" s="36">
        <f t="shared" si="1524"/>
        <v>0</v>
      </c>
      <c r="AD207" s="36">
        <f t="shared" si="1524"/>
        <v>0</v>
      </c>
      <c r="AE207" s="36">
        <f t="shared" si="1524"/>
        <v>0</v>
      </c>
      <c r="AF207" s="36">
        <f t="shared" si="1524"/>
        <v>0</v>
      </c>
      <c r="AG207" s="36">
        <f t="shared" si="1525"/>
        <v>0</v>
      </c>
      <c r="AH207" s="36">
        <f t="shared" si="1525"/>
        <v>0</v>
      </c>
      <c r="AI207" s="36">
        <f t="shared" si="1525"/>
        <v>0</v>
      </c>
      <c r="AJ207" s="36">
        <f t="shared" si="1525"/>
        <v>0</v>
      </c>
      <c r="AK207" s="36">
        <f t="shared" si="1525"/>
        <v>0</v>
      </c>
      <c r="AL207" s="36">
        <f t="shared" si="1525"/>
        <v>0</v>
      </c>
      <c r="AM207" s="36">
        <f t="shared" si="1525"/>
        <v>0</v>
      </c>
      <c r="AN207" s="36">
        <f t="shared" si="1525"/>
        <v>0</v>
      </c>
      <c r="AO207" s="36">
        <f t="shared" si="1525"/>
        <v>0</v>
      </c>
      <c r="AP207" s="36">
        <f t="shared" si="1525"/>
        <v>0</v>
      </c>
      <c r="AQ207" s="36">
        <f t="shared" si="1526"/>
        <v>0</v>
      </c>
      <c r="AR207" s="36">
        <f t="shared" si="1526"/>
        <v>0</v>
      </c>
      <c r="AS207" s="36">
        <f t="shared" si="1526"/>
        <v>0</v>
      </c>
      <c r="AT207" s="36">
        <f t="shared" si="1526"/>
        <v>0</v>
      </c>
      <c r="AU207" s="36">
        <f t="shared" si="1526"/>
        <v>0</v>
      </c>
      <c r="AV207" s="36">
        <f t="shared" si="1526"/>
        <v>0</v>
      </c>
      <c r="AW207" s="36">
        <f t="shared" si="1526"/>
        <v>0</v>
      </c>
      <c r="AX207" s="36">
        <f t="shared" si="1526"/>
        <v>0</v>
      </c>
      <c r="AY207" s="36">
        <f t="shared" si="1526"/>
        <v>0</v>
      </c>
      <c r="AZ207" s="36">
        <f t="shared" si="1526"/>
        <v>0</v>
      </c>
      <c r="BA207" s="36">
        <f t="shared" si="1527"/>
        <v>0</v>
      </c>
      <c r="BB207" s="36">
        <f t="shared" si="1527"/>
        <v>0</v>
      </c>
      <c r="BC207" s="36">
        <f t="shared" si="1527"/>
        <v>0</v>
      </c>
      <c r="BD207" s="36">
        <f t="shared" si="1527"/>
        <v>0</v>
      </c>
      <c r="BE207" s="36">
        <f t="shared" si="1527"/>
        <v>0</v>
      </c>
      <c r="BF207" s="36">
        <f t="shared" si="1527"/>
        <v>0</v>
      </c>
      <c r="BG207" s="36">
        <f t="shared" si="1527"/>
        <v>0</v>
      </c>
      <c r="BH207" s="36">
        <f t="shared" si="1527"/>
        <v>0</v>
      </c>
      <c r="BI207" s="36">
        <f t="shared" si="1527"/>
        <v>0</v>
      </c>
      <c r="BJ207" s="36">
        <f t="shared" si="1527"/>
        <v>0</v>
      </c>
      <c r="BK207" s="36">
        <f t="shared" si="1528"/>
        <v>0</v>
      </c>
      <c r="BL207" s="36">
        <f t="shared" si="1528"/>
        <v>0</v>
      </c>
      <c r="BM207" s="36">
        <f t="shared" si="1528"/>
        <v>0</v>
      </c>
      <c r="BN207" s="36">
        <f t="shared" si="1528"/>
        <v>0</v>
      </c>
      <c r="BO207" s="36">
        <f t="shared" si="1528"/>
        <v>0</v>
      </c>
      <c r="BP207" s="36">
        <f t="shared" si="1528"/>
        <v>0</v>
      </c>
      <c r="BQ207" s="36">
        <f t="shared" si="1528"/>
        <v>0</v>
      </c>
      <c r="BR207" s="36">
        <f t="shared" si="1528"/>
        <v>0</v>
      </c>
      <c r="BS207" s="36">
        <f t="shared" si="1528"/>
        <v>0</v>
      </c>
      <c r="BT207" s="36">
        <f t="shared" si="1528"/>
        <v>0</v>
      </c>
      <c r="BU207" s="36">
        <f t="shared" si="1528"/>
        <v>0</v>
      </c>
      <c r="BV207" s="36">
        <f t="shared" si="1528"/>
        <v>0</v>
      </c>
      <c r="BW207" s="36">
        <f t="shared" si="1528"/>
        <v>0</v>
      </c>
      <c r="BX207" s="36">
        <f t="shared" si="1528"/>
        <v>0</v>
      </c>
      <c r="BZ207" s="379">
        <f t="shared" si="1529"/>
        <v>0</v>
      </c>
      <c r="CA207" s="379">
        <f t="shared" si="1530"/>
        <v>0</v>
      </c>
      <c r="CB207" s="97"/>
      <c r="CC207" s="379">
        <f t="shared" si="1531"/>
        <v>0</v>
      </c>
      <c r="CD207" s="379">
        <f t="shared" si="1531"/>
        <v>0</v>
      </c>
      <c r="CE207" s="379">
        <f t="shared" si="1531"/>
        <v>0</v>
      </c>
      <c r="CF207" s="379">
        <f t="shared" si="1531"/>
        <v>0</v>
      </c>
      <c r="CG207" s="379">
        <f t="shared" si="1531"/>
        <v>0</v>
      </c>
      <c r="CH207" s="379">
        <f t="shared" si="1531"/>
        <v>0</v>
      </c>
      <c r="CI207" s="379">
        <f t="shared" si="1531"/>
        <v>0</v>
      </c>
      <c r="CJ207" s="379">
        <f t="shared" si="1531"/>
        <v>0</v>
      </c>
    </row>
    <row r="208" spans="1:88" x14ac:dyDescent="0.3">
      <c r="A208" s="97" t="str">
        <f>'DCS Detail'!A208</f>
        <v>Misc.</v>
      </c>
      <c r="B208" s="97"/>
      <c r="C208" s="36">
        <f t="shared" si="1522"/>
        <v>0</v>
      </c>
      <c r="D208" s="36">
        <f t="shared" si="1522"/>
        <v>0</v>
      </c>
      <c r="E208" s="36">
        <f t="shared" si="1522"/>
        <v>56.8</v>
      </c>
      <c r="F208" s="36">
        <f t="shared" si="1522"/>
        <v>5.5</v>
      </c>
      <c r="G208" s="36">
        <f t="shared" si="1522"/>
        <v>354.37</v>
      </c>
      <c r="H208" s="36">
        <f t="shared" si="1522"/>
        <v>12.030000000000001</v>
      </c>
      <c r="I208" s="36">
        <f t="shared" si="1522"/>
        <v>127.06</v>
      </c>
      <c r="J208" s="36">
        <f t="shared" si="1522"/>
        <v>0</v>
      </c>
      <c r="K208" s="36">
        <f t="shared" si="1522"/>
        <v>466.31</v>
      </c>
      <c r="L208" s="36">
        <f t="shared" si="1522"/>
        <v>221.65000000000009</v>
      </c>
      <c r="M208" s="36">
        <f t="shared" si="1523"/>
        <v>854.63</v>
      </c>
      <c r="N208" s="36">
        <f t="shared" si="1523"/>
        <v>5.5</v>
      </c>
      <c r="O208" s="36">
        <f t="shared" si="1523"/>
        <v>288.2</v>
      </c>
      <c r="P208" s="36">
        <f t="shared" si="1523"/>
        <v>11148.85</v>
      </c>
      <c r="Q208" s="36">
        <f t="shared" si="1523"/>
        <v>334.7</v>
      </c>
      <c r="R208" s="36">
        <f t="shared" si="1523"/>
        <v>203.5</v>
      </c>
      <c r="S208" s="36">
        <f t="shared" si="1523"/>
        <v>293.66000000000003</v>
      </c>
      <c r="T208" s="36">
        <f t="shared" si="1523"/>
        <v>223.8</v>
      </c>
      <c r="U208" s="36">
        <f t="shared" si="1523"/>
        <v>235.57</v>
      </c>
      <c r="V208" s="36">
        <f t="shared" si="1523"/>
        <v>130.44</v>
      </c>
      <c r="W208" s="36">
        <f t="shared" si="1524"/>
        <v>653.08000000000004</v>
      </c>
      <c r="X208" s="36">
        <f t="shared" si="1524"/>
        <v>230.36</v>
      </c>
      <c r="Y208" s="36">
        <f t="shared" si="1524"/>
        <v>323.31</v>
      </c>
      <c r="Z208" s="36">
        <f t="shared" si="1524"/>
        <v>221.32</v>
      </c>
      <c r="AA208" s="36">
        <f t="shared" si="1524"/>
        <v>602.75</v>
      </c>
      <c r="AB208" s="36">
        <f t="shared" si="1524"/>
        <v>242.59590000000003</v>
      </c>
      <c r="AC208" s="36">
        <f t="shared" si="1524"/>
        <v>344.74100000000004</v>
      </c>
      <c r="AD208" s="36">
        <f t="shared" si="1524"/>
        <v>209.60499999999999</v>
      </c>
      <c r="AE208" s="36">
        <f t="shared" si="1524"/>
        <v>302.46980000000008</v>
      </c>
      <c r="AF208" s="36">
        <f t="shared" si="1524"/>
        <v>230.51399999999998</v>
      </c>
      <c r="AG208" s="36">
        <f t="shared" si="1525"/>
        <v>242.63709999999998</v>
      </c>
      <c r="AH208" s="36">
        <f t="shared" si="1525"/>
        <v>134.35319999999999</v>
      </c>
      <c r="AI208" s="36">
        <f t="shared" si="1525"/>
        <v>672.67240000000004</v>
      </c>
      <c r="AJ208" s="36">
        <f t="shared" si="1525"/>
        <v>237.27080000000001</v>
      </c>
      <c r="AK208" s="36">
        <f t="shared" si="1525"/>
        <v>333.0093</v>
      </c>
      <c r="AL208" s="36">
        <f t="shared" si="1525"/>
        <v>227.95959999999999</v>
      </c>
      <c r="AM208" s="36">
        <f t="shared" si="1525"/>
        <v>620.83249999999998</v>
      </c>
      <c r="AN208" s="36">
        <f t="shared" si="1525"/>
        <v>249.87377700000005</v>
      </c>
      <c r="AO208" s="36">
        <f t="shared" si="1525"/>
        <v>355.08323000000001</v>
      </c>
      <c r="AP208" s="36">
        <f t="shared" si="1525"/>
        <v>215.89314999999999</v>
      </c>
      <c r="AQ208" s="36">
        <f t="shared" si="1526"/>
        <v>311.54389400000008</v>
      </c>
      <c r="AR208" s="36">
        <f t="shared" si="1526"/>
        <v>237.42941999999999</v>
      </c>
      <c r="AS208" s="36">
        <f t="shared" si="1526"/>
        <v>249.916213</v>
      </c>
      <c r="AT208" s="36">
        <f t="shared" si="1526"/>
        <v>138.38379599999999</v>
      </c>
      <c r="AU208" s="36">
        <f t="shared" si="1526"/>
        <v>692.85257200000001</v>
      </c>
      <c r="AV208" s="36">
        <f t="shared" si="1526"/>
        <v>244.388924</v>
      </c>
      <c r="AW208" s="36">
        <f t="shared" si="1526"/>
        <v>342.99957899999998</v>
      </c>
      <c r="AX208" s="36">
        <f t="shared" si="1526"/>
        <v>234.79838799999999</v>
      </c>
      <c r="AY208" s="36">
        <f t="shared" si="1526"/>
        <v>639.45747500000004</v>
      </c>
      <c r="AZ208" s="36">
        <f t="shared" si="1526"/>
        <v>257.36999031000005</v>
      </c>
      <c r="BA208" s="36">
        <f t="shared" si="1527"/>
        <v>365.73572690000003</v>
      </c>
      <c r="BB208" s="36">
        <f t="shared" si="1527"/>
        <v>222.3699445</v>
      </c>
      <c r="BC208" s="36">
        <f t="shared" si="1527"/>
        <v>320.89021082000011</v>
      </c>
      <c r="BD208" s="36">
        <f t="shared" si="1527"/>
        <v>244.55230260000002</v>
      </c>
      <c r="BE208" s="36">
        <f t="shared" si="1527"/>
        <v>257.41369939000003</v>
      </c>
      <c r="BF208" s="36">
        <f t="shared" si="1527"/>
        <v>142.53530988</v>
      </c>
      <c r="BG208" s="36">
        <f t="shared" si="1527"/>
        <v>713.63814916000001</v>
      </c>
      <c r="BH208" s="36">
        <f t="shared" si="1527"/>
        <v>251.72059171999999</v>
      </c>
      <c r="BI208" s="36">
        <f t="shared" si="1527"/>
        <v>353.28956636999999</v>
      </c>
      <c r="BJ208" s="36">
        <f t="shared" si="1527"/>
        <v>241.84233964000001</v>
      </c>
      <c r="BK208" s="36">
        <f t="shared" si="1528"/>
        <v>658.64119925</v>
      </c>
      <c r="BL208" s="36">
        <f t="shared" si="1528"/>
        <v>265.09109001930005</v>
      </c>
      <c r="BM208" s="36">
        <f t="shared" si="1528"/>
        <v>376.70779870700005</v>
      </c>
      <c r="BN208" s="36">
        <f t="shared" si="1528"/>
        <v>229.04104283500001</v>
      </c>
      <c r="BO208" s="36">
        <f t="shared" si="1528"/>
        <v>330.51691714460014</v>
      </c>
      <c r="BP208" s="36">
        <f t="shared" si="1528"/>
        <v>251.88887167800002</v>
      </c>
      <c r="BQ208" s="36">
        <f t="shared" si="1528"/>
        <v>265.1361103717</v>
      </c>
      <c r="BR208" s="36">
        <f t="shared" si="1528"/>
        <v>146.81136917640001</v>
      </c>
      <c r="BS208" s="36">
        <f t="shared" si="1528"/>
        <v>735.0472936348001</v>
      </c>
      <c r="BT208" s="36">
        <f t="shared" si="1528"/>
        <v>259.27220947159998</v>
      </c>
      <c r="BU208" s="36">
        <f t="shared" si="1528"/>
        <v>363.8882533611</v>
      </c>
      <c r="BV208" s="36">
        <f t="shared" si="1528"/>
        <v>249.09760982920002</v>
      </c>
      <c r="BW208" s="36">
        <f t="shared" si="1528"/>
        <v>678.40043522750011</v>
      </c>
      <c r="BX208" s="36">
        <f t="shared" si="1528"/>
        <v>273.04382271987907</v>
      </c>
      <c r="BZ208" s="379">
        <f t="shared" si="1529"/>
        <v>602.75</v>
      </c>
      <c r="CA208" s="379">
        <f t="shared" si="1530"/>
        <v>3452.4900000000002</v>
      </c>
      <c r="CB208" s="97"/>
      <c r="CC208" s="379">
        <f t="shared" si="1531"/>
        <v>0</v>
      </c>
      <c r="CD208" s="379">
        <f t="shared" si="1531"/>
        <v>0</v>
      </c>
      <c r="CE208" s="379">
        <f t="shared" si="1531"/>
        <v>13540.9</v>
      </c>
      <c r="CF208" s="379">
        <f t="shared" si="1531"/>
        <v>3695.0859</v>
      </c>
      <c r="CG208" s="379">
        <f t="shared" si="1531"/>
        <v>3805.9384770000001</v>
      </c>
      <c r="CH208" s="379">
        <f t="shared" si="1531"/>
        <v>3920.1166313100002</v>
      </c>
      <c r="CI208" s="379">
        <f t="shared" si="1531"/>
        <v>4037.7201302493004</v>
      </c>
      <c r="CJ208" s="379">
        <f t="shared" si="1531"/>
        <v>4158.8517341567795</v>
      </c>
    </row>
    <row r="209" spans="1:88" ht="3" customHeight="1" x14ac:dyDescent="0.3">
      <c r="A209" s="97"/>
      <c r="B209" s="9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Z209" s="391"/>
      <c r="CA209" s="391"/>
      <c r="CB209" s="97"/>
      <c r="CC209" s="391"/>
      <c r="CD209" s="391"/>
      <c r="CE209" s="391"/>
      <c r="CF209" s="391"/>
      <c r="CG209" s="391"/>
      <c r="CH209" s="391"/>
      <c r="CI209" s="391"/>
      <c r="CJ209" s="391"/>
    </row>
    <row r="210" spans="1:88" x14ac:dyDescent="0.3">
      <c r="A210" s="108" t="s">
        <v>116</v>
      </c>
      <c r="B210" s="97"/>
      <c r="C210" s="8">
        <f t="shared" ref="C210" si="1532">SUM(C194:C209)</f>
        <v>0</v>
      </c>
      <c r="D210" s="8">
        <f t="shared" ref="D210" si="1533">SUM(D194:D209)</f>
        <v>0</v>
      </c>
      <c r="E210" s="8">
        <f t="shared" ref="E210:P210" si="1534">SUM(E194:E209)</f>
        <v>-19740.139999999992</v>
      </c>
      <c r="F210" s="8">
        <f t="shared" si="1534"/>
        <v>50315.149999999994</v>
      </c>
      <c r="G210" s="8">
        <f t="shared" si="1534"/>
        <v>62334.97</v>
      </c>
      <c r="H210" s="8">
        <f t="shared" si="1534"/>
        <v>63841.833000000013</v>
      </c>
      <c r="I210" s="8">
        <f t="shared" si="1534"/>
        <v>60366.6558</v>
      </c>
      <c r="J210" s="8">
        <f t="shared" si="1534"/>
        <v>54499.037600000003</v>
      </c>
      <c r="K210" s="8">
        <f t="shared" si="1534"/>
        <v>48281.826000000001</v>
      </c>
      <c r="L210" s="8">
        <f t="shared" si="1534"/>
        <v>58905.507599999997</v>
      </c>
      <c r="M210" s="8">
        <f t="shared" si="1534"/>
        <v>65553.990000000005</v>
      </c>
      <c r="N210" s="8">
        <f t="shared" si="1534"/>
        <v>57771.89</v>
      </c>
      <c r="O210" s="8">
        <f t="shared" si="1534"/>
        <v>57980.37999999999</v>
      </c>
      <c r="P210" s="8">
        <f t="shared" si="1534"/>
        <v>131308.46999999997</v>
      </c>
      <c r="Q210" s="8">
        <f t="shared" ref="Q210:AB210" si="1535">SUM(Q194:Q209)</f>
        <v>18817.37</v>
      </c>
      <c r="R210" s="8">
        <f t="shared" si="1535"/>
        <v>64439.729999999996</v>
      </c>
      <c r="S210" s="8">
        <f t="shared" si="1535"/>
        <v>89137.14</v>
      </c>
      <c r="T210" s="8">
        <f t="shared" si="1535"/>
        <v>68643.66</v>
      </c>
      <c r="U210" s="8">
        <f t="shared" si="1535"/>
        <v>72838.720000000016</v>
      </c>
      <c r="V210" s="8">
        <f t="shared" si="1535"/>
        <v>62690.069999999992</v>
      </c>
      <c r="W210" s="8">
        <f t="shared" si="1535"/>
        <v>63680.099999999991</v>
      </c>
      <c r="X210" s="8">
        <f t="shared" si="1535"/>
        <v>70201.929999999993</v>
      </c>
      <c r="Y210" s="8">
        <f t="shared" si="1535"/>
        <v>57790.319999999992</v>
      </c>
      <c r="Z210" s="8">
        <f t="shared" si="1535"/>
        <v>78169.179999999993</v>
      </c>
      <c r="AA210" s="8">
        <f t="shared" si="1535"/>
        <v>67991.98</v>
      </c>
      <c r="AB210" s="8">
        <f t="shared" si="1535"/>
        <v>102792.74778240638</v>
      </c>
      <c r="AC210" s="8">
        <f t="shared" ref="AC210:AN210" si="1536">SUM(AC194:AC209)</f>
        <v>17471.765100000001</v>
      </c>
      <c r="AD210" s="8">
        <f t="shared" si="1536"/>
        <v>64428.81199673978</v>
      </c>
      <c r="AE210" s="8">
        <f t="shared" si="1536"/>
        <v>87001.743213303969</v>
      </c>
      <c r="AF210" s="8">
        <f t="shared" si="1536"/>
        <v>70516.984541119557</v>
      </c>
      <c r="AG210" s="8">
        <f t="shared" si="1536"/>
        <v>75291.028791178935</v>
      </c>
      <c r="AH210" s="8">
        <f t="shared" si="1536"/>
        <v>59381.606654532647</v>
      </c>
      <c r="AI210" s="8">
        <f t="shared" si="1536"/>
        <v>65634.221011325892</v>
      </c>
      <c r="AJ210" s="8">
        <f t="shared" si="1536"/>
        <v>59816.863168033451</v>
      </c>
      <c r="AK210" s="8">
        <f t="shared" si="1536"/>
        <v>67390.648868033459</v>
      </c>
      <c r="AL210" s="8">
        <f t="shared" si="1536"/>
        <v>61336.70952107542</v>
      </c>
      <c r="AM210" s="8">
        <f t="shared" si="1536"/>
        <v>62251.628550757057</v>
      </c>
      <c r="AN210" s="8">
        <f t="shared" si="1536"/>
        <v>101667.82875955341</v>
      </c>
      <c r="AO210" s="8">
        <f t="shared" ref="AO210:AZ210" si="1537">SUM(AO194:AO209)</f>
        <v>17986.842453000001</v>
      </c>
      <c r="AP210" s="8">
        <f t="shared" si="1537"/>
        <v>66309.71481741601</v>
      </c>
      <c r="AQ210" s="8">
        <f t="shared" si="1537"/>
        <v>89430.068881774525</v>
      </c>
      <c r="AR210" s="8">
        <f t="shared" si="1537"/>
        <v>72651.68714106633</v>
      </c>
      <c r="AS210" s="8">
        <f t="shared" si="1537"/>
        <v>77589.076040255575</v>
      </c>
      <c r="AT210" s="8">
        <f t="shared" si="1537"/>
        <v>61109.800167310052</v>
      </c>
      <c r="AU210" s="8">
        <f t="shared" si="1537"/>
        <v>67590.3906784961</v>
      </c>
      <c r="AV210" s="8">
        <f t="shared" si="1537"/>
        <v>61598.654001719748</v>
      </c>
      <c r="AW210" s="8">
        <f t="shared" si="1537"/>
        <v>69399.653272719763</v>
      </c>
      <c r="AX210" s="8">
        <f t="shared" si="1537"/>
        <v>63169.702385048862</v>
      </c>
      <c r="AY210" s="8">
        <f t="shared" si="1537"/>
        <v>64113.443015088058</v>
      </c>
      <c r="AZ210" s="8">
        <f t="shared" si="1537"/>
        <v>104708.34830769806</v>
      </c>
      <c r="BA210" s="8">
        <f t="shared" ref="BA210:BX210" si="1538">SUM(BA194:BA209)</f>
        <v>18517.372126590006</v>
      </c>
      <c r="BB210" s="8">
        <f t="shared" si="1538"/>
        <v>71994.809030226854</v>
      </c>
      <c r="BC210" s="8">
        <f t="shared" si="1538"/>
        <v>95644.196815673378</v>
      </c>
      <c r="BD210" s="8">
        <f t="shared" si="1538"/>
        <v>78527.924091080989</v>
      </c>
      <c r="BE210" s="8">
        <f t="shared" si="1538"/>
        <v>83613.958619465193</v>
      </c>
      <c r="BF210" s="8">
        <f t="shared" si="1538"/>
        <v>66640.090366818986</v>
      </c>
      <c r="BG210" s="8">
        <f t="shared" si="1538"/>
        <v>73314.657887866997</v>
      </c>
      <c r="BH210" s="8">
        <f t="shared" si="1538"/>
        <v>67143.193113942078</v>
      </c>
      <c r="BI210" s="8">
        <f t="shared" si="1538"/>
        <v>75178.222363072069</v>
      </c>
      <c r="BJ210" s="8">
        <f t="shared" si="1538"/>
        <v>68761.483909325674</v>
      </c>
      <c r="BK210" s="8">
        <f t="shared" si="1538"/>
        <v>69733.603127591705</v>
      </c>
      <c r="BL210" s="8">
        <f t="shared" si="1538"/>
        <v>115252.2081399648</v>
      </c>
      <c r="BM210" s="8">
        <f t="shared" si="1538"/>
        <v>19063.817690387699</v>
      </c>
      <c r="BN210" s="8">
        <f t="shared" si="1538"/>
        <v>74145.533380284905</v>
      </c>
      <c r="BO210" s="8">
        <f t="shared" si="1538"/>
        <v>98339.421064771479</v>
      </c>
      <c r="BP210" s="8">
        <f t="shared" si="1538"/>
        <v>80874.677493010546</v>
      </c>
      <c r="BQ210" s="8">
        <f t="shared" si="1538"/>
        <v>86113.312252418356</v>
      </c>
      <c r="BR210" s="8">
        <f t="shared" si="1538"/>
        <v>68630.232037167458</v>
      </c>
      <c r="BS210" s="8">
        <f t="shared" si="1538"/>
        <v>75505.031269308776</v>
      </c>
      <c r="BT210" s="8">
        <f t="shared" si="1538"/>
        <v>69148.40583760952</v>
      </c>
      <c r="BU210" s="8">
        <f t="shared" si="1538"/>
        <v>77424.485964213425</v>
      </c>
      <c r="BV210" s="8">
        <f t="shared" si="1538"/>
        <v>70815.250621297193</v>
      </c>
      <c r="BW210" s="8">
        <f t="shared" si="1538"/>
        <v>71816.536823263174</v>
      </c>
      <c r="BX210" s="8">
        <f t="shared" si="1538"/>
        <v>118700.70402289307</v>
      </c>
      <c r="BZ210" s="379">
        <f>SUM(BZ194:BZ209)</f>
        <v>67991.98</v>
      </c>
      <c r="CA210" s="379">
        <f>SUM(CA194:CA209)</f>
        <v>714400.2</v>
      </c>
      <c r="CB210" s="97"/>
      <c r="CC210" s="379">
        <f t="shared" ref="CC210:CJ211" si="1539">SUMIF($C$3:$BY$3,CC$3,$C210:$BY210)</f>
        <v>0</v>
      </c>
      <c r="CD210" s="379">
        <f t="shared" si="1539"/>
        <v>0</v>
      </c>
      <c r="CE210" s="379">
        <f t="shared" si="1539"/>
        <v>691419.57</v>
      </c>
      <c r="CF210" s="379">
        <f t="shared" si="1539"/>
        <v>817192.94778240635</v>
      </c>
      <c r="CG210" s="379">
        <f t="shared" si="1539"/>
        <v>792189.84017565346</v>
      </c>
      <c r="CH210" s="379">
        <f t="shared" si="1539"/>
        <v>815657.38116159313</v>
      </c>
      <c r="CI210" s="379">
        <f t="shared" si="1539"/>
        <v>884321.71959161875</v>
      </c>
      <c r="CJ210" s="379">
        <f t="shared" si="1539"/>
        <v>910577.40845662553</v>
      </c>
    </row>
    <row r="211" spans="1:88" x14ac:dyDescent="0.3">
      <c r="A211" s="109" t="s">
        <v>118</v>
      </c>
      <c r="B211" s="97"/>
      <c r="C211" s="22">
        <f t="shared" ref="C211" si="1540">C193-C210</f>
        <v>0</v>
      </c>
      <c r="D211" s="22">
        <f t="shared" ref="D211" si="1541">D193-D210</f>
        <v>0</v>
      </c>
      <c r="E211" s="22">
        <f t="shared" ref="E211:P211" si="1542">E193-E210</f>
        <v>115604.54999999999</v>
      </c>
      <c r="F211" s="22">
        <f t="shared" si="1542"/>
        <v>60363.010000000009</v>
      </c>
      <c r="G211" s="22">
        <f t="shared" si="1542"/>
        <v>-9593.739999999998</v>
      </c>
      <c r="H211" s="22">
        <f t="shared" si="1542"/>
        <v>78355.896999999997</v>
      </c>
      <c r="I211" s="22">
        <f t="shared" si="1542"/>
        <v>-55803.264000000003</v>
      </c>
      <c r="J211" s="22">
        <f t="shared" si="1542"/>
        <v>63909.802399999993</v>
      </c>
      <c r="K211" s="22">
        <f t="shared" si="1542"/>
        <v>-47597.330600000001</v>
      </c>
      <c r="L211" s="22">
        <f t="shared" si="1542"/>
        <v>14785.975200000059</v>
      </c>
      <c r="M211" s="22">
        <f t="shared" si="1542"/>
        <v>-1891.4400000000023</v>
      </c>
      <c r="N211" s="22">
        <f t="shared" si="1542"/>
        <v>71561.670000000013</v>
      </c>
      <c r="O211" s="22">
        <f t="shared" si="1542"/>
        <v>-56129.349999999991</v>
      </c>
      <c r="P211" s="22">
        <f t="shared" si="1542"/>
        <v>-44331.699999999983</v>
      </c>
      <c r="Q211" s="22">
        <f t="shared" ref="Q211:AB211" si="1543">Q193-Q210</f>
        <v>28180.499999999996</v>
      </c>
      <c r="R211" s="22">
        <f t="shared" si="1543"/>
        <v>-506.18000000000029</v>
      </c>
      <c r="S211" s="22">
        <f t="shared" si="1543"/>
        <v>80670.749999999985</v>
      </c>
      <c r="T211" s="22">
        <f t="shared" si="1543"/>
        <v>-93.710000000006403</v>
      </c>
      <c r="U211" s="22">
        <f t="shared" si="1543"/>
        <v>3116.9599999999919</v>
      </c>
      <c r="V211" s="22">
        <f t="shared" si="1543"/>
        <v>-1102.8799999999901</v>
      </c>
      <c r="W211" s="22">
        <f t="shared" si="1543"/>
        <v>1889.070000000007</v>
      </c>
      <c r="X211" s="22">
        <f t="shared" si="1543"/>
        <v>-9146.2099999999919</v>
      </c>
      <c r="Y211" s="22">
        <f t="shared" si="1543"/>
        <v>2901.4700000000084</v>
      </c>
      <c r="Z211" s="22">
        <f t="shared" si="1543"/>
        <v>56723.300000000017</v>
      </c>
      <c r="AA211" s="22">
        <f t="shared" si="1543"/>
        <v>-1791.8099999999977</v>
      </c>
      <c r="AB211" s="22">
        <f t="shared" si="1543"/>
        <v>-19212.51944907305</v>
      </c>
      <c r="AC211" s="22">
        <f t="shared" ref="AC211:AN211" si="1544">AC193-AC210</f>
        <v>39767.203233333334</v>
      </c>
      <c r="AD211" s="22">
        <f t="shared" si="1544"/>
        <v>5915.0301190102327</v>
      </c>
      <c r="AE211" s="22">
        <f t="shared" si="1544"/>
        <v>89075.48858211271</v>
      </c>
      <c r="AF211" s="22">
        <f t="shared" si="1544"/>
        <v>-2452.1844575362047</v>
      </c>
      <c r="AG211" s="22">
        <f t="shared" si="1544"/>
        <v>-4186.7225313456001</v>
      </c>
      <c r="AH211" s="22">
        <f t="shared" si="1544"/>
        <v>5551.2109968006989</v>
      </c>
      <c r="AI211" s="22">
        <f t="shared" si="1544"/>
        <v>-32.117504075882607</v>
      </c>
      <c r="AJ211" s="22">
        <f t="shared" si="1544"/>
        <v>23995.18813696655</v>
      </c>
      <c r="AK211" s="22">
        <f t="shared" si="1544"/>
        <v>11416.734639216564</v>
      </c>
      <c r="AL211" s="22">
        <f t="shared" si="1544"/>
        <v>17172.790652841257</v>
      </c>
      <c r="AM211" s="22">
        <f t="shared" si="1544"/>
        <v>20914.398610159624</v>
      </c>
      <c r="AN211" s="22">
        <f t="shared" si="1544"/>
        <v>-35958.455089636744</v>
      </c>
      <c r="AO211" s="22">
        <f t="shared" ref="AO211:AZ211" si="1545">AO193-AO210</f>
        <v>45729.427720916676</v>
      </c>
      <c r="AP211" s="22">
        <f t="shared" si="1545"/>
        <v>24831.760912242331</v>
      </c>
      <c r="AQ211" s="22">
        <f t="shared" si="1545"/>
        <v>106658.07494953464</v>
      </c>
      <c r="AR211" s="22">
        <f t="shared" si="1545"/>
        <v>13481.097488503685</v>
      </c>
      <c r="AS211" s="22">
        <f t="shared" si="1545"/>
        <v>11600.552084185256</v>
      </c>
      <c r="AT211" s="22">
        <f t="shared" si="1545"/>
        <v>21730.166857042466</v>
      </c>
      <c r="AU211" s="22">
        <f t="shared" si="1545"/>
        <v>15238.267942378065</v>
      </c>
      <c r="AV211" s="22">
        <f t="shared" si="1545"/>
        <v>25352.207315764412</v>
      </c>
      <c r="AW211" s="22">
        <f t="shared" si="1545"/>
        <v>18064.445348154404</v>
      </c>
      <c r="AX211" s="22">
        <f t="shared" si="1545"/>
        <v>18761.106235825311</v>
      </c>
      <c r="AY211" s="22">
        <f t="shared" si="1545"/>
        <v>22660.478302396114</v>
      </c>
      <c r="AZ211" s="22">
        <f t="shared" si="1545"/>
        <v>-21831.75748594389</v>
      </c>
      <c r="BA211" s="22">
        <f t="shared" ref="BA211:BX211" si="1546">BA193-BA210</f>
        <v>62270.16649428416</v>
      </c>
      <c r="BB211" s="22">
        <f t="shared" si="1546"/>
        <v>40069.641557788593</v>
      </c>
      <c r="BC211" s="22">
        <f t="shared" si="1546"/>
        <v>121267.71291577179</v>
      </c>
      <c r="BD211" s="22">
        <f t="shared" si="1546"/>
        <v>29718.945803133756</v>
      </c>
      <c r="BE211" s="22">
        <f t="shared" si="1546"/>
        <v>27731.000005780646</v>
      </c>
      <c r="BF211" s="22">
        <f t="shared" si="1546"/>
        <v>38249.112839086971</v>
      </c>
      <c r="BG211" s="22">
        <f t="shared" si="1546"/>
        <v>31531.910192499738</v>
      </c>
      <c r="BH211" s="22">
        <f t="shared" si="1546"/>
        <v>41949.748260225329</v>
      </c>
      <c r="BI211" s="22">
        <f t="shared" si="1546"/>
        <v>34445.333717294678</v>
      </c>
      <c r="BJ211" s="22">
        <f t="shared" si="1546"/>
        <v>35170.660171041061</v>
      </c>
      <c r="BK211" s="22">
        <f t="shared" si="1546"/>
        <v>39139.206246575719</v>
      </c>
      <c r="BL211" s="22">
        <f t="shared" si="1546"/>
        <v>-10355.910345202661</v>
      </c>
      <c r="BM211" s="22">
        <f t="shared" si="1546"/>
        <v>83708.409389979031</v>
      </c>
      <c r="BN211" s="22">
        <f t="shared" si="1546"/>
        <v>45238.766393318729</v>
      </c>
      <c r="BO211" s="22">
        <f t="shared" si="1546"/>
        <v>125818.57934155472</v>
      </c>
      <c r="BP211" s="22">
        <f t="shared" si="1546"/>
        <v>34643.479015619901</v>
      </c>
      <c r="BQ211" s="22">
        <f t="shared" si="1546"/>
        <v>32522.972858881054</v>
      </c>
      <c r="BR211" s="22">
        <f t="shared" si="1546"/>
        <v>43472.881149550318</v>
      </c>
      <c r="BS211" s="22">
        <f t="shared" si="1546"/>
        <v>36529.697002800545</v>
      </c>
      <c r="BT211" s="22">
        <f t="shared" si="1546"/>
        <v>47886.766401777219</v>
      </c>
      <c r="BU211" s="22">
        <f t="shared" si="1546"/>
        <v>40158.105265200138</v>
      </c>
      <c r="BV211" s="22">
        <f t="shared" si="1546"/>
        <v>40938.181758116363</v>
      </c>
      <c r="BW211" s="22">
        <f t="shared" si="1546"/>
        <v>44953.151816123573</v>
      </c>
      <c r="BX211" s="22">
        <f t="shared" si="1546"/>
        <v>-5976.4795826541667</v>
      </c>
      <c r="BZ211" s="390">
        <f>BZ193-BZ210</f>
        <v>-1791.8099999999977</v>
      </c>
      <c r="CA211" s="390">
        <f>CA193-CA210</f>
        <v>160841.26000000013</v>
      </c>
      <c r="CB211" s="97"/>
      <c r="CC211" s="390">
        <f t="shared" si="1539"/>
        <v>0</v>
      </c>
      <c r="CD211" s="390">
        <f t="shared" si="1539"/>
        <v>0</v>
      </c>
      <c r="CE211" s="390">
        <f t="shared" si="1539"/>
        <v>189234.08000000005</v>
      </c>
      <c r="CF211" s="390">
        <f t="shared" si="1539"/>
        <v>141628.74055092694</v>
      </c>
      <c r="CG211" s="390">
        <f t="shared" si="1539"/>
        <v>171178.56538784655</v>
      </c>
      <c r="CH211" s="390">
        <f t="shared" si="1539"/>
        <v>302275.8276709994</v>
      </c>
      <c r="CI211" s="390">
        <f t="shared" si="1539"/>
        <v>491187.52785827976</v>
      </c>
      <c r="CJ211" s="390">
        <f t="shared" si="1539"/>
        <v>569894.5108102673</v>
      </c>
    </row>
    <row r="212" spans="1:88" x14ac:dyDescent="0.3">
      <c r="A212" s="109"/>
      <c r="B212" s="97"/>
      <c r="C212" s="26">
        <f t="shared" ref="C212:AH212" si="1547">C211-C173</f>
        <v>0</v>
      </c>
      <c r="D212" s="26">
        <f t="shared" si="1547"/>
        <v>0</v>
      </c>
      <c r="E212" s="26">
        <f t="shared" si="1547"/>
        <v>0</v>
      </c>
      <c r="F212" s="26">
        <f t="shared" si="1547"/>
        <v>0</v>
      </c>
      <c r="G212" s="26">
        <f t="shared" si="1547"/>
        <v>-1.4551915228366852E-11</v>
      </c>
      <c r="H212" s="26">
        <f t="shared" si="1547"/>
        <v>0</v>
      </c>
      <c r="I212" s="26">
        <f t="shared" si="1547"/>
        <v>0</v>
      </c>
      <c r="J212" s="26">
        <f t="shared" si="1547"/>
        <v>0</v>
      </c>
      <c r="K212" s="26">
        <f t="shared" si="1547"/>
        <v>0</v>
      </c>
      <c r="L212" s="26">
        <f t="shared" si="1547"/>
        <v>1.4551915228366852E-11</v>
      </c>
      <c r="M212" s="26">
        <f t="shared" si="1547"/>
        <v>0</v>
      </c>
      <c r="N212" s="26">
        <f t="shared" si="1547"/>
        <v>0</v>
      </c>
      <c r="O212" s="26">
        <f t="shared" si="1547"/>
        <v>0</v>
      </c>
      <c r="P212" s="26">
        <f t="shared" si="1547"/>
        <v>0</v>
      </c>
      <c r="Q212" s="26">
        <f t="shared" si="1547"/>
        <v>0</v>
      </c>
      <c r="R212" s="26">
        <f t="shared" si="1547"/>
        <v>-1.4551915228366852E-11</v>
      </c>
      <c r="S212" s="26">
        <f t="shared" si="1547"/>
        <v>0</v>
      </c>
      <c r="T212" s="26">
        <f t="shared" si="1547"/>
        <v>1.4551915228366852E-11</v>
      </c>
      <c r="U212" s="26">
        <f t="shared" si="1547"/>
        <v>1.4551915228366852E-11</v>
      </c>
      <c r="V212" s="26">
        <f t="shared" si="1547"/>
        <v>-1.4551915228366852E-11</v>
      </c>
      <c r="W212" s="26">
        <f t="shared" si="1547"/>
        <v>-7.2759576141834259E-12</v>
      </c>
      <c r="X212" s="26">
        <f t="shared" si="1547"/>
        <v>-1.4551915228366852E-11</v>
      </c>
      <c r="Y212" s="26">
        <f t="shared" si="1547"/>
        <v>0</v>
      </c>
      <c r="Z212" s="26">
        <f t="shared" si="1547"/>
        <v>5.8207660913467407E-11</v>
      </c>
      <c r="AA212" s="26">
        <f t="shared" si="1547"/>
        <v>2.9103830456733704E-11</v>
      </c>
      <c r="AB212" s="26">
        <f t="shared" si="1547"/>
        <v>-4.3655745685100555E-11</v>
      </c>
      <c r="AC212" s="26">
        <f t="shared" si="1547"/>
        <v>0</v>
      </c>
      <c r="AD212" s="26">
        <f t="shared" si="1547"/>
        <v>7.2759576141834259E-12</v>
      </c>
      <c r="AE212" s="26">
        <f t="shared" si="1547"/>
        <v>0</v>
      </c>
      <c r="AF212" s="26">
        <f t="shared" si="1547"/>
        <v>2.9103830456733704E-11</v>
      </c>
      <c r="AG212" s="26">
        <f t="shared" si="1547"/>
        <v>0</v>
      </c>
      <c r="AH212" s="26">
        <f t="shared" si="1547"/>
        <v>2.1827872842550278E-11</v>
      </c>
      <c r="AI212" s="26">
        <f t="shared" ref="AI212:BN212" si="1548">AI211-AI173</f>
        <v>2.9103830456733704E-11</v>
      </c>
      <c r="AJ212" s="26">
        <f t="shared" si="1548"/>
        <v>0</v>
      </c>
      <c r="AK212" s="26">
        <f t="shared" si="1548"/>
        <v>5.8207660913467407E-11</v>
      </c>
      <c r="AL212" s="26">
        <f t="shared" si="1548"/>
        <v>2.9103830456733704E-11</v>
      </c>
      <c r="AM212" s="26">
        <f t="shared" si="1548"/>
        <v>0</v>
      </c>
      <c r="AN212" s="26">
        <f t="shared" si="1548"/>
        <v>0</v>
      </c>
      <c r="AO212" s="26">
        <f t="shared" si="1548"/>
        <v>0</v>
      </c>
      <c r="AP212" s="26">
        <f t="shared" si="1548"/>
        <v>0</v>
      </c>
      <c r="AQ212" s="26">
        <f t="shared" si="1548"/>
        <v>0</v>
      </c>
      <c r="AR212" s="26">
        <f t="shared" si="1548"/>
        <v>-1.4551915228366852E-11</v>
      </c>
      <c r="AS212" s="26">
        <f t="shared" si="1548"/>
        <v>-2.9103830456733704E-11</v>
      </c>
      <c r="AT212" s="26">
        <f t="shared" si="1548"/>
        <v>0</v>
      </c>
      <c r="AU212" s="26">
        <f t="shared" si="1548"/>
        <v>-1.4551915228366852E-11</v>
      </c>
      <c r="AV212" s="26">
        <f t="shared" si="1548"/>
        <v>0</v>
      </c>
      <c r="AW212" s="26">
        <f t="shared" si="1548"/>
        <v>0</v>
      </c>
      <c r="AX212" s="26">
        <f t="shared" si="1548"/>
        <v>0</v>
      </c>
      <c r="AY212" s="26">
        <f t="shared" si="1548"/>
        <v>0</v>
      </c>
      <c r="AZ212" s="26">
        <f t="shared" si="1548"/>
        <v>0</v>
      </c>
      <c r="BA212" s="26">
        <f t="shared" si="1548"/>
        <v>0</v>
      </c>
      <c r="BB212" s="26">
        <f t="shared" si="1548"/>
        <v>0</v>
      </c>
      <c r="BC212" s="26">
        <f t="shared" si="1548"/>
        <v>0</v>
      </c>
      <c r="BD212" s="26">
        <f t="shared" si="1548"/>
        <v>0</v>
      </c>
      <c r="BE212" s="26">
        <f t="shared" si="1548"/>
        <v>-4.3655745685100555E-11</v>
      </c>
      <c r="BF212" s="26">
        <f t="shared" si="1548"/>
        <v>0</v>
      </c>
      <c r="BG212" s="26">
        <f t="shared" si="1548"/>
        <v>-2.9103830456733704E-11</v>
      </c>
      <c r="BH212" s="26">
        <f t="shared" si="1548"/>
        <v>-5.8207660913467407E-11</v>
      </c>
      <c r="BI212" s="26">
        <f t="shared" si="1548"/>
        <v>0</v>
      </c>
      <c r="BJ212" s="26">
        <f t="shared" si="1548"/>
        <v>0</v>
      </c>
      <c r="BK212" s="26">
        <f t="shared" si="1548"/>
        <v>0</v>
      </c>
      <c r="BL212" s="26">
        <f t="shared" si="1548"/>
        <v>1.4551915228366852E-11</v>
      </c>
      <c r="BM212" s="26">
        <f t="shared" si="1548"/>
        <v>0</v>
      </c>
      <c r="BN212" s="26">
        <f t="shared" si="1548"/>
        <v>0</v>
      </c>
      <c r="BO212" s="26">
        <f t="shared" ref="BO212:BX212" si="1549">BO211-BO173</f>
        <v>0</v>
      </c>
      <c r="BP212" s="26">
        <f t="shared" si="1549"/>
        <v>0</v>
      </c>
      <c r="BQ212" s="26">
        <f t="shared" si="1549"/>
        <v>0</v>
      </c>
      <c r="BR212" s="26">
        <f t="shared" si="1549"/>
        <v>0</v>
      </c>
      <c r="BS212" s="26">
        <f t="shared" si="1549"/>
        <v>0</v>
      </c>
      <c r="BT212" s="26">
        <f t="shared" si="1549"/>
        <v>0</v>
      </c>
      <c r="BU212" s="26">
        <f t="shared" si="1549"/>
        <v>0</v>
      </c>
      <c r="BV212" s="26">
        <f t="shared" si="1549"/>
        <v>0</v>
      </c>
      <c r="BW212" s="26">
        <f t="shared" si="1549"/>
        <v>0</v>
      </c>
      <c r="BX212" s="26">
        <f t="shared" si="1549"/>
        <v>2.9103830456733704E-11</v>
      </c>
      <c r="BZ212" s="396">
        <f>BZ211-BZ173</f>
        <v>2.9103830456733704E-11</v>
      </c>
      <c r="CA212" s="396">
        <f>CA211-CA173</f>
        <v>0</v>
      </c>
      <c r="CB212" s="97"/>
      <c r="CC212" s="396">
        <f t="shared" ref="CC212:CJ212" si="1550">CC211-CC173</f>
        <v>0</v>
      </c>
      <c r="CD212" s="396">
        <f t="shared" si="1550"/>
        <v>0</v>
      </c>
      <c r="CE212" s="396">
        <f t="shared" si="1550"/>
        <v>0</v>
      </c>
      <c r="CF212" s="396">
        <f t="shared" si="1550"/>
        <v>0</v>
      </c>
      <c r="CG212" s="396">
        <f t="shared" si="1550"/>
        <v>2.3283064365386963E-10</v>
      </c>
      <c r="CH212" s="396">
        <f t="shared" si="1550"/>
        <v>0</v>
      </c>
      <c r="CI212" s="396">
        <f t="shared" si="1550"/>
        <v>0</v>
      </c>
      <c r="CJ212" s="396">
        <f t="shared" si="1550"/>
        <v>0</v>
      </c>
    </row>
    <row r="213" spans="1:88" x14ac:dyDescent="0.3">
      <c r="A213" s="109" t="str">
        <f>'DCS Detail'!A213</f>
        <v>Adjusted EBITDA</v>
      </c>
      <c r="B213" s="97"/>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Z213" s="396"/>
      <c r="CA213" s="396"/>
      <c r="CB213" s="97"/>
      <c r="CC213" s="396"/>
      <c r="CD213" s="396"/>
      <c r="CE213" s="396"/>
      <c r="CF213" s="396"/>
      <c r="CG213" s="396"/>
      <c r="CH213" s="396"/>
      <c r="CI213" s="396"/>
      <c r="CJ213" s="396"/>
    </row>
    <row r="214" spans="1:88" x14ac:dyDescent="0.3">
      <c r="A214" s="97" t="str">
        <f>'DCS Detail'!A214</f>
        <v>Net Change</v>
      </c>
      <c r="B214" s="97"/>
      <c r="C214" s="36">
        <f>C211</f>
        <v>0</v>
      </c>
      <c r="D214" s="36">
        <f t="shared" ref="D214:BO214" si="1551">D211</f>
        <v>0</v>
      </c>
      <c r="E214" s="36">
        <f t="shared" si="1551"/>
        <v>115604.54999999999</v>
      </c>
      <c r="F214" s="36">
        <f t="shared" si="1551"/>
        <v>60363.010000000009</v>
      </c>
      <c r="G214" s="36">
        <f t="shared" si="1551"/>
        <v>-9593.739999999998</v>
      </c>
      <c r="H214" s="36">
        <f t="shared" si="1551"/>
        <v>78355.896999999997</v>
      </c>
      <c r="I214" s="36">
        <f t="shared" si="1551"/>
        <v>-55803.264000000003</v>
      </c>
      <c r="J214" s="36">
        <f t="shared" si="1551"/>
        <v>63909.802399999993</v>
      </c>
      <c r="K214" s="36">
        <f t="shared" si="1551"/>
        <v>-47597.330600000001</v>
      </c>
      <c r="L214" s="36">
        <f t="shared" si="1551"/>
        <v>14785.975200000059</v>
      </c>
      <c r="M214" s="36">
        <f t="shared" si="1551"/>
        <v>-1891.4400000000023</v>
      </c>
      <c r="N214" s="36">
        <f t="shared" si="1551"/>
        <v>71561.670000000013</v>
      </c>
      <c r="O214" s="36">
        <f t="shared" si="1551"/>
        <v>-56129.349999999991</v>
      </c>
      <c r="P214" s="36">
        <f t="shared" si="1551"/>
        <v>-44331.699999999983</v>
      </c>
      <c r="Q214" s="36">
        <f t="shared" si="1551"/>
        <v>28180.499999999996</v>
      </c>
      <c r="R214" s="36">
        <f t="shared" si="1551"/>
        <v>-506.18000000000029</v>
      </c>
      <c r="S214" s="36">
        <f t="shared" si="1551"/>
        <v>80670.749999999985</v>
      </c>
      <c r="T214" s="36">
        <f t="shared" si="1551"/>
        <v>-93.710000000006403</v>
      </c>
      <c r="U214" s="36">
        <f t="shared" si="1551"/>
        <v>3116.9599999999919</v>
      </c>
      <c r="V214" s="36">
        <f t="shared" si="1551"/>
        <v>-1102.8799999999901</v>
      </c>
      <c r="W214" s="36">
        <f t="shared" si="1551"/>
        <v>1889.070000000007</v>
      </c>
      <c r="X214" s="36">
        <f t="shared" si="1551"/>
        <v>-9146.2099999999919</v>
      </c>
      <c r="Y214" s="36">
        <f t="shared" si="1551"/>
        <v>2901.4700000000084</v>
      </c>
      <c r="Z214" s="36">
        <f t="shared" si="1551"/>
        <v>56723.300000000017</v>
      </c>
      <c r="AA214" s="36">
        <f t="shared" si="1551"/>
        <v>-1791.8099999999977</v>
      </c>
      <c r="AB214" s="36">
        <f t="shared" si="1551"/>
        <v>-19212.51944907305</v>
      </c>
      <c r="AC214" s="36">
        <f t="shared" si="1551"/>
        <v>39767.203233333334</v>
      </c>
      <c r="AD214" s="36">
        <f t="shared" si="1551"/>
        <v>5915.0301190102327</v>
      </c>
      <c r="AE214" s="36">
        <f t="shared" si="1551"/>
        <v>89075.48858211271</v>
      </c>
      <c r="AF214" s="36">
        <f t="shared" si="1551"/>
        <v>-2452.1844575362047</v>
      </c>
      <c r="AG214" s="36">
        <f t="shared" si="1551"/>
        <v>-4186.7225313456001</v>
      </c>
      <c r="AH214" s="36">
        <f t="shared" si="1551"/>
        <v>5551.2109968006989</v>
      </c>
      <c r="AI214" s="36">
        <f t="shared" si="1551"/>
        <v>-32.117504075882607</v>
      </c>
      <c r="AJ214" s="36">
        <f t="shared" si="1551"/>
        <v>23995.18813696655</v>
      </c>
      <c r="AK214" s="36">
        <f t="shared" si="1551"/>
        <v>11416.734639216564</v>
      </c>
      <c r="AL214" s="36">
        <f t="shared" si="1551"/>
        <v>17172.790652841257</v>
      </c>
      <c r="AM214" s="36">
        <f t="shared" si="1551"/>
        <v>20914.398610159624</v>
      </c>
      <c r="AN214" s="36">
        <f t="shared" si="1551"/>
        <v>-35958.455089636744</v>
      </c>
      <c r="AO214" s="36">
        <f t="shared" si="1551"/>
        <v>45729.427720916676</v>
      </c>
      <c r="AP214" s="36">
        <f t="shared" si="1551"/>
        <v>24831.760912242331</v>
      </c>
      <c r="AQ214" s="36">
        <f t="shared" si="1551"/>
        <v>106658.07494953464</v>
      </c>
      <c r="AR214" s="36">
        <f t="shared" si="1551"/>
        <v>13481.097488503685</v>
      </c>
      <c r="AS214" s="36">
        <f t="shared" si="1551"/>
        <v>11600.552084185256</v>
      </c>
      <c r="AT214" s="36">
        <f t="shared" si="1551"/>
        <v>21730.166857042466</v>
      </c>
      <c r="AU214" s="36">
        <f t="shared" si="1551"/>
        <v>15238.267942378065</v>
      </c>
      <c r="AV214" s="36">
        <f t="shared" si="1551"/>
        <v>25352.207315764412</v>
      </c>
      <c r="AW214" s="36">
        <f t="shared" si="1551"/>
        <v>18064.445348154404</v>
      </c>
      <c r="AX214" s="36">
        <f t="shared" si="1551"/>
        <v>18761.106235825311</v>
      </c>
      <c r="AY214" s="36">
        <f t="shared" si="1551"/>
        <v>22660.478302396114</v>
      </c>
      <c r="AZ214" s="36">
        <f t="shared" si="1551"/>
        <v>-21831.75748594389</v>
      </c>
      <c r="BA214" s="36">
        <f t="shared" si="1551"/>
        <v>62270.16649428416</v>
      </c>
      <c r="BB214" s="36">
        <f t="shared" si="1551"/>
        <v>40069.641557788593</v>
      </c>
      <c r="BC214" s="36">
        <f t="shared" si="1551"/>
        <v>121267.71291577179</v>
      </c>
      <c r="BD214" s="36">
        <f t="shared" si="1551"/>
        <v>29718.945803133756</v>
      </c>
      <c r="BE214" s="36">
        <f t="shared" si="1551"/>
        <v>27731.000005780646</v>
      </c>
      <c r="BF214" s="36">
        <f t="shared" si="1551"/>
        <v>38249.112839086971</v>
      </c>
      <c r="BG214" s="36">
        <f t="shared" si="1551"/>
        <v>31531.910192499738</v>
      </c>
      <c r="BH214" s="36">
        <f t="shared" si="1551"/>
        <v>41949.748260225329</v>
      </c>
      <c r="BI214" s="36">
        <f t="shared" si="1551"/>
        <v>34445.333717294678</v>
      </c>
      <c r="BJ214" s="36">
        <f t="shared" si="1551"/>
        <v>35170.660171041061</v>
      </c>
      <c r="BK214" s="36">
        <f t="shared" si="1551"/>
        <v>39139.206246575719</v>
      </c>
      <c r="BL214" s="36">
        <f t="shared" si="1551"/>
        <v>-10355.910345202661</v>
      </c>
      <c r="BM214" s="36">
        <f t="shared" si="1551"/>
        <v>83708.409389979031</v>
      </c>
      <c r="BN214" s="36">
        <f t="shared" si="1551"/>
        <v>45238.766393318729</v>
      </c>
      <c r="BO214" s="36">
        <f t="shared" si="1551"/>
        <v>125818.57934155472</v>
      </c>
      <c r="BP214" s="36">
        <f t="shared" ref="BP214:CJ214" si="1552">BP211</f>
        <v>34643.479015619901</v>
      </c>
      <c r="BQ214" s="36">
        <f t="shared" si="1552"/>
        <v>32522.972858881054</v>
      </c>
      <c r="BR214" s="36">
        <f t="shared" si="1552"/>
        <v>43472.881149550318</v>
      </c>
      <c r="BS214" s="36">
        <f t="shared" si="1552"/>
        <v>36529.697002800545</v>
      </c>
      <c r="BT214" s="36">
        <f t="shared" si="1552"/>
        <v>47886.766401777219</v>
      </c>
      <c r="BU214" s="36">
        <f t="shared" si="1552"/>
        <v>40158.105265200138</v>
      </c>
      <c r="BV214" s="36">
        <f t="shared" si="1552"/>
        <v>40938.181758116363</v>
      </c>
      <c r="BW214" s="36">
        <f t="shared" si="1552"/>
        <v>44953.151816123573</v>
      </c>
      <c r="BX214" s="36">
        <f t="shared" si="1552"/>
        <v>-5976.4795826541667</v>
      </c>
      <c r="BZ214" s="379">
        <f t="shared" si="1552"/>
        <v>-1791.8099999999977</v>
      </c>
      <c r="CA214" s="379">
        <f t="shared" si="1552"/>
        <v>160841.26000000013</v>
      </c>
      <c r="CB214" s="97"/>
      <c r="CC214" s="379">
        <f t="shared" si="1552"/>
        <v>0</v>
      </c>
      <c r="CD214" s="379">
        <f t="shared" si="1552"/>
        <v>0</v>
      </c>
      <c r="CE214" s="379">
        <f t="shared" si="1552"/>
        <v>189234.08000000005</v>
      </c>
      <c r="CF214" s="379">
        <f t="shared" si="1552"/>
        <v>141628.74055092694</v>
      </c>
      <c r="CG214" s="379">
        <f t="shared" si="1552"/>
        <v>171178.56538784655</v>
      </c>
      <c r="CH214" s="379">
        <f t="shared" si="1552"/>
        <v>302275.8276709994</v>
      </c>
      <c r="CI214" s="379">
        <f t="shared" si="1552"/>
        <v>491187.52785827976</v>
      </c>
      <c r="CJ214" s="379">
        <f t="shared" si="1552"/>
        <v>569894.5108102673</v>
      </c>
    </row>
    <row r="215" spans="1:88" x14ac:dyDescent="0.3">
      <c r="A215" s="97" t="str">
        <f>'DCS Detail'!A215</f>
        <v>Interest</v>
      </c>
      <c r="B215" s="97"/>
      <c r="C215" s="36">
        <f t="shared" ref="C215:L218" si="1553">SUMIF($B$176:$B$184,$A215,C$176:C$184)</f>
        <v>0</v>
      </c>
      <c r="D215" s="36">
        <f t="shared" si="1553"/>
        <v>0</v>
      </c>
      <c r="E215" s="36">
        <f t="shared" si="1553"/>
        <v>0</v>
      </c>
      <c r="F215" s="36">
        <f t="shared" si="1553"/>
        <v>0</v>
      </c>
      <c r="G215" s="36">
        <f t="shared" si="1553"/>
        <v>0</v>
      </c>
      <c r="H215" s="36">
        <f t="shared" si="1553"/>
        <v>0</v>
      </c>
      <c r="I215" s="36">
        <f t="shared" si="1553"/>
        <v>0</v>
      </c>
      <c r="J215" s="36">
        <f t="shared" si="1553"/>
        <v>0</v>
      </c>
      <c r="K215" s="36">
        <f t="shared" si="1553"/>
        <v>0</v>
      </c>
      <c r="L215" s="36">
        <f t="shared" si="1553"/>
        <v>0</v>
      </c>
      <c r="M215" s="36">
        <f t="shared" ref="M215:V218" si="1554">SUMIF($B$176:$B$184,$A215,M$176:M$184)</f>
        <v>0</v>
      </c>
      <c r="N215" s="36">
        <f t="shared" si="1554"/>
        <v>0</v>
      </c>
      <c r="O215" s="36">
        <f t="shared" si="1554"/>
        <v>0</v>
      </c>
      <c r="P215" s="36">
        <f t="shared" si="1554"/>
        <v>0</v>
      </c>
      <c r="Q215" s="36">
        <f t="shared" si="1554"/>
        <v>0</v>
      </c>
      <c r="R215" s="36">
        <f t="shared" si="1554"/>
        <v>0</v>
      </c>
      <c r="S215" s="36">
        <f t="shared" si="1554"/>
        <v>0</v>
      </c>
      <c r="T215" s="36">
        <f t="shared" si="1554"/>
        <v>0</v>
      </c>
      <c r="U215" s="36">
        <f t="shared" si="1554"/>
        <v>0</v>
      </c>
      <c r="V215" s="36">
        <f t="shared" si="1554"/>
        <v>0</v>
      </c>
      <c r="W215" s="36">
        <f t="shared" ref="W215:AF218" si="1555">SUMIF($B$176:$B$184,$A215,W$176:W$184)</f>
        <v>0</v>
      </c>
      <c r="X215" s="36">
        <f t="shared" si="1555"/>
        <v>0</v>
      </c>
      <c r="Y215" s="36">
        <f t="shared" si="1555"/>
        <v>0</v>
      </c>
      <c r="Z215" s="36">
        <f t="shared" si="1555"/>
        <v>0</v>
      </c>
      <c r="AA215" s="36">
        <f t="shared" si="1555"/>
        <v>0</v>
      </c>
      <c r="AB215" s="36">
        <f t="shared" si="1555"/>
        <v>0</v>
      </c>
      <c r="AC215" s="36">
        <f t="shared" si="1555"/>
        <v>0</v>
      </c>
      <c r="AD215" s="36">
        <f t="shared" si="1555"/>
        <v>0</v>
      </c>
      <c r="AE215" s="36">
        <f t="shared" si="1555"/>
        <v>0</v>
      </c>
      <c r="AF215" s="36">
        <f t="shared" si="1555"/>
        <v>0</v>
      </c>
      <c r="AG215" s="36">
        <f t="shared" ref="AG215:AP218" si="1556">SUMIF($B$176:$B$184,$A215,AG$176:AG$184)</f>
        <v>0</v>
      </c>
      <c r="AH215" s="36">
        <f t="shared" si="1556"/>
        <v>0</v>
      </c>
      <c r="AI215" s="36">
        <f t="shared" si="1556"/>
        <v>0</v>
      </c>
      <c r="AJ215" s="36">
        <f t="shared" si="1556"/>
        <v>0</v>
      </c>
      <c r="AK215" s="36">
        <f t="shared" si="1556"/>
        <v>0</v>
      </c>
      <c r="AL215" s="36">
        <f t="shared" si="1556"/>
        <v>0</v>
      </c>
      <c r="AM215" s="36">
        <f t="shared" si="1556"/>
        <v>0</v>
      </c>
      <c r="AN215" s="36">
        <f t="shared" si="1556"/>
        <v>0</v>
      </c>
      <c r="AO215" s="36">
        <f t="shared" si="1556"/>
        <v>0</v>
      </c>
      <c r="AP215" s="36">
        <f t="shared" si="1556"/>
        <v>0</v>
      </c>
      <c r="AQ215" s="36">
        <f t="shared" ref="AQ215:AZ218" si="1557">SUMIF($B$176:$B$184,$A215,AQ$176:AQ$184)</f>
        <v>0</v>
      </c>
      <c r="AR215" s="36">
        <f t="shared" si="1557"/>
        <v>0</v>
      </c>
      <c r="AS215" s="36">
        <f t="shared" si="1557"/>
        <v>0</v>
      </c>
      <c r="AT215" s="36">
        <f t="shared" si="1557"/>
        <v>0</v>
      </c>
      <c r="AU215" s="36">
        <f t="shared" si="1557"/>
        <v>0</v>
      </c>
      <c r="AV215" s="36">
        <f t="shared" si="1557"/>
        <v>0</v>
      </c>
      <c r="AW215" s="36">
        <f t="shared" si="1557"/>
        <v>0</v>
      </c>
      <c r="AX215" s="36">
        <f t="shared" si="1557"/>
        <v>0</v>
      </c>
      <c r="AY215" s="36">
        <f t="shared" si="1557"/>
        <v>0</v>
      </c>
      <c r="AZ215" s="36">
        <f t="shared" si="1557"/>
        <v>0</v>
      </c>
      <c r="BA215" s="36">
        <f t="shared" ref="BA215:BJ218" si="1558">SUMIF($B$176:$B$184,$A215,BA$176:BA$184)</f>
        <v>0</v>
      </c>
      <c r="BB215" s="36">
        <f t="shared" si="1558"/>
        <v>0</v>
      </c>
      <c r="BC215" s="36">
        <f t="shared" si="1558"/>
        <v>0</v>
      </c>
      <c r="BD215" s="36">
        <f t="shared" si="1558"/>
        <v>0</v>
      </c>
      <c r="BE215" s="36">
        <f t="shared" si="1558"/>
        <v>0</v>
      </c>
      <c r="BF215" s="36">
        <f t="shared" si="1558"/>
        <v>0</v>
      </c>
      <c r="BG215" s="36">
        <f t="shared" si="1558"/>
        <v>0</v>
      </c>
      <c r="BH215" s="36">
        <f t="shared" si="1558"/>
        <v>0</v>
      </c>
      <c r="BI215" s="36">
        <f t="shared" si="1558"/>
        <v>0</v>
      </c>
      <c r="BJ215" s="36">
        <f t="shared" si="1558"/>
        <v>0</v>
      </c>
      <c r="BK215" s="36">
        <f t="shared" ref="BK215:BX218" si="1559">SUMIF($B$176:$B$184,$A215,BK$176:BK$184)</f>
        <v>0</v>
      </c>
      <c r="BL215" s="36">
        <f t="shared" si="1559"/>
        <v>0</v>
      </c>
      <c r="BM215" s="36">
        <f t="shared" si="1559"/>
        <v>0</v>
      </c>
      <c r="BN215" s="36">
        <f t="shared" si="1559"/>
        <v>0</v>
      </c>
      <c r="BO215" s="36">
        <f t="shared" si="1559"/>
        <v>0</v>
      </c>
      <c r="BP215" s="36">
        <f t="shared" si="1559"/>
        <v>0</v>
      </c>
      <c r="BQ215" s="36">
        <f t="shared" si="1559"/>
        <v>0</v>
      </c>
      <c r="BR215" s="36">
        <f t="shared" si="1559"/>
        <v>0</v>
      </c>
      <c r="BS215" s="36">
        <f t="shared" si="1559"/>
        <v>0</v>
      </c>
      <c r="BT215" s="36">
        <f t="shared" si="1559"/>
        <v>0</v>
      </c>
      <c r="BU215" s="36">
        <f t="shared" si="1559"/>
        <v>0</v>
      </c>
      <c r="BV215" s="36">
        <f t="shared" si="1559"/>
        <v>0</v>
      </c>
      <c r="BW215" s="36">
        <f t="shared" si="1559"/>
        <v>0</v>
      </c>
      <c r="BX215" s="36">
        <f t="shared" si="1559"/>
        <v>0</v>
      </c>
      <c r="BZ215" s="379">
        <f>SUMIF($B$252:$BY$252,1,$B215:$BY215)</f>
        <v>0</v>
      </c>
      <c r="CA215" s="379">
        <f>SUMIF($B$253:$BY$253,1,$B215:$BY215)</f>
        <v>0</v>
      </c>
      <c r="CB215" s="97"/>
      <c r="CC215" s="379">
        <f t="shared" ref="CC215:CJ218" si="1560">SUMIF($C$3:$BY$3,CC$3,$C215:$BY215)</f>
        <v>0</v>
      </c>
      <c r="CD215" s="379">
        <f t="shared" si="1560"/>
        <v>0</v>
      </c>
      <c r="CE215" s="379">
        <f t="shared" si="1560"/>
        <v>0</v>
      </c>
      <c r="CF215" s="379">
        <f t="shared" si="1560"/>
        <v>0</v>
      </c>
      <c r="CG215" s="379">
        <f t="shared" si="1560"/>
        <v>0</v>
      </c>
      <c r="CH215" s="379">
        <f t="shared" si="1560"/>
        <v>0</v>
      </c>
      <c r="CI215" s="379">
        <f t="shared" si="1560"/>
        <v>0</v>
      </c>
      <c r="CJ215" s="379">
        <f t="shared" si="1560"/>
        <v>0</v>
      </c>
    </row>
    <row r="216" spans="1:88" x14ac:dyDescent="0.3">
      <c r="A216" s="97" t="str">
        <f>'DCS Detail'!A216</f>
        <v>Depreciation</v>
      </c>
      <c r="B216" s="97"/>
      <c r="C216" s="36">
        <f t="shared" si="1553"/>
        <v>0</v>
      </c>
      <c r="D216" s="36">
        <f t="shared" si="1553"/>
        <v>0</v>
      </c>
      <c r="E216" s="36">
        <f t="shared" si="1553"/>
        <v>62.33</v>
      </c>
      <c r="F216" s="36">
        <f t="shared" si="1553"/>
        <v>62.33</v>
      </c>
      <c r="G216" s="36">
        <f t="shared" si="1553"/>
        <v>62.33</v>
      </c>
      <c r="H216" s="36">
        <f t="shared" si="1553"/>
        <v>62.33</v>
      </c>
      <c r="I216" s="36">
        <f t="shared" si="1553"/>
        <v>62.33</v>
      </c>
      <c r="J216" s="36">
        <f t="shared" si="1553"/>
        <v>62.33</v>
      </c>
      <c r="K216" s="36">
        <f t="shared" si="1553"/>
        <v>62.33</v>
      </c>
      <c r="L216" s="36">
        <f t="shared" si="1553"/>
        <v>62.330000000000041</v>
      </c>
      <c r="M216" s="36">
        <f t="shared" si="1554"/>
        <v>1330.49</v>
      </c>
      <c r="N216" s="36">
        <f t="shared" si="1554"/>
        <v>302.52</v>
      </c>
      <c r="O216" s="36">
        <f t="shared" si="1554"/>
        <v>302.52</v>
      </c>
      <c r="P216" s="36">
        <f t="shared" si="1554"/>
        <v>302.52</v>
      </c>
      <c r="Q216" s="36">
        <f t="shared" si="1554"/>
        <v>302.52</v>
      </c>
      <c r="R216" s="36">
        <f t="shared" si="1554"/>
        <v>302.52</v>
      </c>
      <c r="S216" s="36">
        <f t="shared" si="1554"/>
        <v>302.52</v>
      </c>
      <c r="T216" s="36">
        <f t="shared" si="1554"/>
        <v>302.52</v>
      </c>
      <c r="U216" s="36">
        <f t="shared" si="1554"/>
        <v>302.52</v>
      </c>
      <c r="V216" s="36">
        <f t="shared" si="1554"/>
        <v>302.52</v>
      </c>
      <c r="W216" s="36">
        <f t="shared" si="1555"/>
        <v>302.52</v>
      </c>
      <c r="X216" s="36">
        <f t="shared" si="1555"/>
        <v>302.52</v>
      </c>
      <c r="Y216" s="36">
        <f t="shared" si="1555"/>
        <v>302.52</v>
      </c>
      <c r="Z216" s="36">
        <f t="shared" si="1555"/>
        <v>302.52</v>
      </c>
      <c r="AA216" s="36">
        <f t="shared" si="1555"/>
        <v>302.52</v>
      </c>
      <c r="AB216" s="36">
        <f t="shared" si="1555"/>
        <v>302.52</v>
      </c>
      <c r="AC216" s="36">
        <f t="shared" si="1555"/>
        <v>302.52</v>
      </c>
      <c r="AD216" s="36">
        <f t="shared" si="1555"/>
        <v>302.52</v>
      </c>
      <c r="AE216" s="36">
        <f t="shared" si="1555"/>
        <v>302.52</v>
      </c>
      <c r="AF216" s="36">
        <f t="shared" si="1555"/>
        <v>302.52</v>
      </c>
      <c r="AG216" s="36">
        <f t="shared" si="1556"/>
        <v>302.52</v>
      </c>
      <c r="AH216" s="36">
        <f t="shared" si="1556"/>
        <v>302.52</v>
      </c>
      <c r="AI216" s="36">
        <f t="shared" si="1556"/>
        <v>302.52</v>
      </c>
      <c r="AJ216" s="36">
        <f t="shared" si="1556"/>
        <v>302.52</v>
      </c>
      <c r="AK216" s="36">
        <f t="shared" si="1556"/>
        <v>302.52</v>
      </c>
      <c r="AL216" s="36">
        <f t="shared" si="1556"/>
        <v>302.52</v>
      </c>
      <c r="AM216" s="36">
        <f t="shared" si="1556"/>
        <v>302.52</v>
      </c>
      <c r="AN216" s="36">
        <f t="shared" si="1556"/>
        <v>302.52</v>
      </c>
      <c r="AO216" s="36">
        <f t="shared" si="1556"/>
        <v>302.52</v>
      </c>
      <c r="AP216" s="36">
        <f t="shared" si="1556"/>
        <v>302.52</v>
      </c>
      <c r="AQ216" s="36">
        <f t="shared" si="1557"/>
        <v>302.52</v>
      </c>
      <c r="AR216" s="36">
        <f t="shared" si="1557"/>
        <v>302.52</v>
      </c>
      <c r="AS216" s="36">
        <f t="shared" si="1557"/>
        <v>302.52</v>
      </c>
      <c r="AT216" s="36">
        <f t="shared" si="1557"/>
        <v>302.52</v>
      </c>
      <c r="AU216" s="36">
        <f t="shared" si="1557"/>
        <v>302.52</v>
      </c>
      <c r="AV216" s="36">
        <f t="shared" si="1557"/>
        <v>302.52</v>
      </c>
      <c r="AW216" s="36">
        <f t="shared" si="1557"/>
        <v>302.52</v>
      </c>
      <c r="AX216" s="36">
        <f t="shared" si="1557"/>
        <v>302.52</v>
      </c>
      <c r="AY216" s="36">
        <f t="shared" si="1557"/>
        <v>302.52</v>
      </c>
      <c r="AZ216" s="36">
        <f t="shared" si="1557"/>
        <v>302.52</v>
      </c>
      <c r="BA216" s="36">
        <f t="shared" si="1558"/>
        <v>302.52</v>
      </c>
      <c r="BB216" s="36">
        <f t="shared" si="1558"/>
        <v>302.52</v>
      </c>
      <c r="BC216" s="36">
        <f t="shared" si="1558"/>
        <v>302.52</v>
      </c>
      <c r="BD216" s="36">
        <f t="shared" si="1558"/>
        <v>302.52</v>
      </c>
      <c r="BE216" s="36">
        <f t="shared" si="1558"/>
        <v>302.52</v>
      </c>
      <c r="BF216" s="36">
        <f t="shared" si="1558"/>
        <v>302.52</v>
      </c>
      <c r="BG216" s="36">
        <f t="shared" si="1558"/>
        <v>302.52</v>
      </c>
      <c r="BH216" s="36">
        <f t="shared" si="1558"/>
        <v>302.52</v>
      </c>
      <c r="BI216" s="36">
        <f t="shared" si="1558"/>
        <v>302.52</v>
      </c>
      <c r="BJ216" s="36">
        <f t="shared" si="1558"/>
        <v>302.52</v>
      </c>
      <c r="BK216" s="36">
        <f t="shared" si="1559"/>
        <v>302.52</v>
      </c>
      <c r="BL216" s="36">
        <f t="shared" si="1559"/>
        <v>302.52</v>
      </c>
      <c r="BM216" s="36">
        <f t="shared" si="1559"/>
        <v>302.52</v>
      </c>
      <c r="BN216" s="36">
        <f t="shared" si="1559"/>
        <v>302.52</v>
      </c>
      <c r="BO216" s="36">
        <f t="shared" si="1559"/>
        <v>302.52</v>
      </c>
      <c r="BP216" s="36">
        <f t="shared" si="1559"/>
        <v>302.52</v>
      </c>
      <c r="BQ216" s="36">
        <f t="shared" si="1559"/>
        <v>302.52</v>
      </c>
      <c r="BR216" s="36">
        <f t="shared" si="1559"/>
        <v>302.52</v>
      </c>
      <c r="BS216" s="36">
        <f t="shared" si="1559"/>
        <v>302.52</v>
      </c>
      <c r="BT216" s="36">
        <f t="shared" si="1559"/>
        <v>302.52</v>
      </c>
      <c r="BU216" s="36">
        <f t="shared" si="1559"/>
        <v>302.52</v>
      </c>
      <c r="BV216" s="36">
        <f t="shared" si="1559"/>
        <v>302.52</v>
      </c>
      <c r="BW216" s="36">
        <f t="shared" si="1559"/>
        <v>302.52</v>
      </c>
      <c r="BX216" s="36">
        <f t="shared" si="1559"/>
        <v>302.52</v>
      </c>
      <c r="BZ216" s="379">
        <f>SUMIF($B$252:$BY$252,1,$B216:$BY216)</f>
        <v>302.52</v>
      </c>
      <c r="CA216" s="379">
        <f>SUMIF($B$253:$BY$253,1,$B216:$BY216)</f>
        <v>3327.72</v>
      </c>
      <c r="CB216" s="97"/>
      <c r="CC216" s="379">
        <f t="shared" si="1560"/>
        <v>0</v>
      </c>
      <c r="CD216" s="379">
        <f t="shared" si="1560"/>
        <v>0</v>
      </c>
      <c r="CE216" s="379">
        <f t="shared" si="1560"/>
        <v>2736.69</v>
      </c>
      <c r="CF216" s="379">
        <f t="shared" si="1560"/>
        <v>3630.24</v>
      </c>
      <c r="CG216" s="379">
        <f t="shared" si="1560"/>
        <v>3630.24</v>
      </c>
      <c r="CH216" s="379">
        <f t="shared" si="1560"/>
        <v>3630.24</v>
      </c>
      <c r="CI216" s="379">
        <f t="shared" si="1560"/>
        <v>3630.24</v>
      </c>
      <c r="CJ216" s="379">
        <f t="shared" si="1560"/>
        <v>3630.24</v>
      </c>
    </row>
    <row r="217" spans="1:88" x14ac:dyDescent="0.3">
      <c r="A217" s="97" t="str">
        <f>'DCS Detail'!A217</f>
        <v>Non-Operating</v>
      </c>
      <c r="B217" s="97"/>
      <c r="C217" s="36">
        <f t="shared" si="1553"/>
        <v>0</v>
      </c>
      <c r="D217" s="36">
        <f t="shared" si="1553"/>
        <v>0</v>
      </c>
      <c r="E217" s="36">
        <f t="shared" si="1553"/>
        <v>0</v>
      </c>
      <c r="F217" s="36">
        <f t="shared" si="1553"/>
        <v>0</v>
      </c>
      <c r="G217" s="36">
        <f t="shared" si="1553"/>
        <v>0</v>
      </c>
      <c r="H217" s="36">
        <f t="shared" si="1553"/>
        <v>0</v>
      </c>
      <c r="I217" s="36">
        <f t="shared" si="1553"/>
        <v>0</v>
      </c>
      <c r="J217" s="36">
        <f t="shared" si="1553"/>
        <v>-3300</v>
      </c>
      <c r="K217" s="36">
        <f t="shared" si="1553"/>
        <v>0</v>
      </c>
      <c r="L217" s="36">
        <f t="shared" si="1553"/>
        <v>0</v>
      </c>
      <c r="M217" s="36">
        <f t="shared" si="1554"/>
        <v>0</v>
      </c>
      <c r="N217" s="36">
        <f t="shared" si="1554"/>
        <v>0</v>
      </c>
      <c r="O217" s="36">
        <f t="shared" si="1554"/>
        <v>0</v>
      </c>
      <c r="P217" s="36">
        <f t="shared" si="1554"/>
        <v>10913.32</v>
      </c>
      <c r="Q217" s="36">
        <f t="shared" si="1554"/>
        <v>0</v>
      </c>
      <c r="R217" s="36">
        <f t="shared" si="1554"/>
        <v>0</v>
      </c>
      <c r="S217" s="36">
        <f t="shared" si="1554"/>
        <v>0</v>
      </c>
      <c r="T217" s="36">
        <f t="shared" si="1554"/>
        <v>0</v>
      </c>
      <c r="U217" s="36">
        <f t="shared" si="1554"/>
        <v>0</v>
      </c>
      <c r="V217" s="36">
        <f t="shared" si="1554"/>
        <v>0</v>
      </c>
      <c r="W217" s="36">
        <f t="shared" si="1555"/>
        <v>0</v>
      </c>
      <c r="X217" s="36">
        <f t="shared" si="1555"/>
        <v>0</v>
      </c>
      <c r="Y217" s="36">
        <f t="shared" si="1555"/>
        <v>0</v>
      </c>
      <c r="Z217" s="36">
        <f t="shared" si="1555"/>
        <v>0</v>
      </c>
      <c r="AA217" s="36">
        <f t="shared" si="1555"/>
        <v>0</v>
      </c>
      <c r="AB217" s="36">
        <f t="shared" si="1555"/>
        <v>0</v>
      </c>
      <c r="AC217" s="36">
        <f t="shared" si="1555"/>
        <v>0</v>
      </c>
      <c r="AD217" s="36">
        <f t="shared" si="1555"/>
        <v>0</v>
      </c>
      <c r="AE217" s="36">
        <f t="shared" si="1555"/>
        <v>0</v>
      </c>
      <c r="AF217" s="36">
        <f t="shared" si="1555"/>
        <v>0</v>
      </c>
      <c r="AG217" s="36">
        <f t="shared" si="1556"/>
        <v>0</v>
      </c>
      <c r="AH217" s="36">
        <f t="shared" si="1556"/>
        <v>0</v>
      </c>
      <c r="AI217" s="36">
        <f t="shared" si="1556"/>
        <v>0</v>
      </c>
      <c r="AJ217" s="36">
        <f t="shared" si="1556"/>
        <v>0</v>
      </c>
      <c r="AK217" s="36">
        <f t="shared" si="1556"/>
        <v>0</v>
      </c>
      <c r="AL217" s="36">
        <f t="shared" si="1556"/>
        <v>0</v>
      </c>
      <c r="AM217" s="36">
        <f t="shared" si="1556"/>
        <v>0</v>
      </c>
      <c r="AN217" s="36">
        <f t="shared" si="1556"/>
        <v>0</v>
      </c>
      <c r="AO217" s="36">
        <f t="shared" si="1556"/>
        <v>0</v>
      </c>
      <c r="AP217" s="36">
        <f t="shared" si="1556"/>
        <v>0</v>
      </c>
      <c r="AQ217" s="36">
        <f t="shared" si="1557"/>
        <v>0</v>
      </c>
      <c r="AR217" s="36">
        <f t="shared" si="1557"/>
        <v>0</v>
      </c>
      <c r="AS217" s="36">
        <f t="shared" si="1557"/>
        <v>0</v>
      </c>
      <c r="AT217" s="36">
        <f t="shared" si="1557"/>
        <v>0</v>
      </c>
      <c r="AU217" s="36">
        <f t="shared" si="1557"/>
        <v>0</v>
      </c>
      <c r="AV217" s="36">
        <f t="shared" si="1557"/>
        <v>0</v>
      </c>
      <c r="AW217" s="36">
        <f t="shared" si="1557"/>
        <v>0</v>
      </c>
      <c r="AX217" s="36">
        <f t="shared" si="1557"/>
        <v>0</v>
      </c>
      <c r="AY217" s="36">
        <f t="shared" si="1557"/>
        <v>0</v>
      </c>
      <c r="AZ217" s="36">
        <f t="shared" si="1557"/>
        <v>0</v>
      </c>
      <c r="BA217" s="36">
        <f t="shared" si="1558"/>
        <v>0</v>
      </c>
      <c r="BB217" s="36">
        <f t="shared" si="1558"/>
        <v>0</v>
      </c>
      <c r="BC217" s="36">
        <f t="shared" si="1558"/>
        <v>0</v>
      </c>
      <c r="BD217" s="36">
        <f t="shared" si="1558"/>
        <v>0</v>
      </c>
      <c r="BE217" s="36">
        <f t="shared" si="1558"/>
        <v>0</v>
      </c>
      <c r="BF217" s="36">
        <f t="shared" si="1558"/>
        <v>0</v>
      </c>
      <c r="BG217" s="36">
        <f t="shared" si="1558"/>
        <v>0</v>
      </c>
      <c r="BH217" s="36">
        <f t="shared" si="1558"/>
        <v>0</v>
      </c>
      <c r="BI217" s="36">
        <f t="shared" si="1558"/>
        <v>0</v>
      </c>
      <c r="BJ217" s="36">
        <f t="shared" si="1558"/>
        <v>0</v>
      </c>
      <c r="BK217" s="36">
        <f t="shared" si="1559"/>
        <v>0</v>
      </c>
      <c r="BL217" s="36">
        <f t="shared" si="1559"/>
        <v>0</v>
      </c>
      <c r="BM217" s="36">
        <f t="shared" si="1559"/>
        <v>0</v>
      </c>
      <c r="BN217" s="36">
        <f t="shared" si="1559"/>
        <v>0</v>
      </c>
      <c r="BO217" s="36">
        <f t="shared" si="1559"/>
        <v>0</v>
      </c>
      <c r="BP217" s="36">
        <f t="shared" si="1559"/>
        <v>0</v>
      </c>
      <c r="BQ217" s="36">
        <f t="shared" si="1559"/>
        <v>0</v>
      </c>
      <c r="BR217" s="36">
        <f t="shared" si="1559"/>
        <v>0</v>
      </c>
      <c r="BS217" s="36">
        <f t="shared" si="1559"/>
        <v>0</v>
      </c>
      <c r="BT217" s="36">
        <f t="shared" si="1559"/>
        <v>0</v>
      </c>
      <c r="BU217" s="36">
        <f t="shared" si="1559"/>
        <v>0</v>
      </c>
      <c r="BV217" s="36">
        <f t="shared" si="1559"/>
        <v>0</v>
      </c>
      <c r="BW217" s="36">
        <f t="shared" si="1559"/>
        <v>0</v>
      </c>
      <c r="BX217" s="36">
        <f t="shared" si="1559"/>
        <v>0</v>
      </c>
      <c r="BZ217" s="379">
        <f>SUMIF($B$252:$BY$252,1,$B217:$BY217)</f>
        <v>0</v>
      </c>
      <c r="CA217" s="379">
        <f>SUMIF($B$253:$BY$253,1,$B217:$BY217)</f>
        <v>0</v>
      </c>
      <c r="CB217" s="97"/>
      <c r="CC217" s="379">
        <f t="shared" si="1560"/>
        <v>0</v>
      </c>
      <c r="CD217" s="379">
        <f t="shared" si="1560"/>
        <v>0</v>
      </c>
      <c r="CE217" s="379">
        <f t="shared" si="1560"/>
        <v>7613.32</v>
      </c>
      <c r="CF217" s="379">
        <f t="shared" si="1560"/>
        <v>0</v>
      </c>
      <c r="CG217" s="379">
        <f t="shared" si="1560"/>
        <v>0</v>
      </c>
      <c r="CH217" s="379">
        <f t="shared" si="1560"/>
        <v>0</v>
      </c>
      <c r="CI217" s="379">
        <f t="shared" si="1560"/>
        <v>0</v>
      </c>
      <c r="CJ217" s="379">
        <f t="shared" si="1560"/>
        <v>0</v>
      </c>
    </row>
    <row r="218" spans="1:88" x14ac:dyDescent="0.3">
      <c r="A218" s="97" t="str">
        <f>'DCS Detail'!A218</f>
        <v>Non-Recurring</v>
      </c>
      <c r="B218" s="97"/>
      <c r="C218" s="36">
        <f t="shared" si="1553"/>
        <v>0</v>
      </c>
      <c r="D218" s="36">
        <f t="shared" si="1553"/>
        <v>0</v>
      </c>
      <c r="E218" s="36">
        <f t="shared" si="1553"/>
        <v>0</v>
      </c>
      <c r="F218" s="36">
        <f t="shared" si="1553"/>
        <v>0</v>
      </c>
      <c r="G218" s="36">
        <f t="shared" si="1553"/>
        <v>0</v>
      </c>
      <c r="H218" s="36">
        <f t="shared" si="1553"/>
        <v>0</v>
      </c>
      <c r="I218" s="36">
        <f t="shared" si="1553"/>
        <v>0</v>
      </c>
      <c r="J218" s="36">
        <f t="shared" si="1553"/>
        <v>0</v>
      </c>
      <c r="K218" s="36">
        <f t="shared" si="1553"/>
        <v>0</v>
      </c>
      <c r="L218" s="36">
        <f t="shared" si="1553"/>
        <v>0</v>
      </c>
      <c r="M218" s="36">
        <f t="shared" si="1554"/>
        <v>0</v>
      </c>
      <c r="N218" s="36">
        <f t="shared" si="1554"/>
        <v>0</v>
      </c>
      <c r="O218" s="36">
        <f t="shared" si="1554"/>
        <v>0</v>
      </c>
      <c r="P218" s="36">
        <f t="shared" si="1554"/>
        <v>0</v>
      </c>
      <c r="Q218" s="36">
        <f t="shared" si="1554"/>
        <v>0</v>
      </c>
      <c r="R218" s="36">
        <f t="shared" si="1554"/>
        <v>0</v>
      </c>
      <c r="S218" s="36">
        <f t="shared" si="1554"/>
        <v>0</v>
      </c>
      <c r="T218" s="36">
        <f t="shared" si="1554"/>
        <v>0</v>
      </c>
      <c r="U218" s="36">
        <f t="shared" si="1554"/>
        <v>0</v>
      </c>
      <c r="V218" s="36">
        <f t="shared" si="1554"/>
        <v>0</v>
      </c>
      <c r="W218" s="36">
        <f t="shared" si="1555"/>
        <v>0</v>
      </c>
      <c r="X218" s="36">
        <f t="shared" si="1555"/>
        <v>0</v>
      </c>
      <c r="Y218" s="36">
        <f t="shared" si="1555"/>
        <v>0</v>
      </c>
      <c r="Z218" s="36">
        <f t="shared" si="1555"/>
        <v>0</v>
      </c>
      <c r="AA218" s="36">
        <f t="shared" si="1555"/>
        <v>0</v>
      </c>
      <c r="AB218" s="36">
        <f t="shared" si="1555"/>
        <v>0</v>
      </c>
      <c r="AC218" s="36">
        <f t="shared" si="1555"/>
        <v>0</v>
      </c>
      <c r="AD218" s="36">
        <f t="shared" si="1555"/>
        <v>0</v>
      </c>
      <c r="AE218" s="36">
        <f t="shared" si="1555"/>
        <v>0</v>
      </c>
      <c r="AF218" s="36">
        <f t="shared" si="1555"/>
        <v>0</v>
      </c>
      <c r="AG218" s="36">
        <f t="shared" si="1556"/>
        <v>0</v>
      </c>
      <c r="AH218" s="36">
        <f t="shared" si="1556"/>
        <v>0</v>
      </c>
      <c r="AI218" s="36">
        <f t="shared" si="1556"/>
        <v>0</v>
      </c>
      <c r="AJ218" s="36">
        <f t="shared" si="1556"/>
        <v>0</v>
      </c>
      <c r="AK218" s="36">
        <f t="shared" si="1556"/>
        <v>0</v>
      </c>
      <c r="AL218" s="36">
        <f t="shared" si="1556"/>
        <v>0</v>
      </c>
      <c r="AM218" s="36">
        <f t="shared" si="1556"/>
        <v>0</v>
      </c>
      <c r="AN218" s="36">
        <f t="shared" si="1556"/>
        <v>0</v>
      </c>
      <c r="AO218" s="36">
        <f t="shared" si="1556"/>
        <v>0</v>
      </c>
      <c r="AP218" s="36">
        <f t="shared" si="1556"/>
        <v>0</v>
      </c>
      <c r="AQ218" s="36">
        <f t="shared" si="1557"/>
        <v>0</v>
      </c>
      <c r="AR218" s="36">
        <f t="shared" si="1557"/>
        <v>0</v>
      </c>
      <c r="AS218" s="36">
        <f t="shared" si="1557"/>
        <v>0</v>
      </c>
      <c r="AT218" s="36">
        <f t="shared" si="1557"/>
        <v>0</v>
      </c>
      <c r="AU218" s="36">
        <f t="shared" si="1557"/>
        <v>0</v>
      </c>
      <c r="AV218" s="36">
        <f t="shared" si="1557"/>
        <v>0</v>
      </c>
      <c r="AW218" s="36">
        <f t="shared" si="1557"/>
        <v>0</v>
      </c>
      <c r="AX218" s="36">
        <f t="shared" si="1557"/>
        <v>0</v>
      </c>
      <c r="AY218" s="36">
        <f t="shared" si="1557"/>
        <v>0</v>
      </c>
      <c r="AZ218" s="36">
        <f t="shared" si="1557"/>
        <v>0</v>
      </c>
      <c r="BA218" s="36">
        <f t="shared" si="1558"/>
        <v>0</v>
      </c>
      <c r="BB218" s="36">
        <f t="shared" si="1558"/>
        <v>0</v>
      </c>
      <c r="BC218" s="36">
        <f t="shared" si="1558"/>
        <v>0</v>
      </c>
      <c r="BD218" s="36">
        <f t="shared" si="1558"/>
        <v>0</v>
      </c>
      <c r="BE218" s="36">
        <f t="shared" si="1558"/>
        <v>0</v>
      </c>
      <c r="BF218" s="36">
        <f t="shared" si="1558"/>
        <v>0</v>
      </c>
      <c r="BG218" s="36">
        <f t="shared" si="1558"/>
        <v>0</v>
      </c>
      <c r="BH218" s="36">
        <f t="shared" si="1558"/>
        <v>0</v>
      </c>
      <c r="BI218" s="36">
        <f t="shared" si="1558"/>
        <v>0</v>
      </c>
      <c r="BJ218" s="36">
        <f t="shared" si="1558"/>
        <v>0</v>
      </c>
      <c r="BK218" s="36">
        <f t="shared" si="1559"/>
        <v>0</v>
      </c>
      <c r="BL218" s="36">
        <f t="shared" si="1559"/>
        <v>0</v>
      </c>
      <c r="BM218" s="36">
        <f t="shared" si="1559"/>
        <v>0</v>
      </c>
      <c r="BN218" s="36">
        <f t="shared" si="1559"/>
        <v>0</v>
      </c>
      <c r="BO218" s="36">
        <f t="shared" si="1559"/>
        <v>0</v>
      </c>
      <c r="BP218" s="36">
        <f t="shared" si="1559"/>
        <v>0</v>
      </c>
      <c r="BQ218" s="36">
        <f t="shared" si="1559"/>
        <v>0</v>
      </c>
      <c r="BR218" s="36">
        <f t="shared" si="1559"/>
        <v>0</v>
      </c>
      <c r="BS218" s="36">
        <f t="shared" si="1559"/>
        <v>0</v>
      </c>
      <c r="BT218" s="36">
        <f t="shared" si="1559"/>
        <v>0</v>
      </c>
      <c r="BU218" s="36">
        <f t="shared" si="1559"/>
        <v>0</v>
      </c>
      <c r="BV218" s="36">
        <f t="shared" si="1559"/>
        <v>0</v>
      </c>
      <c r="BW218" s="36">
        <f t="shared" si="1559"/>
        <v>0</v>
      </c>
      <c r="BX218" s="36">
        <f t="shared" si="1559"/>
        <v>0</v>
      </c>
      <c r="BZ218" s="379">
        <f>SUMIF($B$252:$BY$252,1,$B218:$BY218)</f>
        <v>0</v>
      </c>
      <c r="CA218" s="379">
        <f>SUMIF($B$253:$BY$253,1,$B218:$BY218)</f>
        <v>0</v>
      </c>
      <c r="CB218" s="97"/>
      <c r="CC218" s="379">
        <f t="shared" si="1560"/>
        <v>0</v>
      </c>
      <c r="CD218" s="379">
        <f t="shared" si="1560"/>
        <v>0</v>
      </c>
      <c r="CE218" s="379">
        <f t="shared" si="1560"/>
        <v>0</v>
      </c>
      <c r="CF218" s="379">
        <f t="shared" si="1560"/>
        <v>0</v>
      </c>
      <c r="CG218" s="379">
        <f t="shared" si="1560"/>
        <v>0</v>
      </c>
      <c r="CH218" s="379">
        <f t="shared" si="1560"/>
        <v>0</v>
      </c>
      <c r="CI218" s="379">
        <f t="shared" si="1560"/>
        <v>0</v>
      </c>
      <c r="CJ218" s="379">
        <f t="shared" si="1560"/>
        <v>0</v>
      </c>
    </row>
    <row r="219" spans="1:88" x14ac:dyDescent="0.3">
      <c r="A219" s="108" t="str">
        <f>'DCS Detail'!A219</f>
        <v>Adjusted EBITDA</v>
      </c>
      <c r="B219" s="97"/>
      <c r="C219" s="377">
        <f>SUM(C214:C218)</f>
        <v>0</v>
      </c>
      <c r="D219" s="377">
        <f t="shared" ref="D219:BO219" si="1561">SUM(D214:D218)</f>
        <v>0</v>
      </c>
      <c r="E219" s="377">
        <f t="shared" si="1561"/>
        <v>115666.87999999999</v>
      </c>
      <c r="F219" s="377">
        <f t="shared" si="1561"/>
        <v>60425.340000000011</v>
      </c>
      <c r="G219" s="377">
        <f t="shared" si="1561"/>
        <v>-9531.409999999998</v>
      </c>
      <c r="H219" s="377">
        <f t="shared" si="1561"/>
        <v>78418.226999999999</v>
      </c>
      <c r="I219" s="377">
        <f t="shared" si="1561"/>
        <v>-55740.934000000001</v>
      </c>
      <c r="J219" s="377">
        <f t="shared" si="1561"/>
        <v>60672.132399999995</v>
      </c>
      <c r="K219" s="377">
        <f t="shared" si="1561"/>
        <v>-47535.000599999999</v>
      </c>
      <c r="L219" s="377">
        <f t="shared" si="1561"/>
        <v>14848.305200000059</v>
      </c>
      <c r="M219" s="377">
        <f t="shared" si="1561"/>
        <v>-560.95000000000232</v>
      </c>
      <c r="N219" s="377">
        <f t="shared" si="1561"/>
        <v>71864.190000000017</v>
      </c>
      <c r="O219" s="377">
        <f t="shared" si="1561"/>
        <v>-55826.829999999994</v>
      </c>
      <c r="P219" s="377">
        <f t="shared" si="1561"/>
        <v>-33115.859999999986</v>
      </c>
      <c r="Q219" s="377">
        <f t="shared" si="1561"/>
        <v>28483.019999999997</v>
      </c>
      <c r="R219" s="377">
        <f t="shared" si="1561"/>
        <v>-203.66000000000031</v>
      </c>
      <c r="S219" s="377">
        <f t="shared" si="1561"/>
        <v>80973.26999999999</v>
      </c>
      <c r="T219" s="377">
        <f t="shared" si="1561"/>
        <v>208.80999999999358</v>
      </c>
      <c r="U219" s="377">
        <f t="shared" si="1561"/>
        <v>3419.4799999999918</v>
      </c>
      <c r="V219" s="377">
        <f t="shared" si="1561"/>
        <v>-800.35999999999012</v>
      </c>
      <c r="W219" s="377">
        <f t="shared" si="1561"/>
        <v>2191.590000000007</v>
      </c>
      <c r="X219" s="377">
        <f t="shared" si="1561"/>
        <v>-8843.6899999999914</v>
      </c>
      <c r="Y219" s="377">
        <f t="shared" si="1561"/>
        <v>3203.9900000000084</v>
      </c>
      <c r="Z219" s="377">
        <f t="shared" si="1561"/>
        <v>57025.820000000014</v>
      </c>
      <c r="AA219" s="377">
        <f t="shared" si="1561"/>
        <v>-1489.2899999999977</v>
      </c>
      <c r="AB219" s="377">
        <f t="shared" si="1561"/>
        <v>-18909.99944907305</v>
      </c>
      <c r="AC219" s="377">
        <f t="shared" si="1561"/>
        <v>40069.72323333333</v>
      </c>
      <c r="AD219" s="377">
        <f t="shared" si="1561"/>
        <v>6217.5501190102332</v>
      </c>
      <c r="AE219" s="377">
        <f t="shared" si="1561"/>
        <v>89378.008582112714</v>
      </c>
      <c r="AF219" s="377">
        <f t="shared" si="1561"/>
        <v>-2149.6644575362047</v>
      </c>
      <c r="AG219" s="377">
        <f t="shared" si="1561"/>
        <v>-3884.2025313456002</v>
      </c>
      <c r="AH219" s="377">
        <f t="shared" si="1561"/>
        <v>5853.7309968006994</v>
      </c>
      <c r="AI219" s="377">
        <f t="shared" si="1561"/>
        <v>270.40249592411737</v>
      </c>
      <c r="AJ219" s="377">
        <f t="shared" si="1561"/>
        <v>24297.70813696655</v>
      </c>
      <c r="AK219" s="377">
        <f t="shared" si="1561"/>
        <v>11719.254639216564</v>
      </c>
      <c r="AL219" s="377">
        <f t="shared" si="1561"/>
        <v>17475.310652841257</v>
      </c>
      <c r="AM219" s="377">
        <f t="shared" si="1561"/>
        <v>21216.918610159624</v>
      </c>
      <c r="AN219" s="377">
        <f t="shared" si="1561"/>
        <v>-35655.935089636747</v>
      </c>
      <c r="AO219" s="377">
        <f t="shared" si="1561"/>
        <v>46031.947720916673</v>
      </c>
      <c r="AP219" s="377">
        <f t="shared" si="1561"/>
        <v>25134.280912242331</v>
      </c>
      <c r="AQ219" s="377">
        <f t="shared" si="1561"/>
        <v>106960.59494953464</v>
      </c>
      <c r="AR219" s="377">
        <f t="shared" si="1561"/>
        <v>13783.617488503685</v>
      </c>
      <c r="AS219" s="377">
        <f t="shared" si="1561"/>
        <v>11903.072084185256</v>
      </c>
      <c r="AT219" s="377">
        <f t="shared" si="1561"/>
        <v>22032.686857042467</v>
      </c>
      <c r="AU219" s="377">
        <f t="shared" si="1561"/>
        <v>15540.787942378065</v>
      </c>
      <c r="AV219" s="377">
        <f t="shared" si="1561"/>
        <v>25654.727315764412</v>
      </c>
      <c r="AW219" s="377">
        <f t="shared" si="1561"/>
        <v>18366.965348154405</v>
      </c>
      <c r="AX219" s="377">
        <f t="shared" si="1561"/>
        <v>19063.626235825312</v>
      </c>
      <c r="AY219" s="377">
        <f t="shared" si="1561"/>
        <v>22962.998302396114</v>
      </c>
      <c r="AZ219" s="377">
        <f t="shared" si="1561"/>
        <v>-21529.23748594389</v>
      </c>
      <c r="BA219" s="377">
        <f t="shared" si="1561"/>
        <v>62572.686494284157</v>
      </c>
      <c r="BB219" s="377">
        <f t="shared" si="1561"/>
        <v>40372.16155778859</v>
      </c>
      <c r="BC219" s="377">
        <f t="shared" si="1561"/>
        <v>121570.23291577179</v>
      </c>
      <c r="BD219" s="377">
        <f t="shared" si="1561"/>
        <v>30021.465803133757</v>
      </c>
      <c r="BE219" s="377">
        <f t="shared" si="1561"/>
        <v>28033.520005780647</v>
      </c>
      <c r="BF219" s="377">
        <f t="shared" si="1561"/>
        <v>38551.632839086968</v>
      </c>
      <c r="BG219" s="377">
        <f t="shared" si="1561"/>
        <v>31834.430192499738</v>
      </c>
      <c r="BH219" s="377">
        <f t="shared" si="1561"/>
        <v>42252.268260225326</v>
      </c>
      <c r="BI219" s="377">
        <f t="shared" si="1561"/>
        <v>34747.853717294674</v>
      </c>
      <c r="BJ219" s="377">
        <f t="shared" si="1561"/>
        <v>35473.180171041058</v>
      </c>
      <c r="BK219" s="377">
        <f t="shared" si="1561"/>
        <v>39441.726246575716</v>
      </c>
      <c r="BL219" s="377">
        <f t="shared" si="1561"/>
        <v>-10053.390345202661</v>
      </c>
      <c r="BM219" s="377">
        <f t="shared" si="1561"/>
        <v>84010.929389979035</v>
      </c>
      <c r="BN219" s="377">
        <f t="shared" si="1561"/>
        <v>45541.286393318725</v>
      </c>
      <c r="BO219" s="377">
        <f t="shared" si="1561"/>
        <v>126121.09934155473</v>
      </c>
      <c r="BP219" s="377">
        <f t="shared" ref="BP219:CJ219" si="1562">SUM(BP214:BP218)</f>
        <v>34945.999015619898</v>
      </c>
      <c r="BQ219" s="377">
        <f t="shared" si="1562"/>
        <v>32825.492858881051</v>
      </c>
      <c r="BR219" s="377">
        <f t="shared" si="1562"/>
        <v>43775.401149550315</v>
      </c>
      <c r="BS219" s="377">
        <f t="shared" si="1562"/>
        <v>36832.217002800542</v>
      </c>
      <c r="BT219" s="377">
        <f t="shared" si="1562"/>
        <v>48189.286401777215</v>
      </c>
      <c r="BU219" s="377">
        <f t="shared" si="1562"/>
        <v>40460.625265200135</v>
      </c>
      <c r="BV219" s="377">
        <f t="shared" si="1562"/>
        <v>41240.70175811636</v>
      </c>
      <c r="BW219" s="377">
        <f t="shared" si="1562"/>
        <v>45255.671816123569</v>
      </c>
      <c r="BX219" s="377">
        <f t="shared" si="1562"/>
        <v>-5673.9595826541663</v>
      </c>
      <c r="BZ219" s="393">
        <f t="shared" si="1562"/>
        <v>-1489.2899999999977</v>
      </c>
      <c r="CA219" s="393">
        <f t="shared" si="1562"/>
        <v>164168.98000000013</v>
      </c>
      <c r="CB219" s="97"/>
      <c r="CC219" s="393">
        <f t="shared" si="1562"/>
        <v>0</v>
      </c>
      <c r="CD219" s="393">
        <f t="shared" si="1562"/>
        <v>0</v>
      </c>
      <c r="CE219" s="393">
        <f t="shared" si="1562"/>
        <v>199584.09000000005</v>
      </c>
      <c r="CF219" s="393">
        <f t="shared" si="1562"/>
        <v>145258.98055092694</v>
      </c>
      <c r="CG219" s="393">
        <f t="shared" si="1562"/>
        <v>174808.80538784654</v>
      </c>
      <c r="CH219" s="393">
        <f t="shared" si="1562"/>
        <v>305906.06767099939</v>
      </c>
      <c r="CI219" s="393">
        <f t="shared" si="1562"/>
        <v>494817.76785827975</v>
      </c>
      <c r="CJ219" s="393">
        <f t="shared" si="1562"/>
        <v>573524.75081026729</v>
      </c>
    </row>
    <row r="220" spans="1:88" x14ac:dyDescent="0.3">
      <c r="A220" s="109"/>
      <c r="B220" s="97"/>
      <c r="C220" s="26">
        <f>C183-C219</f>
        <v>0</v>
      </c>
      <c r="D220" s="26">
        <f t="shared" ref="D220:BO220" si="1563">D183-D219</f>
        <v>0</v>
      </c>
      <c r="E220" s="26">
        <f t="shared" si="1563"/>
        <v>0</v>
      </c>
      <c r="F220" s="26">
        <f t="shared" si="1563"/>
        <v>0</v>
      </c>
      <c r="G220" s="26">
        <f t="shared" si="1563"/>
        <v>1.4551915228366852E-11</v>
      </c>
      <c r="H220" s="26">
        <f t="shared" si="1563"/>
        <v>0</v>
      </c>
      <c r="I220" s="26">
        <f t="shared" si="1563"/>
        <v>0</v>
      </c>
      <c r="J220" s="26">
        <f t="shared" si="1563"/>
        <v>0</v>
      </c>
      <c r="K220" s="26">
        <f t="shared" si="1563"/>
        <v>0</v>
      </c>
      <c r="L220" s="26">
        <f t="shared" si="1563"/>
        <v>-1.4551915228366852E-11</v>
      </c>
      <c r="M220" s="26">
        <f t="shared" si="1563"/>
        <v>0</v>
      </c>
      <c r="N220" s="26">
        <f t="shared" si="1563"/>
        <v>0</v>
      </c>
      <c r="O220" s="26">
        <f t="shared" si="1563"/>
        <v>0</v>
      </c>
      <c r="P220" s="26">
        <f t="shared" si="1563"/>
        <v>0</v>
      </c>
      <c r="Q220" s="26">
        <f t="shared" si="1563"/>
        <v>0</v>
      </c>
      <c r="R220" s="26">
        <f t="shared" si="1563"/>
        <v>1.4551915228366852E-11</v>
      </c>
      <c r="S220" s="26">
        <f t="shared" si="1563"/>
        <v>0</v>
      </c>
      <c r="T220" s="26">
        <f t="shared" si="1563"/>
        <v>-1.4551915228366852E-11</v>
      </c>
      <c r="U220" s="26">
        <f t="shared" si="1563"/>
        <v>-1.4551915228366852E-11</v>
      </c>
      <c r="V220" s="26">
        <f t="shared" si="1563"/>
        <v>1.4551915228366852E-11</v>
      </c>
      <c r="W220" s="26">
        <f t="shared" si="1563"/>
        <v>7.2759576141834259E-12</v>
      </c>
      <c r="X220" s="26">
        <f t="shared" si="1563"/>
        <v>1.4551915228366852E-11</v>
      </c>
      <c r="Y220" s="26">
        <f t="shared" si="1563"/>
        <v>0</v>
      </c>
      <c r="Z220" s="26">
        <f t="shared" si="1563"/>
        <v>-5.8207660913467407E-11</v>
      </c>
      <c r="AA220" s="26">
        <f t="shared" si="1563"/>
        <v>-2.9103830456733704E-11</v>
      </c>
      <c r="AB220" s="26">
        <f t="shared" si="1563"/>
        <v>4.3655745685100555E-11</v>
      </c>
      <c r="AC220" s="26">
        <f t="shared" si="1563"/>
        <v>0</v>
      </c>
      <c r="AD220" s="26">
        <f t="shared" si="1563"/>
        <v>-7.2759576141834259E-12</v>
      </c>
      <c r="AE220" s="26">
        <f t="shared" si="1563"/>
        <v>0</v>
      </c>
      <c r="AF220" s="26">
        <f t="shared" si="1563"/>
        <v>-2.9103830456733704E-11</v>
      </c>
      <c r="AG220" s="26">
        <f t="shared" si="1563"/>
        <v>0</v>
      </c>
      <c r="AH220" s="26">
        <f t="shared" si="1563"/>
        <v>-2.1827872842550278E-11</v>
      </c>
      <c r="AI220" s="26">
        <f t="shared" si="1563"/>
        <v>-2.9103830456733704E-11</v>
      </c>
      <c r="AJ220" s="26">
        <f t="shared" si="1563"/>
        <v>0</v>
      </c>
      <c r="AK220" s="26">
        <f t="shared" si="1563"/>
        <v>-5.8207660913467407E-11</v>
      </c>
      <c r="AL220" s="26">
        <f t="shared" si="1563"/>
        <v>-2.9103830456733704E-11</v>
      </c>
      <c r="AM220" s="26">
        <f t="shared" si="1563"/>
        <v>0</v>
      </c>
      <c r="AN220" s="26">
        <f t="shared" si="1563"/>
        <v>0</v>
      </c>
      <c r="AO220" s="26">
        <f t="shared" si="1563"/>
        <v>0</v>
      </c>
      <c r="AP220" s="26">
        <f t="shared" si="1563"/>
        <v>0</v>
      </c>
      <c r="AQ220" s="26">
        <f t="shared" si="1563"/>
        <v>0</v>
      </c>
      <c r="AR220" s="26">
        <f t="shared" si="1563"/>
        <v>1.4551915228366852E-11</v>
      </c>
      <c r="AS220" s="26">
        <f t="shared" si="1563"/>
        <v>2.9103830456733704E-11</v>
      </c>
      <c r="AT220" s="26">
        <f t="shared" si="1563"/>
        <v>0</v>
      </c>
      <c r="AU220" s="26">
        <f t="shared" si="1563"/>
        <v>1.4551915228366852E-11</v>
      </c>
      <c r="AV220" s="26">
        <f t="shared" si="1563"/>
        <v>0</v>
      </c>
      <c r="AW220" s="26">
        <f t="shared" si="1563"/>
        <v>0</v>
      </c>
      <c r="AX220" s="26">
        <f t="shared" si="1563"/>
        <v>0</v>
      </c>
      <c r="AY220" s="26">
        <f t="shared" si="1563"/>
        <v>0</v>
      </c>
      <c r="AZ220" s="26">
        <f t="shared" si="1563"/>
        <v>0</v>
      </c>
      <c r="BA220" s="26">
        <f t="shared" si="1563"/>
        <v>0</v>
      </c>
      <c r="BB220" s="26">
        <f t="shared" si="1563"/>
        <v>0</v>
      </c>
      <c r="BC220" s="26">
        <f t="shared" si="1563"/>
        <v>0</v>
      </c>
      <c r="BD220" s="26">
        <f t="shared" si="1563"/>
        <v>0</v>
      </c>
      <c r="BE220" s="26">
        <f t="shared" si="1563"/>
        <v>4.3655745685100555E-11</v>
      </c>
      <c r="BF220" s="26">
        <f t="shared" si="1563"/>
        <v>0</v>
      </c>
      <c r="BG220" s="26">
        <f t="shared" si="1563"/>
        <v>2.9103830456733704E-11</v>
      </c>
      <c r="BH220" s="26">
        <f t="shared" si="1563"/>
        <v>5.8207660913467407E-11</v>
      </c>
      <c r="BI220" s="26">
        <f t="shared" si="1563"/>
        <v>0</v>
      </c>
      <c r="BJ220" s="26">
        <f t="shared" si="1563"/>
        <v>0</v>
      </c>
      <c r="BK220" s="26">
        <f t="shared" si="1563"/>
        <v>0</v>
      </c>
      <c r="BL220" s="26">
        <f t="shared" si="1563"/>
        <v>-1.4551915228366852E-11</v>
      </c>
      <c r="BM220" s="26">
        <f t="shared" si="1563"/>
        <v>0</v>
      </c>
      <c r="BN220" s="26">
        <f t="shared" si="1563"/>
        <v>0</v>
      </c>
      <c r="BO220" s="26">
        <f t="shared" si="1563"/>
        <v>0</v>
      </c>
      <c r="BP220" s="26">
        <f t="shared" ref="BP220:BX220" si="1564">BP183-BP219</f>
        <v>0</v>
      </c>
      <c r="BQ220" s="26">
        <f t="shared" si="1564"/>
        <v>0</v>
      </c>
      <c r="BR220" s="26">
        <f t="shared" si="1564"/>
        <v>0</v>
      </c>
      <c r="BS220" s="26">
        <f t="shared" si="1564"/>
        <v>0</v>
      </c>
      <c r="BT220" s="26">
        <f t="shared" si="1564"/>
        <v>0</v>
      </c>
      <c r="BU220" s="26">
        <f t="shared" si="1564"/>
        <v>0</v>
      </c>
      <c r="BV220" s="26">
        <f t="shared" si="1564"/>
        <v>0</v>
      </c>
      <c r="BW220" s="26">
        <f t="shared" si="1564"/>
        <v>0</v>
      </c>
      <c r="BX220" s="26">
        <f t="shared" si="1564"/>
        <v>-2.9103830456733704E-11</v>
      </c>
      <c r="BZ220" s="396">
        <f t="shared" ref="BZ220" si="1565">BZ183-BZ219</f>
        <v>-2.9103830456733704E-11</v>
      </c>
      <c r="CA220" s="396">
        <f t="shared" ref="CA220" si="1566">CA183-CA219</f>
        <v>0</v>
      </c>
      <c r="CB220" s="97"/>
      <c r="CC220" s="396">
        <f t="shared" ref="CC220" si="1567">CC183-CC219</f>
        <v>0</v>
      </c>
      <c r="CD220" s="396">
        <f t="shared" ref="CD220" si="1568">CD183-CD219</f>
        <v>0</v>
      </c>
      <c r="CE220" s="396">
        <f t="shared" ref="CE220" si="1569">CE183-CE219</f>
        <v>0</v>
      </c>
      <c r="CF220" s="396">
        <f t="shared" ref="CF220" si="1570">CF183-CF219</f>
        <v>0</v>
      </c>
      <c r="CG220" s="396">
        <f t="shared" ref="CG220" si="1571">CG183-CG219</f>
        <v>-2.3283064365386963E-10</v>
      </c>
      <c r="CH220" s="396">
        <f t="shared" ref="CH220" si="1572">CH183-CH219</f>
        <v>0</v>
      </c>
      <c r="CI220" s="396">
        <f t="shared" ref="CI220" si="1573">CI183-CI219</f>
        <v>0</v>
      </c>
      <c r="CJ220" s="396">
        <f t="shared" ref="CJ220" si="1574">CJ183-CJ219</f>
        <v>0</v>
      </c>
    </row>
    <row r="221" spans="1:88" x14ac:dyDescent="0.3">
      <c r="A221" s="23" t="s">
        <v>308</v>
      </c>
      <c r="B221" s="95"/>
      <c r="C221" s="95"/>
      <c r="D221" s="95"/>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89"/>
      <c r="AN221" s="89"/>
      <c r="AO221" s="89"/>
      <c r="AP221" s="89"/>
      <c r="AQ221" s="89"/>
      <c r="AR221" s="89"/>
      <c r="AS221" s="89"/>
      <c r="AT221" s="89"/>
      <c r="AU221" s="89"/>
      <c r="AV221" s="89"/>
      <c r="AW221" s="89"/>
      <c r="AX221" s="89"/>
      <c r="AY221" s="89"/>
      <c r="AZ221" s="89"/>
      <c r="BA221" s="89"/>
      <c r="BB221" s="89"/>
      <c r="BC221" s="89"/>
      <c r="BD221" s="89"/>
      <c r="BE221" s="89"/>
      <c r="BF221" s="89"/>
      <c r="BG221" s="89"/>
      <c r="BH221" s="89"/>
      <c r="BI221" s="89"/>
      <c r="BJ221" s="89"/>
      <c r="BK221" s="89"/>
      <c r="BL221" s="89"/>
      <c r="BM221" s="89"/>
      <c r="BN221" s="89"/>
      <c r="BO221" s="89"/>
      <c r="BP221" s="89"/>
      <c r="BQ221" s="89"/>
      <c r="BR221" s="89"/>
      <c r="BS221" s="89"/>
      <c r="BT221" s="89"/>
      <c r="BU221" s="89"/>
      <c r="BV221" s="89"/>
      <c r="BW221" s="89"/>
      <c r="BX221" s="89"/>
      <c r="BY221" s="88"/>
      <c r="BZ221" s="395"/>
      <c r="CA221" s="395"/>
      <c r="CB221" s="97"/>
      <c r="CC221" s="97"/>
      <c r="CD221" s="97"/>
      <c r="CE221" s="97"/>
      <c r="CF221" s="97"/>
      <c r="CG221" s="97"/>
      <c r="CH221" s="97"/>
      <c r="CI221" s="97"/>
      <c r="CJ221" s="97"/>
    </row>
    <row r="222" spans="1:88" x14ac:dyDescent="0.3">
      <c r="A222" s="97" t="str">
        <f>'DCS Detail'!A222</f>
        <v>Building Capacity</v>
      </c>
      <c r="B222" s="97"/>
      <c r="C222" s="97"/>
      <c r="D222" s="97"/>
      <c r="E222" s="98">
        <f>24*7</f>
        <v>168</v>
      </c>
      <c r="F222" s="99">
        <f>E222</f>
        <v>168</v>
      </c>
      <c r="G222" s="99">
        <f t="shared" ref="G222:P222" si="1575">F222</f>
        <v>168</v>
      </c>
      <c r="H222" s="99">
        <f t="shared" si="1575"/>
        <v>168</v>
      </c>
      <c r="I222" s="99">
        <f t="shared" si="1575"/>
        <v>168</v>
      </c>
      <c r="J222" s="99">
        <f t="shared" si="1575"/>
        <v>168</v>
      </c>
      <c r="K222" s="99">
        <f t="shared" si="1575"/>
        <v>168</v>
      </c>
      <c r="L222" s="99">
        <f t="shared" si="1575"/>
        <v>168</v>
      </c>
      <c r="M222" s="99">
        <f t="shared" si="1575"/>
        <v>168</v>
      </c>
      <c r="N222" s="99">
        <f t="shared" si="1575"/>
        <v>168</v>
      </c>
      <c r="O222" s="99">
        <f t="shared" si="1575"/>
        <v>168</v>
      </c>
      <c r="P222" s="99">
        <f t="shared" si="1575"/>
        <v>168</v>
      </c>
      <c r="Q222" s="98">
        <v>196</v>
      </c>
      <c r="R222" s="98">
        <v>196</v>
      </c>
      <c r="S222" s="98">
        <v>196</v>
      </c>
      <c r="T222" s="98">
        <v>196</v>
      </c>
      <c r="U222" s="98">
        <v>196</v>
      </c>
      <c r="V222" s="98">
        <v>196</v>
      </c>
      <c r="W222" s="98">
        <v>196</v>
      </c>
      <c r="X222" s="98">
        <v>196</v>
      </c>
      <c r="Y222" s="98">
        <v>196</v>
      </c>
      <c r="Z222" s="98">
        <v>196</v>
      </c>
      <c r="AA222" s="98">
        <v>196</v>
      </c>
      <c r="AB222" s="98">
        <v>196</v>
      </c>
      <c r="AC222" s="99">
        <f t="shared" ref="AC222:AC224" si="1576">AB222</f>
        <v>196</v>
      </c>
      <c r="AD222" s="99">
        <f t="shared" ref="AD222:AD224" si="1577">AC222</f>
        <v>196</v>
      </c>
      <c r="AE222" s="99">
        <f t="shared" ref="AE222:AE224" si="1578">AD222</f>
        <v>196</v>
      </c>
      <c r="AF222" s="99">
        <f t="shared" ref="AF222:AF224" si="1579">AE222</f>
        <v>196</v>
      </c>
      <c r="AG222" s="99">
        <f t="shared" ref="AG222:AG224" si="1580">AF222</f>
        <v>196</v>
      </c>
      <c r="AH222" s="99">
        <f t="shared" ref="AH222:AH224" si="1581">AG222</f>
        <v>196</v>
      </c>
      <c r="AI222" s="99">
        <f t="shared" ref="AI222:AI224" si="1582">AH222</f>
        <v>196</v>
      </c>
      <c r="AJ222" s="99">
        <f t="shared" ref="AJ222:AJ224" si="1583">AI222</f>
        <v>196</v>
      </c>
      <c r="AK222" s="99">
        <f t="shared" ref="AK222:AK224" si="1584">AJ222</f>
        <v>196</v>
      </c>
      <c r="AL222" s="99">
        <f t="shared" ref="AL222:AL224" si="1585">AK222</f>
        <v>196</v>
      </c>
      <c r="AM222" s="99">
        <f t="shared" ref="AM222:AM224" si="1586">AL222</f>
        <v>196</v>
      </c>
      <c r="AN222" s="99">
        <f t="shared" ref="AN222:AN224" si="1587">AM222</f>
        <v>196</v>
      </c>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Z222" s="379">
        <f t="shared" ref="BZ222:CA229" si="1588">SUMIF($B$252:$BY$252,1,$B222:$BY222)</f>
        <v>196</v>
      </c>
      <c r="CA222" s="379">
        <f t="shared" si="1588"/>
        <v>196</v>
      </c>
      <c r="CB222" s="97"/>
      <c r="CC222" s="97"/>
      <c r="CD222" s="97"/>
      <c r="CE222" s="97"/>
      <c r="CF222" s="97"/>
      <c r="CG222" s="97"/>
      <c r="CH222" s="97"/>
      <c r="CI222" s="97"/>
      <c r="CJ222" s="97"/>
    </row>
    <row r="223" spans="1:88" x14ac:dyDescent="0.3">
      <c r="A223" s="97" t="str">
        <f>'DCS Detail'!A223</f>
        <v>Enrollees</v>
      </c>
      <c r="B223" s="97"/>
      <c r="C223" s="97"/>
      <c r="D223" s="97"/>
      <c r="E223" s="98">
        <v>110</v>
      </c>
      <c r="F223" s="99">
        <f t="shared" ref="F223:P224" si="1589">E223</f>
        <v>110</v>
      </c>
      <c r="G223" s="99">
        <f t="shared" si="1589"/>
        <v>110</v>
      </c>
      <c r="H223" s="99">
        <f t="shared" si="1589"/>
        <v>110</v>
      </c>
      <c r="I223" s="99">
        <f t="shared" si="1589"/>
        <v>110</v>
      </c>
      <c r="J223" s="99">
        <f t="shared" si="1589"/>
        <v>110</v>
      </c>
      <c r="K223" s="99">
        <f t="shared" si="1589"/>
        <v>110</v>
      </c>
      <c r="L223" s="99">
        <f t="shared" si="1589"/>
        <v>110</v>
      </c>
      <c r="M223" s="99">
        <f t="shared" si="1589"/>
        <v>110</v>
      </c>
      <c r="N223" s="99">
        <f t="shared" si="1589"/>
        <v>110</v>
      </c>
      <c r="O223" s="99">
        <f t="shared" si="1589"/>
        <v>110</v>
      </c>
      <c r="P223" s="99">
        <f t="shared" si="1589"/>
        <v>110</v>
      </c>
      <c r="Q223" s="98">
        <v>110</v>
      </c>
      <c r="R223" s="98">
        <v>116</v>
      </c>
      <c r="S223" s="98">
        <v>116</v>
      </c>
      <c r="T223" s="98">
        <v>116</v>
      </c>
      <c r="U223" s="98">
        <v>116</v>
      </c>
      <c r="V223" s="98">
        <v>116</v>
      </c>
      <c r="W223" s="98">
        <v>116</v>
      </c>
      <c r="X223" s="98">
        <v>116</v>
      </c>
      <c r="Y223" s="98">
        <v>116</v>
      </c>
      <c r="Z223" s="98">
        <v>116</v>
      </c>
      <c r="AA223" s="98">
        <v>116</v>
      </c>
      <c r="AB223" s="98">
        <v>116</v>
      </c>
      <c r="AC223" s="99">
        <f t="shared" si="1576"/>
        <v>116</v>
      </c>
      <c r="AD223" s="99">
        <f t="shared" si="1577"/>
        <v>116</v>
      </c>
      <c r="AE223" s="99">
        <f t="shared" si="1578"/>
        <v>116</v>
      </c>
      <c r="AF223" s="99">
        <f t="shared" si="1579"/>
        <v>116</v>
      </c>
      <c r="AG223" s="99">
        <f t="shared" si="1580"/>
        <v>116</v>
      </c>
      <c r="AH223" s="99">
        <f t="shared" si="1581"/>
        <v>116</v>
      </c>
      <c r="AI223" s="99">
        <f t="shared" si="1582"/>
        <v>116</v>
      </c>
      <c r="AJ223" s="99">
        <f t="shared" si="1583"/>
        <v>116</v>
      </c>
      <c r="AK223" s="99">
        <f t="shared" si="1584"/>
        <v>116</v>
      </c>
      <c r="AL223" s="99">
        <f t="shared" si="1585"/>
        <v>116</v>
      </c>
      <c r="AM223" s="99">
        <f t="shared" si="1586"/>
        <v>116</v>
      </c>
      <c r="AN223" s="99">
        <f t="shared" si="1587"/>
        <v>116</v>
      </c>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Z223" s="379">
        <f t="shared" si="1588"/>
        <v>116</v>
      </c>
      <c r="CA223" s="379">
        <f t="shared" si="1588"/>
        <v>116</v>
      </c>
      <c r="CB223" s="97"/>
      <c r="CC223" s="97"/>
      <c r="CD223" s="97"/>
      <c r="CE223" s="97"/>
      <c r="CF223" s="97"/>
      <c r="CG223" s="97"/>
      <c r="CH223" s="97"/>
      <c r="CI223" s="97"/>
      <c r="CJ223" s="97"/>
    </row>
    <row r="224" spans="1:88" x14ac:dyDescent="0.3">
      <c r="A224" s="97" t="str">
        <f>'DCS Detail'!A224</f>
        <v>Staff</v>
      </c>
      <c r="B224" s="106"/>
      <c r="C224" s="106"/>
      <c r="D224" s="106"/>
      <c r="E224" s="96">
        <v>10</v>
      </c>
      <c r="F224" s="99">
        <f t="shared" si="1589"/>
        <v>10</v>
      </c>
      <c r="G224" s="99">
        <f t="shared" si="1589"/>
        <v>10</v>
      </c>
      <c r="H224" s="99">
        <f t="shared" si="1589"/>
        <v>10</v>
      </c>
      <c r="I224" s="99">
        <f t="shared" si="1589"/>
        <v>10</v>
      </c>
      <c r="J224" s="99">
        <f t="shared" si="1589"/>
        <v>10</v>
      </c>
      <c r="K224" s="99">
        <f t="shared" si="1589"/>
        <v>10</v>
      </c>
      <c r="L224" s="99">
        <f t="shared" si="1589"/>
        <v>10</v>
      </c>
      <c r="M224" s="99">
        <f t="shared" si="1589"/>
        <v>10</v>
      </c>
      <c r="N224" s="99">
        <f t="shared" si="1589"/>
        <v>10</v>
      </c>
      <c r="O224" s="99">
        <f t="shared" si="1589"/>
        <v>10</v>
      </c>
      <c r="P224" s="99">
        <f t="shared" si="1589"/>
        <v>10</v>
      </c>
      <c r="Q224" s="98">
        <v>10</v>
      </c>
      <c r="R224" s="98">
        <v>30</v>
      </c>
      <c r="S224" s="98">
        <v>30</v>
      </c>
      <c r="T224" s="98">
        <v>30</v>
      </c>
      <c r="U224" s="98">
        <v>30</v>
      </c>
      <c r="V224" s="98">
        <v>30</v>
      </c>
      <c r="W224" s="98">
        <v>30</v>
      </c>
      <c r="X224" s="98">
        <v>30</v>
      </c>
      <c r="Y224" s="98">
        <v>30</v>
      </c>
      <c r="Z224" s="98">
        <v>30</v>
      </c>
      <c r="AA224" s="98">
        <v>30</v>
      </c>
      <c r="AB224" s="98">
        <v>30</v>
      </c>
      <c r="AC224" s="99">
        <f t="shared" si="1576"/>
        <v>30</v>
      </c>
      <c r="AD224" s="99">
        <f t="shared" si="1577"/>
        <v>30</v>
      </c>
      <c r="AE224" s="99">
        <f t="shared" si="1578"/>
        <v>30</v>
      </c>
      <c r="AF224" s="99">
        <f t="shared" si="1579"/>
        <v>30</v>
      </c>
      <c r="AG224" s="99">
        <f t="shared" si="1580"/>
        <v>30</v>
      </c>
      <c r="AH224" s="99">
        <f t="shared" si="1581"/>
        <v>30</v>
      </c>
      <c r="AI224" s="99">
        <f t="shared" si="1582"/>
        <v>30</v>
      </c>
      <c r="AJ224" s="99">
        <f t="shared" si="1583"/>
        <v>30</v>
      </c>
      <c r="AK224" s="99">
        <f t="shared" si="1584"/>
        <v>30</v>
      </c>
      <c r="AL224" s="99">
        <f t="shared" si="1585"/>
        <v>30</v>
      </c>
      <c r="AM224" s="99">
        <f t="shared" si="1586"/>
        <v>30</v>
      </c>
      <c r="AN224" s="99">
        <f t="shared" si="1587"/>
        <v>30</v>
      </c>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Z224" s="379">
        <f t="shared" si="1588"/>
        <v>30</v>
      </c>
      <c r="CA224" s="379">
        <f>AVERAGEIF($B$253:$BY$253,1,$B224:$BY224)</f>
        <v>28.181818181818183</v>
      </c>
      <c r="CB224" s="97"/>
      <c r="CC224" s="97"/>
      <c r="CD224" s="97"/>
      <c r="CE224" s="97"/>
      <c r="CF224" s="97"/>
      <c r="CG224" s="97"/>
      <c r="CH224" s="97"/>
      <c r="CI224" s="97"/>
      <c r="CJ224" s="97"/>
    </row>
    <row r="225" spans="1:88" x14ac:dyDescent="0.3">
      <c r="A225" s="97" t="str">
        <f>'DCS Detail'!A225</f>
        <v>DAP</v>
      </c>
      <c r="B225" s="97"/>
      <c r="C225" s="97"/>
      <c r="D225" s="97"/>
      <c r="E225" s="37">
        <v>0</v>
      </c>
      <c r="F225" s="37">
        <v>0</v>
      </c>
      <c r="G225" s="37">
        <v>0</v>
      </c>
      <c r="H225" s="37">
        <v>0</v>
      </c>
      <c r="I225" s="37">
        <v>0</v>
      </c>
      <c r="J225" s="37">
        <v>0</v>
      </c>
      <c r="K225" s="37">
        <v>0</v>
      </c>
      <c r="L225" s="37">
        <v>0</v>
      </c>
      <c r="M225" s="37">
        <v>0</v>
      </c>
      <c r="N225" s="37">
        <v>0</v>
      </c>
      <c r="O225" s="37">
        <v>0</v>
      </c>
      <c r="P225" s="37">
        <v>0</v>
      </c>
      <c r="Q225" s="37">
        <v>0</v>
      </c>
      <c r="R225" s="37">
        <v>0</v>
      </c>
      <c r="S225" s="37">
        <v>832</v>
      </c>
      <c r="T225" s="37">
        <v>2797.2799999999997</v>
      </c>
      <c r="U225" s="37">
        <v>295</v>
      </c>
      <c r="V225" s="37">
        <v>528.76</v>
      </c>
      <c r="W225" s="37">
        <v>527</v>
      </c>
      <c r="X225" s="37">
        <v>628</v>
      </c>
      <c r="Y225" s="37">
        <v>601.34</v>
      </c>
      <c r="Z225" s="37">
        <v>601.34</v>
      </c>
      <c r="AA225" s="37">
        <v>601.34</v>
      </c>
      <c r="AB225" s="37">
        <v>0</v>
      </c>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Z225" s="379">
        <f t="shared" si="1588"/>
        <v>601.34</v>
      </c>
      <c r="CA225" s="379">
        <f>SUMIF($B$253:$BY$253,1,$B225:$BY225)</f>
        <v>7412.06</v>
      </c>
      <c r="CB225" s="97"/>
      <c r="CC225" s="97"/>
      <c r="CD225" s="97"/>
      <c r="CE225" s="97"/>
      <c r="CF225" s="97"/>
      <c r="CG225" s="97"/>
      <c r="CH225" s="97"/>
      <c r="CI225" s="97"/>
      <c r="CJ225" s="97"/>
    </row>
    <row r="226" spans="1:88" x14ac:dyDescent="0.3">
      <c r="A226" s="97" t="str">
        <f>'DCS Detail'!A226</f>
        <v>DSA</v>
      </c>
      <c r="B226" s="97"/>
      <c r="C226" s="97"/>
      <c r="D226" s="97"/>
      <c r="E226" s="37">
        <v>60000</v>
      </c>
      <c r="F226" s="37">
        <v>60000</v>
      </c>
      <c r="G226" s="37">
        <v>60000</v>
      </c>
      <c r="H226" s="37">
        <v>60000</v>
      </c>
      <c r="I226" s="37">
        <v>60000</v>
      </c>
      <c r="J226" s="37">
        <v>60000</v>
      </c>
      <c r="K226" s="37">
        <v>60000</v>
      </c>
      <c r="L226" s="37">
        <v>60000</v>
      </c>
      <c r="M226" s="37">
        <v>60000</v>
      </c>
      <c r="N226" s="37">
        <v>60000</v>
      </c>
      <c r="O226" s="37">
        <v>60000</v>
      </c>
      <c r="P226" s="37">
        <v>60000</v>
      </c>
      <c r="Q226" s="37">
        <v>69920</v>
      </c>
      <c r="R226" s="37">
        <v>70528</v>
      </c>
      <c r="S226" s="37">
        <v>70528</v>
      </c>
      <c r="T226" s="37">
        <v>70528</v>
      </c>
      <c r="U226" s="37">
        <v>70528</v>
      </c>
      <c r="V226" s="37">
        <v>70528</v>
      </c>
      <c r="W226" s="37">
        <v>70528</v>
      </c>
      <c r="X226" s="37">
        <v>70528</v>
      </c>
      <c r="Y226" s="37">
        <v>70528</v>
      </c>
      <c r="Z226" s="37">
        <v>70528</v>
      </c>
      <c r="AA226" s="37">
        <v>70528</v>
      </c>
      <c r="AB226" s="37">
        <v>70528</v>
      </c>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Z226" s="379">
        <f t="shared" si="1588"/>
        <v>70528</v>
      </c>
      <c r="CA226" s="379">
        <f>SUMIF($B$253:$BY$253,1,$B226:$BY226)</f>
        <v>775200</v>
      </c>
      <c r="CB226" s="97"/>
      <c r="CC226" s="97"/>
      <c r="CD226" s="97"/>
      <c r="CE226" s="97"/>
      <c r="CF226" s="97"/>
      <c r="CG226" s="97"/>
      <c r="CH226" s="97"/>
      <c r="CI226" s="97"/>
      <c r="CJ226" s="97"/>
    </row>
    <row r="227" spans="1:88" x14ac:dyDescent="0.3">
      <c r="A227" s="97" t="str">
        <f>'DCS Detail'!A227</f>
        <v>Special Educ.</v>
      </c>
      <c r="B227" s="97"/>
      <c r="C227" s="97"/>
      <c r="D227" s="97"/>
      <c r="E227" s="37">
        <v>724.84666666666669</v>
      </c>
      <c r="F227" s="37">
        <v>724.84666666666669</v>
      </c>
      <c r="G227" s="37">
        <v>724.84666666666669</v>
      </c>
      <c r="H227" s="37">
        <v>724.84666666666669</v>
      </c>
      <c r="I227" s="37">
        <v>724.84666666666669</v>
      </c>
      <c r="J227" s="37">
        <v>724.84666666666669</v>
      </c>
      <c r="K227" s="37">
        <v>724.84666666666669</v>
      </c>
      <c r="L227" s="37">
        <v>724.84666666666669</v>
      </c>
      <c r="M227" s="37">
        <v>724.84666666666669</v>
      </c>
      <c r="N227" s="37">
        <v>724.84666666666669</v>
      </c>
      <c r="O227" s="37">
        <v>724.84666666666669</v>
      </c>
      <c r="P227" s="37">
        <v>724.84666666666669</v>
      </c>
      <c r="Q227" s="37">
        <v>0</v>
      </c>
      <c r="R227" s="37">
        <v>0</v>
      </c>
      <c r="S227" s="37">
        <v>4146.1243999999997</v>
      </c>
      <c r="T227" s="37">
        <v>0</v>
      </c>
      <c r="U227" s="37">
        <v>4263.0918000000001</v>
      </c>
      <c r="V227" s="37">
        <v>0</v>
      </c>
      <c r="W227" s="37">
        <v>0</v>
      </c>
      <c r="X227" s="37">
        <v>4263.0838000000003</v>
      </c>
      <c r="Y227" s="37">
        <v>0</v>
      </c>
      <c r="Z227" s="37">
        <v>0</v>
      </c>
      <c r="AA227" s="37">
        <v>4263.0838000000003</v>
      </c>
      <c r="AB227" s="37">
        <v>0</v>
      </c>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Z227" s="379">
        <f t="shared" si="1588"/>
        <v>4263.0838000000003</v>
      </c>
      <c r="CA227" s="379">
        <f>SUMIF($B$253:$BY$253,1,$B227:$BY227)</f>
        <v>16935.3838</v>
      </c>
      <c r="CB227" s="97"/>
      <c r="CC227" s="97"/>
      <c r="CD227" s="97"/>
      <c r="CE227" s="97"/>
      <c r="CF227" s="97"/>
      <c r="CG227" s="97"/>
      <c r="CH227" s="97"/>
      <c r="CI227" s="97"/>
      <c r="CJ227" s="97"/>
    </row>
    <row r="228" spans="1:88" x14ac:dyDescent="0.3">
      <c r="A228" s="97" t="str">
        <f>'DCS Detail'!A228</f>
        <v>Grants</v>
      </c>
      <c r="B228" s="97"/>
      <c r="C228" s="97"/>
      <c r="D228" s="97"/>
      <c r="E228" s="37">
        <v>0</v>
      </c>
      <c r="F228" s="37">
        <v>0</v>
      </c>
      <c r="G228" s="37">
        <v>0</v>
      </c>
      <c r="H228" s="37">
        <v>0</v>
      </c>
      <c r="I228" s="37">
        <v>0</v>
      </c>
      <c r="J228" s="37">
        <v>0</v>
      </c>
      <c r="K228" s="37">
        <v>0</v>
      </c>
      <c r="L228" s="37">
        <v>0</v>
      </c>
      <c r="M228" s="37">
        <v>0</v>
      </c>
      <c r="N228" s="37">
        <v>0</v>
      </c>
      <c r="O228" s="37">
        <v>0</v>
      </c>
      <c r="P228" s="37">
        <v>0</v>
      </c>
      <c r="Q228" s="37">
        <v>0</v>
      </c>
      <c r="R228" s="37">
        <v>110000</v>
      </c>
      <c r="S228" s="37">
        <v>0</v>
      </c>
      <c r="T228" s="37">
        <v>3199.95</v>
      </c>
      <c r="U228" s="37">
        <v>0</v>
      </c>
      <c r="V228" s="37">
        <v>15.5</v>
      </c>
      <c r="W228" s="37">
        <v>0</v>
      </c>
      <c r="X228" s="37">
        <v>4105.2090909090939</v>
      </c>
      <c r="Y228" s="37">
        <v>0</v>
      </c>
      <c r="Z228" s="37">
        <v>0</v>
      </c>
      <c r="AA228" s="37">
        <v>2421.1900000000005</v>
      </c>
      <c r="AB228" s="37">
        <v>0</v>
      </c>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Z228" s="379">
        <f t="shared" si="1588"/>
        <v>2421.1900000000005</v>
      </c>
      <c r="CA228" s="379">
        <f>SUMIF($B$253:$BY$253,1,$B228:$BY228)</f>
        <v>119741.84909090909</v>
      </c>
      <c r="CB228" s="97"/>
      <c r="CC228" s="97"/>
      <c r="CD228" s="97"/>
      <c r="CE228" s="97"/>
      <c r="CF228" s="97"/>
      <c r="CG228" s="97"/>
      <c r="CH228" s="97"/>
      <c r="CI228" s="97"/>
      <c r="CJ228" s="97"/>
    </row>
    <row r="229" spans="1:88" x14ac:dyDescent="0.3">
      <c r="A229" s="97" t="str">
        <f>'DCS Detail'!A229</f>
        <v>Other</v>
      </c>
      <c r="B229" s="97"/>
      <c r="C229" s="97"/>
      <c r="D229" s="97"/>
      <c r="E229" s="37">
        <v>0</v>
      </c>
      <c r="F229" s="37">
        <v>0</v>
      </c>
      <c r="G229" s="37">
        <v>0</v>
      </c>
      <c r="H229" s="37">
        <v>0</v>
      </c>
      <c r="I229" s="37">
        <v>0</v>
      </c>
      <c r="J229" s="37">
        <v>0</v>
      </c>
      <c r="K229" s="37">
        <v>0</v>
      </c>
      <c r="L229" s="37">
        <v>0</v>
      </c>
      <c r="M229" s="37">
        <v>0</v>
      </c>
      <c r="N229" s="37">
        <v>0</v>
      </c>
      <c r="O229" s="37">
        <v>0</v>
      </c>
      <c r="P229" s="37">
        <v>0</v>
      </c>
      <c r="Q229" s="37">
        <v>11</v>
      </c>
      <c r="R229" s="37">
        <v>678.16</v>
      </c>
      <c r="S229" s="37">
        <v>116.43</v>
      </c>
      <c r="T229" s="37">
        <v>50.92</v>
      </c>
      <c r="U229" s="37">
        <v>5.3</v>
      </c>
      <c r="V229" s="37">
        <v>5.22</v>
      </c>
      <c r="W229" s="37">
        <v>157.49540000000002</v>
      </c>
      <c r="X229" s="37">
        <v>6.5046000000000035</v>
      </c>
      <c r="Y229" s="37">
        <v>3.6112500000000001</v>
      </c>
      <c r="Z229" s="37">
        <v>3.6112500000000001</v>
      </c>
      <c r="AA229" s="37">
        <v>3.6112500000000001</v>
      </c>
      <c r="AB229" s="37">
        <v>3.6112500000000001</v>
      </c>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Z229" s="379">
        <f t="shared" si="1588"/>
        <v>3.6112500000000001</v>
      </c>
      <c r="CA229" s="379">
        <f>SUMIF($B$253:$BY$253,1,$B229:$BY229)</f>
        <v>1041.8637499999998</v>
      </c>
      <c r="CB229" s="97"/>
      <c r="CC229" s="97"/>
      <c r="CD229" s="97"/>
      <c r="CE229" s="97"/>
      <c r="CF229" s="97"/>
      <c r="CG229" s="97"/>
      <c r="CH229" s="97"/>
      <c r="CI229" s="97"/>
      <c r="CJ229" s="97"/>
    </row>
    <row r="230" spans="1:88" ht="3" customHeight="1" x14ac:dyDescent="0.3">
      <c r="A230" s="97"/>
      <c r="B230" s="97"/>
      <c r="C230" s="97"/>
      <c r="D230" s="97"/>
      <c r="E230" s="7"/>
      <c r="F230" s="7"/>
      <c r="G230" s="7"/>
      <c r="H230" s="7"/>
      <c r="I230" s="7"/>
      <c r="J230" s="7"/>
      <c r="K230" s="7"/>
      <c r="L230" s="7"/>
      <c r="M230" s="7"/>
      <c r="N230" s="7"/>
      <c r="O230" s="7"/>
      <c r="P230" s="7"/>
      <c r="Q230" s="125"/>
      <c r="R230" s="125"/>
      <c r="S230" s="125"/>
      <c r="T230" s="125"/>
      <c r="U230" s="125"/>
      <c r="V230" s="125"/>
      <c r="W230" s="125"/>
      <c r="X230" s="125"/>
      <c r="Y230" s="125"/>
      <c r="Z230" s="125"/>
      <c r="AA230" s="125"/>
      <c r="AB230" s="125"/>
      <c r="AC230" s="7"/>
      <c r="AD230" s="7"/>
      <c r="AE230" s="7"/>
      <c r="AF230" s="7"/>
      <c r="AG230" s="7"/>
      <c r="AH230" s="7"/>
      <c r="AI230" s="7"/>
      <c r="AJ230" s="7"/>
      <c r="AK230" s="7"/>
      <c r="AL230" s="7"/>
      <c r="AM230" s="7"/>
      <c r="AN230" s="7"/>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Z230" s="391"/>
      <c r="CA230" s="391"/>
      <c r="CB230" s="97"/>
      <c r="CC230" s="97"/>
      <c r="CD230" s="97"/>
      <c r="CE230" s="97"/>
      <c r="CF230" s="97"/>
      <c r="CG230" s="97"/>
      <c r="CH230" s="97"/>
      <c r="CI230" s="97"/>
      <c r="CJ230" s="97"/>
    </row>
    <row r="231" spans="1:88" x14ac:dyDescent="0.3">
      <c r="A231" s="108" t="s">
        <v>16</v>
      </c>
      <c r="B231" s="97"/>
      <c r="C231" s="97"/>
      <c r="D231" s="97"/>
      <c r="E231" s="8">
        <f>SUM(E225:E230)</f>
        <v>60724.846666666665</v>
      </c>
      <c r="F231" s="8">
        <f t="shared" ref="F231" si="1590">SUM(F225:F230)</f>
        <v>60724.846666666665</v>
      </c>
      <c r="G231" s="8">
        <f t="shared" ref="G231" si="1591">SUM(G225:G230)</f>
        <v>60724.846666666665</v>
      </c>
      <c r="H231" s="8">
        <f t="shared" ref="H231" si="1592">SUM(H225:H230)</f>
        <v>60724.846666666665</v>
      </c>
      <c r="I231" s="8">
        <f t="shared" ref="I231" si="1593">SUM(I225:I230)</f>
        <v>60724.846666666665</v>
      </c>
      <c r="J231" s="8">
        <f t="shared" ref="J231" si="1594">SUM(J225:J230)</f>
        <v>60724.846666666665</v>
      </c>
      <c r="K231" s="8">
        <f t="shared" ref="K231" si="1595">SUM(K225:K230)</f>
        <v>60724.846666666665</v>
      </c>
      <c r="L231" s="8">
        <f t="shared" ref="L231" si="1596">SUM(L225:L230)</f>
        <v>60724.846666666665</v>
      </c>
      <c r="M231" s="8">
        <f t="shared" ref="M231" si="1597">SUM(M225:M230)</f>
        <v>60724.846666666665</v>
      </c>
      <c r="N231" s="8">
        <f t="shared" ref="N231" si="1598">SUM(N225:N230)</f>
        <v>60724.846666666665</v>
      </c>
      <c r="O231" s="8">
        <f t="shared" ref="O231" si="1599">SUM(O225:O230)</f>
        <v>60724.846666666665</v>
      </c>
      <c r="P231" s="8">
        <f t="shared" ref="P231:CA231" si="1600">SUM(P225:P230)</f>
        <v>60724.846666666665</v>
      </c>
      <c r="Q231" s="8">
        <f t="shared" ref="Q231:AB231" si="1601">SUM(Q225:Q230)</f>
        <v>69931</v>
      </c>
      <c r="R231" s="8">
        <f t="shared" si="1601"/>
        <v>181206.16</v>
      </c>
      <c r="S231" s="8">
        <f t="shared" si="1601"/>
        <v>75622.554399999994</v>
      </c>
      <c r="T231" s="8">
        <f t="shared" si="1601"/>
        <v>76576.149999999994</v>
      </c>
      <c r="U231" s="8">
        <f t="shared" si="1601"/>
        <v>75091.391799999998</v>
      </c>
      <c r="V231" s="8">
        <f t="shared" si="1601"/>
        <v>71077.48</v>
      </c>
      <c r="W231" s="8">
        <f t="shared" si="1601"/>
        <v>71212.4954</v>
      </c>
      <c r="X231" s="8">
        <f t="shared" si="1601"/>
        <v>79530.797490909084</v>
      </c>
      <c r="Y231" s="8">
        <f t="shared" si="1601"/>
        <v>71132.951249999998</v>
      </c>
      <c r="Z231" s="8">
        <f t="shared" si="1601"/>
        <v>71132.951249999998</v>
      </c>
      <c r="AA231" s="8">
        <f t="shared" si="1601"/>
        <v>77817.225049999994</v>
      </c>
      <c r="AB231" s="8">
        <f t="shared" si="1601"/>
        <v>70531.611250000002</v>
      </c>
      <c r="AC231" s="8">
        <f t="shared" ref="AC231:AN231" si="1602">SUM(AC225:AC230)</f>
        <v>0</v>
      </c>
      <c r="AD231" s="8">
        <f t="shared" si="1602"/>
        <v>0</v>
      </c>
      <c r="AE231" s="8">
        <f t="shared" si="1602"/>
        <v>0</v>
      </c>
      <c r="AF231" s="8">
        <f t="shared" si="1602"/>
        <v>0</v>
      </c>
      <c r="AG231" s="8">
        <f t="shared" si="1602"/>
        <v>0</v>
      </c>
      <c r="AH231" s="8">
        <f t="shared" si="1602"/>
        <v>0</v>
      </c>
      <c r="AI231" s="8">
        <f t="shared" si="1602"/>
        <v>0</v>
      </c>
      <c r="AJ231" s="8">
        <f t="shared" si="1602"/>
        <v>0</v>
      </c>
      <c r="AK231" s="8">
        <f t="shared" si="1602"/>
        <v>0</v>
      </c>
      <c r="AL231" s="8">
        <f t="shared" si="1602"/>
        <v>0</v>
      </c>
      <c r="AM231" s="8">
        <f t="shared" si="1602"/>
        <v>0</v>
      </c>
      <c r="AN231" s="8">
        <f t="shared" si="1602"/>
        <v>0</v>
      </c>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Z231" s="379">
        <f t="shared" si="1600"/>
        <v>77817.225049999994</v>
      </c>
      <c r="CA231" s="379">
        <f t="shared" si="1600"/>
        <v>920331.15664090915</v>
      </c>
      <c r="CB231" s="97"/>
      <c r="CC231" s="97"/>
      <c r="CD231" s="97"/>
      <c r="CE231" s="97"/>
      <c r="CF231" s="97"/>
      <c r="CG231" s="97"/>
      <c r="CH231" s="97"/>
      <c r="CI231" s="97"/>
      <c r="CJ231" s="97"/>
    </row>
    <row r="232" spans="1:88" x14ac:dyDescent="0.3">
      <c r="A232" s="97" t="str">
        <f>'DCS Detail'!A232</f>
        <v>Salaries</v>
      </c>
      <c r="B232" s="97"/>
      <c r="C232" s="97"/>
      <c r="D232" s="97"/>
      <c r="E232" s="37">
        <v>22145.279999999999</v>
      </c>
      <c r="F232" s="37">
        <v>22145.279999999999</v>
      </c>
      <c r="G232" s="37">
        <v>22145.279999999999</v>
      </c>
      <c r="H232" s="37">
        <v>22145.279999999999</v>
      </c>
      <c r="I232" s="37">
        <v>22145.279999999999</v>
      </c>
      <c r="J232" s="37">
        <v>22145.279999999999</v>
      </c>
      <c r="K232" s="37">
        <v>22145.279999999999</v>
      </c>
      <c r="L232" s="37">
        <v>22145.279999999999</v>
      </c>
      <c r="M232" s="37">
        <v>22145.279999999999</v>
      </c>
      <c r="N232" s="37">
        <v>22145.279999999999</v>
      </c>
      <c r="O232" s="37">
        <v>22145.279999999999</v>
      </c>
      <c r="P232" s="37">
        <v>22145.279999999999</v>
      </c>
      <c r="Q232" s="37">
        <v>0</v>
      </c>
      <c r="R232" s="37">
        <v>42583.929166666669</v>
      </c>
      <c r="S232" s="37">
        <v>42583.929166666669</v>
      </c>
      <c r="T232" s="37">
        <v>42583.929166666669</v>
      </c>
      <c r="U232" s="37">
        <v>42583.929166666669</v>
      </c>
      <c r="V232" s="37">
        <v>43397.929166666669</v>
      </c>
      <c r="W232" s="37">
        <v>42583.929166666669</v>
      </c>
      <c r="X232" s="37">
        <v>42583.929166666669</v>
      </c>
      <c r="Y232" s="37">
        <v>42583.929166666669</v>
      </c>
      <c r="Z232" s="37">
        <v>42583.929166666669</v>
      </c>
      <c r="AA232" s="37">
        <v>42583.929166666669</v>
      </c>
      <c r="AB232" s="37">
        <v>84727.858333333337</v>
      </c>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Z232" s="379">
        <f t="shared" ref="BZ232:BZ246" si="1603">SUMIF($B$252:$BY$252,1,$B232:$BY232)</f>
        <v>42583.929166666669</v>
      </c>
      <c r="CA232" s="379">
        <f t="shared" ref="CA232:CA246" si="1604">SUMIF($B$253:$BY$253,1,$B232:$BY232)</f>
        <v>426653.29166666674</v>
      </c>
      <c r="CB232" s="97"/>
      <c r="CC232" s="97"/>
      <c r="CD232" s="97"/>
      <c r="CE232" s="97"/>
      <c r="CF232" s="97"/>
      <c r="CG232" s="97"/>
      <c r="CH232" s="97"/>
      <c r="CI232" s="97"/>
      <c r="CJ232" s="97"/>
    </row>
    <row r="233" spans="1:88" x14ac:dyDescent="0.3">
      <c r="A233" s="97" t="str">
        <f>'DCS Detail'!A233</f>
        <v>Benefits</v>
      </c>
      <c r="B233" s="97"/>
      <c r="C233" s="97"/>
      <c r="D233" s="97"/>
      <c r="E233" s="37">
        <v>4686.3499999999995</v>
      </c>
      <c r="F233" s="37">
        <v>4686.3499999999995</v>
      </c>
      <c r="G233" s="37">
        <v>4686.3499999999995</v>
      </c>
      <c r="H233" s="37">
        <v>4686.3499999999995</v>
      </c>
      <c r="I233" s="37">
        <v>4686.3499999999995</v>
      </c>
      <c r="J233" s="37">
        <v>4686.3499999999995</v>
      </c>
      <c r="K233" s="37">
        <v>4686.3499999999995</v>
      </c>
      <c r="L233" s="37">
        <v>4686.3499999999995</v>
      </c>
      <c r="M233" s="37">
        <v>4686.3499999999995</v>
      </c>
      <c r="N233" s="37">
        <v>4686.3499999999995</v>
      </c>
      <c r="O233" s="37">
        <v>4686.3499999999995</v>
      </c>
      <c r="P233" s="37">
        <v>4686.3499999999995</v>
      </c>
      <c r="Q233" s="37">
        <v>395.56120000000004</v>
      </c>
      <c r="R233" s="37">
        <v>9431.468466666669</v>
      </c>
      <c r="S233" s="37">
        <v>9731.0294666666687</v>
      </c>
      <c r="T233" s="37">
        <v>9283.5902666666698</v>
      </c>
      <c r="U233" s="37">
        <v>9261.840266666668</v>
      </c>
      <c r="V233" s="37">
        <v>9235.5202666666682</v>
      </c>
      <c r="W233" s="37">
        <v>9472.8602666666684</v>
      </c>
      <c r="X233" s="37">
        <v>10609.740266666669</v>
      </c>
      <c r="Y233" s="37">
        <v>9436.1543333333339</v>
      </c>
      <c r="Z233" s="37">
        <v>9436.1543333333339</v>
      </c>
      <c r="AA233" s="37">
        <v>9436.1543333333339</v>
      </c>
      <c r="AB233" s="37">
        <v>18124.675999999999</v>
      </c>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Z233" s="379">
        <f t="shared" si="1603"/>
        <v>9436.1543333333339</v>
      </c>
      <c r="CA233" s="379">
        <f t="shared" si="1604"/>
        <v>95730.073466666698</v>
      </c>
      <c r="CB233" s="97"/>
      <c r="CC233" s="97"/>
      <c r="CD233" s="97"/>
      <c r="CE233" s="97"/>
      <c r="CF233" s="97"/>
      <c r="CG233" s="97"/>
      <c r="CH233" s="97"/>
      <c r="CI233" s="97"/>
      <c r="CJ233" s="97"/>
    </row>
    <row r="234" spans="1:88" x14ac:dyDescent="0.3">
      <c r="A234" s="97" t="str">
        <f>'DCS Detail'!A234</f>
        <v>Lease</v>
      </c>
      <c r="B234" s="97"/>
      <c r="C234" s="97"/>
      <c r="D234" s="97"/>
      <c r="E234" s="37">
        <v>8331</v>
      </c>
      <c r="F234" s="37">
        <v>8331</v>
      </c>
      <c r="G234" s="37">
        <v>8331</v>
      </c>
      <c r="H234" s="37">
        <v>8331</v>
      </c>
      <c r="I234" s="37">
        <v>8331</v>
      </c>
      <c r="J234" s="37">
        <v>8331</v>
      </c>
      <c r="K234" s="37">
        <v>8331</v>
      </c>
      <c r="L234" s="37">
        <v>8331</v>
      </c>
      <c r="M234" s="37">
        <v>8331</v>
      </c>
      <c r="N234" s="37">
        <v>8331</v>
      </c>
      <c r="O234" s="37">
        <v>8331</v>
      </c>
      <c r="P234" s="37">
        <v>8331</v>
      </c>
      <c r="Q234" s="37">
        <v>8331</v>
      </c>
      <c r="R234" s="37">
        <v>8331</v>
      </c>
      <c r="S234" s="37">
        <v>8331</v>
      </c>
      <c r="T234" s="37">
        <v>8331</v>
      </c>
      <c r="U234" s="37">
        <v>8331</v>
      </c>
      <c r="V234" s="37">
        <v>8331</v>
      </c>
      <c r="W234" s="37">
        <v>8331</v>
      </c>
      <c r="X234" s="37">
        <v>8331</v>
      </c>
      <c r="Y234" s="37">
        <v>8331</v>
      </c>
      <c r="Z234" s="37">
        <v>8331</v>
      </c>
      <c r="AA234" s="37">
        <v>8331</v>
      </c>
      <c r="AB234" s="37">
        <v>8331</v>
      </c>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Z234" s="379">
        <f t="shared" si="1603"/>
        <v>8331</v>
      </c>
      <c r="CA234" s="379">
        <f t="shared" si="1604"/>
        <v>91641</v>
      </c>
      <c r="CB234" s="97"/>
      <c r="CC234" s="97"/>
      <c r="CD234" s="97"/>
      <c r="CE234" s="97"/>
      <c r="CF234" s="97"/>
      <c r="CG234" s="97"/>
      <c r="CH234" s="97"/>
      <c r="CI234" s="97"/>
      <c r="CJ234" s="97"/>
    </row>
    <row r="235" spans="1:88" x14ac:dyDescent="0.3">
      <c r="A235" s="97" t="str">
        <f>'DCS Detail'!A235</f>
        <v>Utilities</v>
      </c>
      <c r="B235" s="97"/>
      <c r="C235" s="97"/>
      <c r="D235" s="97"/>
      <c r="E235" s="37">
        <v>305</v>
      </c>
      <c r="F235" s="37">
        <v>305</v>
      </c>
      <c r="G235" s="37">
        <v>305</v>
      </c>
      <c r="H235" s="37">
        <v>305</v>
      </c>
      <c r="I235" s="37">
        <v>305</v>
      </c>
      <c r="J235" s="37">
        <v>305</v>
      </c>
      <c r="K235" s="37">
        <v>305</v>
      </c>
      <c r="L235" s="37">
        <v>305</v>
      </c>
      <c r="M235" s="37">
        <v>305</v>
      </c>
      <c r="N235" s="37">
        <v>305</v>
      </c>
      <c r="O235" s="37">
        <v>305</v>
      </c>
      <c r="P235" s="37">
        <v>305</v>
      </c>
      <c r="Q235" s="37">
        <v>4296.7273999999998</v>
      </c>
      <c r="R235" s="37">
        <v>2746.8452000000002</v>
      </c>
      <c r="S235" s="37">
        <v>1361.4437</v>
      </c>
      <c r="T235" s="37">
        <v>858.85519999999997</v>
      </c>
      <c r="U235" s="37">
        <v>1405.1157000000001</v>
      </c>
      <c r="V235" s="37">
        <v>1598.0964999999999</v>
      </c>
      <c r="W235" s="37">
        <v>1329.8330000000001</v>
      </c>
      <c r="X235" s="37">
        <v>1113.2343000000001</v>
      </c>
      <c r="Y235" s="37">
        <v>1388.2048166666668</v>
      </c>
      <c r="Z235" s="37">
        <v>1388.2048166666668</v>
      </c>
      <c r="AA235" s="37">
        <v>2160.7048166666668</v>
      </c>
      <c r="AB235" s="37">
        <v>1277.7630666666669</v>
      </c>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Z235" s="379">
        <f t="shared" si="1603"/>
        <v>2160.7048166666668</v>
      </c>
      <c r="CA235" s="379">
        <f t="shared" si="1604"/>
        <v>19647.265450000003</v>
      </c>
      <c r="CB235" s="97"/>
      <c r="CC235" s="97"/>
      <c r="CD235" s="97"/>
      <c r="CE235" s="97"/>
      <c r="CF235" s="97"/>
      <c r="CG235" s="97"/>
      <c r="CH235" s="97"/>
      <c r="CI235" s="97"/>
      <c r="CJ235" s="97"/>
    </row>
    <row r="236" spans="1:88" x14ac:dyDescent="0.3">
      <c r="A236" s="97" t="str">
        <f>'DCS Detail'!A236</f>
        <v>Repairs/Maint</v>
      </c>
      <c r="B236" s="97"/>
      <c r="C236" s="97"/>
      <c r="D236" s="97"/>
      <c r="E236" s="37">
        <v>39.33</v>
      </c>
      <c r="F236" s="37">
        <v>39.33</v>
      </c>
      <c r="G236" s="37">
        <v>39.33</v>
      </c>
      <c r="H236" s="37">
        <v>39.33</v>
      </c>
      <c r="I236" s="37">
        <v>39.33</v>
      </c>
      <c r="J236" s="37">
        <v>39.33</v>
      </c>
      <c r="K236" s="37">
        <v>39.33</v>
      </c>
      <c r="L236" s="37">
        <v>39.33</v>
      </c>
      <c r="M236" s="37">
        <v>39.33</v>
      </c>
      <c r="N236" s="37">
        <v>39.33</v>
      </c>
      <c r="O236" s="37">
        <v>39.33</v>
      </c>
      <c r="P236" s="37">
        <v>39.33</v>
      </c>
      <c r="Q236" s="37">
        <v>0</v>
      </c>
      <c r="R236" s="37">
        <v>121.54</v>
      </c>
      <c r="S236" s="37">
        <v>339.90000000000003</v>
      </c>
      <c r="T236" s="37">
        <v>1634.2804000000001</v>
      </c>
      <c r="U236" s="37">
        <v>0</v>
      </c>
      <c r="V236" s="37">
        <v>0</v>
      </c>
      <c r="W236" s="37">
        <v>0</v>
      </c>
      <c r="X236" s="37">
        <v>231.74999999999977</v>
      </c>
      <c r="Y236" s="37">
        <v>367.65506666666664</v>
      </c>
      <c r="Z236" s="37">
        <v>367.65506666666664</v>
      </c>
      <c r="AA236" s="37">
        <v>367.65506666666664</v>
      </c>
      <c r="AB236" s="37">
        <v>367.65506666666664</v>
      </c>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Z236" s="379">
        <f t="shared" si="1603"/>
        <v>367.65506666666664</v>
      </c>
      <c r="CA236" s="379">
        <f t="shared" si="1604"/>
        <v>3430.4356000000002</v>
      </c>
      <c r="CB236" s="97"/>
      <c r="CC236" s="97"/>
      <c r="CD236" s="97"/>
      <c r="CE236" s="97"/>
      <c r="CF236" s="97"/>
      <c r="CG236" s="97"/>
      <c r="CH236" s="97"/>
      <c r="CI236" s="97"/>
      <c r="CJ236" s="97"/>
    </row>
    <row r="237" spans="1:88" x14ac:dyDescent="0.3">
      <c r="A237" s="97" t="str">
        <f>'DCS Detail'!A237</f>
        <v>Supplies</v>
      </c>
      <c r="B237" s="97"/>
      <c r="C237" s="97"/>
      <c r="D237" s="97"/>
      <c r="E237" s="37">
        <v>69.39</v>
      </c>
      <c r="F237" s="37">
        <v>69.39</v>
      </c>
      <c r="G237" s="37">
        <v>69.39</v>
      </c>
      <c r="H237" s="37">
        <v>69.39</v>
      </c>
      <c r="I237" s="37">
        <v>69.39</v>
      </c>
      <c r="J237" s="37">
        <v>69.39</v>
      </c>
      <c r="K237" s="37">
        <v>69.39</v>
      </c>
      <c r="L237" s="37">
        <v>69.39</v>
      </c>
      <c r="M237" s="37">
        <v>69.39</v>
      </c>
      <c r="N237" s="37">
        <v>69.39</v>
      </c>
      <c r="O237" s="37">
        <v>69.39</v>
      </c>
      <c r="P237" s="37">
        <v>69.39</v>
      </c>
      <c r="Q237" s="37">
        <v>487.39600000000002</v>
      </c>
      <c r="R237" s="37">
        <v>190.50880000000001</v>
      </c>
      <c r="S237" s="37">
        <v>502.46490000000006</v>
      </c>
      <c r="T237" s="37">
        <v>2121.9236000000001</v>
      </c>
      <c r="U237" s="37">
        <v>137.9479</v>
      </c>
      <c r="V237" s="37">
        <v>385.85860000000002</v>
      </c>
      <c r="W237" s="37">
        <v>268.29440000000005</v>
      </c>
      <c r="X237" s="37">
        <v>-50.56270000000027</v>
      </c>
      <c r="Y237" s="37">
        <v>600.53463333333343</v>
      </c>
      <c r="Z237" s="37">
        <v>600.53463333333343</v>
      </c>
      <c r="AA237" s="37">
        <v>600.53463333333343</v>
      </c>
      <c r="AB237" s="37">
        <v>600.53463333333343</v>
      </c>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Z237" s="379">
        <f t="shared" si="1603"/>
        <v>600.53463333333343</v>
      </c>
      <c r="CA237" s="379">
        <f t="shared" si="1604"/>
        <v>5845.4354000000012</v>
      </c>
      <c r="CB237" s="97"/>
      <c r="CC237" s="97"/>
      <c r="CD237" s="97"/>
      <c r="CE237" s="97"/>
      <c r="CF237" s="97"/>
      <c r="CG237" s="97"/>
      <c r="CH237" s="97"/>
      <c r="CI237" s="97"/>
      <c r="CJ237" s="97"/>
    </row>
    <row r="238" spans="1:88" x14ac:dyDescent="0.3">
      <c r="A238" s="97" t="str">
        <f>'DCS Detail'!A238</f>
        <v>Curriculum</v>
      </c>
      <c r="B238" s="97"/>
      <c r="C238" s="97"/>
      <c r="D238" s="97"/>
      <c r="E238" s="37">
        <v>902.44999999999993</v>
      </c>
      <c r="F238" s="37">
        <v>902.44999999999993</v>
      </c>
      <c r="G238" s="37">
        <v>902.44999999999993</v>
      </c>
      <c r="H238" s="37">
        <v>902.44999999999993</v>
      </c>
      <c r="I238" s="37">
        <v>902.44999999999993</v>
      </c>
      <c r="J238" s="37">
        <v>902.44999999999993</v>
      </c>
      <c r="K238" s="37">
        <v>902.44999999999993</v>
      </c>
      <c r="L238" s="37">
        <v>902.44999999999993</v>
      </c>
      <c r="M238" s="37">
        <v>902.44999999999993</v>
      </c>
      <c r="N238" s="37">
        <v>902.44999999999993</v>
      </c>
      <c r="O238" s="37">
        <v>902.44999999999993</v>
      </c>
      <c r="P238" s="37">
        <v>902.44999999999993</v>
      </c>
      <c r="Q238" s="37">
        <v>0</v>
      </c>
      <c r="R238" s="37">
        <v>1331.0792999999999</v>
      </c>
      <c r="S238" s="37">
        <v>10461.3289</v>
      </c>
      <c r="T238" s="37">
        <v>1702.1398899999999</v>
      </c>
      <c r="U238" s="37">
        <v>617.48500000000001</v>
      </c>
      <c r="V238" s="37">
        <v>163.48283600000002</v>
      </c>
      <c r="W238" s="37">
        <v>0</v>
      </c>
      <c r="X238" s="37">
        <v>181.96577400000024</v>
      </c>
      <c r="Y238" s="37">
        <v>100.95912857142858</v>
      </c>
      <c r="Z238" s="37">
        <v>100.95912857142858</v>
      </c>
      <c r="AA238" s="37">
        <v>100.95912857142858</v>
      </c>
      <c r="AB238" s="37">
        <v>100.95912857142858</v>
      </c>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Z238" s="379">
        <f t="shared" si="1603"/>
        <v>100.95912857142858</v>
      </c>
      <c r="CA238" s="379">
        <f t="shared" si="1604"/>
        <v>14760.359085714286</v>
      </c>
      <c r="CB238" s="97"/>
      <c r="CC238" s="97"/>
      <c r="CD238" s="97"/>
      <c r="CE238" s="97"/>
      <c r="CF238" s="97"/>
      <c r="CG238" s="97"/>
      <c r="CH238" s="97"/>
      <c r="CI238" s="97"/>
      <c r="CJ238" s="97"/>
    </row>
    <row r="239" spans="1:88" x14ac:dyDescent="0.3">
      <c r="A239" s="97" t="str">
        <f>'DCS Detail'!A239</f>
        <v>Insurance</v>
      </c>
      <c r="B239" s="97"/>
      <c r="C239" s="97"/>
      <c r="D239" s="97"/>
      <c r="E239" s="37">
        <v>887.32999999999993</v>
      </c>
      <c r="F239" s="37">
        <v>887.32999999999993</v>
      </c>
      <c r="G239" s="37">
        <v>887.32999999999993</v>
      </c>
      <c r="H239" s="37">
        <v>887.32999999999993</v>
      </c>
      <c r="I239" s="37">
        <v>887.32999999999993</v>
      </c>
      <c r="J239" s="37">
        <v>887.32999999999993</v>
      </c>
      <c r="K239" s="37">
        <v>887.32999999999993</v>
      </c>
      <c r="L239" s="37">
        <v>887.32999999999993</v>
      </c>
      <c r="M239" s="37">
        <v>887.32999999999993</v>
      </c>
      <c r="N239" s="37">
        <v>887.32999999999993</v>
      </c>
      <c r="O239" s="37">
        <v>887.32999999999993</v>
      </c>
      <c r="P239" s="37">
        <v>887.32999999999993</v>
      </c>
      <c r="Q239" s="37">
        <v>5589.2469333333329</v>
      </c>
      <c r="R239" s="37">
        <v>5589.2469333333329</v>
      </c>
      <c r="S239" s="37">
        <v>5589.2469333333329</v>
      </c>
      <c r="T239" s="37">
        <v>5589.2469333333329</v>
      </c>
      <c r="U239" s="37">
        <v>5589.2469333333329</v>
      </c>
      <c r="V239" s="37">
        <v>5589.2469333333329</v>
      </c>
      <c r="W239" s="37">
        <v>5589.2469333333329</v>
      </c>
      <c r="X239" s="37">
        <v>5589.2469333333329</v>
      </c>
      <c r="Y239" s="37">
        <v>5589.2469333333329</v>
      </c>
      <c r="Z239" s="37">
        <v>5589.2469333333329</v>
      </c>
      <c r="AA239" s="37">
        <v>5589.2469333333329</v>
      </c>
      <c r="AB239" s="37">
        <v>5589.2469333333329</v>
      </c>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Z239" s="379">
        <f t="shared" si="1603"/>
        <v>5589.2469333333329</v>
      </c>
      <c r="CA239" s="379">
        <f t="shared" si="1604"/>
        <v>61481.716266666677</v>
      </c>
      <c r="CB239" s="97"/>
      <c r="CC239" s="97"/>
      <c r="CD239" s="97"/>
      <c r="CE239" s="97"/>
      <c r="CF239" s="97"/>
      <c r="CG239" s="97"/>
      <c r="CH239" s="97"/>
      <c r="CI239" s="97"/>
      <c r="CJ239" s="97"/>
    </row>
    <row r="240" spans="1:88" x14ac:dyDescent="0.3">
      <c r="A240" s="97" t="str">
        <f>'DCS Detail'!A240</f>
        <v>Computers</v>
      </c>
      <c r="B240" s="97"/>
      <c r="C240" s="97"/>
      <c r="D240" s="97"/>
      <c r="E240" s="37">
        <v>60.56</v>
      </c>
      <c r="F240" s="37">
        <v>60.56</v>
      </c>
      <c r="G240" s="37">
        <v>60.56</v>
      </c>
      <c r="H240" s="37">
        <v>60.56</v>
      </c>
      <c r="I240" s="37">
        <v>60.56</v>
      </c>
      <c r="J240" s="37">
        <v>60.56</v>
      </c>
      <c r="K240" s="37">
        <v>60.56</v>
      </c>
      <c r="L240" s="37">
        <v>60.56</v>
      </c>
      <c r="M240" s="37">
        <v>60.56</v>
      </c>
      <c r="N240" s="37">
        <v>60.56</v>
      </c>
      <c r="O240" s="37">
        <v>60.56</v>
      </c>
      <c r="P240" s="37">
        <v>60.56</v>
      </c>
      <c r="Q240" s="37">
        <v>17.190700000000003</v>
      </c>
      <c r="R240" s="37">
        <v>169.95000000000002</v>
      </c>
      <c r="S240" s="37">
        <v>0</v>
      </c>
      <c r="T240" s="37">
        <v>1855.03</v>
      </c>
      <c r="U240" s="37">
        <v>747.54309999999998</v>
      </c>
      <c r="V240" s="37">
        <v>31.23</v>
      </c>
      <c r="W240" s="37">
        <v>182.77</v>
      </c>
      <c r="X240" s="37">
        <v>1400.5697</v>
      </c>
      <c r="Y240" s="37">
        <v>586.22051666666664</v>
      </c>
      <c r="Z240" s="37">
        <v>586.22051666666664</v>
      </c>
      <c r="AA240" s="37">
        <v>586.22051666666664</v>
      </c>
      <c r="AB240" s="37">
        <v>586.22051666666664</v>
      </c>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Z240" s="379">
        <f t="shared" si="1603"/>
        <v>586.22051666666664</v>
      </c>
      <c r="CA240" s="379">
        <f t="shared" si="1604"/>
        <v>6162.9450499999984</v>
      </c>
      <c r="CB240" s="97"/>
      <c r="CC240" s="97"/>
      <c r="CD240" s="97"/>
      <c r="CE240" s="97"/>
      <c r="CF240" s="97"/>
      <c r="CG240" s="97"/>
      <c r="CH240" s="97"/>
      <c r="CI240" s="97"/>
      <c r="CJ240" s="97"/>
    </row>
    <row r="241" spans="1:88" x14ac:dyDescent="0.3">
      <c r="A241" s="97" t="str">
        <f>'DCS Detail'!A241</f>
        <v>Prof. Serv.</v>
      </c>
      <c r="B241" s="97"/>
      <c r="C241" s="97"/>
      <c r="D241" s="97"/>
      <c r="E241" s="37">
        <v>916.66666666666663</v>
      </c>
      <c r="F241" s="37">
        <v>916.66666666666663</v>
      </c>
      <c r="G241" s="37">
        <v>916.66666666666663</v>
      </c>
      <c r="H241" s="37">
        <v>916.66666666666663</v>
      </c>
      <c r="I241" s="37">
        <v>916.66666666666663</v>
      </c>
      <c r="J241" s="37">
        <v>916.66666666666663</v>
      </c>
      <c r="K241" s="37">
        <v>916.66666666666663</v>
      </c>
      <c r="L241" s="37">
        <v>916.66666666666663</v>
      </c>
      <c r="M241" s="37">
        <v>916.66666666666663</v>
      </c>
      <c r="N241" s="37">
        <v>916.66666666666663</v>
      </c>
      <c r="O241" s="37">
        <v>916.66666666666663</v>
      </c>
      <c r="P241" s="37">
        <v>916.66666666666663</v>
      </c>
      <c r="Q241" s="37">
        <v>1425.8805000000002</v>
      </c>
      <c r="R241" s="37">
        <v>213.84859999999998</v>
      </c>
      <c r="S241" s="37">
        <v>1063.7035000000001</v>
      </c>
      <c r="T241" s="37">
        <v>2007.4802999999999</v>
      </c>
      <c r="U241" s="37">
        <v>3213.4908</v>
      </c>
      <c r="V241" s="37">
        <v>1007.8921</v>
      </c>
      <c r="W241" s="37">
        <v>3640.7383000000004</v>
      </c>
      <c r="X241" s="37">
        <v>3028.1187999999997</v>
      </c>
      <c r="Y241" s="37">
        <v>2072.2506333333336</v>
      </c>
      <c r="Z241" s="37">
        <v>2072.2506333333336</v>
      </c>
      <c r="AA241" s="37">
        <v>2072.2506333333336</v>
      </c>
      <c r="AB241" s="37">
        <v>2072.2506333333336</v>
      </c>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Z241" s="379">
        <f t="shared" si="1603"/>
        <v>2072.2506333333336</v>
      </c>
      <c r="CA241" s="379">
        <f t="shared" si="1604"/>
        <v>21817.9048</v>
      </c>
      <c r="CB241" s="97"/>
      <c r="CC241" s="97"/>
      <c r="CD241" s="97"/>
      <c r="CE241" s="97"/>
      <c r="CF241" s="97"/>
      <c r="CG241" s="97"/>
      <c r="CH241" s="97"/>
      <c r="CI241" s="97"/>
      <c r="CJ241" s="97"/>
    </row>
    <row r="242" spans="1:88" x14ac:dyDescent="0.3">
      <c r="A242" s="97" t="str">
        <f>'DCS Detail'!A242</f>
        <v>Cleaning Serv.</v>
      </c>
      <c r="B242" s="97"/>
      <c r="C242" s="97"/>
      <c r="D242" s="97"/>
      <c r="E242" s="37">
        <v>1166.6666666666667</v>
      </c>
      <c r="F242" s="37">
        <v>1166.6666666666667</v>
      </c>
      <c r="G242" s="37">
        <v>1166.6666666666667</v>
      </c>
      <c r="H242" s="37">
        <v>1166.6666666666667</v>
      </c>
      <c r="I242" s="37">
        <v>1166.6666666666667</v>
      </c>
      <c r="J242" s="37">
        <v>1166.6666666666667</v>
      </c>
      <c r="K242" s="37">
        <v>1166.6666666666667</v>
      </c>
      <c r="L242" s="37">
        <v>1166.6666666666667</v>
      </c>
      <c r="M242" s="37">
        <v>1166.6666666666667</v>
      </c>
      <c r="N242" s="37">
        <v>1166.6666666666667</v>
      </c>
      <c r="O242" s="37">
        <v>1166.6666666666667</v>
      </c>
      <c r="P242" s="37">
        <v>1166.6666666666667</v>
      </c>
      <c r="Q242" s="37">
        <v>0</v>
      </c>
      <c r="R242" s="37">
        <v>257.5</v>
      </c>
      <c r="S242" s="37">
        <v>0</v>
      </c>
      <c r="T242" s="37">
        <v>133.1996</v>
      </c>
      <c r="U242" s="37">
        <v>234.19110000000001</v>
      </c>
      <c r="V242" s="37">
        <v>0</v>
      </c>
      <c r="W242" s="37">
        <v>0</v>
      </c>
      <c r="X242" s="37">
        <v>103.24720000000001</v>
      </c>
      <c r="Y242" s="37">
        <v>115.22536428571428</v>
      </c>
      <c r="Z242" s="37">
        <v>115.22536428571428</v>
      </c>
      <c r="AA242" s="37">
        <v>115.22536428571428</v>
      </c>
      <c r="AB242" s="37">
        <v>115.22536428571428</v>
      </c>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Z242" s="379">
        <f t="shared" si="1603"/>
        <v>115.22536428571428</v>
      </c>
      <c r="CA242" s="379">
        <f t="shared" si="1604"/>
        <v>1073.8139928571429</v>
      </c>
      <c r="CB242" s="97"/>
      <c r="CC242" s="97"/>
      <c r="CD242" s="97"/>
      <c r="CE242" s="97"/>
      <c r="CF242" s="97"/>
      <c r="CG242" s="97"/>
      <c r="CH242" s="97"/>
      <c r="CI242" s="97"/>
      <c r="CJ242" s="97"/>
    </row>
    <row r="243" spans="1:88" x14ac:dyDescent="0.3">
      <c r="A243" s="97" t="str">
        <f>'DCS Detail'!A243</f>
        <v>DAP Payroll</v>
      </c>
      <c r="B243" s="97"/>
      <c r="C243" s="97"/>
      <c r="D243" s="97"/>
      <c r="E243" s="37">
        <v>1496</v>
      </c>
      <c r="F243" s="37">
        <v>1496</v>
      </c>
      <c r="G243" s="37">
        <v>1496</v>
      </c>
      <c r="H243" s="37">
        <v>1496</v>
      </c>
      <c r="I243" s="37">
        <v>1496</v>
      </c>
      <c r="J243" s="37">
        <v>1496</v>
      </c>
      <c r="K243" s="37">
        <v>1496</v>
      </c>
      <c r="L243" s="37">
        <v>1496</v>
      </c>
      <c r="M243" s="37">
        <v>1496</v>
      </c>
      <c r="N243" s="37">
        <v>1496</v>
      </c>
      <c r="O243" s="37">
        <v>1496</v>
      </c>
      <c r="P243" s="37">
        <v>1496</v>
      </c>
      <c r="Q243" s="37">
        <v>0</v>
      </c>
      <c r="R243" s="37">
        <v>0</v>
      </c>
      <c r="S243" s="37">
        <v>0</v>
      </c>
      <c r="T243" s="37">
        <v>0</v>
      </c>
      <c r="U243" s="37">
        <v>0</v>
      </c>
      <c r="V243" s="37">
        <v>0</v>
      </c>
      <c r="W243" s="37">
        <v>0</v>
      </c>
      <c r="X243" s="37">
        <v>0</v>
      </c>
      <c r="Y243" s="37">
        <v>0</v>
      </c>
      <c r="Z243" s="37">
        <v>0</v>
      </c>
      <c r="AA243" s="37">
        <v>0</v>
      </c>
      <c r="AB243" s="37">
        <v>0</v>
      </c>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Z243" s="379">
        <f t="shared" si="1603"/>
        <v>0</v>
      </c>
      <c r="CA243" s="379">
        <f t="shared" si="1604"/>
        <v>0</v>
      </c>
      <c r="CB243" s="97"/>
      <c r="CC243" s="97"/>
      <c r="CD243" s="97"/>
      <c r="CE243" s="97"/>
      <c r="CF243" s="97"/>
      <c r="CG243" s="97"/>
      <c r="CH243" s="97"/>
      <c r="CI243" s="97"/>
      <c r="CJ243" s="97"/>
    </row>
    <row r="244" spans="1:88" x14ac:dyDescent="0.3">
      <c r="A244" s="97" t="str">
        <f>'DCS Detail'!A244</f>
        <v>Depreciation</v>
      </c>
      <c r="B244" s="97"/>
      <c r="C244" s="97"/>
      <c r="D244" s="97"/>
      <c r="E244" s="37"/>
      <c r="F244" s="37"/>
      <c r="G244" s="37"/>
      <c r="H244" s="37"/>
      <c r="I244" s="37"/>
      <c r="J244" s="37"/>
      <c r="K244" s="37"/>
      <c r="L244" s="37"/>
      <c r="M244" s="37"/>
      <c r="N244" s="37"/>
      <c r="O244" s="37"/>
      <c r="P244" s="37"/>
      <c r="Q244" s="37">
        <v>62.33</v>
      </c>
      <c r="R244" s="37">
        <v>62.33</v>
      </c>
      <c r="S244" s="37">
        <v>62.33</v>
      </c>
      <c r="T244" s="37">
        <v>62.33</v>
      </c>
      <c r="U244" s="37">
        <v>62.33</v>
      </c>
      <c r="V244" s="37">
        <v>62.33</v>
      </c>
      <c r="W244" s="37">
        <v>62.33</v>
      </c>
      <c r="X244" s="37">
        <v>62.330000000000041</v>
      </c>
      <c r="Y244" s="37">
        <v>62.329999999999991</v>
      </c>
      <c r="Z244" s="37">
        <v>62.329999999999991</v>
      </c>
      <c r="AA244" s="37">
        <v>62.329999999999991</v>
      </c>
      <c r="AB244" s="37">
        <v>62.329999999999991</v>
      </c>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Z244" s="379">
        <f t="shared" si="1603"/>
        <v>62.329999999999991</v>
      </c>
      <c r="CA244" s="379">
        <f t="shared" si="1604"/>
        <v>685.63000000000011</v>
      </c>
      <c r="CB244" s="97"/>
      <c r="CC244" s="97"/>
      <c r="CD244" s="97"/>
      <c r="CE244" s="97"/>
      <c r="CF244" s="97"/>
      <c r="CG244" s="97"/>
      <c r="CH244" s="97"/>
      <c r="CI244" s="97"/>
      <c r="CJ244" s="97"/>
    </row>
    <row r="245" spans="1:88" x14ac:dyDescent="0.3">
      <c r="A245" s="97" t="str">
        <f>'DCS Detail'!A245</f>
        <v>Interest</v>
      </c>
      <c r="B245" s="97"/>
      <c r="C245" s="97"/>
      <c r="D245" s="9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Z245" s="379">
        <f t="shared" si="1603"/>
        <v>0</v>
      </c>
      <c r="CA245" s="379">
        <f t="shared" si="1604"/>
        <v>0</v>
      </c>
      <c r="CB245" s="97"/>
      <c r="CC245" s="97"/>
      <c r="CD245" s="97"/>
      <c r="CE245" s="97"/>
      <c r="CF245" s="97"/>
      <c r="CG245" s="97"/>
      <c r="CH245" s="97"/>
      <c r="CI245" s="97"/>
      <c r="CJ245" s="97"/>
    </row>
    <row r="246" spans="1:88" x14ac:dyDescent="0.3">
      <c r="A246" s="97" t="str">
        <f>'DCS Detail'!A246</f>
        <v>Misc.</v>
      </c>
      <c r="B246" s="97"/>
      <c r="C246" s="97"/>
      <c r="D246" s="97"/>
      <c r="E246" s="37">
        <v>388.46000000000004</v>
      </c>
      <c r="F246" s="37">
        <v>388.46000000000004</v>
      </c>
      <c r="G246" s="37">
        <v>388.46000000000004</v>
      </c>
      <c r="H246" s="37">
        <v>388.46000000000004</v>
      </c>
      <c r="I246" s="37">
        <v>388.46000000000004</v>
      </c>
      <c r="J246" s="37">
        <v>388.46000000000004</v>
      </c>
      <c r="K246" s="37">
        <v>388.46000000000004</v>
      </c>
      <c r="L246" s="37">
        <v>388.46000000000004</v>
      </c>
      <c r="M246" s="37">
        <v>388.46000000000004</v>
      </c>
      <c r="N246" s="37">
        <v>388.46000000000004</v>
      </c>
      <c r="O246" s="37">
        <v>388.46000000000004</v>
      </c>
      <c r="P246" s="37">
        <v>388.46000000000004</v>
      </c>
      <c r="Q246" s="37">
        <v>56.8</v>
      </c>
      <c r="R246" s="37">
        <v>1105.665</v>
      </c>
      <c r="S246" s="37">
        <v>1454.8647000000001</v>
      </c>
      <c r="T246" s="37">
        <v>1112.3908999999999</v>
      </c>
      <c r="U246" s="37">
        <v>1227.3899999999999</v>
      </c>
      <c r="V246" s="37">
        <v>1100</v>
      </c>
      <c r="W246" s="37">
        <v>1566.4749999999999</v>
      </c>
      <c r="X246" s="37">
        <v>1321.9722000000002</v>
      </c>
      <c r="Y246" s="37">
        <v>1297.1821333333332</v>
      </c>
      <c r="Z246" s="37">
        <v>1297.1821333333332</v>
      </c>
      <c r="AA246" s="37">
        <v>1297.1821333333332</v>
      </c>
      <c r="AB246" s="37">
        <v>9.5721333333333334</v>
      </c>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Z246" s="379">
        <f t="shared" si="1603"/>
        <v>1297.1821333333332</v>
      </c>
      <c r="CA246" s="379">
        <f t="shared" si="1604"/>
        <v>12837.104200000002</v>
      </c>
      <c r="CB246" s="97"/>
      <c r="CC246" s="97"/>
      <c r="CD246" s="97"/>
      <c r="CE246" s="97"/>
      <c r="CF246" s="97"/>
      <c r="CG246" s="97"/>
      <c r="CH246" s="97"/>
      <c r="CI246" s="97"/>
      <c r="CJ246" s="97"/>
    </row>
    <row r="247" spans="1:88" ht="3" customHeight="1" x14ac:dyDescent="0.3">
      <c r="A247" s="97"/>
      <c r="B247" s="97"/>
      <c r="C247" s="97"/>
      <c r="D247" s="9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Z247" s="391"/>
      <c r="CA247" s="391"/>
      <c r="CB247" s="97"/>
      <c r="CC247" s="97"/>
      <c r="CD247" s="97"/>
      <c r="CE247" s="97"/>
      <c r="CF247" s="97"/>
      <c r="CG247" s="97"/>
      <c r="CH247" s="97"/>
      <c r="CI247" s="97"/>
      <c r="CJ247" s="97"/>
    </row>
    <row r="248" spans="1:88" x14ac:dyDescent="0.3">
      <c r="A248" s="108" t="s">
        <v>116</v>
      </c>
      <c r="B248" s="97"/>
      <c r="C248" s="97"/>
      <c r="D248" s="97"/>
      <c r="E248" s="8">
        <f t="shared" ref="E248:P248" si="1605">SUM(E232:E247)</f>
        <v>41394.483333333323</v>
      </c>
      <c r="F248" s="8">
        <f t="shared" si="1605"/>
        <v>41394.483333333323</v>
      </c>
      <c r="G248" s="8">
        <f t="shared" si="1605"/>
        <v>41394.483333333323</v>
      </c>
      <c r="H248" s="8">
        <f t="shared" si="1605"/>
        <v>41394.483333333323</v>
      </c>
      <c r="I248" s="8">
        <f t="shared" si="1605"/>
        <v>41394.483333333323</v>
      </c>
      <c r="J248" s="8">
        <f t="shared" si="1605"/>
        <v>41394.483333333323</v>
      </c>
      <c r="K248" s="8">
        <f t="shared" si="1605"/>
        <v>41394.483333333323</v>
      </c>
      <c r="L248" s="8">
        <f t="shared" si="1605"/>
        <v>41394.483333333323</v>
      </c>
      <c r="M248" s="8">
        <f t="shared" si="1605"/>
        <v>41394.483333333323</v>
      </c>
      <c r="N248" s="8">
        <f t="shared" si="1605"/>
        <v>41394.483333333323</v>
      </c>
      <c r="O248" s="8">
        <f t="shared" si="1605"/>
        <v>41394.483333333323</v>
      </c>
      <c r="P248" s="8">
        <f t="shared" si="1605"/>
        <v>41394.483333333323</v>
      </c>
      <c r="Q248" s="8">
        <f t="shared" ref="Q248:AB248" si="1606">SUM(Q232:Q247)</f>
        <v>20662.132733333332</v>
      </c>
      <c r="R248" s="8">
        <f t="shared" si="1606"/>
        <v>72134.911466666672</v>
      </c>
      <c r="S248" s="8">
        <f t="shared" si="1606"/>
        <v>81481.241266666679</v>
      </c>
      <c r="T248" s="8">
        <f t="shared" si="1606"/>
        <v>77275.396256666674</v>
      </c>
      <c r="U248" s="8">
        <f t="shared" si="1606"/>
        <v>73411.509966666665</v>
      </c>
      <c r="V248" s="8">
        <f t="shared" si="1606"/>
        <v>70902.586402666668</v>
      </c>
      <c r="W248" s="8">
        <f t="shared" si="1606"/>
        <v>73027.477066666674</v>
      </c>
      <c r="X248" s="8">
        <f t="shared" si="1606"/>
        <v>74506.541640666677</v>
      </c>
      <c r="Y248" s="8">
        <f t="shared" si="1606"/>
        <v>72530.892726190476</v>
      </c>
      <c r="Z248" s="8">
        <f t="shared" si="1606"/>
        <v>72530.892726190476</v>
      </c>
      <c r="AA248" s="8">
        <f t="shared" si="1606"/>
        <v>73303.392726190476</v>
      </c>
      <c r="AB248" s="8">
        <f t="shared" si="1606"/>
        <v>121965.29180952381</v>
      </c>
      <c r="AC248" s="8">
        <f t="shared" ref="AC248:AN248" si="1607">SUM(AC232:AC247)</f>
        <v>0</v>
      </c>
      <c r="AD248" s="8">
        <f t="shared" si="1607"/>
        <v>0</v>
      </c>
      <c r="AE248" s="8">
        <f t="shared" si="1607"/>
        <v>0</v>
      </c>
      <c r="AF248" s="8">
        <f t="shared" si="1607"/>
        <v>0</v>
      </c>
      <c r="AG248" s="8">
        <f t="shared" si="1607"/>
        <v>0</v>
      </c>
      <c r="AH248" s="8">
        <f t="shared" si="1607"/>
        <v>0</v>
      </c>
      <c r="AI248" s="8">
        <f t="shared" si="1607"/>
        <v>0</v>
      </c>
      <c r="AJ248" s="8">
        <f t="shared" si="1607"/>
        <v>0</v>
      </c>
      <c r="AK248" s="8">
        <f t="shared" si="1607"/>
        <v>0</v>
      </c>
      <c r="AL248" s="8">
        <f t="shared" si="1607"/>
        <v>0</v>
      </c>
      <c r="AM248" s="8">
        <f t="shared" si="1607"/>
        <v>0</v>
      </c>
      <c r="AN248" s="8">
        <f t="shared" si="1607"/>
        <v>0</v>
      </c>
      <c r="AO248" s="8">
        <f t="shared" ref="AO248:AZ248" si="1608">SUM(AO232:AO247)</f>
        <v>0</v>
      </c>
      <c r="AP248" s="8">
        <f t="shared" si="1608"/>
        <v>0</v>
      </c>
      <c r="AQ248" s="8">
        <f t="shared" si="1608"/>
        <v>0</v>
      </c>
      <c r="AR248" s="8">
        <f t="shared" si="1608"/>
        <v>0</v>
      </c>
      <c r="AS248" s="8">
        <f t="shared" si="1608"/>
        <v>0</v>
      </c>
      <c r="AT248" s="8">
        <f t="shared" si="1608"/>
        <v>0</v>
      </c>
      <c r="AU248" s="8">
        <f t="shared" si="1608"/>
        <v>0</v>
      </c>
      <c r="AV248" s="8">
        <f t="shared" si="1608"/>
        <v>0</v>
      </c>
      <c r="AW248" s="8">
        <f t="shared" si="1608"/>
        <v>0</v>
      </c>
      <c r="AX248" s="8">
        <f t="shared" si="1608"/>
        <v>0</v>
      </c>
      <c r="AY248" s="8">
        <f t="shared" si="1608"/>
        <v>0</v>
      </c>
      <c r="AZ248" s="8">
        <f t="shared" si="1608"/>
        <v>0</v>
      </c>
      <c r="BA248" s="8">
        <f t="shared" ref="BA248:BX248" si="1609">SUM(BA232:BA247)</f>
        <v>0</v>
      </c>
      <c r="BB248" s="8">
        <f t="shared" si="1609"/>
        <v>0</v>
      </c>
      <c r="BC248" s="8">
        <f t="shared" si="1609"/>
        <v>0</v>
      </c>
      <c r="BD248" s="8">
        <f t="shared" si="1609"/>
        <v>0</v>
      </c>
      <c r="BE248" s="8">
        <f t="shared" si="1609"/>
        <v>0</v>
      </c>
      <c r="BF248" s="8">
        <f t="shared" si="1609"/>
        <v>0</v>
      </c>
      <c r="BG248" s="8">
        <f t="shared" si="1609"/>
        <v>0</v>
      </c>
      <c r="BH248" s="8">
        <f t="shared" si="1609"/>
        <v>0</v>
      </c>
      <c r="BI248" s="8">
        <f t="shared" si="1609"/>
        <v>0</v>
      </c>
      <c r="BJ248" s="8">
        <f t="shared" si="1609"/>
        <v>0</v>
      </c>
      <c r="BK248" s="8">
        <f t="shared" si="1609"/>
        <v>0</v>
      </c>
      <c r="BL248" s="8">
        <f t="shared" si="1609"/>
        <v>0</v>
      </c>
      <c r="BM248" s="8">
        <f t="shared" si="1609"/>
        <v>0</v>
      </c>
      <c r="BN248" s="8">
        <f t="shared" si="1609"/>
        <v>0</v>
      </c>
      <c r="BO248" s="8">
        <f t="shared" si="1609"/>
        <v>0</v>
      </c>
      <c r="BP248" s="8">
        <f t="shared" si="1609"/>
        <v>0</v>
      </c>
      <c r="BQ248" s="8">
        <f t="shared" si="1609"/>
        <v>0</v>
      </c>
      <c r="BR248" s="8">
        <f t="shared" si="1609"/>
        <v>0</v>
      </c>
      <c r="BS248" s="8">
        <f t="shared" si="1609"/>
        <v>0</v>
      </c>
      <c r="BT248" s="8">
        <f t="shared" si="1609"/>
        <v>0</v>
      </c>
      <c r="BU248" s="8">
        <f t="shared" si="1609"/>
        <v>0</v>
      </c>
      <c r="BV248" s="8">
        <f t="shared" si="1609"/>
        <v>0</v>
      </c>
      <c r="BW248" s="8">
        <f t="shared" si="1609"/>
        <v>0</v>
      </c>
      <c r="BX248" s="8">
        <f t="shared" si="1609"/>
        <v>0</v>
      </c>
      <c r="BZ248" s="379">
        <f>SUM(BZ232:BZ247)</f>
        <v>73303.392726190476</v>
      </c>
      <c r="CA248" s="379">
        <f>SUM(CA232:CA247)</f>
        <v>761766.97497857152</v>
      </c>
      <c r="CB248" s="97"/>
      <c r="CC248" s="97"/>
      <c r="CD248" s="97"/>
      <c r="CE248" s="97"/>
      <c r="CF248" s="97"/>
      <c r="CG248" s="97"/>
      <c r="CH248" s="97"/>
      <c r="CI248" s="97"/>
      <c r="CJ248" s="97"/>
    </row>
    <row r="249" spans="1:88" x14ac:dyDescent="0.3">
      <c r="A249" s="109" t="s">
        <v>118</v>
      </c>
      <c r="B249" s="97"/>
      <c r="C249" s="97"/>
      <c r="D249" s="97"/>
      <c r="E249" s="22">
        <f t="shared" ref="E249:P249" si="1610">E231-E248</f>
        <v>19330.363333333342</v>
      </c>
      <c r="F249" s="22">
        <f t="shared" si="1610"/>
        <v>19330.363333333342</v>
      </c>
      <c r="G249" s="22">
        <f t="shared" si="1610"/>
        <v>19330.363333333342</v>
      </c>
      <c r="H249" s="22">
        <f t="shared" si="1610"/>
        <v>19330.363333333342</v>
      </c>
      <c r="I249" s="22">
        <f t="shared" si="1610"/>
        <v>19330.363333333342</v>
      </c>
      <c r="J249" s="22">
        <f t="shared" si="1610"/>
        <v>19330.363333333342</v>
      </c>
      <c r="K249" s="22">
        <f t="shared" si="1610"/>
        <v>19330.363333333342</v>
      </c>
      <c r="L249" s="22">
        <f t="shared" si="1610"/>
        <v>19330.363333333342</v>
      </c>
      <c r="M249" s="22">
        <f t="shared" si="1610"/>
        <v>19330.363333333342</v>
      </c>
      <c r="N249" s="22">
        <f t="shared" si="1610"/>
        <v>19330.363333333342</v>
      </c>
      <c r="O249" s="22">
        <f t="shared" si="1610"/>
        <v>19330.363333333342</v>
      </c>
      <c r="P249" s="22">
        <f t="shared" si="1610"/>
        <v>19330.363333333342</v>
      </c>
      <c r="Q249" s="22">
        <f t="shared" ref="Q249:AB249" si="1611">Q231-Q248</f>
        <v>49268.867266666668</v>
      </c>
      <c r="R249" s="22">
        <f t="shared" si="1611"/>
        <v>109071.24853333333</v>
      </c>
      <c r="S249" s="22">
        <f t="shared" si="1611"/>
        <v>-5858.6868666666851</v>
      </c>
      <c r="T249" s="22">
        <f t="shared" si="1611"/>
        <v>-699.24625666667998</v>
      </c>
      <c r="U249" s="22">
        <f t="shared" si="1611"/>
        <v>1679.8818333333329</v>
      </c>
      <c r="V249" s="22">
        <f t="shared" si="1611"/>
        <v>174.89359733332822</v>
      </c>
      <c r="W249" s="22">
        <f t="shared" si="1611"/>
        <v>-1814.9816666666738</v>
      </c>
      <c r="X249" s="22">
        <f t="shared" si="1611"/>
        <v>5024.2558502424072</v>
      </c>
      <c r="Y249" s="22">
        <f t="shared" si="1611"/>
        <v>-1397.9414761904773</v>
      </c>
      <c r="Z249" s="22">
        <f t="shared" si="1611"/>
        <v>-1397.9414761904773</v>
      </c>
      <c r="AA249" s="22">
        <f t="shared" si="1611"/>
        <v>4513.8323238095181</v>
      </c>
      <c r="AB249" s="22">
        <f t="shared" si="1611"/>
        <v>-51433.680559523811</v>
      </c>
      <c r="AC249" s="22">
        <f t="shared" ref="AC249:AN249" si="1612">AC231-AC248</f>
        <v>0</v>
      </c>
      <c r="AD249" s="22">
        <f t="shared" si="1612"/>
        <v>0</v>
      </c>
      <c r="AE249" s="22">
        <f t="shared" si="1612"/>
        <v>0</v>
      </c>
      <c r="AF249" s="22">
        <f t="shared" si="1612"/>
        <v>0</v>
      </c>
      <c r="AG249" s="22">
        <f t="shared" si="1612"/>
        <v>0</v>
      </c>
      <c r="AH249" s="22">
        <f t="shared" si="1612"/>
        <v>0</v>
      </c>
      <c r="AI249" s="22">
        <f t="shared" si="1612"/>
        <v>0</v>
      </c>
      <c r="AJ249" s="22">
        <f t="shared" si="1612"/>
        <v>0</v>
      </c>
      <c r="AK249" s="22">
        <f t="shared" si="1612"/>
        <v>0</v>
      </c>
      <c r="AL249" s="22">
        <f t="shared" si="1612"/>
        <v>0</v>
      </c>
      <c r="AM249" s="22">
        <f t="shared" si="1612"/>
        <v>0</v>
      </c>
      <c r="AN249" s="22">
        <f t="shared" si="1612"/>
        <v>0</v>
      </c>
      <c r="AO249" s="22">
        <f t="shared" ref="AO249:AZ249" si="1613">AO231-AO248</f>
        <v>0</v>
      </c>
      <c r="AP249" s="22">
        <f t="shared" si="1613"/>
        <v>0</v>
      </c>
      <c r="AQ249" s="22">
        <f t="shared" si="1613"/>
        <v>0</v>
      </c>
      <c r="AR249" s="22">
        <f t="shared" si="1613"/>
        <v>0</v>
      </c>
      <c r="AS249" s="22">
        <f t="shared" si="1613"/>
        <v>0</v>
      </c>
      <c r="AT249" s="22">
        <f t="shared" si="1613"/>
        <v>0</v>
      </c>
      <c r="AU249" s="22">
        <f t="shared" si="1613"/>
        <v>0</v>
      </c>
      <c r="AV249" s="22">
        <f t="shared" si="1613"/>
        <v>0</v>
      </c>
      <c r="AW249" s="22">
        <f t="shared" si="1613"/>
        <v>0</v>
      </c>
      <c r="AX249" s="22">
        <f t="shared" si="1613"/>
        <v>0</v>
      </c>
      <c r="AY249" s="22">
        <f t="shared" si="1613"/>
        <v>0</v>
      </c>
      <c r="AZ249" s="22">
        <f t="shared" si="1613"/>
        <v>0</v>
      </c>
      <c r="BA249" s="22">
        <f t="shared" ref="BA249:BX249" si="1614">BA231-BA248</f>
        <v>0</v>
      </c>
      <c r="BB249" s="22">
        <f t="shared" si="1614"/>
        <v>0</v>
      </c>
      <c r="BC249" s="22">
        <f t="shared" si="1614"/>
        <v>0</v>
      </c>
      <c r="BD249" s="22">
        <f t="shared" si="1614"/>
        <v>0</v>
      </c>
      <c r="BE249" s="22">
        <f t="shared" si="1614"/>
        <v>0</v>
      </c>
      <c r="BF249" s="22">
        <f t="shared" si="1614"/>
        <v>0</v>
      </c>
      <c r="BG249" s="22">
        <f t="shared" si="1614"/>
        <v>0</v>
      </c>
      <c r="BH249" s="22">
        <f t="shared" si="1614"/>
        <v>0</v>
      </c>
      <c r="BI249" s="22">
        <f t="shared" si="1614"/>
        <v>0</v>
      </c>
      <c r="BJ249" s="22">
        <f t="shared" si="1614"/>
        <v>0</v>
      </c>
      <c r="BK249" s="22">
        <f t="shared" si="1614"/>
        <v>0</v>
      </c>
      <c r="BL249" s="22">
        <f t="shared" si="1614"/>
        <v>0</v>
      </c>
      <c r="BM249" s="22">
        <f t="shared" si="1614"/>
        <v>0</v>
      </c>
      <c r="BN249" s="22">
        <f t="shared" si="1614"/>
        <v>0</v>
      </c>
      <c r="BO249" s="22">
        <f t="shared" si="1614"/>
        <v>0</v>
      </c>
      <c r="BP249" s="22">
        <f t="shared" si="1614"/>
        <v>0</v>
      </c>
      <c r="BQ249" s="22">
        <f t="shared" si="1614"/>
        <v>0</v>
      </c>
      <c r="BR249" s="22">
        <f t="shared" si="1614"/>
        <v>0</v>
      </c>
      <c r="BS249" s="22">
        <f t="shared" si="1614"/>
        <v>0</v>
      </c>
      <c r="BT249" s="22">
        <f t="shared" si="1614"/>
        <v>0</v>
      </c>
      <c r="BU249" s="22">
        <f t="shared" si="1614"/>
        <v>0</v>
      </c>
      <c r="BV249" s="22">
        <f t="shared" si="1614"/>
        <v>0</v>
      </c>
      <c r="BW249" s="22">
        <f t="shared" si="1614"/>
        <v>0</v>
      </c>
      <c r="BX249" s="22">
        <f t="shared" si="1614"/>
        <v>0</v>
      </c>
      <c r="BZ249" s="390">
        <f>BZ231-BZ248</f>
        <v>4513.8323238095181</v>
      </c>
      <c r="CA249" s="390">
        <f>CA231-CA248</f>
        <v>158564.18166233762</v>
      </c>
      <c r="CB249" s="97"/>
      <c r="CC249" s="97"/>
      <c r="CD249" s="97"/>
      <c r="CE249" s="97"/>
      <c r="CF249" s="97"/>
      <c r="CG249" s="97"/>
      <c r="CH249" s="97"/>
      <c r="CI249" s="97"/>
      <c r="CJ249" s="97"/>
    </row>
    <row r="250" spans="1:88" x14ac:dyDescent="0.3">
      <c r="A250" s="1"/>
      <c r="B250" s="33"/>
      <c r="C250" s="33"/>
      <c r="D250" s="3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Z250" s="97"/>
      <c r="CA250" s="97"/>
      <c r="CB250" s="97"/>
      <c r="CC250" s="97"/>
      <c r="CD250" s="97"/>
      <c r="CE250" s="97"/>
      <c r="CF250" s="97"/>
      <c r="CG250" s="97"/>
      <c r="CH250" s="97"/>
      <c r="CI250" s="97"/>
      <c r="CJ250" s="97"/>
    </row>
    <row r="251" spans="1:88" x14ac:dyDescent="0.3">
      <c r="A251" s="21" t="s">
        <v>152</v>
      </c>
      <c r="B251" s="32">
        <f>'DCS Detail'!B251</f>
        <v>2</v>
      </c>
      <c r="C251" s="6">
        <f>B251+1</f>
        <v>3</v>
      </c>
      <c r="D251" s="6">
        <f t="shared" ref="D251:BO251" si="1615">C251+1</f>
        <v>4</v>
      </c>
      <c r="E251" s="6">
        <f t="shared" si="1615"/>
        <v>5</v>
      </c>
      <c r="F251" s="6">
        <f t="shared" si="1615"/>
        <v>6</v>
      </c>
      <c r="G251" s="6">
        <f t="shared" si="1615"/>
        <v>7</v>
      </c>
      <c r="H251" s="6">
        <f t="shared" si="1615"/>
        <v>8</v>
      </c>
      <c r="I251" s="6">
        <f t="shared" si="1615"/>
        <v>9</v>
      </c>
      <c r="J251" s="6">
        <f t="shared" si="1615"/>
        <v>10</v>
      </c>
      <c r="K251" s="6">
        <f t="shared" si="1615"/>
        <v>11</v>
      </c>
      <c r="L251" s="6">
        <f t="shared" si="1615"/>
        <v>12</v>
      </c>
      <c r="M251" s="6">
        <f t="shared" si="1615"/>
        <v>13</v>
      </c>
      <c r="N251" s="6">
        <f t="shared" si="1615"/>
        <v>14</v>
      </c>
      <c r="O251" s="6">
        <f t="shared" si="1615"/>
        <v>15</v>
      </c>
      <c r="P251" s="6">
        <f t="shared" si="1615"/>
        <v>16</v>
      </c>
      <c r="Q251" s="6">
        <f t="shared" si="1615"/>
        <v>17</v>
      </c>
      <c r="R251" s="6">
        <f t="shared" si="1615"/>
        <v>18</v>
      </c>
      <c r="S251" s="6">
        <f t="shared" si="1615"/>
        <v>19</v>
      </c>
      <c r="T251" s="6">
        <f t="shared" si="1615"/>
        <v>20</v>
      </c>
      <c r="U251" s="6">
        <f t="shared" si="1615"/>
        <v>21</v>
      </c>
      <c r="V251" s="6">
        <f t="shared" si="1615"/>
        <v>22</v>
      </c>
      <c r="W251" s="6">
        <f t="shared" si="1615"/>
        <v>23</v>
      </c>
      <c r="X251" s="6">
        <f t="shared" si="1615"/>
        <v>24</v>
      </c>
      <c r="Y251" s="6">
        <f t="shared" si="1615"/>
        <v>25</v>
      </c>
      <c r="Z251" s="6">
        <f t="shared" si="1615"/>
        <v>26</v>
      </c>
      <c r="AA251" s="6">
        <f t="shared" si="1615"/>
        <v>27</v>
      </c>
      <c r="AB251" s="6">
        <f t="shared" si="1615"/>
        <v>28</v>
      </c>
      <c r="AC251" s="6">
        <f t="shared" si="1615"/>
        <v>29</v>
      </c>
      <c r="AD251" s="6">
        <f t="shared" si="1615"/>
        <v>30</v>
      </c>
      <c r="AE251" s="6">
        <f t="shared" si="1615"/>
        <v>31</v>
      </c>
      <c r="AF251" s="6">
        <f t="shared" si="1615"/>
        <v>32</v>
      </c>
      <c r="AG251" s="6">
        <f t="shared" si="1615"/>
        <v>33</v>
      </c>
      <c r="AH251" s="6">
        <f t="shared" si="1615"/>
        <v>34</v>
      </c>
      <c r="AI251" s="6">
        <f t="shared" si="1615"/>
        <v>35</v>
      </c>
      <c r="AJ251" s="6">
        <f t="shared" si="1615"/>
        <v>36</v>
      </c>
      <c r="AK251" s="6">
        <f t="shared" si="1615"/>
        <v>37</v>
      </c>
      <c r="AL251" s="6">
        <f t="shared" si="1615"/>
        <v>38</v>
      </c>
      <c r="AM251" s="6">
        <f t="shared" si="1615"/>
        <v>39</v>
      </c>
      <c r="AN251" s="6">
        <f t="shared" si="1615"/>
        <v>40</v>
      </c>
      <c r="AO251" s="6">
        <f t="shared" si="1615"/>
        <v>41</v>
      </c>
      <c r="AP251" s="6">
        <f t="shared" si="1615"/>
        <v>42</v>
      </c>
      <c r="AQ251" s="6">
        <f t="shared" si="1615"/>
        <v>43</v>
      </c>
      <c r="AR251" s="6">
        <f t="shared" si="1615"/>
        <v>44</v>
      </c>
      <c r="AS251" s="6">
        <f t="shared" si="1615"/>
        <v>45</v>
      </c>
      <c r="AT251" s="6">
        <f t="shared" si="1615"/>
        <v>46</v>
      </c>
      <c r="AU251" s="6">
        <f t="shared" si="1615"/>
        <v>47</v>
      </c>
      <c r="AV251" s="6">
        <f t="shared" si="1615"/>
        <v>48</v>
      </c>
      <c r="AW251" s="6">
        <f t="shared" si="1615"/>
        <v>49</v>
      </c>
      <c r="AX251" s="6">
        <f t="shared" si="1615"/>
        <v>50</v>
      </c>
      <c r="AY251" s="6">
        <f t="shared" si="1615"/>
        <v>51</v>
      </c>
      <c r="AZ251" s="6">
        <f t="shared" si="1615"/>
        <v>52</v>
      </c>
      <c r="BA251" s="6">
        <f t="shared" si="1615"/>
        <v>53</v>
      </c>
      <c r="BB251" s="6">
        <f t="shared" si="1615"/>
        <v>54</v>
      </c>
      <c r="BC251" s="6">
        <f t="shared" si="1615"/>
        <v>55</v>
      </c>
      <c r="BD251" s="6">
        <f t="shared" si="1615"/>
        <v>56</v>
      </c>
      <c r="BE251" s="6">
        <f t="shared" si="1615"/>
        <v>57</v>
      </c>
      <c r="BF251" s="6">
        <f t="shared" si="1615"/>
        <v>58</v>
      </c>
      <c r="BG251" s="6">
        <f t="shared" si="1615"/>
        <v>59</v>
      </c>
      <c r="BH251" s="6">
        <f t="shared" si="1615"/>
        <v>60</v>
      </c>
      <c r="BI251" s="6">
        <f t="shared" si="1615"/>
        <v>61</v>
      </c>
      <c r="BJ251" s="6">
        <f t="shared" si="1615"/>
        <v>62</v>
      </c>
      <c r="BK251" s="6">
        <f t="shared" si="1615"/>
        <v>63</v>
      </c>
      <c r="BL251" s="6">
        <f t="shared" si="1615"/>
        <v>64</v>
      </c>
      <c r="BM251" s="6">
        <f t="shared" si="1615"/>
        <v>65</v>
      </c>
      <c r="BN251" s="6">
        <f t="shared" si="1615"/>
        <v>66</v>
      </c>
      <c r="BO251" s="6">
        <f t="shared" si="1615"/>
        <v>67</v>
      </c>
      <c r="BP251" s="6">
        <f t="shared" ref="BP251:CJ251" si="1616">BO251+1</f>
        <v>68</v>
      </c>
      <c r="BQ251" s="6">
        <f t="shared" si="1616"/>
        <v>69</v>
      </c>
      <c r="BR251" s="6">
        <f t="shared" si="1616"/>
        <v>70</v>
      </c>
      <c r="BS251" s="6">
        <f t="shared" si="1616"/>
        <v>71</v>
      </c>
      <c r="BT251" s="6">
        <f t="shared" si="1616"/>
        <v>72</v>
      </c>
      <c r="BU251" s="6">
        <f t="shared" si="1616"/>
        <v>73</v>
      </c>
      <c r="BV251" s="6">
        <f t="shared" si="1616"/>
        <v>74</v>
      </c>
      <c r="BW251" s="6">
        <f t="shared" si="1616"/>
        <v>75</v>
      </c>
      <c r="BX251" s="6">
        <f t="shared" si="1616"/>
        <v>76</v>
      </c>
      <c r="BY251" s="6">
        <f t="shared" si="1616"/>
        <v>77</v>
      </c>
      <c r="BZ251" s="6">
        <f t="shared" si="1616"/>
        <v>78</v>
      </c>
      <c r="CA251" s="6">
        <f t="shared" si="1616"/>
        <v>79</v>
      </c>
      <c r="CB251" s="6">
        <f t="shared" si="1616"/>
        <v>80</v>
      </c>
      <c r="CC251" s="6">
        <f t="shared" si="1616"/>
        <v>81</v>
      </c>
      <c r="CD251" s="6">
        <f t="shared" si="1616"/>
        <v>82</v>
      </c>
      <c r="CE251" s="6">
        <f t="shared" si="1616"/>
        <v>83</v>
      </c>
      <c r="CF251" s="6">
        <f t="shared" si="1616"/>
        <v>84</v>
      </c>
      <c r="CG251" s="6">
        <f t="shared" si="1616"/>
        <v>85</v>
      </c>
      <c r="CH251" s="6">
        <f t="shared" si="1616"/>
        <v>86</v>
      </c>
      <c r="CI251" s="6">
        <f t="shared" si="1616"/>
        <v>87</v>
      </c>
      <c r="CJ251" s="6">
        <f t="shared" si="1616"/>
        <v>88</v>
      </c>
    </row>
    <row r="252" spans="1:88" x14ac:dyDescent="0.3">
      <c r="A252" t="s">
        <v>121</v>
      </c>
      <c r="B252" s="33"/>
      <c r="C252" s="6"/>
      <c r="D252" s="6"/>
      <c r="E252" s="6">
        <f>IF(E$4=Support!$A$17,1,0)</f>
        <v>0</v>
      </c>
      <c r="F252" s="6">
        <f>IF(F$4=Support!$A$17,1,0)</f>
        <v>0</v>
      </c>
      <c r="G252" s="6">
        <f>IF(G$4=Support!$A$17,1,0)</f>
        <v>0</v>
      </c>
      <c r="H252" s="6">
        <f>IF(H$4=Support!$A$17,1,0)</f>
        <v>0</v>
      </c>
      <c r="I252" s="6">
        <f>IF(I$4=Support!$A$17,1,0)</f>
        <v>0</v>
      </c>
      <c r="J252" s="6">
        <f>IF(J$4=Support!$A$17,1,0)</f>
        <v>0</v>
      </c>
      <c r="K252" s="6">
        <f>IF(K$4=Support!$A$17,1,0)</f>
        <v>0</v>
      </c>
      <c r="L252" s="6">
        <f>IF(L$4=Support!$A$17,1,0)</f>
        <v>0</v>
      </c>
      <c r="M252" s="6">
        <f>IF(M$4=Support!$A$17,1,0)</f>
        <v>0</v>
      </c>
      <c r="N252" s="6">
        <f>IF(N$4=Support!$A$17,1,0)</f>
        <v>0</v>
      </c>
      <c r="O252" s="6">
        <f>IF(O$4=Support!$A$17,1,0)</f>
        <v>0</v>
      </c>
      <c r="P252" s="6">
        <f>IF(P$4=Support!$A$17,1,0)</f>
        <v>0</v>
      </c>
      <c r="Q252" s="6">
        <f>IF(Q$4=Support!$A$17,1,0)</f>
        <v>0</v>
      </c>
      <c r="R252" s="6">
        <f>IF(R$4=Support!$A$17,1,0)</f>
        <v>0</v>
      </c>
      <c r="S252" s="6">
        <f>IF(S$4=Support!$A$17,1,0)</f>
        <v>0</v>
      </c>
      <c r="T252" s="6">
        <f>IF(T$4=Support!$A$17,1,0)</f>
        <v>0</v>
      </c>
      <c r="U252" s="6">
        <f>IF(U$4=Support!$A$17,1,0)</f>
        <v>0</v>
      </c>
      <c r="V252" s="6">
        <f>IF(V$4=Support!$A$17,1,0)</f>
        <v>0</v>
      </c>
      <c r="W252" s="6">
        <f>IF(W$4=Support!$A$17,1,0)</f>
        <v>0</v>
      </c>
      <c r="X252" s="6">
        <f>IF(X$4=Support!$A$17,1,0)</f>
        <v>0</v>
      </c>
      <c r="Y252" s="6">
        <f>IF(Y$4=Support!$A$17,1,0)</f>
        <v>0</v>
      </c>
      <c r="Z252" s="6">
        <f>IF(Z$4=Support!$A$17,1,0)</f>
        <v>0</v>
      </c>
      <c r="AA252" s="6">
        <f>IF(AA$4=Support!$A$17,1,0)</f>
        <v>1</v>
      </c>
      <c r="AB252" s="6">
        <f>IF(AB$4=Support!$A$17,1,0)</f>
        <v>0</v>
      </c>
      <c r="AC252" s="6">
        <f>IF(AC$4=Support!$A$17,1,0)</f>
        <v>0</v>
      </c>
      <c r="AD252" s="6">
        <f>IF(AD$4=Support!$A$17,1,0)</f>
        <v>0</v>
      </c>
      <c r="AE252" s="6">
        <f>IF(AE$4=Support!$A$17,1,0)</f>
        <v>0</v>
      </c>
      <c r="AF252" s="6">
        <f>IF(AF$4=Support!$A$17,1,0)</f>
        <v>0</v>
      </c>
      <c r="AG252" s="6">
        <f>IF(AG$4=Support!$A$17,1,0)</f>
        <v>0</v>
      </c>
      <c r="AH252" s="6">
        <f>IF(AH$4=Support!$A$17,1,0)</f>
        <v>0</v>
      </c>
      <c r="AI252" s="6">
        <f>IF(AI$4=Support!$A$17,1,0)</f>
        <v>0</v>
      </c>
      <c r="AJ252" s="6">
        <f>IF(AJ$4=Support!$A$17,1,0)</f>
        <v>0</v>
      </c>
      <c r="AK252" s="6">
        <f>IF(AK$4=Support!$A$17,1,0)</f>
        <v>0</v>
      </c>
      <c r="AL252" s="6">
        <f>IF(AL$4=Support!$A$17,1,0)</f>
        <v>0</v>
      </c>
      <c r="AM252" s="6">
        <f>IF(AM$4=Support!$A$17,1,0)</f>
        <v>0</v>
      </c>
      <c r="AN252" s="6">
        <f>IF(AN$4=Support!$A$17,1,0)</f>
        <v>0</v>
      </c>
      <c r="AO252" s="6">
        <f>IF(AO$4=Support!$A$17,1,0)</f>
        <v>0</v>
      </c>
      <c r="AP252" s="6">
        <f>IF(AP$4=Support!$A$17,1,0)</f>
        <v>0</v>
      </c>
      <c r="AQ252" s="6">
        <f>IF(AQ$4=Support!$A$17,1,0)</f>
        <v>0</v>
      </c>
      <c r="AR252" s="6">
        <f>IF(AR$4=Support!$A$17,1,0)</f>
        <v>0</v>
      </c>
      <c r="AS252" s="6">
        <f>IF(AS$4=Support!$A$17,1,0)</f>
        <v>0</v>
      </c>
      <c r="AT252" s="6">
        <f>IF(AT$4=Support!$A$17,1,0)</f>
        <v>0</v>
      </c>
      <c r="AU252" s="6">
        <f>IF(AU$4=Support!$A$17,1,0)</f>
        <v>0</v>
      </c>
      <c r="AV252" s="6">
        <f>IF(AV$4=Support!$A$17,1,0)</f>
        <v>0</v>
      </c>
      <c r="AW252" s="6">
        <f>IF(AW$4=Support!$A$17,1,0)</f>
        <v>0</v>
      </c>
      <c r="AX252" s="6">
        <f>IF(AX$4=Support!$A$17,1,0)</f>
        <v>0</v>
      </c>
      <c r="AY252" s="6">
        <f>IF(AY$4=Support!$A$17,1,0)</f>
        <v>0</v>
      </c>
      <c r="AZ252" s="6">
        <f>IF(AZ$4=Support!$A$17,1,0)</f>
        <v>0</v>
      </c>
      <c r="BA252" s="6">
        <f>IF(BA$4=Support!$A$17,1,0)</f>
        <v>0</v>
      </c>
      <c r="BB252" s="6">
        <f>IF(BB$4=Support!$A$17,1,0)</f>
        <v>0</v>
      </c>
      <c r="BC252" s="6">
        <f>IF(BC$4=Support!$A$17,1,0)</f>
        <v>0</v>
      </c>
      <c r="BD252" s="6">
        <f>IF(BD$4=Support!$A$17,1,0)</f>
        <v>0</v>
      </c>
      <c r="BE252" s="6">
        <f>IF(BE$4=Support!$A$17,1,0)</f>
        <v>0</v>
      </c>
      <c r="BF252" s="6">
        <f>IF(BF$4=Support!$A$17,1,0)</f>
        <v>0</v>
      </c>
      <c r="BG252" s="6">
        <f>IF(BG$4=Support!$A$17,1,0)</f>
        <v>0</v>
      </c>
      <c r="BH252" s="6">
        <f>IF(BH$4=Support!$A$17,1,0)</f>
        <v>0</v>
      </c>
      <c r="BI252" s="6">
        <f>IF(BI$4=Support!$A$17,1,0)</f>
        <v>0</v>
      </c>
      <c r="BJ252" s="6">
        <f>IF(BJ$4=Support!$A$17,1,0)</f>
        <v>0</v>
      </c>
      <c r="BK252" s="6">
        <f>IF(BK$4=Support!$A$17,1,0)</f>
        <v>0</v>
      </c>
      <c r="BL252" s="6">
        <f>IF(BL$4=Support!$A$17,1,0)</f>
        <v>0</v>
      </c>
      <c r="BM252" s="6">
        <f>IF(BM$4=Support!$A$17,1,0)</f>
        <v>0</v>
      </c>
      <c r="BN252" s="6">
        <f>IF(BN$4=Support!$A$17,1,0)</f>
        <v>0</v>
      </c>
      <c r="BO252" s="6">
        <f>IF(BO$4=Support!$A$17,1,0)</f>
        <v>0</v>
      </c>
      <c r="BP252" s="6">
        <f>IF(BP$4=Support!$A$17,1,0)</f>
        <v>0</v>
      </c>
      <c r="BQ252" s="6">
        <f>IF(BQ$4=Support!$A$17,1,0)</f>
        <v>0</v>
      </c>
      <c r="BR252" s="6">
        <f>IF(BR$4=Support!$A$17,1,0)</f>
        <v>0</v>
      </c>
      <c r="BS252" s="6">
        <f>IF(BS$4=Support!$A$17,1,0)</f>
        <v>0</v>
      </c>
      <c r="BT252" s="6">
        <f>IF(BT$4=Support!$A$17,1,0)</f>
        <v>0</v>
      </c>
      <c r="BU252" s="6">
        <f>IF(BU$4=Support!$A$17,1,0)</f>
        <v>0</v>
      </c>
      <c r="BV252" s="6">
        <f>IF(BV$4=Support!$A$17,1,0)</f>
        <v>0</v>
      </c>
      <c r="BW252" s="6">
        <f>IF(BW$4=Support!$A$17,1,0)</f>
        <v>0</v>
      </c>
      <c r="BX252" s="6">
        <f>IF(BX$4=Support!$A$17,1,0)</f>
        <v>0</v>
      </c>
    </row>
    <row r="253" spans="1:88" x14ac:dyDescent="0.3">
      <c r="A253" t="s">
        <v>153</v>
      </c>
      <c r="B253" s="33"/>
      <c r="C253" s="6"/>
      <c r="D253" s="6"/>
      <c r="E253" s="6">
        <v>0</v>
      </c>
      <c r="F253" s="6">
        <v>0</v>
      </c>
      <c r="G253" s="6">
        <v>0</v>
      </c>
      <c r="H253" s="6">
        <v>0</v>
      </c>
      <c r="I253" s="6">
        <v>0</v>
      </c>
      <c r="J253" s="6">
        <v>0</v>
      </c>
      <c r="K253" s="6">
        <v>0</v>
      </c>
      <c r="L253" s="6">
        <v>0</v>
      </c>
      <c r="M253" s="6">
        <v>0</v>
      </c>
      <c r="N253" s="6">
        <v>0</v>
      </c>
      <c r="O253" s="6">
        <v>0</v>
      </c>
      <c r="P253" s="6">
        <v>0</v>
      </c>
      <c r="Q253" s="6">
        <f>IF(Q4&lt;=Support!$A$17,1,0)</f>
        <v>1</v>
      </c>
      <c r="R253" s="6">
        <f>IF(R4&lt;=Support!$A$17,1,0)</f>
        <v>1</v>
      </c>
      <c r="S253" s="6">
        <f>IF(S4&lt;=Support!$A$17,1,0)</f>
        <v>1</v>
      </c>
      <c r="T253" s="6">
        <f>IF(T4&lt;=Support!$A$17,1,0)</f>
        <v>1</v>
      </c>
      <c r="U253" s="6">
        <f>IF(U4&lt;=Support!$A$17,1,0)</f>
        <v>1</v>
      </c>
      <c r="V253" s="6">
        <f>IF(V4&lt;=Support!$A$17,1,0)</f>
        <v>1</v>
      </c>
      <c r="W253" s="6">
        <f>IF(W4&lt;=Support!$A$17,1,0)</f>
        <v>1</v>
      </c>
      <c r="X253" s="6">
        <f>IF(X4&lt;=Support!$A$17,1,0)</f>
        <v>1</v>
      </c>
      <c r="Y253" s="6">
        <f>IF(Y4&lt;=Support!$A$17,1,0)</f>
        <v>1</v>
      </c>
      <c r="Z253" s="6">
        <f>IF(Z4&lt;=Support!$A$17,1,0)</f>
        <v>1</v>
      </c>
      <c r="AA253" s="6">
        <f>IF(AA4&lt;=Support!$A$17,1,0)</f>
        <v>1</v>
      </c>
      <c r="AB253" s="6">
        <f>IF(AB4&lt;=Support!$A$17,1,0)</f>
        <v>0</v>
      </c>
      <c r="AC253" s="6">
        <f>IF(AC4&lt;=Support!$A$17,1,0)</f>
        <v>0</v>
      </c>
      <c r="AD253" s="6">
        <f>IF(AD4&lt;=Support!$A$17,1,0)</f>
        <v>0</v>
      </c>
      <c r="AE253" s="6">
        <f>IF(AE4&lt;=Support!$A$17,1,0)</f>
        <v>0</v>
      </c>
      <c r="AF253" s="6">
        <f>IF(AF4&lt;=Support!$A$17,1,0)</f>
        <v>0</v>
      </c>
      <c r="AG253" s="6">
        <f>IF(AG4&lt;=Support!$A$17,1,0)</f>
        <v>0</v>
      </c>
      <c r="AH253" s="6">
        <f>IF(AH4&lt;=Support!$A$17,1,0)</f>
        <v>0</v>
      </c>
      <c r="AI253" s="6">
        <f>IF(AI4&lt;=Support!$A$17,1,0)</f>
        <v>0</v>
      </c>
      <c r="AJ253" s="6">
        <f>IF(AJ4&lt;=Support!$A$17,1,0)</f>
        <v>0</v>
      </c>
      <c r="AK253" s="6">
        <f>IF(AK4&lt;=Support!$A$17,1,0)</f>
        <v>0</v>
      </c>
      <c r="AL253" s="6">
        <f>IF(AL4&lt;=Support!$A$17,1,0)</f>
        <v>0</v>
      </c>
      <c r="AM253" s="6">
        <f>IF(AM4&lt;=Support!$A$17,1,0)</f>
        <v>0</v>
      </c>
      <c r="AN253" s="6">
        <f>IF(AN4&lt;=Support!$A$17,1,0)</f>
        <v>0</v>
      </c>
      <c r="AO253" s="6">
        <f>IF(AO4&lt;=Support!$A$17,1,0)</f>
        <v>0</v>
      </c>
      <c r="AP253" s="6">
        <f>IF(AP4&lt;=Support!$A$17,1,0)</f>
        <v>0</v>
      </c>
      <c r="AQ253" s="6">
        <f>IF(AQ4&lt;=Support!$A$17,1,0)</f>
        <v>0</v>
      </c>
      <c r="AR253" s="6">
        <f>IF(AR4&lt;=Support!$A$17,1,0)</f>
        <v>0</v>
      </c>
      <c r="AS253" s="6">
        <f>IF(AS4&lt;=Support!$A$17,1,0)</f>
        <v>0</v>
      </c>
      <c r="AT253" s="6">
        <f>IF(AT4&lt;=Support!$A$17,1,0)</f>
        <v>0</v>
      </c>
      <c r="AU253" s="6">
        <f>IF(AU4&lt;=Support!$A$17,1,0)</f>
        <v>0</v>
      </c>
      <c r="AV253" s="6">
        <f>IF(AV4&lt;=Support!$A$17,1,0)</f>
        <v>0</v>
      </c>
      <c r="AW253" s="6">
        <f>IF(AW4&lt;=Support!$A$17,1,0)</f>
        <v>0</v>
      </c>
      <c r="AX253" s="6">
        <f>IF(AX4&lt;=Support!$A$17,1,0)</f>
        <v>0</v>
      </c>
      <c r="AY253" s="6">
        <f>IF(AY4&lt;=Support!$A$17,1,0)</f>
        <v>0</v>
      </c>
      <c r="AZ253" s="6">
        <f>IF(AZ4&lt;=Support!$A$17,1,0)</f>
        <v>0</v>
      </c>
      <c r="BA253" s="6">
        <f>IF(BA4&lt;=Support!$A$17,1,0)</f>
        <v>0</v>
      </c>
      <c r="BB253" s="6">
        <f>IF(BB4&lt;=Support!$A$17,1,0)</f>
        <v>0</v>
      </c>
      <c r="BC253" s="6">
        <f>IF(BC4&lt;=Support!$A$17,1,0)</f>
        <v>0</v>
      </c>
      <c r="BD253" s="6">
        <f>IF(BD4&lt;=Support!$A$17,1,0)</f>
        <v>0</v>
      </c>
      <c r="BE253" s="6">
        <f>IF(BE4&lt;=Support!$A$17,1,0)</f>
        <v>0</v>
      </c>
      <c r="BF253" s="6">
        <f>IF(BF4&lt;=Support!$A$17,1,0)</f>
        <v>0</v>
      </c>
      <c r="BG253" s="6">
        <f>IF(BG4&lt;=Support!$A$17,1,0)</f>
        <v>0</v>
      </c>
      <c r="BH253" s="6">
        <f>IF(BH4&lt;=Support!$A$17,1,0)</f>
        <v>0</v>
      </c>
      <c r="BI253" s="6">
        <f>IF(BI4&lt;=Support!$A$17,1,0)</f>
        <v>0</v>
      </c>
      <c r="BJ253" s="6">
        <f>IF(BJ4&lt;=Support!$A$17,1,0)</f>
        <v>0</v>
      </c>
      <c r="BK253" s="6">
        <f>IF(BK4&lt;=Support!$A$17,1,0)</f>
        <v>0</v>
      </c>
      <c r="BL253" s="6">
        <f>IF(BL4&lt;=Support!$A$17,1,0)</f>
        <v>0</v>
      </c>
      <c r="BM253" s="6">
        <f>IF(BM4&lt;=Support!$A$17,1,0)</f>
        <v>0</v>
      </c>
      <c r="BN253" s="6">
        <f>IF(BN4&lt;=Support!$A$17,1,0)</f>
        <v>0</v>
      </c>
      <c r="BO253" s="6">
        <f>IF(BO4&lt;=Support!$A$17,1,0)</f>
        <v>0</v>
      </c>
      <c r="BP253" s="6">
        <f>IF(BP4&lt;=Support!$A$17,1,0)</f>
        <v>0</v>
      </c>
      <c r="BQ253" s="6">
        <f>IF(BQ4&lt;=Support!$A$17,1,0)</f>
        <v>0</v>
      </c>
      <c r="BR253" s="6">
        <f>IF(BR4&lt;=Support!$A$17,1,0)</f>
        <v>0</v>
      </c>
      <c r="BS253" s="6">
        <f>IF(BS4&lt;=Support!$A$17,1,0)</f>
        <v>0</v>
      </c>
      <c r="BT253" s="6">
        <f>IF(BT4&lt;=Support!$A$17,1,0)</f>
        <v>0</v>
      </c>
      <c r="BU253" s="6">
        <f>IF(BU4&lt;=Support!$A$17,1,0)</f>
        <v>0</v>
      </c>
      <c r="BV253" s="6">
        <f>IF(BV4&lt;=Support!$A$17,1,0)</f>
        <v>0</v>
      </c>
      <c r="BW253" s="6">
        <f>IF(BW4&lt;=Support!$A$17,1,0)</f>
        <v>0</v>
      </c>
      <c r="BX253" s="6">
        <f>IF(BX4&lt;=Support!$A$17,1,0)</f>
        <v>0</v>
      </c>
    </row>
    <row r="254" spans="1:88" x14ac:dyDescent="0.3">
      <c r="B254" s="33"/>
    </row>
    <row r="255" spans="1:88" x14ac:dyDescent="0.3">
      <c r="B255" s="33"/>
      <c r="C255" s="33"/>
      <c r="D255" s="33"/>
      <c r="F255" s="13"/>
      <c r="G255" s="13"/>
      <c r="H255" s="13"/>
      <c r="I255" s="13"/>
      <c r="J255" s="13"/>
    </row>
    <row r="256" spans="1:88" x14ac:dyDescent="0.3">
      <c r="A256" t="s">
        <v>319</v>
      </c>
      <c r="B256" s="33"/>
      <c r="C256" s="33"/>
      <c r="D256" s="33"/>
      <c r="F256" s="13"/>
      <c r="G256" s="13"/>
      <c r="H256" s="13"/>
      <c r="I256" s="13"/>
      <c r="J256" s="13"/>
      <c r="O256" s="13"/>
      <c r="P256" s="13">
        <f t="shared" ref="P256:AU256" si="1617">IF(MONTH(P4)=6,SUM(P57:P67,P87:P92,P115:P120,P144:P154)-SUM(O57:O67,O87:O92,O115:O120,O144:O154),0)</f>
        <v>53713.369999999988</v>
      </c>
      <c r="Q256" s="13">
        <f t="shared" si="1617"/>
        <v>0</v>
      </c>
      <c r="R256" s="13">
        <f t="shared" si="1617"/>
        <v>0</v>
      </c>
      <c r="S256" s="13">
        <f t="shared" si="1617"/>
        <v>0</v>
      </c>
      <c r="T256" s="13">
        <f t="shared" si="1617"/>
        <v>0</v>
      </c>
      <c r="U256" s="13">
        <f t="shared" si="1617"/>
        <v>0</v>
      </c>
      <c r="V256" s="13">
        <f t="shared" si="1617"/>
        <v>0</v>
      </c>
      <c r="W256" s="13">
        <f t="shared" si="1617"/>
        <v>0</v>
      </c>
      <c r="X256" s="13">
        <f t="shared" si="1617"/>
        <v>0</v>
      </c>
      <c r="Y256" s="13">
        <f t="shared" si="1617"/>
        <v>0</v>
      </c>
      <c r="Z256" s="13">
        <f t="shared" si="1617"/>
        <v>0</v>
      </c>
      <c r="AA256" s="13">
        <f t="shared" si="1617"/>
        <v>0</v>
      </c>
      <c r="AB256" s="13">
        <f t="shared" si="1617"/>
        <v>36396.053082406383</v>
      </c>
      <c r="AC256" s="13">
        <f t="shared" si="1617"/>
        <v>0</v>
      </c>
      <c r="AD256" s="13">
        <f t="shared" si="1617"/>
        <v>0</v>
      </c>
      <c r="AE256" s="13">
        <f t="shared" si="1617"/>
        <v>0</v>
      </c>
      <c r="AF256" s="13">
        <f t="shared" si="1617"/>
        <v>0</v>
      </c>
      <c r="AG256" s="13">
        <f t="shared" si="1617"/>
        <v>0</v>
      </c>
      <c r="AH256" s="13">
        <f t="shared" si="1617"/>
        <v>0</v>
      </c>
      <c r="AI256" s="13">
        <f t="shared" si="1617"/>
        <v>0</v>
      </c>
      <c r="AJ256" s="13">
        <f t="shared" si="1617"/>
        <v>0</v>
      </c>
      <c r="AK256" s="13">
        <f t="shared" si="1617"/>
        <v>0</v>
      </c>
      <c r="AL256" s="13">
        <f t="shared" si="1617"/>
        <v>0</v>
      </c>
      <c r="AM256" s="13">
        <f t="shared" si="1617"/>
        <v>0</v>
      </c>
      <c r="AN256" s="13">
        <f t="shared" si="1617"/>
        <v>42011.579067796381</v>
      </c>
      <c r="AO256" s="13">
        <f t="shared" si="1617"/>
        <v>0</v>
      </c>
      <c r="AP256" s="13">
        <f t="shared" si="1617"/>
        <v>0</v>
      </c>
      <c r="AQ256" s="13">
        <f t="shared" si="1617"/>
        <v>0</v>
      </c>
      <c r="AR256" s="13">
        <f t="shared" si="1617"/>
        <v>0</v>
      </c>
      <c r="AS256" s="13">
        <f t="shared" si="1617"/>
        <v>0</v>
      </c>
      <c r="AT256" s="13">
        <f t="shared" si="1617"/>
        <v>0</v>
      </c>
      <c r="AU256" s="13">
        <f t="shared" si="1617"/>
        <v>0</v>
      </c>
      <c r="AV256" s="13">
        <f t="shared" ref="AV256:BX256" si="1618">IF(MONTH(AV4)=6,SUM(AV57:AV67,AV87:AV92,AV115:AV120,AV144:AV154)-SUM(AU57:AU67,AU87:AU92,AU115:AU120,AU144:AU154),0)</f>
        <v>0</v>
      </c>
      <c r="AW256" s="13">
        <f t="shared" si="1618"/>
        <v>0</v>
      </c>
      <c r="AX256" s="13">
        <f t="shared" si="1618"/>
        <v>0</v>
      </c>
      <c r="AY256" s="13">
        <f t="shared" si="1618"/>
        <v>0</v>
      </c>
      <c r="AZ256" s="13">
        <f t="shared" si="1618"/>
        <v>43268.145517380006</v>
      </c>
      <c r="BA256" s="13">
        <f t="shared" si="1618"/>
        <v>0</v>
      </c>
      <c r="BB256" s="13">
        <f t="shared" si="1618"/>
        <v>0</v>
      </c>
      <c r="BC256" s="13">
        <f t="shared" si="1618"/>
        <v>0</v>
      </c>
      <c r="BD256" s="13">
        <f t="shared" si="1618"/>
        <v>0</v>
      </c>
      <c r="BE256" s="13">
        <f t="shared" si="1618"/>
        <v>0</v>
      </c>
      <c r="BF256" s="13">
        <f t="shared" si="1618"/>
        <v>0</v>
      </c>
      <c r="BG256" s="13">
        <f t="shared" si="1618"/>
        <v>0</v>
      </c>
      <c r="BH256" s="13">
        <f t="shared" si="1618"/>
        <v>0</v>
      </c>
      <c r="BI256" s="13">
        <f t="shared" si="1618"/>
        <v>0</v>
      </c>
      <c r="BJ256" s="13">
        <f t="shared" si="1618"/>
        <v>0</v>
      </c>
      <c r="BK256" s="13">
        <f t="shared" si="1618"/>
        <v>0</v>
      </c>
      <c r="BL256" s="13">
        <f t="shared" si="1618"/>
        <v>48272.04244388621</v>
      </c>
      <c r="BM256" s="13">
        <f t="shared" si="1618"/>
        <v>0</v>
      </c>
      <c r="BN256" s="13">
        <f t="shared" si="1618"/>
        <v>0</v>
      </c>
      <c r="BO256" s="13">
        <f t="shared" si="1618"/>
        <v>0</v>
      </c>
      <c r="BP256" s="13">
        <f t="shared" si="1618"/>
        <v>0</v>
      </c>
      <c r="BQ256" s="13">
        <f t="shared" si="1618"/>
        <v>0</v>
      </c>
      <c r="BR256" s="13">
        <f t="shared" si="1618"/>
        <v>0</v>
      </c>
      <c r="BS256" s="13">
        <f t="shared" si="1618"/>
        <v>0</v>
      </c>
      <c r="BT256" s="13">
        <f t="shared" si="1618"/>
        <v>0</v>
      </c>
      <c r="BU256" s="13">
        <f t="shared" si="1618"/>
        <v>0</v>
      </c>
      <c r="BV256" s="13">
        <f t="shared" si="1618"/>
        <v>0</v>
      </c>
      <c r="BW256" s="13">
        <f t="shared" si="1618"/>
        <v>0</v>
      </c>
      <c r="BX256" s="13">
        <f t="shared" si="1618"/>
        <v>49720.207754088449</v>
      </c>
    </row>
    <row r="257" spans="1:79" x14ac:dyDescent="0.3">
      <c r="B257" s="33"/>
      <c r="C257" s="33"/>
      <c r="D257" s="33"/>
      <c r="F257" s="13"/>
      <c r="G257" s="13"/>
      <c r="H257" s="13"/>
      <c r="I257" s="13"/>
      <c r="J257" s="13"/>
      <c r="Q257" s="113"/>
    </row>
    <row r="258" spans="1:79" x14ac:dyDescent="0.3">
      <c r="A258" s="24" t="s">
        <v>371</v>
      </c>
      <c r="B258" s="93"/>
      <c r="C258" s="93"/>
      <c r="D258" s="93"/>
      <c r="E258" s="90"/>
      <c r="F258" s="90"/>
      <c r="G258" s="90"/>
      <c r="H258" s="90"/>
      <c r="I258" s="90"/>
      <c r="J258" s="88"/>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c r="BM258" s="90"/>
      <c r="BN258" s="90"/>
      <c r="BO258" s="90"/>
      <c r="BP258" s="90"/>
      <c r="BQ258" s="90"/>
      <c r="BR258" s="90"/>
      <c r="BS258" s="90"/>
      <c r="BT258" s="90"/>
      <c r="BU258" s="90"/>
      <c r="BV258" s="90"/>
      <c r="BW258" s="90"/>
      <c r="BX258" s="90"/>
      <c r="BY258" s="91"/>
      <c r="BZ258" s="91"/>
      <c r="CA258" s="91"/>
    </row>
    <row r="259" spans="1:79" x14ac:dyDescent="0.3">
      <c r="A259" s="127" t="s">
        <v>370</v>
      </c>
      <c r="E259" s="52">
        <f t="shared" ref="E259:X259" si="1619">E45/E19*12</f>
        <v>15117.909230769232</v>
      </c>
      <c r="F259" s="52">
        <f t="shared" si="1619"/>
        <v>0</v>
      </c>
      <c r="G259" s="52">
        <f t="shared" si="1619"/>
        <v>5150.9919567567576</v>
      </c>
      <c r="H259" s="52">
        <f t="shared" si="1619"/>
        <v>14718.87351351351</v>
      </c>
      <c r="I259" s="52">
        <f t="shared" si="1619"/>
        <v>0</v>
      </c>
      <c r="J259" s="52">
        <f t="shared" si="1619"/>
        <v>12406.248421052631</v>
      </c>
      <c r="K259" s="52">
        <f t="shared" si="1619"/>
        <v>0</v>
      </c>
      <c r="L259" s="52">
        <f t="shared" si="1619"/>
        <v>6924.3552417391365</v>
      </c>
      <c r="M259" s="52">
        <f t="shared" si="1619"/>
        <v>6455.241769911504</v>
      </c>
      <c r="N259" s="52">
        <f t="shared" si="1619"/>
        <v>13629.845309734515</v>
      </c>
      <c r="O259" s="52">
        <f t="shared" si="1619"/>
        <v>102.38230088495575</v>
      </c>
      <c r="P259" s="52">
        <f t="shared" si="1619"/>
        <v>8127.2325663716811</v>
      </c>
      <c r="Q259" s="52">
        <f t="shared" si="1619"/>
        <v>4964.4658407079642</v>
      </c>
      <c r="R259" s="52">
        <f t="shared" si="1619"/>
        <v>6823.1941747572819</v>
      </c>
      <c r="S259" s="52">
        <f t="shared" si="1619"/>
        <v>6963.8138613861374</v>
      </c>
      <c r="T259" s="52">
        <f t="shared" si="1619"/>
        <v>6699.6986138613856</v>
      </c>
      <c r="U259" s="52">
        <f t="shared" si="1619"/>
        <v>8454.4824000000008</v>
      </c>
      <c r="V259" s="52">
        <f t="shared" si="1619"/>
        <v>7464.988163265305</v>
      </c>
      <c r="W259" s="52">
        <f t="shared" si="1619"/>
        <v>7389.5842424242428</v>
      </c>
      <c r="X259" s="52">
        <f t="shared" si="1619"/>
        <v>6805.2906122448985</v>
      </c>
      <c r="Y259" s="132">
        <v>7260.13</v>
      </c>
      <c r="Z259" s="402">
        <f>Y259*(1+Z260)</f>
        <v>7260.13</v>
      </c>
      <c r="AA259" s="402">
        <f>Z259*(1+AA260)</f>
        <v>7260.13</v>
      </c>
      <c r="AB259" s="402">
        <f>AA259*(1+AB260)</f>
        <v>7260.13</v>
      </c>
      <c r="AC259" s="402">
        <f>AB259*(1+AC260)</f>
        <v>7260.13</v>
      </c>
      <c r="AD259" s="402">
        <f>AC259*(1+AD260)</f>
        <v>7356.6897290000006</v>
      </c>
      <c r="AE259" s="402">
        <f t="shared" ref="AE259:BX259" si="1620">AD259*(1+AE260)</f>
        <v>7356.6897290000006</v>
      </c>
      <c r="AF259" s="402">
        <f t="shared" si="1620"/>
        <v>7356.6897290000006</v>
      </c>
      <c r="AG259" s="402">
        <f t="shared" si="1620"/>
        <v>7356.6897290000006</v>
      </c>
      <c r="AH259" s="402">
        <f t="shared" si="1620"/>
        <v>7356.6897290000006</v>
      </c>
      <c r="AI259" s="402">
        <f t="shared" si="1620"/>
        <v>7356.6897290000006</v>
      </c>
      <c r="AJ259" s="402">
        <f t="shared" si="1620"/>
        <v>7356.6897290000006</v>
      </c>
      <c r="AK259" s="402">
        <f t="shared" si="1620"/>
        <v>7356.6897290000006</v>
      </c>
      <c r="AL259" s="402">
        <f t="shared" si="1620"/>
        <v>7356.6897290000006</v>
      </c>
      <c r="AM259" s="402">
        <f t="shared" si="1620"/>
        <v>7356.6897290000006</v>
      </c>
      <c r="AN259" s="402">
        <f t="shared" si="1620"/>
        <v>7356.6897290000006</v>
      </c>
      <c r="AO259" s="402">
        <f t="shared" si="1620"/>
        <v>7356.6897290000006</v>
      </c>
      <c r="AP259" s="402">
        <f t="shared" si="1620"/>
        <v>7577.3904208700005</v>
      </c>
      <c r="AQ259" s="402">
        <f t="shared" si="1620"/>
        <v>7577.3904208700005</v>
      </c>
      <c r="AR259" s="402">
        <f t="shared" si="1620"/>
        <v>7577.3904208700005</v>
      </c>
      <c r="AS259" s="402">
        <f t="shared" si="1620"/>
        <v>7577.3904208700005</v>
      </c>
      <c r="AT259" s="402">
        <f t="shared" si="1620"/>
        <v>7577.3904208700005</v>
      </c>
      <c r="AU259" s="402">
        <f t="shared" si="1620"/>
        <v>7577.3904208700005</v>
      </c>
      <c r="AV259" s="402">
        <f t="shared" si="1620"/>
        <v>7577.3904208700005</v>
      </c>
      <c r="AW259" s="402">
        <f t="shared" si="1620"/>
        <v>7577.3904208700005</v>
      </c>
      <c r="AX259" s="402">
        <f t="shared" si="1620"/>
        <v>7577.3904208700005</v>
      </c>
      <c r="AY259" s="402">
        <f t="shared" si="1620"/>
        <v>7577.3904208700005</v>
      </c>
      <c r="AZ259" s="402">
        <f t="shared" si="1620"/>
        <v>7577.3904208700005</v>
      </c>
      <c r="BA259" s="402">
        <f t="shared" si="1620"/>
        <v>7577.3904208700005</v>
      </c>
      <c r="BB259" s="402">
        <f t="shared" si="1620"/>
        <v>7709.9947532352262</v>
      </c>
      <c r="BC259" s="402">
        <f t="shared" si="1620"/>
        <v>7709.9947532352262</v>
      </c>
      <c r="BD259" s="402">
        <f t="shared" si="1620"/>
        <v>7709.9947532352262</v>
      </c>
      <c r="BE259" s="402">
        <f t="shared" si="1620"/>
        <v>7709.9947532352262</v>
      </c>
      <c r="BF259" s="402">
        <f t="shared" si="1620"/>
        <v>7709.9947532352262</v>
      </c>
      <c r="BG259" s="402">
        <f t="shared" si="1620"/>
        <v>7709.9947532352262</v>
      </c>
      <c r="BH259" s="402">
        <f t="shared" si="1620"/>
        <v>7709.9947532352262</v>
      </c>
      <c r="BI259" s="402">
        <f t="shared" si="1620"/>
        <v>7709.9947532352262</v>
      </c>
      <c r="BJ259" s="402">
        <f t="shared" si="1620"/>
        <v>7709.9947532352262</v>
      </c>
      <c r="BK259" s="402">
        <f t="shared" si="1620"/>
        <v>7709.9947532352262</v>
      </c>
      <c r="BL259" s="402">
        <f t="shared" si="1620"/>
        <v>7709.9947532352262</v>
      </c>
      <c r="BM259" s="402">
        <f t="shared" si="1620"/>
        <v>7709.9947532352262</v>
      </c>
      <c r="BN259" s="402">
        <f t="shared" si="1620"/>
        <v>7806.3696876506665</v>
      </c>
      <c r="BO259" s="402">
        <f t="shared" si="1620"/>
        <v>7806.3696876506665</v>
      </c>
      <c r="BP259" s="402">
        <f t="shared" si="1620"/>
        <v>7806.3696876506665</v>
      </c>
      <c r="BQ259" s="402">
        <f t="shared" si="1620"/>
        <v>7806.3696876506665</v>
      </c>
      <c r="BR259" s="402">
        <f t="shared" si="1620"/>
        <v>7806.3696876506665</v>
      </c>
      <c r="BS259" s="402">
        <f t="shared" si="1620"/>
        <v>7806.3696876506665</v>
      </c>
      <c r="BT259" s="402">
        <f t="shared" si="1620"/>
        <v>7806.3696876506665</v>
      </c>
      <c r="BU259" s="402">
        <f t="shared" si="1620"/>
        <v>7806.3696876506665</v>
      </c>
      <c r="BV259" s="402">
        <f t="shared" si="1620"/>
        <v>7806.3696876506665</v>
      </c>
      <c r="BW259" s="402">
        <f t="shared" si="1620"/>
        <v>7806.3696876506665</v>
      </c>
      <c r="BX259" s="402">
        <f t="shared" si="1620"/>
        <v>7806.3696876506665</v>
      </c>
    </row>
    <row r="260" spans="1:79" x14ac:dyDescent="0.3">
      <c r="A260" s="127" t="s">
        <v>405</v>
      </c>
      <c r="E260" s="52"/>
      <c r="F260" s="52"/>
      <c r="G260" s="52"/>
      <c r="H260" s="52"/>
      <c r="I260" s="52"/>
      <c r="J260" s="52"/>
      <c r="K260" s="52"/>
      <c r="L260" s="52"/>
      <c r="M260" s="52"/>
      <c r="N260" s="52"/>
      <c r="O260" s="52"/>
      <c r="P260" s="52"/>
      <c r="Q260" s="52"/>
      <c r="R260" s="52"/>
      <c r="S260" s="52"/>
      <c r="T260" s="52"/>
      <c r="U260" s="52"/>
      <c r="V260" s="52"/>
      <c r="W260" s="52"/>
      <c r="X260" s="52"/>
      <c r="Y260" s="117">
        <v>0</v>
      </c>
      <c r="Z260" s="117">
        <v>0</v>
      </c>
      <c r="AA260" s="117">
        <v>0</v>
      </c>
      <c r="AB260" s="117">
        <v>0</v>
      </c>
      <c r="AC260" s="117">
        <v>0</v>
      </c>
      <c r="AD260" s="403">
        <v>1.3299999999999999E-2</v>
      </c>
      <c r="AE260" s="404">
        <v>0</v>
      </c>
      <c r="AF260" s="404">
        <v>0</v>
      </c>
      <c r="AG260" s="404">
        <v>0</v>
      </c>
      <c r="AH260" s="404">
        <v>0</v>
      </c>
      <c r="AI260" s="404">
        <v>0</v>
      </c>
      <c r="AJ260" s="404">
        <v>0</v>
      </c>
      <c r="AK260" s="404">
        <v>0</v>
      </c>
      <c r="AL260" s="404">
        <v>0</v>
      </c>
      <c r="AM260" s="404">
        <v>0</v>
      </c>
      <c r="AN260" s="404">
        <v>0</v>
      </c>
      <c r="AO260" s="404">
        <v>0</v>
      </c>
      <c r="AP260" s="404">
        <v>0.03</v>
      </c>
      <c r="AQ260" s="404">
        <v>0</v>
      </c>
      <c r="AR260" s="404">
        <v>0</v>
      </c>
      <c r="AS260" s="404">
        <v>0</v>
      </c>
      <c r="AT260" s="404">
        <v>0</v>
      </c>
      <c r="AU260" s="404">
        <v>0</v>
      </c>
      <c r="AV260" s="404">
        <v>0</v>
      </c>
      <c r="AW260" s="404">
        <v>0</v>
      </c>
      <c r="AX260" s="404">
        <v>0</v>
      </c>
      <c r="AY260" s="404">
        <v>0</v>
      </c>
      <c r="AZ260" s="404">
        <v>0</v>
      </c>
      <c r="BA260" s="404">
        <v>0</v>
      </c>
      <c r="BB260" s="404">
        <v>1.7500000000000002E-2</v>
      </c>
      <c r="BC260" s="404">
        <v>0</v>
      </c>
      <c r="BD260" s="404">
        <v>0</v>
      </c>
      <c r="BE260" s="404">
        <v>0</v>
      </c>
      <c r="BF260" s="404">
        <v>0</v>
      </c>
      <c r="BG260" s="404">
        <v>0</v>
      </c>
      <c r="BH260" s="404">
        <v>0</v>
      </c>
      <c r="BI260" s="404">
        <v>0</v>
      </c>
      <c r="BJ260" s="404">
        <v>0</v>
      </c>
      <c r="BK260" s="404">
        <v>0</v>
      </c>
      <c r="BL260" s="404">
        <v>0</v>
      </c>
      <c r="BM260" s="404">
        <v>0</v>
      </c>
      <c r="BN260" s="404">
        <v>1.2500000000000001E-2</v>
      </c>
      <c r="BO260" s="404">
        <v>0</v>
      </c>
      <c r="BP260" s="404">
        <v>0</v>
      </c>
      <c r="BQ260" s="404">
        <v>0</v>
      </c>
      <c r="BR260" s="404">
        <v>0</v>
      </c>
      <c r="BS260" s="404">
        <v>0</v>
      </c>
      <c r="BT260" s="404">
        <v>0</v>
      </c>
      <c r="BU260" s="404">
        <v>0</v>
      </c>
      <c r="BV260" s="404">
        <v>0</v>
      </c>
      <c r="BW260" s="404">
        <v>0</v>
      </c>
      <c r="BX260" s="404">
        <v>0</v>
      </c>
    </row>
    <row r="261" spans="1:79" x14ac:dyDescent="0.3">
      <c r="A261" s="127" t="s">
        <v>406</v>
      </c>
      <c r="E261" s="52"/>
      <c r="F261" s="52"/>
      <c r="G261" s="52"/>
      <c r="H261" s="52"/>
      <c r="I261" s="52"/>
      <c r="J261" s="52"/>
      <c r="K261" s="52"/>
      <c r="L261" s="52"/>
      <c r="M261" s="52"/>
      <c r="N261" s="52"/>
      <c r="O261" s="52"/>
      <c r="P261" s="52"/>
      <c r="Q261" s="52"/>
      <c r="R261" s="52"/>
      <c r="S261" s="52"/>
      <c r="T261" s="52"/>
      <c r="U261" s="52"/>
      <c r="V261" s="52"/>
      <c r="W261" s="52"/>
      <c r="X261" s="52"/>
      <c r="Y261" s="117">
        <v>0</v>
      </c>
      <c r="Z261" s="117">
        <v>0</v>
      </c>
      <c r="AA261" s="117">
        <v>0</v>
      </c>
      <c r="AB261" s="117">
        <v>0</v>
      </c>
      <c r="AC261" s="117">
        <v>0</v>
      </c>
      <c r="AD261" s="403">
        <v>1.3299999999999999E-2</v>
      </c>
      <c r="AE261" s="403">
        <v>1.3299999999999999E-2</v>
      </c>
      <c r="AF261" s="403">
        <v>1.3299999999999999E-2</v>
      </c>
      <c r="AG261" s="403">
        <v>1.3299999999999999E-2</v>
      </c>
      <c r="AH261" s="403">
        <v>1.3299999999999999E-2</v>
      </c>
      <c r="AI261" s="403">
        <v>1.3299999999999999E-2</v>
      </c>
      <c r="AJ261" s="403">
        <v>1.3299999999999999E-2</v>
      </c>
      <c r="AK261" s="403">
        <v>1.3299999999999999E-2</v>
      </c>
      <c r="AL261" s="403">
        <v>1.3299999999999999E-2</v>
      </c>
      <c r="AM261" s="403">
        <v>1.3299999999999999E-2</v>
      </c>
      <c r="AN261" s="403">
        <v>1.3299999999999999E-2</v>
      </c>
      <c r="AO261" s="403">
        <v>1.3299999999999999E-2</v>
      </c>
      <c r="AP261" s="404">
        <v>0.03</v>
      </c>
      <c r="AQ261" s="404">
        <v>0.03</v>
      </c>
      <c r="AR261" s="404">
        <v>0.03</v>
      </c>
      <c r="AS261" s="404">
        <v>0.03</v>
      </c>
      <c r="AT261" s="404">
        <v>0.03</v>
      </c>
      <c r="AU261" s="404">
        <v>0.03</v>
      </c>
      <c r="AV261" s="404">
        <v>0.03</v>
      </c>
      <c r="AW261" s="404">
        <v>0.03</v>
      </c>
      <c r="AX261" s="404">
        <v>0.03</v>
      </c>
      <c r="AY261" s="404">
        <v>0.03</v>
      </c>
      <c r="AZ261" s="404">
        <v>0.03</v>
      </c>
      <c r="BA261" s="404">
        <v>0.03</v>
      </c>
      <c r="BB261" s="404">
        <v>1.7500000000000002E-2</v>
      </c>
      <c r="BC261" s="404">
        <v>1.7500000000000002E-2</v>
      </c>
      <c r="BD261" s="404">
        <v>1.7500000000000002E-2</v>
      </c>
      <c r="BE261" s="404">
        <v>1.7500000000000002E-2</v>
      </c>
      <c r="BF261" s="404">
        <v>1.7500000000000002E-2</v>
      </c>
      <c r="BG261" s="404">
        <v>1.7500000000000002E-2</v>
      </c>
      <c r="BH261" s="404">
        <v>1.7500000000000002E-2</v>
      </c>
      <c r="BI261" s="404">
        <v>1.7500000000000002E-2</v>
      </c>
      <c r="BJ261" s="404">
        <v>1.7500000000000002E-2</v>
      </c>
      <c r="BK261" s="404">
        <v>1.7500000000000002E-2</v>
      </c>
      <c r="BL261" s="404">
        <v>1.7500000000000002E-2</v>
      </c>
      <c r="BM261" s="404">
        <v>1.7500000000000002E-2</v>
      </c>
      <c r="BN261" s="404">
        <v>1.2500000000000001E-2</v>
      </c>
      <c r="BO261" s="404">
        <v>1.2500000000000001E-2</v>
      </c>
      <c r="BP261" s="404">
        <v>1.2500000000000001E-2</v>
      </c>
      <c r="BQ261" s="404">
        <v>1.2500000000000001E-2</v>
      </c>
      <c r="BR261" s="404">
        <v>1.2500000000000001E-2</v>
      </c>
      <c r="BS261" s="404">
        <v>1.2500000000000001E-2</v>
      </c>
      <c r="BT261" s="404">
        <v>1.2500000000000001E-2</v>
      </c>
      <c r="BU261" s="404">
        <v>1.2500000000000001E-2</v>
      </c>
      <c r="BV261" s="404">
        <v>1.2500000000000001E-2</v>
      </c>
      <c r="BW261" s="404">
        <v>1.2500000000000001E-2</v>
      </c>
      <c r="BX261" s="404">
        <v>1.2500000000000001E-2</v>
      </c>
    </row>
    <row r="262" spans="1:79" x14ac:dyDescent="0.3">
      <c r="A262" s="127" t="s">
        <v>404</v>
      </c>
      <c r="E262" s="52"/>
      <c r="F262" s="52"/>
      <c r="G262" s="52"/>
      <c r="H262" s="52"/>
      <c r="I262" s="52"/>
      <c r="J262" s="52"/>
      <c r="K262" s="52"/>
      <c r="L262" s="52"/>
      <c r="M262" s="52"/>
      <c r="N262" s="52"/>
      <c r="O262" s="52"/>
      <c r="P262" s="52"/>
      <c r="Q262" s="52"/>
      <c r="R262" s="52"/>
      <c r="S262" s="52"/>
      <c r="T262" s="52"/>
      <c r="U262" s="52"/>
      <c r="V262" s="52"/>
      <c r="W262" s="52"/>
      <c r="X262" s="117">
        <v>0</v>
      </c>
      <c r="Y262" s="117">
        <v>0</v>
      </c>
      <c r="Z262" s="117">
        <v>0</v>
      </c>
      <c r="AA262" s="117">
        <v>0</v>
      </c>
      <c r="AB262" s="117">
        <v>0</v>
      </c>
      <c r="AC262" s="117">
        <f>5/3-1</f>
        <v>0.66666666666666674</v>
      </c>
      <c r="AD262" s="117">
        <f t="shared" ref="AD262:AN262" si="1621">5/3-1</f>
        <v>0.66666666666666674</v>
      </c>
      <c r="AE262" s="117">
        <f t="shared" si="1621"/>
        <v>0.66666666666666674</v>
      </c>
      <c r="AF262" s="117">
        <f t="shared" si="1621"/>
        <v>0.66666666666666674</v>
      </c>
      <c r="AG262" s="117">
        <f t="shared" si="1621"/>
        <v>0.66666666666666674</v>
      </c>
      <c r="AH262" s="117">
        <f t="shared" si="1621"/>
        <v>0.66666666666666674</v>
      </c>
      <c r="AI262" s="117">
        <f t="shared" si="1621"/>
        <v>0.66666666666666674</v>
      </c>
      <c r="AJ262" s="117">
        <f t="shared" si="1621"/>
        <v>0.66666666666666674</v>
      </c>
      <c r="AK262" s="117">
        <f t="shared" si="1621"/>
        <v>0.66666666666666674</v>
      </c>
      <c r="AL262" s="117">
        <f t="shared" si="1621"/>
        <v>0.66666666666666674</v>
      </c>
      <c r="AM262" s="117">
        <f t="shared" si="1621"/>
        <v>0.66666666666666674</v>
      </c>
      <c r="AN262" s="117">
        <f t="shared" si="1621"/>
        <v>0.66666666666666674</v>
      </c>
      <c r="AO262" s="117">
        <f>6/5-1</f>
        <v>0.19999999999999996</v>
      </c>
      <c r="AP262" s="117">
        <f t="shared" ref="AP262:AZ262" si="1622">6/5-1</f>
        <v>0.19999999999999996</v>
      </c>
      <c r="AQ262" s="117">
        <f t="shared" si="1622"/>
        <v>0.19999999999999996</v>
      </c>
      <c r="AR262" s="117">
        <f t="shared" si="1622"/>
        <v>0.19999999999999996</v>
      </c>
      <c r="AS262" s="117">
        <f t="shared" si="1622"/>
        <v>0.19999999999999996</v>
      </c>
      <c r="AT262" s="117">
        <f t="shared" si="1622"/>
        <v>0.19999999999999996</v>
      </c>
      <c r="AU262" s="117">
        <f t="shared" si="1622"/>
        <v>0.19999999999999996</v>
      </c>
      <c r="AV262" s="117">
        <f t="shared" si="1622"/>
        <v>0.19999999999999996</v>
      </c>
      <c r="AW262" s="117">
        <f t="shared" si="1622"/>
        <v>0.19999999999999996</v>
      </c>
      <c r="AX262" s="117">
        <f t="shared" si="1622"/>
        <v>0.19999999999999996</v>
      </c>
      <c r="AY262" s="117">
        <f t="shared" si="1622"/>
        <v>0.19999999999999996</v>
      </c>
      <c r="AZ262" s="117">
        <f t="shared" si="1622"/>
        <v>0.19999999999999996</v>
      </c>
      <c r="BA262" s="117">
        <v>0.05</v>
      </c>
      <c r="BB262" s="117">
        <v>0.05</v>
      </c>
      <c r="BC262" s="117">
        <v>0.05</v>
      </c>
      <c r="BD262" s="117">
        <v>0.05</v>
      </c>
      <c r="BE262" s="117">
        <v>0.05</v>
      </c>
      <c r="BF262" s="117">
        <v>0.05</v>
      </c>
      <c r="BG262" s="117">
        <v>0.05</v>
      </c>
      <c r="BH262" s="117">
        <v>0.05</v>
      </c>
      <c r="BI262" s="117">
        <v>0.05</v>
      </c>
      <c r="BJ262" s="117">
        <v>0.05</v>
      </c>
      <c r="BK262" s="117">
        <v>0.05</v>
      </c>
      <c r="BL262" s="117">
        <v>0.05</v>
      </c>
      <c r="BM262" s="117">
        <v>0.05</v>
      </c>
      <c r="BN262" s="117">
        <v>0.05</v>
      </c>
      <c r="BO262" s="117">
        <v>0.05</v>
      </c>
      <c r="BP262" s="117">
        <v>0.05</v>
      </c>
      <c r="BQ262" s="117">
        <v>0.05</v>
      </c>
      <c r="BR262" s="117">
        <v>0.05</v>
      </c>
      <c r="BS262" s="117">
        <v>0.05</v>
      </c>
      <c r="BT262" s="117">
        <v>0.05</v>
      </c>
      <c r="BU262" s="117">
        <v>0.05</v>
      </c>
      <c r="BV262" s="117">
        <v>0.05</v>
      </c>
      <c r="BW262" s="117">
        <v>0.05</v>
      </c>
      <c r="BX262" s="117">
        <v>0.05</v>
      </c>
    </row>
    <row r="263" spans="1:79" x14ac:dyDescent="0.3">
      <c r="A263" s="127" t="s">
        <v>373</v>
      </c>
      <c r="F263" s="13"/>
      <c r="G263" s="13"/>
      <c r="H263" s="13"/>
      <c r="I263" s="13"/>
      <c r="J263" s="13"/>
      <c r="P263" s="115" t="s">
        <v>320</v>
      </c>
      <c r="Q263" s="117">
        <v>0.03</v>
      </c>
      <c r="R263" s="117">
        <v>0.03</v>
      </c>
      <c r="S263" s="117">
        <v>0.03</v>
      </c>
      <c r="T263" s="117">
        <v>0.03</v>
      </c>
      <c r="U263" s="117">
        <v>0.03</v>
      </c>
      <c r="V263" s="117">
        <v>0.03</v>
      </c>
      <c r="W263" s="117">
        <v>0.03</v>
      </c>
      <c r="X263" s="117">
        <v>0.03</v>
      </c>
      <c r="Y263" s="117">
        <v>0.03</v>
      </c>
      <c r="Z263" s="117">
        <v>0.03</v>
      </c>
      <c r="AA263" s="117">
        <v>0.03</v>
      </c>
      <c r="AB263" s="117">
        <v>0.03</v>
      </c>
      <c r="AC263" s="117">
        <v>0.03</v>
      </c>
      <c r="AD263" s="117">
        <v>0.03</v>
      </c>
      <c r="AE263" s="117">
        <v>0.03</v>
      </c>
      <c r="AF263" s="117">
        <v>0.03</v>
      </c>
      <c r="AG263" s="117">
        <v>0.03</v>
      </c>
      <c r="AH263" s="117">
        <v>0.03</v>
      </c>
      <c r="AI263" s="117">
        <v>0.03</v>
      </c>
      <c r="AJ263" s="117">
        <v>0.03</v>
      </c>
      <c r="AK263" s="117">
        <v>0.03</v>
      </c>
      <c r="AL263" s="117">
        <v>0.03</v>
      </c>
      <c r="AM263" s="117">
        <v>0.03</v>
      </c>
      <c r="AN263" s="117">
        <v>0.03</v>
      </c>
      <c r="AO263" s="117">
        <v>0.03</v>
      </c>
      <c r="AP263" s="117">
        <v>0.03</v>
      </c>
      <c r="AQ263" s="117">
        <v>0.03</v>
      </c>
      <c r="AR263" s="117">
        <v>0.03</v>
      </c>
      <c r="AS263" s="117">
        <v>0.03</v>
      </c>
      <c r="AT263" s="117">
        <v>0.03</v>
      </c>
      <c r="AU263" s="117">
        <v>0.03</v>
      </c>
      <c r="AV263" s="117">
        <v>0.03</v>
      </c>
      <c r="AW263" s="117">
        <v>0.03</v>
      </c>
      <c r="AX263" s="117">
        <v>0.03</v>
      </c>
      <c r="AY263" s="117">
        <v>0.03</v>
      </c>
      <c r="AZ263" s="117">
        <v>0.03</v>
      </c>
      <c r="BA263" s="117">
        <v>0.03</v>
      </c>
      <c r="BB263" s="117">
        <v>0.03</v>
      </c>
      <c r="BC263" s="117">
        <v>0.03</v>
      </c>
      <c r="BD263" s="117">
        <v>0.03</v>
      </c>
      <c r="BE263" s="117">
        <v>0.03</v>
      </c>
      <c r="BF263" s="117">
        <v>0.03</v>
      </c>
      <c r="BG263" s="117">
        <v>0.03</v>
      </c>
      <c r="BH263" s="117">
        <v>0.03</v>
      </c>
      <c r="BI263" s="117">
        <v>0.03</v>
      </c>
      <c r="BJ263" s="117">
        <v>0.03</v>
      </c>
      <c r="BK263" s="117">
        <v>0.03</v>
      </c>
      <c r="BL263" s="117">
        <v>0.03</v>
      </c>
      <c r="BM263" s="117">
        <v>0.03</v>
      </c>
      <c r="BN263" s="117">
        <v>0.03</v>
      </c>
      <c r="BO263" s="117">
        <v>0.03</v>
      </c>
      <c r="BP263" s="117">
        <v>0.03</v>
      </c>
      <c r="BQ263" s="117">
        <v>0.03</v>
      </c>
      <c r="BR263" s="117">
        <v>0.03</v>
      </c>
      <c r="BS263" s="117">
        <v>0.03</v>
      </c>
      <c r="BT263" s="117">
        <v>0.03</v>
      </c>
      <c r="BU263" s="117">
        <v>0.03</v>
      </c>
      <c r="BV263" s="117">
        <v>0.03</v>
      </c>
      <c r="BW263" s="117">
        <v>0.03</v>
      </c>
      <c r="BX263" s="117">
        <v>0.03</v>
      </c>
    </row>
    <row r="264" spans="1:79" x14ac:dyDescent="0.3">
      <c r="A264" s="109" t="s">
        <v>372</v>
      </c>
      <c r="B264" s="32"/>
      <c r="C264" s="32"/>
      <c r="D264" s="32"/>
      <c r="E264" s="101"/>
      <c r="F264" s="101"/>
      <c r="G264" s="101"/>
      <c r="H264" s="101"/>
      <c r="I264" s="101"/>
      <c r="J264" s="101"/>
      <c r="K264" s="101"/>
      <c r="L264" s="101"/>
      <c r="M264" s="101"/>
      <c r="N264" s="101"/>
      <c r="O264" s="101"/>
      <c r="P264" s="101"/>
      <c r="Q264" s="100">
        <f>SUM(Q265:Q270)</f>
        <v>0</v>
      </c>
      <c r="R264" s="100">
        <f t="shared" ref="R264:AB264" si="1623">SUM(R265:R270)</f>
        <v>13.6</v>
      </c>
      <c r="S264" s="100">
        <f t="shared" si="1623"/>
        <v>13.6</v>
      </c>
      <c r="T264" s="100">
        <f t="shared" si="1623"/>
        <v>13.6</v>
      </c>
      <c r="U264" s="100">
        <f t="shared" si="1623"/>
        <v>13.6</v>
      </c>
      <c r="V264" s="100">
        <f t="shared" si="1623"/>
        <v>13.6</v>
      </c>
      <c r="W264" s="100">
        <f t="shared" si="1623"/>
        <v>13.6</v>
      </c>
      <c r="X264" s="100">
        <f t="shared" si="1623"/>
        <v>13.6</v>
      </c>
      <c r="Y264" s="100">
        <f t="shared" si="1623"/>
        <v>13.6</v>
      </c>
      <c r="Z264" s="100">
        <f t="shared" si="1623"/>
        <v>13.6</v>
      </c>
      <c r="AA264" s="100">
        <f t="shared" si="1623"/>
        <v>13.6</v>
      </c>
      <c r="AB264" s="100">
        <f t="shared" si="1623"/>
        <v>13.6</v>
      </c>
      <c r="AC264" s="100">
        <f>SUM(AC265:AC270)</f>
        <v>13.6</v>
      </c>
      <c r="AD264" s="100">
        <f t="shared" ref="AD264:AZ264" si="1624">SUM(AD265:AD270)</f>
        <v>13.6</v>
      </c>
      <c r="AE264" s="100">
        <f t="shared" si="1624"/>
        <v>13.6</v>
      </c>
      <c r="AF264" s="100">
        <f t="shared" si="1624"/>
        <v>13.6</v>
      </c>
      <c r="AG264" s="100">
        <f t="shared" si="1624"/>
        <v>13.6</v>
      </c>
      <c r="AH264" s="100">
        <f t="shared" si="1624"/>
        <v>13.6</v>
      </c>
      <c r="AI264" s="100">
        <f t="shared" si="1624"/>
        <v>13.6</v>
      </c>
      <c r="AJ264" s="100">
        <f t="shared" si="1624"/>
        <v>13.6</v>
      </c>
      <c r="AK264" s="100">
        <f t="shared" si="1624"/>
        <v>13.6</v>
      </c>
      <c r="AL264" s="100">
        <f t="shared" si="1624"/>
        <v>13.6</v>
      </c>
      <c r="AM264" s="100">
        <f t="shared" si="1624"/>
        <v>13.6</v>
      </c>
      <c r="AN264" s="100">
        <f t="shared" si="1624"/>
        <v>13.6</v>
      </c>
      <c r="AO264" s="100">
        <f t="shared" si="1624"/>
        <v>13.6</v>
      </c>
      <c r="AP264" s="100">
        <f t="shared" si="1624"/>
        <v>13.6</v>
      </c>
      <c r="AQ264" s="100">
        <f t="shared" si="1624"/>
        <v>13.6</v>
      </c>
      <c r="AR264" s="100">
        <f t="shared" si="1624"/>
        <v>13.6</v>
      </c>
      <c r="AS264" s="100">
        <f t="shared" si="1624"/>
        <v>13.6</v>
      </c>
      <c r="AT264" s="100">
        <f t="shared" si="1624"/>
        <v>13.6</v>
      </c>
      <c r="AU264" s="100">
        <f t="shared" si="1624"/>
        <v>13.6</v>
      </c>
      <c r="AV264" s="100">
        <f t="shared" si="1624"/>
        <v>13.6</v>
      </c>
      <c r="AW264" s="100">
        <f t="shared" si="1624"/>
        <v>13.6</v>
      </c>
      <c r="AX264" s="100">
        <f t="shared" si="1624"/>
        <v>13.6</v>
      </c>
      <c r="AY264" s="100">
        <f t="shared" si="1624"/>
        <v>13.6</v>
      </c>
      <c r="AZ264" s="100">
        <f t="shared" si="1624"/>
        <v>13.6</v>
      </c>
      <c r="BA264" s="100">
        <f t="shared" ref="BA264" si="1625">SUM(BA265:BA270)</f>
        <v>13.6</v>
      </c>
      <c r="BB264" s="100">
        <f t="shared" ref="BB264" si="1626">SUM(BB265:BB270)</f>
        <v>14.8</v>
      </c>
      <c r="BC264" s="100">
        <f t="shared" ref="BC264" si="1627">SUM(BC265:BC270)</f>
        <v>14.8</v>
      </c>
      <c r="BD264" s="100">
        <f t="shared" ref="BD264" si="1628">SUM(BD265:BD270)</f>
        <v>14.8</v>
      </c>
      <c r="BE264" s="100">
        <f t="shared" ref="BE264" si="1629">SUM(BE265:BE270)</f>
        <v>14.8</v>
      </c>
      <c r="BF264" s="100">
        <f t="shared" ref="BF264" si="1630">SUM(BF265:BF270)</f>
        <v>14.8</v>
      </c>
      <c r="BG264" s="100">
        <f t="shared" ref="BG264" si="1631">SUM(BG265:BG270)</f>
        <v>14.8</v>
      </c>
      <c r="BH264" s="100">
        <f t="shared" ref="BH264" si="1632">SUM(BH265:BH270)</f>
        <v>14.8</v>
      </c>
      <c r="BI264" s="100">
        <f t="shared" ref="BI264" si="1633">SUM(BI265:BI270)</f>
        <v>14.8</v>
      </c>
      <c r="BJ264" s="100">
        <f t="shared" ref="BJ264" si="1634">SUM(BJ265:BJ270)</f>
        <v>14.8</v>
      </c>
      <c r="BK264" s="100">
        <f t="shared" ref="BK264" si="1635">SUM(BK265:BK270)</f>
        <v>14.8</v>
      </c>
      <c r="BL264" s="100">
        <f t="shared" ref="BL264" si="1636">SUM(BL265:BL270)</f>
        <v>14.8</v>
      </c>
      <c r="BM264" s="100">
        <f t="shared" ref="BM264" si="1637">SUM(BM265:BM270)</f>
        <v>14.8</v>
      </c>
      <c r="BN264" s="100">
        <f t="shared" ref="BN264" si="1638">SUM(BN265:BN270)</f>
        <v>14.8</v>
      </c>
      <c r="BO264" s="100">
        <f t="shared" ref="BO264" si="1639">SUM(BO265:BO270)</f>
        <v>14.8</v>
      </c>
      <c r="BP264" s="100">
        <f t="shared" ref="BP264" si="1640">SUM(BP265:BP270)</f>
        <v>14.8</v>
      </c>
      <c r="BQ264" s="100">
        <f t="shared" ref="BQ264" si="1641">SUM(BQ265:BQ270)</f>
        <v>14.8</v>
      </c>
      <c r="BR264" s="100">
        <f t="shared" ref="BR264" si="1642">SUM(BR265:BR270)</f>
        <v>14.8</v>
      </c>
      <c r="BS264" s="100">
        <f t="shared" ref="BS264" si="1643">SUM(BS265:BS270)</f>
        <v>14.8</v>
      </c>
      <c r="BT264" s="100">
        <f t="shared" ref="BT264" si="1644">SUM(BT265:BT270)</f>
        <v>14.8</v>
      </c>
      <c r="BU264" s="100">
        <f t="shared" ref="BU264" si="1645">SUM(BU265:BU270)</f>
        <v>14.8</v>
      </c>
      <c r="BV264" s="100">
        <f t="shared" ref="BV264" si="1646">SUM(BV265:BV270)</f>
        <v>14.8</v>
      </c>
      <c r="BW264" s="100">
        <f t="shared" ref="BW264" si="1647">SUM(BW265:BW270)</f>
        <v>14.8</v>
      </c>
      <c r="BX264" s="100">
        <f t="shared" ref="BX264" si="1648">SUM(BX265:BX270)</f>
        <v>14.8</v>
      </c>
      <c r="BY264" s="104"/>
      <c r="BZ264" s="69"/>
      <c r="CA264" s="69"/>
    </row>
    <row r="265" spans="1:79" x14ac:dyDescent="0.3">
      <c r="A265" s="133" t="s">
        <v>376</v>
      </c>
      <c r="B265" s="32"/>
      <c r="C265" s="32"/>
      <c r="D265" s="32"/>
      <c r="E265" s="28"/>
      <c r="F265" s="28"/>
      <c r="G265" s="28"/>
      <c r="H265" s="28"/>
      <c r="I265" s="28"/>
      <c r="J265" s="28"/>
      <c r="K265" s="28"/>
      <c r="L265" s="28"/>
      <c r="M265" s="28"/>
      <c r="N265" s="28"/>
      <c r="O265" s="28"/>
      <c r="P265" s="28"/>
      <c r="Q265" s="28">
        <v>0</v>
      </c>
      <c r="R265" s="28">
        <f>8</f>
        <v>8</v>
      </c>
      <c r="S265" s="28">
        <f>8</f>
        <v>8</v>
      </c>
      <c r="T265" s="28">
        <f>8</f>
        <v>8</v>
      </c>
      <c r="U265" s="28">
        <f>8</f>
        <v>8</v>
      </c>
      <c r="V265" s="28">
        <f>8</f>
        <v>8</v>
      </c>
      <c r="W265" s="28">
        <f>8</f>
        <v>8</v>
      </c>
      <c r="X265" s="28">
        <f>8</f>
        <v>8</v>
      </c>
      <c r="Y265" s="136">
        <f t="shared" ref="Y265:AO265" si="1649">X265</f>
        <v>8</v>
      </c>
      <c r="Z265" s="136">
        <f t="shared" si="1649"/>
        <v>8</v>
      </c>
      <c r="AA265" s="136">
        <f t="shared" si="1649"/>
        <v>8</v>
      </c>
      <c r="AB265" s="136">
        <f t="shared" si="1649"/>
        <v>8</v>
      </c>
      <c r="AC265" s="136">
        <f t="shared" si="1649"/>
        <v>8</v>
      </c>
      <c r="AD265" s="136">
        <f t="shared" si="1649"/>
        <v>8</v>
      </c>
      <c r="AE265" s="136">
        <f t="shared" si="1649"/>
        <v>8</v>
      </c>
      <c r="AF265" s="136">
        <f t="shared" si="1649"/>
        <v>8</v>
      </c>
      <c r="AG265" s="136">
        <f t="shared" si="1649"/>
        <v>8</v>
      </c>
      <c r="AH265" s="136">
        <f t="shared" si="1649"/>
        <v>8</v>
      </c>
      <c r="AI265" s="136">
        <f t="shared" si="1649"/>
        <v>8</v>
      </c>
      <c r="AJ265" s="136">
        <f t="shared" si="1649"/>
        <v>8</v>
      </c>
      <c r="AK265" s="136">
        <f t="shared" si="1649"/>
        <v>8</v>
      </c>
      <c r="AL265" s="136">
        <f t="shared" si="1649"/>
        <v>8</v>
      </c>
      <c r="AM265" s="136">
        <f t="shared" si="1649"/>
        <v>8</v>
      </c>
      <c r="AN265" s="136">
        <f t="shared" si="1649"/>
        <v>8</v>
      </c>
      <c r="AO265" s="136">
        <f t="shared" si="1649"/>
        <v>8</v>
      </c>
      <c r="AP265" s="136">
        <f t="shared" ref="AP265:AZ265" si="1650">AO265</f>
        <v>8</v>
      </c>
      <c r="AQ265" s="136">
        <f t="shared" si="1650"/>
        <v>8</v>
      </c>
      <c r="AR265" s="136">
        <f t="shared" si="1650"/>
        <v>8</v>
      </c>
      <c r="AS265" s="136">
        <f t="shared" si="1650"/>
        <v>8</v>
      </c>
      <c r="AT265" s="136">
        <f t="shared" si="1650"/>
        <v>8</v>
      </c>
      <c r="AU265" s="136">
        <f t="shared" si="1650"/>
        <v>8</v>
      </c>
      <c r="AV265" s="136">
        <f t="shared" si="1650"/>
        <v>8</v>
      </c>
      <c r="AW265" s="136">
        <f t="shared" si="1650"/>
        <v>8</v>
      </c>
      <c r="AX265" s="136">
        <f t="shared" si="1650"/>
        <v>8</v>
      </c>
      <c r="AY265" s="136">
        <f t="shared" si="1650"/>
        <v>8</v>
      </c>
      <c r="AZ265" s="136">
        <f t="shared" si="1650"/>
        <v>8</v>
      </c>
      <c r="BA265" s="136">
        <f t="shared" ref="BA265:BX265" si="1651">AZ265</f>
        <v>8</v>
      </c>
      <c r="BB265" s="28">
        <v>9</v>
      </c>
      <c r="BC265" s="136">
        <f t="shared" si="1651"/>
        <v>9</v>
      </c>
      <c r="BD265" s="136">
        <f t="shared" si="1651"/>
        <v>9</v>
      </c>
      <c r="BE265" s="136">
        <f t="shared" si="1651"/>
        <v>9</v>
      </c>
      <c r="BF265" s="136">
        <f t="shared" si="1651"/>
        <v>9</v>
      </c>
      <c r="BG265" s="136">
        <f t="shared" si="1651"/>
        <v>9</v>
      </c>
      <c r="BH265" s="136">
        <f t="shared" si="1651"/>
        <v>9</v>
      </c>
      <c r="BI265" s="136">
        <f t="shared" si="1651"/>
        <v>9</v>
      </c>
      <c r="BJ265" s="136">
        <f t="shared" si="1651"/>
        <v>9</v>
      </c>
      <c r="BK265" s="136">
        <f t="shared" si="1651"/>
        <v>9</v>
      </c>
      <c r="BL265" s="136">
        <f t="shared" si="1651"/>
        <v>9</v>
      </c>
      <c r="BM265" s="136">
        <f t="shared" si="1651"/>
        <v>9</v>
      </c>
      <c r="BN265" s="136">
        <f t="shared" si="1651"/>
        <v>9</v>
      </c>
      <c r="BO265" s="136">
        <f t="shared" si="1651"/>
        <v>9</v>
      </c>
      <c r="BP265" s="136">
        <f t="shared" si="1651"/>
        <v>9</v>
      </c>
      <c r="BQ265" s="136">
        <f t="shared" si="1651"/>
        <v>9</v>
      </c>
      <c r="BR265" s="136">
        <f t="shared" si="1651"/>
        <v>9</v>
      </c>
      <c r="BS265" s="136">
        <f t="shared" si="1651"/>
        <v>9</v>
      </c>
      <c r="BT265" s="136">
        <f t="shared" si="1651"/>
        <v>9</v>
      </c>
      <c r="BU265" s="136">
        <f t="shared" si="1651"/>
        <v>9</v>
      </c>
      <c r="BV265" s="136">
        <f t="shared" si="1651"/>
        <v>9</v>
      </c>
      <c r="BW265" s="136">
        <f t="shared" si="1651"/>
        <v>9</v>
      </c>
      <c r="BX265" s="136">
        <f t="shared" si="1651"/>
        <v>9</v>
      </c>
      <c r="BY265" s="27"/>
      <c r="BZ265" s="27"/>
      <c r="CA265" s="27"/>
    </row>
    <row r="266" spans="1:79" x14ac:dyDescent="0.3">
      <c r="A266" s="133" t="s">
        <v>377</v>
      </c>
      <c r="B266" s="32"/>
      <c r="C266" s="32"/>
      <c r="D266" s="32"/>
      <c r="E266" s="28"/>
      <c r="F266" s="28"/>
      <c r="G266" s="28"/>
      <c r="H266" s="28"/>
      <c r="I266" s="28"/>
      <c r="J266" s="28"/>
      <c r="K266" s="28"/>
      <c r="L266" s="28"/>
      <c r="M266" s="28"/>
      <c r="N266" s="28"/>
      <c r="O266" s="28"/>
      <c r="P266" s="28"/>
      <c r="Q266" s="28">
        <v>0</v>
      </c>
      <c r="R266" s="135">
        <f>R265*0.2</f>
        <v>1.6</v>
      </c>
      <c r="S266" s="135">
        <f t="shared" ref="S266:X266" si="1652">S265*0.2</f>
        <v>1.6</v>
      </c>
      <c r="T266" s="135">
        <f t="shared" si="1652"/>
        <v>1.6</v>
      </c>
      <c r="U266" s="135">
        <f t="shared" si="1652"/>
        <v>1.6</v>
      </c>
      <c r="V266" s="135">
        <f t="shared" si="1652"/>
        <v>1.6</v>
      </c>
      <c r="W266" s="135">
        <f t="shared" si="1652"/>
        <v>1.6</v>
      </c>
      <c r="X266" s="135">
        <f t="shared" si="1652"/>
        <v>1.6</v>
      </c>
      <c r="Y266" s="135">
        <f t="shared" ref="Y266" si="1653">Y265*0.2</f>
        <v>1.6</v>
      </c>
      <c r="Z266" s="135">
        <f t="shared" ref="Z266" si="1654">Z265*0.2</f>
        <v>1.6</v>
      </c>
      <c r="AA266" s="135">
        <f t="shared" ref="AA266" si="1655">AA265*0.2</f>
        <v>1.6</v>
      </c>
      <c r="AB266" s="135">
        <f t="shared" ref="AB266" si="1656">AB265*0.2</f>
        <v>1.6</v>
      </c>
      <c r="AC266" s="135">
        <f t="shared" ref="AC266" si="1657">AC265*0.2</f>
        <v>1.6</v>
      </c>
      <c r="AD266" s="135">
        <f t="shared" ref="AD266" si="1658">AD265*0.2</f>
        <v>1.6</v>
      </c>
      <c r="AE266" s="135">
        <f t="shared" ref="AE266" si="1659">AE265*0.2</f>
        <v>1.6</v>
      </c>
      <c r="AF266" s="135">
        <f t="shared" ref="AF266" si="1660">AF265*0.2</f>
        <v>1.6</v>
      </c>
      <c r="AG266" s="135">
        <f t="shared" ref="AG266" si="1661">AG265*0.2</f>
        <v>1.6</v>
      </c>
      <c r="AH266" s="135">
        <f t="shared" ref="AH266" si="1662">AH265*0.2</f>
        <v>1.6</v>
      </c>
      <c r="AI266" s="135">
        <f t="shared" ref="AI266" si="1663">AI265*0.2</f>
        <v>1.6</v>
      </c>
      <c r="AJ266" s="135">
        <f t="shared" ref="AJ266" si="1664">AJ265*0.2</f>
        <v>1.6</v>
      </c>
      <c r="AK266" s="135">
        <f t="shared" ref="AK266" si="1665">AK265*0.2</f>
        <v>1.6</v>
      </c>
      <c r="AL266" s="135">
        <f t="shared" ref="AL266" si="1666">AL265*0.2</f>
        <v>1.6</v>
      </c>
      <c r="AM266" s="135">
        <f t="shared" ref="AM266" si="1667">AM265*0.2</f>
        <v>1.6</v>
      </c>
      <c r="AN266" s="135">
        <f t="shared" ref="AN266" si="1668">AN265*0.2</f>
        <v>1.6</v>
      </c>
      <c r="AO266" s="135">
        <f t="shared" ref="AO266" si="1669">AO265*0.2</f>
        <v>1.6</v>
      </c>
      <c r="AP266" s="135">
        <f t="shared" ref="AP266" si="1670">AP265*0.2</f>
        <v>1.6</v>
      </c>
      <c r="AQ266" s="135">
        <f t="shared" ref="AQ266" si="1671">AQ265*0.2</f>
        <v>1.6</v>
      </c>
      <c r="AR266" s="135">
        <f t="shared" ref="AR266" si="1672">AR265*0.2</f>
        <v>1.6</v>
      </c>
      <c r="AS266" s="135">
        <f t="shared" ref="AS266" si="1673">AS265*0.2</f>
        <v>1.6</v>
      </c>
      <c r="AT266" s="135">
        <f t="shared" ref="AT266" si="1674">AT265*0.2</f>
        <v>1.6</v>
      </c>
      <c r="AU266" s="135">
        <f t="shared" ref="AU266" si="1675">AU265*0.2</f>
        <v>1.6</v>
      </c>
      <c r="AV266" s="135">
        <f t="shared" ref="AV266" si="1676">AV265*0.2</f>
        <v>1.6</v>
      </c>
      <c r="AW266" s="135">
        <f t="shared" ref="AW266" si="1677">AW265*0.2</f>
        <v>1.6</v>
      </c>
      <c r="AX266" s="135">
        <f t="shared" ref="AX266" si="1678">AX265*0.2</f>
        <v>1.6</v>
      </c>
      <c r="AY266" s="135">
        <f t="shared" ref="AY266" si="1679">AY265*0.2</f>
        <v>1.6</v>
      </c>
      <c r="AZ266" s="135">
        <f t="shared" ref="AZ266" si="1680">AZ265*0.2</f>
        <v>1.6</v>
      </c>
      <c r="BA266" s="135">
        <f t="shared" ref="BA266" si="1681">BA265*0.2</f>
        <v>1.6</v>
      </c>
      <c r="BB266" s="135">
        <f t="shared" ref="BB266" si="1682">BB265*0.2</f>
        <v>1.8</v>
      </c>
      <c r="BC266" s="135">
        <f t="shared" ref="BC266" si="1683">BC265*0.2</f>
        <v>1.8</v>
      </c>
      <c r="BD266" s="135">
        <f t="shared" ref="BD266" si="1684">BD265*0.2</f>
        <v>1.8</v>
      </c>
      <c r="BE266" s="135">
        <f t="shared" ref="BE266" si="1685">BE265*0.2</f>
        <v>1.8</v>
      </c>
      <c r="BF266" s="135">
        <f t="shared" ref="BF266" si="1686">BF265*0.2</f>
        <v>1.8</v>
      </c>
      <c r="BG266" s="135">
        <f t="shared" ref="BG266" si="1687">BG265*0.2</f>
        <v>1.8</v>
      </c>
      <c r="BH266" s="135">
        <f t="shared" ref="BH266" si="1688">BH265*0.2</f>
        <v>1.8</v>
      </c>
      <c r="BI266" s="135">
        <f t="shared" ref="BI266" si="1689">BI265*0.2</f>
        <v>1.8</v>
      </c>
      <c r="BJ266" s="135">
        <f t="shared" ref="BJ266" si="1690">BJ265*0.2</f>
        <v>1.8</v>
      </c>
      <c r="BK266" s="135">
        <f t="shared" ref="BK266" si="1691">BK265*0.2</f>
        <v>1.8</v>
      </c>
      <c r="BL266" s="135">
        <f t="shared" ref="BL266" si="1692">BL265*0.2</f>
        <v>1.8</v>
      </c>
      <c r="BM266" s="135">
        <f t="shared" ref="BM266" si="1693">BM265*0.2</f>
        <v>1.8</v>
      </c>
      <c r="BN266" s="135">
        <f t="shared" ref="BN266" si="1694">BN265*0.2</f>
        <v>1.8</v>
      </c>
      <c r="BO266" s="135">
        <f t="shared" ref="BO266" si="1695">BO265*0.2</f>
        <v>1.8</v>
      </c>
      <c r="BP266" s="135">
        <f t="shared" ref="BP266" si="1696">BP265*0.2</f>
        <v>1.8</v>
      </c>
      <c r="BQ266" s="135">
        <f t="shared" ref="BQ266" si="1697">BQ265*0.2</f>
        <v>1.8</v>
      </c>
      <c r="BR266" s="135">
        <f t="shared" ref="BR266" si="1698">BR265*0.2</f>
        <v>1.8</v>
      </c>
      <c r="BS266" s="135">
        <f t="shared" ref="BS266" si="1699">BS265*0.2</f>
        <v>1.8</v>
      </c>
      <c r="BT266" s="135">
        <f t="shared" ref="BT266" si="1700">BT265*0.2</f>
        <v>1.8</v>
      </c>
      <c r="BU266" s="135">
        <f t="shared" ref="BU266" si="1701">BU265*0.2</f>
        <v>1.8</v>
      </c>
      <c r="BV266" s="135">
        <f t="shared" ref="BV266" si="1702">BV265*0.2</f>
        <v>1.8</v>
      </c>
      <c r="BW266" s="135">
        <f t="shared" ref="BW266" si="1703">BW265*0.2</f>
        <v>1.8</v>
      </c>
      <c r="BX266" s="135">
        <f t="shared" ref="BX266" si="1704">BX265*0.2</f>
        <v>1.8</v>
      </c>
      <c r="BY266" s="27"/>
      <c r="BZ266" s="27"/>
      <c r="CA266" s="27"/>
    </row>
    <row r="267" spans="1:79" x14ac:dyDescent="0.3">
      <c r="A267" s="133" t="s">
        <v>380</v>
      </c>
      <c r="B267" s="32" t="str">
        <f>IF('Hillpointe Detail'!B267="","",'Hillpointe Detail'!B267)</f>
        <v/>
      </c>
      <c r="C267" s="32"/>
      <c r="D267" s="32"/>
      <c r="Q267" s="28">
        <v>0</v>
      </c>
      <c r="R267" s="28">
        <f t="shared" ref="R267:V267" si="1705">1+0.5+0.5</f>
        <v>2</v>
      </c>
      <c r="S267" s="28">
        <f t="shared" si="1705"/>
        <v>2</v>
      </c>
      <c r="T267" s="28">
        <f t="shared" si="1705"/>
        <v>2</v>
      </c>
      <c r="U267" s="28">
        <f t="shared" si="1705"/>
        <v>2</v>
      </c>
      <c r="V267" s="28">
        <f t="shared" si="1705"/>
        <v>2</v>
      </c>
      <c r="W267" s="28">
        <f>1+0.5+0.5</f>
        <v>2</v>
      </c>
      <c r="X267" s="28">
        <f>1+0.5+0.5</f>
        <v>2</v>
      </c>
      <c r="Y267" s="136">
        <f t="shared" ref="Y267:AO267" si="1706">X267</f>
        <v>2</v>
      </c>
      <c r="Z267" s="136">
        <f t="shared" si="1706"/>
        <v>2</v>
      </c>
      <c r="AA267" s="136">
        <f t="shared" si="1706"/>
        <v>2</v>
      </c>
      <c r="AB267" s="136">
        <f t="shared" si="1706"/>
        <v>2</v>
      </c>
      <c r="AC267" s="136">
        <f t="shared" si="1706"/>
        <v>2</v>
      </c>
      <c r="AD267" s="136">
        <f t="shared" si="1706"/>
        <v>2</v>
      </c>
      <c r="AE267" s="136">
        <f t="shared" si="1706"/>
        <v>2</v>
      </c>
      <c r="AF267" s="136">
        <f t="shared" si="1706"/>
        <v>2</v>
      </c>
      <c r="AG267" s="136">
        <f t="shared" si="1706"/>
        <v>2</v>
      </c>
      <c r="AH267" s="136">
        <f t="shared" si="1706"/>
        <v>2</v>
      </c>
      <c r="AI267" s="136">
        <f t="shared" si="1706"/>
        <v>2</v>
      </c>
      <c r="AJ267" s="136">
        <f t="shared" si="1706"/>
        <v>2</v>
      </c>
      <c r="AK267" s="136">
        <f t="shared" si="1706"/>
        <v>2</v>
      </c>
      <c r="AL267" s="136">
        <f t="shared" si="1706"/>
        <v>2</v>
      </c>
      <c r="AM267" s="136">
        <f t="shared" si="1706"/>
        <v>2</v>
      </c>
      <c r="AN267" s="136">
        <f t="shared" si="1706"/>
        <v>2</v>
      </c>
      <c r="AO267" s="136">
        <f t="shared" si="1706"/>
        <v>2</v>
      </c>
      <c r="AP267" s="136">
        <f t="shared" ref="AP267:AZ267" si="1707">AO267</f>
        <v>2</v>
      </c>
      <c r="AQ267" s="136">
        <f t="shared" si="1707"/>
        <v>2</v>
      </c>
      <c r="AR267" s="136">
        <f t="shared" si="1707"/>
        <v>2</v>
      </c>
      <c r="AS267" s="136">
        <f t="shared" si="1707"/>
        <v>2</v>
      </c>
      <c r="AT267" s="136">
        <f t="shared" si="1707"/>
        <v>2</v>
      </c>
      <c r="AU267" s="136">
        <f t="shared" si="1707"/>
        <v>2</v>
      </c>
      <c r="AV267" s="136">
        <f t="shared" si="1707"/>
        <v>2</v>
      </c>
      <c r="AW267" s="136">
        <f t="shared" si="1707"/>
        <v>2</v>
      </c>
      <c r="AX267" s="136">
        <f t="shared" si="1707"/>
        <v>2</v>
      </c>
      <c r="AY267" s="136">
        <f t="shared" si="1707"/>
        <v>2</v>
      </c>
      <c r="AZ267" s="136">
        <f t="shared" si="1707"/>
        <v>2</v>
      </c>
      <c r="BA267" s="136">
        <f t="shared" ref="BA267:BX267" si="1708">AZ267</f>
        <v>2</v>
      </c>
      <c r="BB267" s="136">
        <f t="shared" si="1708"/>
        <v>2</v>
      </c>
      <c r="BC267" s="136">
        <f t="shared" si="1708"/>
        <v>2</v>
      </c>
      <c r="BD267" s="136">
        <f t="shared" si="1708"/>
        <v>2</v>
      </c>
      <c r="BE267" s="136">
        <f t="shared" si="1708"/>
        <v>2</v>
      </c>
      <c r="BF267" s="136">
        <f t="shared" si="1708"/>
        <v>2</v>
      </c>
      <c r="BG267" s="136">
        <f t="shared" si="1708"/>
        <v>2</v>
      </c>
      <c r="BH267" s="136">
        <f t="shared" si="1708"/>
        <v>2</v>
      </c>
      <c r="BI267" s="136">
        <f t="shared" si="1708"/>
        <v>2</v>
      </c>
      <c r="BJ267" s="136">
        <f t="shared" si="1708"/>
        <v>2</v>
      </c>
      <c r="BK267" s="136">
        <f t="shared" si="1708"/>
        <v>2</v>
      </c>
      <c r="BL267" s="136">
        <f t="shared" si="1708"/>
        <v>2</v>
      </c>
      <c r="BM267" s="136">
        <f t="shared" si="1708"/>
        <v>2</v>
      </c>
      <c r="BN267" s="136">
        <f t="shared" si="1708"/>
        <v>2</v>
      </c>
      <c r="BO267" s="136">
        <f t="shared" si="1708"/>
        <v>2</v>
      </c>
      <c r="BP267" s="136">
        <f t="shared" si="1708"/>
        <v>2</v>
      </c>
      <c r="BQ267" s="136">
        <f t="shared" si="1708"/>
        <v>2</v>
      </c>
      <c r="BR267" s="136">
        <f t="shared" si="1708"/>
        <v>2</v>
      </c>
      <c r="BS267" s="136">
        <f t="shared" si="1708"/>
        <v>2</v>
      </c>
      <c r="BT267" s="136">
        <f t="shared" si="1708"/>
        <v>2</v>
      </c>
      <c r="BU267" s="136">
        <f t="shared" si="1708"/>
        <v>2</v>
      </c>
      <c r="BV267" s="136">
        <f t="shared" si="1708"/>
        <v>2</v>
      </c>
      <c r="BW267" s="136">
        <f t="shared" si="1708"/>
        <v>2</v>
      </c>
      <c r="BX267" s="136">
        <f t="shared" si="1708"/>
        <v>2</v>
      </c>
    </row>
    <row r="268" spans="1:79" x14ac:dyDescent="0.3">
      <c r="A268" s="133" t="s">
        <v>374</v>
      </c>
      <c r="Q268" s="28">
        <v>0</v>
      </c>
      <c r="R268" s="28">
        <f t="shared" ref="R268:V268" si="1709">0.5+0.5</f>
        <v>1</v>
      </c>
      <c r="S268" s="28">
        <f t="shared" si="1709"/>
        <v>1</v>
      </c>
      <c r="T268" s="28">
        <f t="shared" si="1709"/>
        <v>1</v>
      </c>
      <c r="U268" s="28">
        <f t="shared" si="1709"/>
        <v>1</v>
      </c>
      <c r="V268" s="28">
        <f t="shared" si="1709"/>
        <v>1</v>
      </c>
      <c r="W268" s="28">
        <f>0.5+0.5</f>
        <v>1</v>
      </c>
      <c r="X268" s="28">
        <f>0.5+0.5</f>
        <v>1</v>
      </c>
      <c r="Y268" s="136">
        <f t="shared" ref="Y268:AO268" si="1710">X268</f>
        <v>1</v>
      </c>
      <c r="Z268" s="136">
        <f t="shared" si="1710"/>
        <v>1</v>
      </c>
      <c r="AA268" s="136">
        <f t="shared" si="1710"/>
        <v>1</v>
      </c>
      <c r="AB268" s="136">
        <f t="shared" si="1710"/>
        <v>1</v>
      </c>
      <c r="AC268" s="136">
        <f t="shared" si="1710"/>
        <v>1</v>
      </c>
      <c r="AD268" s="136">
        <f t="shared" si="1710"/>
        <v>1</v>
      </c>
      <c r="AE268" s="136">
        <f t="shared" si="1710"/>
        <v>1</v>
      </c>
      <c r="AF268" s="136">
        <f t="shared" si="1710"/>
        <v>1</v>
      </c>
      <c r="AG268" s="136">
        <f t="shared" si="1710"/>
        <v>1</v>
      </c>
      <c r="AH268" s="136">
        <f t="shared" si="1710"/>
        <v>1</v>
      </c>
      <c r="AI268" s="136">
        <f t="shared" si="1710"/>
        <v>1</v>
      </c>
      <c r="AJ268" s="136">
        <f t="shared" si="1710"/>
        <v>1</v>
      </c>
      <c r="AK268" s="136">
        <f t="shared" si="1710"/>
        <v>1</v>
      </c>
      <c r="AL268" s="136">
        <f t="shared" si="1710"/>
        <v>1</v>
      </c>
      <c r="AM268" s="136">
        <f t="shared" si="1710"/>
        <v>1</v>
      </c>
      <c r="AN268" s="136">
        <f t="shared" si="1710"/>
        <v>1</v>
      </c>
      <c r="AO268" s="136">
        <f t="shared" si="1710"/>
        <v>1</v>
      </c>
      <c r="AP268" s="136">
        <f t="shared" ref="AP268:AZ268" si="1711">AO268</f>
        <v>1</v>
      </c>
      <c r="AQ268" s="136">
        <f t="shared" si="1711"/>
        <v>1</v>
      </c>
      <c r="AR268" s="136">
        <f t="shared" si="1711"/>
        <v>1</v>
      </c>
      <c r="AS268" s="136">
        <f t="shared" si="1711"/>
        <v>1</v>
      </c>
      <c r="AT268" s="136">
        <f t="shared" si="1711"/>
        <v>1</v>
      </c>
      <c r="AU268" s="136">
        <f t="shared" si="1711"/>
        <v>1</v>
      </c>
      <c r="AV268" s="136">
        <f t="shared" si="1711"/>
        <v>1</v>
      </c>
      <c r="AW268" s="136">
        <f t="shared" si="1711"/>
        <v>1</v>
      </c>
      <c r="AX268" s="136">
        <f t="shared" si="1711"/>
        <v>1</v>
      </c>
      <c r="AY268" s="136">
        <f t="shared" si="1711"/>
        <v>1</v>
      </c>
      <c r="AZ268" s="136">
        <f t="shared" si="1711"/>
        <v>1</v>
      </c>
      <c r="BA268" s="136">
        <f t="shared" ref="BA268:BX268" si="1712">AZ268</f>
        <v>1</v>
      </c>
      <c r="BB268" s="136">
        <f t="shared" si="1712"/>
        <v>1</v>
      </c>
      <c r="BC268" s="136">
        <f t="shared" si="1712"/>
        <v>1</v>
      </c>
      <c r="BD268" s="136">
        <f t="shared" si="1712"/>
        <v>1</v>
      </c>
      <c r="BE268" s="136">
        <f t="shared" si="1712"/>
        <v>1</v>
      </c>
      <c r="BF268" s="136">
        <f t="shared" si="1712"/>
        <v>1</v>
      </c>
      <c r="BG268" s="136">
        <f t="shared" si="1712"/>
        <v>1</v>
      </c>
      <c r="BH268" s="136">
        <f t="shared" si="1712"/>
        <v>1</v>
      </c>
      <c r="BI268" s="136">
        <f t="shared" si="1712"/>
        <v>1</v>
      </c>
      <c r="BJ268" s="136">
        <f t="shared" si="1712"/>
        <v>1</v>
      </c>
      <c r="BK268" s="136">
        <f t="shared" si="1712"/>
        <v>1</v>
      </c>
      <c r="BL268" s="136">
        <f t="shared" si="1712"/>
        <v>1</v>
      </c>
      <c r="BM268" s="136">
        <f t="shared" si="1712"/>
        <v>1</v>
      </c>
      <c r="BN268" s="136">
        <f t="shared" si="1712"/>
        <v>1</v>
      </c>
      <c r="BO268" s="136">
        <f t="shared" si="1712"/>
        <v>1</v>
      </c>
      <c r="BP268" s="136">
        <f t="shared" si="1712"/>
        <v>1</v>
      </c>
      <c r="BQ268" s="136">
        <f t="shared" si="1712"/>
        <v>1</v>
      </c>
      <c r="BR268" s="136">
        <f t="shared" si="1712"/>
        <v>1</v>
      </c>
      <c r="BS268" s="136">
        <f t="shared" si="1712"/>
        <v>1</v>
      </c>
      <c r="BT268" s="136">
        <f t="shared" si="1712"/>
        <v>1</v>
      </c>
      <c r="BU268" s="136">
        <f t="shared" si="1712"/>
        <v>1</v>
      </c>
      <c r="BV268" s="136">
        <f t="shared" si="1712"/>
        <v>1</v>
      </c>
      <c r="BW268" s="136">
        <f t="shared" si="1712"/>
        <v>1</v>
      </c>
      <c r="BX268" s="136">
        <f t="shared" si="1712"/>
        <v>1</v>
      </c>
    </row>
    <row r="269" spans="1:79" x14ac:dyDescent="0.3">
      <c r="A269" s="133" t="s">
        <v>378</v>
      </c>
      <c r="Q269" s="28">
        <v>0</v>
      </c>
      <c r="R269" s="28">
        <v>0.5</v>
      </c>
      <c r="S269" s="28">
        <v>0.5</v>
      </c>
      <c r="T269" s="28">
        <v>0.5</v>
      </c>
      <c r="U269" s="28">
        <v>0.5</v>
      </c>
      <c r="V269" s="28">
        <v>0.5</v>
      </c>
      <c r="W269" s="28">
        <v>0.5</v>
      </c>
      <c r="X269" s="28">
        <v>0.5</v>
      </c>
      <c r="Y269" s="136">
        <f t="shared" ref="Y269:AO269" si="1713">X269</f>
        <v>0.5</v>
      </c>
      <c r="Z269" s="136">
        <f t="shared" si="1713"/>
        <v>0.5</v>
      </c>
      <c r="AA269" s="136">
        <f t="shared" si="1713"/>
        <v>0.5</v>
      </c>
      <c r="AB269" s="136">
        <f t="shared" si="1713"/>
        <v>0.5</v>
      </c>
      <c r="AC269" s="136">
        <f t="shared" si="1713"/>
        <v>0.5</v>
      </c>
      <c r="AD269" s="136">
        <f t="shared" si="1713"/>
        <v>0.5</v>
      </c>
      <c r="AE269" s="136">
        <f t="shared" si="1713"/>
        <v>0.5</v>
      </c>
      <c r="AF269" s="136">
        <f t="shared" si="1713"/>
        <v>0.5</v>
      </c>
      <c r="AG269" s="136">
        <f t="shared" si="1713"/>
        <v>0.5</v>
      </c>
      <c r="AH269" s="136">
        <f t="shared" si="1713"/>
        <v>0.5</v>
      </c>
      <c r="AI269" s="136">
        <f t="shared" si="1713"/>
        <v>0.5</v>
      </c>
      <c r="AJ269" s="136">
        <f t="shared" si="1713"/>
        <v>0.5</v>
      </c>
      <c r="AK269" s="136">
        <f t="shared" si="1713"/>
        <v>0.5</v>
      </c>
      <c r="AL269" s="136">
        <f t="shared" si="1713"/>
        <v>0.5</v>
      </c>
      <c r="AM269" s="136">
        <f t="shared" si="1713"/>
        <v>0.5</v>
      </c>
      <c r="AN269" s="136">
        <f t="shared" si="1713"/>
        <v>0.5</v>
      </c>
      <c r="AO269" s="136">
        <f t="shared" si="1713"/>
        <v>0.5</v>
      </c>
      <c r="AP269" s="136">
        <f t="shared" ref="AP269:AZ269" si="1714">AO269</f>
        <v>0.5</v>
      </c>
      <c r="AQ269" s="136">
        <f t="shared" si="1714"/>
        <v>0.5</v>
      </c>
      <c r="AR269" s="136">
        <f t="shared" si="1714"/>
        <v>0.5</v>
      </c>
      <c r="AS269" s="136">
        <f t="shared" si="1714"/>
        <v>0.5</v>
      </c>
      <c r="AT269" s="136">
        <f t="shared" si="1714"/>
        <v>0.5</v>
      </c>
      <c r="AU269" s="136">
        <f t="shared" si="1714"/>
        <v>0.5</v>
      </c>
      <c r="AV269" s="136">
        <f t="shared" si="1714"/>
        <v>0.5</v>
      </c>
      <c r="AW269" s="136">
        <f t="shared" si="1714"/>
        <v>0.5</v>
      </c>
      <c r="AX269" s="136">
        <f t="shared" si="1714"/>
        <v>0.5</v>
      </c>
      <c r="AY269" s="136">
        <f t="shared" si="1714"/>
        <v>0.5</v>
      </c>
      <c r="AZ269" s="136">
        <f t="shared" si="1714"/>
        <v>0.5</v>
      </c>
      <c r="BA269" s="136">
        <f t="shared" ref="BA269:BX269" si="1715">AZ269</f>
        <v>0.5</v>
      </c>
      <c r="BB269" s="136">
        <f t="shared" si="1715"/>
        <v>0.5</v>
      </c>
      <c r="BC269" s="136">
        <f t="shared" si="1715"/>
        <v>0.5</v>
      </c>
      <c r="BD269" s="136">
        <f t="shared" si="1715"/>
        <v>0.5</v>
      </c>
      <c r="BE269" s="136">
        <f t="shared" si="1715"/>
        <v>0.5</v>
      </c>
      <c r="BF269" s="136">
        <f t="shared" si="1715"/>
        <v>0.5</v>
      </c>
      <c r="BG269" s="136">
        <f t="shared" si="1715"/>
        <v>0.5</v>
      </c>
      <c r="BH269" s="136">
        <f t="shared" si="1715"/>
        <v>0.5</v>
      </c>
      <c r="BI269" s="136">
        <f t="shared" si="1715"/>
        <v>0.5</v>
      </c>
      <c r="BJ269" s="136">
        <f t="shared" si="1715"/>
        <v>0.5</v>
      </c>
      <c r="BK269" s="136">
        <f t="shared" si="1715"/>
        <v>0.5</v>
      </c>
      <c r="BL269" s="136">
        <f t="shared" si="1715"/>
        <v>0.5</v>
      </c>
      <c r="BM269" s="136">
        <f t="shared" si="1715"/>
        <v>0.5</v>
      </c>
      <c r="BN269" s="136">
        <f t="shared" si="1715"/>
        <v>0.5</v>
      </c>
      <c r="BO269" s="136">
        <f t="shared" si="1715"/>
        <v>0.5</v>
      </c>
      <c r="BP269" s="136">
        <f t="shared" si="1715"/>
        <v>0.5</v>
      </c>
      <c r="BQ269" s="136">
        <f t="shared" si="1715"/>
        <v>0.5</v>
      </c>
      <c r="BR269" s="136">
        <f t="shared" si="1715"/>
        <v>0.5</v>
      </c>
      <c r="BS269" s="136">
        <f t="shared" si="1715"/>
        <v>0.5</v>
      </c>
      <c r="BT269" s="136">
        <f t="shared" si="1715"/>
        <v>0.5</v>
      </c>
      <c r="BU269" s="136">
        <f t="shared" si="1715"/>
        <v>0.5</v>
      </c>
      <c r="BV269" s="136">
        <f t="shared" si="1715"/>
        <v>0.5</v>
      </c>
      <c r="BW269" s="136">
        <f t="shared" si="1715"/>
        <v>0.5</v>
      </c>
      <c r="BX269" s="136">
        <f t="shared" si="1715"/>
        <v>0.5</v>
      </c>
    </row>
    <row r="270" spans="1:79" x14ac:dyDescent="0.3">
      <c r="A270" s="133" t="s">
        <v>379</v>
      </c>
      <c r="Q270" s="28">
        <v>0</v>
      </c>
      <c r="R270" s="28">
        <v>0.5</v>
      </c>
      <c r="S270" s="28">
        <v>0.5</v>
      </c>
      <c r="T270" s="28">
        <v>0.5</v>
      </c>
      <c r="U270" s="28">
        <v>0.5</v>
      </c>
      <c r="V270" s="28">
        <v>0.5</v>
      </c>
      <c r="W270" s="28">
        <v>0.5</v>
      </c>
      <c r="X270" s="28">
        <v>0.5</v>
      </c>
      <c r="Y270" s="136">
        <f t="shared" ref="Y270:AO270" si="1716">X270</f>
        <v>0.5</v>
      </c>
      <c r="Z270" s="136">
        <f t="shared" si="1716"/>
        <v>0.5</v>
      </c>
      <c r="AA270" s="136">
        <f t="shared" si="1716"/>
        <v>0.5</v>
      </c>
      <c r="AB270" s="136">
        <f t="shared" si="1716"/>
        <v>0.5</v>
      </c>
      <c r="AC270" s="136">
        <f t="shared" si="1716"/>
        <v>0.5</v>
      </c>
      <c r="AD270" s="136">
        <f t="shared" si="1716"/>
        <v>0.5</v>
      </c>
      <c r="AE270" s="136">
        <f t="shared" si="1716"/>
        <v>0.5</v>
      </c>
      <c r="AF270" s="136">
        <f t="shared" si="1716"/>
        <v>0.5</v>
      </c>
      <c r="AG270" s="136">
        <f t="shared" si="1716"/>
        <v>0.5</v>
      </c>
      <c r="AH270" s="136">
        <f t="shared" si="1716"/>
        <v>0.5</v>
      </c>
      <c r="AI270" s="136">
        <f t="shared" si="1716"/>
        <v>0.5</v>
      </c>
      <c r="AJ270" s="136">
        <f t="shared" si="1716"/>
        <v>0.5</v>
      </c>
      <c r="AK270" s="136">
        <f t="shared" si="1716"/>
        <v>0.5</v>
      </c>
      <c r="AL270" s="136">
        <f t="shared" si="1716"/>
        <v>0.5</v>
      </c>
      <c r="AM270" s="136">
        <f t="shared" si="1716"/>
        <v>0.5</v>
      </c>
      <c r="AN270" s="136">
        <f t="shared" si="1716"/>
        <v>0.5</v>
      </c>
      <c r="AO270" s="136">
        <f t="shared" si="1716"/>
        <v>0.5</v>
      </c>
      <c r="AP270" s="136">
        <f t="shared" ref="AP270:AZ270" si="1717">AO270</f>
        <v>0.5</v>
      </c>
      <c r="AQ270" s="136">
        <f t="shared" si="1717"/>
        <v>0.5</v>
      </c>
      <c r="AR270" s="136">
        <f t="shared" si="1717"/>
        <v>0.5</v>
      </c>
      <c r="AS270" s="136">
        <f t="shared" si="1717"/>
        <v>0.5</v>
      </c>
      <c r="AT270" s="136">
        <f t="shared" si="1717"/>
        <v>0.5</v>
      </c>
      <c r="AU270" s="136">
        <f t="shared" si="1717"/>
        <v>0.5</v>
      </c>
      <c r="AV270" s="136">
        <f t="shared" si="1717"/>
        <v>0.5</v>
      </c>
      <c r="AW270" s="136">
        <f t="shared" si="1717"/>
        <v>0.5</v>
      </c>
      <c r="AX270" s="136">
        <f t="shared" si="1717"/>
        <v>0.5</v>
      </c>
      <c r="AY270" s="136">
        <f t="shared" si="1717"/>
        <v>0.5</v>
      </c>
      <c r="AZ270" s="136">
        <f t="shared" si="1717"/>
        <v>0.5</v>
      </c>
      <c r="BA270" s="136">
        <f t="shared" ref="BA270:BX270" si="1718">AZ270</f>
        <v>0.5</v>
      </c>
      <c r="BB270" s="136">
        <f t="shared" si="1718"/>
        <v>0.5</v>
      </c>
      <c r="BC270" s="136">
        <f t="shared" si="1718"/>
        <v>0.5</v>
      </c>
      <c r="BD270" s="136">
        <f t="shared" si="1718"/>
        <v>0.5</v>
      </c>
      <c r="BE270" s="136">
        <f t="shared" si="1718"/>
        <v>0.5</v>
      </c>
      <c r="BF270" s="136">
        <f t="shared" si="1718"/>
        <v>0.5</v>
      </c>
      <c r="BG270" s="136">
        <f t="shared" si="1718"/>
        <v>0.5</v>
      </c>
      <c r="BH270" s="136">
        <f t="shared" si="1718"/>
        <v>0.5</v>
      </c>
      <c r="BI270" s="136">
        <f t="shared" si="1718"/>
        <v>0.5</v>
      </c>
      <c r="BJ270" s="136">
        <f t="shared" si="1718"/>
        <v>0.5</v>
      </c>
      <c r="BK270" s="136">
        <f t="shared" si="1718"/>
        <v>0.5</v>
      </c>
      <c r="BL270" s="136">
        <f t="shared" si="1718"/>
        <v>0.5</v>
      </c>
      <c r="BM270" s="136">
        <f t="shared" si="1718"/>
        <v>0.5</v>
      </c>
      <c r="BN270" s="136">
        <f t="shared" si="1718"/>
        <v>0.5</v>
      </c>
      <c r="BO270" s="136">
        <f t="shared" si="1718"/>
        <v>0.5</v>
      </c>
      <c r="BP270" s="136">
        <f t="shared" si="1718"/>
        <v>0.5</v>
      </c>
      <c r="BQ270" s="136">
        <f t="shared" si="1718"/>
        <v>0.5</v>
      </c>
      <c r="BR270" s="136">
        <f t="shared" si="1718"/>
        <v>0.5</v>
      </c>
      <c r="BS270" s="136">
        <f t="shared" si="1718"/>
        <v>0.5</v>
      </c>
      <c r="BT270" s="136">
        <f t="shared" si="1718"/>
        <v>0.5</v>
      </c>
      <c r="BU270" s="136">
        <f t="shared" si="1718"/>
        <v>0.5</v>
      </c>
      <c r="BV270" s="136">
        <f t="shared" si="1718"/>
        <v>0.5</v>
      </c>
      <c r="BW270" s="136">
        <f t="shared" si="1718"/>
        <v>0.5</v>
      </c>
      <c r="BX270" s="136">
        <f t="shared" si="1718"/>
        <v>0.5</v>
      </c>
    </row>
    <row r="271" spans="1:79" x14ac:dyDescent="0.3">
      <c r="A271" s="109" t="s">
        <v>375</v>
      </c>
    </row>
    <row r="272" spans="1:79" x14ac:dyDescent="0.3">
      <c r="A272" s="133" t="s">
        <v>376</v>
      </c>
      <c r="Q272" s="52"/>
      <c r="R272" s="52">
        <f t="shared" ref="R272:X273" si="1719">R57/R265</f>
        <v>2621.1224999999999</v>
      </c>
      <c r="S272" s="52">
        <f t="shared" si="1719"/>
        <v>2573.6637500000002</v>
      </c>
      <c r="T272" s="52">
        <f t="shared" si="1719"/>
        <v>2436.2125000000001</v>
      </c>
      <c r="U272" s="52">
        <f t="shared" si="1719"/>
        <v>2417.9875000000002</v>
      </c>
      <c r="V272" s="52">
        <f t="shared" si="1719"/>
        <v>2687.4412499999999</v>
      </c>
      <c r="W272" s="52">
        <f t="shared" si="1719"/>
        <v>2475.3274999999999</v>
      </c>
      <c r="X272" s="52">
        <f t="shared" si="1719"/>
        <v>2512.94</v>
      </c>
      <c r="Y272" s="134">
        <f>IF(MONTH(Y$4)=6,AVERAGE($V272:$X272)*2,IF(MONTH(Y$4)=7,0,AVERAGE($V272:$X272)))</f>
        <v>2558.5695833333334</v>
      </c>
      <c r="Z272" s="134">
        <f t="shared" ref="Z272:AN277" si="1720">IF(MONTH(Z$4)=6,AVERAGE($V272:$X272)*2,IF(MONTH(Z$4)=7,0,AVERAGE($V272:$X272)))</f>
        <v>2558.5695833333334</v>
      </c>
      <c r="AA272" s="134">
        <f t="shared" si="1720"/>
        <v>2558.5695833333334</v>
      </c>
      <c r="AB272" s="134">
        <f t="shared" si="1720"/>
        <v>5117.1391666666668</v>
      </c>
      <c r="AC272" s="134">
        <f t="shared" si="1720"/>
        <v>0</v>
      </c>
      <c r="AD272" s="134">
        <f t="shared" si="1720"/>
        <v>2558.5695833333334</v>
      </c>
      <c r="AE272" s="134">
        <f t="shared" si="1720"/>
        <v>2558.5695833333334</v>
      </c>
      <c r="AF272" s="134">
        <f t="shared" si="1720"/>
        <v>2558.5695833333334</v>
      </c>
      <c r="AG272" s="134">
        <f t="shared" si="1720"/>
        <v>2558.5695833333334</v>
      </c>
      <c r="AH272" s="134">
        <f t="shared" si="1720"/>
        <v>2558.5695833333334</v>
      </c>
      <c r="AI272" s="134">
        <f t="shared" si="1720"/>
        <v>2558.5695833333334</v>
      </c>
      <c r="AJ272" s="134">
        <f t="shared" si="1720"/>
        <v>2558.5695833333334</v>
      </c>
      <c r="AK272" s="134">
        <f t="shared" si="1720"/>
        <v>2558.5695833333334</v>
      </c>
      <c r="AL272" s="134">
        <f t="shared" si="1720"/>
        <v>2558.5695833333334</v>
      </c>
      <c r="AM272" s="134">
        <f t="shared" si="1720"/>
        <v>2558.5695833333334</v>
      </c>
      <c r="AN272" s="134">
        <f t="shared" si="1720"/>
        <v>5117.1391666666668</v>
      </c>
      <c r="AO272" s="150">
        <f t="shared" ref="AO272:AZ277" si="1721">IF(MONTH(AO$4)=6,AVERAGE($V272:$X272)*2,IF(MONTH(AO$4)=7,0,AVERAGE($V272:$X272)))*(1+AO$263)</f>
        <v>0</v>
      </c>
      <c r="AP272" s="150">
        <f t="shared" si="1721"/>
        <v>2635.3266708333335</v>
      </c>
      <c r="AQ272" s="150">
        <f t="shared" si="1721"/>
        <v>2635.3266708333335</v>
      </c>
      <c r="AR272" s="150">
        <f t="shared" si="1721"/>
        <v>2635.3266708333335</v>
      </c>
      <c r="AS272" s="150">
        <f t="shared" si="1721"/>
        <v>2635.3266708333335</v>
      </c>
      <c r="AT272" s="150">
        <f t="shared" si="1721"/>
        <v>2635.3266708333335</v>
      </c>
      <c r="AU272" s="150">
        <f t="shared" si="1721"/>
        <v>2635.3266708333335</v>
      </c>
      <c r="AV272" s="150">
        <f t="shared" si="1721"/>
        <v>2635.3266708333335</v>
      </c>
      <c r="AW272" s="150">
        <f t="shared" si="1721"/>
        <v>2635.3266708333335</v>
      </c>
      <c r="AX272" s="150">
        <f t="shared" si="1721"/>
        <v>2635.3266708333335</v>
      </c>
      <c r="AY272" s="150">
        <f t="shared" si="1721"/>
        <v>2635.3266708333335</v>
      </c>
      <c r="AZ272" s="150">
        <f t="shared" si="1721"/>
        <v>5270.6533416666671</v>
      </c>
      <c r="BA272" s="375">
        <f>AO272*(1+BA$263)</f>
        <v>0</v>
      </c>
      <c r="BB272" s="375">
        <f t="shared" ref="BB272:BB277" si="1722">AP272*(1+BB$263)</f>
        <v>2714.3864709583336</v>
      </c>
      <c r="BC272" s="375">
        <f t="shared" ref="BC272:BC277" si="1723">AQ272*(1+BC$263)</f>
        <v>2714.3864709583336</v>
      </c>
      <c r="BD272" s="375">
        <f t="shared" ref="BD272:BD277" si="1724">AR272*(1+BD$263)</f>
        <v>2714.3864709583336</v>
      </c>
      <c r="BE272" s="375">
        <f t="shared" ref="BE272:BE277" si="1725">AS272*(1+BE$263)</f>
        <v>2714.3864709583336</v>
      </c>
      <c r="BF272" s="375">
        <f t="shared" ref="BF272:BF277" si="1726">AT272*(1+BF$263)</f>
        <v>2714.3864709583336</v>
      </c>
      <c r="BG272" s="375">
        <f t="shared" ref="BG272:BG277" si="1727">AU272*(1+BG$263)</f>
        <v>2714.3864709583336</v>
      </c>
      <c r="BH272" s="375">
        <f t="shared" ref="BH272:BH277" si="1728">AV272*(1+BH$263)</f>
        <v>2714.3864709583336</v>
      </c>
      <c r="BI272" s="375">
        <f t="shared" ref="BI272:BI277" si="1729">AW272*(1+BI$263)</f>
        <v>2714.3864709583336</v>
      </c>
      <c r="BJ272" s="375">
        <f t="shared" ref="BJ272:BJ277" si="1730">AX272*(1+BJ$263)</f>
        <v>2714.3864709583336</v>
      </c>
      <c r="BK272" s="375">
        <f t="shared" ref="BK272:BK277" si="1731">AY272*(1+BK$263)</f>
        <v>2714.3864709583336</v>
      </c>
      <c r="BL272" s="375">
        <f t="shared" ref="BL272:BL277" si="1732">AZ272*(1+BL$263)</f>
        <v>5428.7729419166672</v>
      </c>
      <c r="BM272" s="375">
        <f t="shared" ref="BM272:BM277" si="1733">BA272*(1+BM$263)</f>
        <v>0</v>
      </c>
      <c r="BN272" s="375">
        <f t="shared" ref="BN272:BN277" si="1734">BB272*(1+BN$263)</f>
        <v>2795.8180650870836</v>
      </c>
      <c r="BO272" s="375">
        <f t="shared" ref="BO272:BO277" si="1735">BC272*(1+BO$263)</f>
        <v>2795.8180650870836</v>
      </c>
      <c r="BP272" s="375">
        <f t="shared" ref="BP272:BP277" si="1736">BD272*(1+BP$263)</f>
        <v>2795.8180650870836</v>
      </c>
      <c r="BQ272" s="375">
        <f t="shared" ref="BQ272:BQ277" si="1737">BE272*(1+BQ$263)</f>
        <v>2795.8180650870836</v>
      </c>
      <c r="BR272" s="375">
        <f t="shared" ref="BR272:BR277" si="1738">BF272*(1+BR$263)</f>
        <v>2795.8180650870836</v>
      </c>
      <c r="BS272" s="375">
        <f t="shared" ref="BS272:BS277" si="1739">BG272*(1+BS$263)</f>
        <v>2795.8180650870836</v>
      </c>
      <c r="BT272" s="375">
        <f t="shared" ref="BT272:BT277" si="1740">BH272*(1+BT$263)</f>
        <v>2795.8180650870836</v>
      </c>
      <c r="BU272" s="375">
        <f t="shared" ref="BU272:BU277" si="1741">BI272*(1+BU$263)</f>
        <v>2795.8180650870836</v>
      </c>
      <c r="BV272" s="375">
        <f t="shared" ref="BV272:BV277" si="1742">BJ272*(1+BV$263)</f>
        <v>2795.8180650870836</v>
      </c>
      <c r="BW272" s="375">
        <f t="shared" ref="BW272:BW277" si="1743">BK272*(1+BW$263)</f>
        <v>2795.8180650870836</v>
      </c>
      <c r="BX272" s="375">
        <f t="shared" ref="BX272:BX277" si="1744">BL272*(1+BX$263)</f>
        <v>5591.6361301741672</v>
      </c>
    </row>
    <row r="273" spans="1:77" x14ac:dyDescent="0.3">
      <c r="A273" s="133" t="s">
        <v>377</v>
      </c>
      <c r="Q273" s="52"/>
      <c r="R273" s="52">
        <f t="shared" si="1719"/>
        <v>658.06875000000002</v>
      </c>
      <c r="S273" s="52">
        <f t="shared" si="1719"/>
        <v>829.12499999999989</v>
      </c>
      <c r="T273" s="52">
        <f t="shared" si="1719"/>
        <v>989.82499999999993</v>
      </c>
      <c r="U273" s="52">
        <f t="shared" si="1719"/>
        <v>997.56249999999989</v>
      </c>
      <c r="V273" s="52">
        <f t="shared" si="1719"/>
        <v>1404.4312500000001</v>
      </c>
      <c r="W273" s="52">
        <f t="shared" si="1719"/>
        <v>1296.8</v>
      </c>
      <c r="X273" s="52">
        <f t="shared" si="1719"/>
        <v>1342.175</v>
      </c>
      <c r="Y273" s="134">
        <f t="shared" ref="Y273:AN277" si="1745">IF(MONTH(Y$4)=6,AVERAGE($V273:$X273)*2,IF(MONTH(Y$4)=7,0,AVERAGE($V273:$X273)))</f>
        <v>1347.8020833333333</v>
      </c>
      <c r="Z273" s="134">
        <f t="shared" si="1745"/>
        <v>1347.8020833333333</v>
      </c>
      <c r="AA273" s="134">
        <f t="shared" si="1745"/>
        <v>1347.8020833333333</v>
      </c>
      <c r="AB273" s="134">
        <f t="shared" si="1745"/>
        <v>2695.6041666666665</v>
      </c>
      <c r="AC273" s="134">
        <f t="shared" si="1745"/>
        <v>0</v>
      </c>
      <c r="AD273" s="134">
        <f t="shared" si="1745"/>
        <v>1347.8020833333333</v>
      </c>
      <c r="AE273" s="134">
        <f t="shared" si="1745"/>
        <v>1347.8020833333333</v>
      </c>
      <c r="AF273" s="134">
        <f t="shared" si="1745"/>
        <v>1347.8020833333333</v>
      </c>
      <c r="AG273" s="134">
        <f t="shared" si="1745"/>
        <v>1347.8020833333333</v>
      </c>
      <c r="AH273" s="134">
        <f t="shared" si="1745"/>
        <v>1347.8020833333333</v>
      </c>
      <c r="AI273" s="134">
        <f t="shared" si="1745"/>
        <v>1347.8020833333333</v>
      </c>
      <c r="AJ273" s="134">
        <f t="shared" si="1745"/>
        <v>1347.8020833333333</v>
      </c>
      <c r="AK273" s="134">
        <f t="shared" si="1745"/>
        <v>1347.8020833333333</v>
      </c>
      <c r="AL273" s="134">
        <f t="shared" si="1745"/>
        <v>1347.8020833333333</v>
      </c>
      <c r="AM273" s="134">
        <f t="shared" si="1745"/>
        <v>1347.8020833333333</v>
      </c>
      <c r="AN273" s="134">
        <f t="shared" si="1745"/>
        <v>2695.6041666666665</v>
      </c>
      <c r="AO273" s="150">
        <f t="shared" si="1721"/>
        <v>0</v>
      </c>
      <c r="AP273" s="150">
        <f t="shared" si="1721"/>
        <v>1388.2361458333332</v>
      </c>
      <c r="AQ273" s="150">
        <f t="shared" si="1721"/>
        <v>1388.2361458333332</v>
      </c>
      <c r="AR273" s="150">
        <f t="shared" si="1721"/>
        <v>1388.2361458333332</v>
      </c>
      <c r="AS273" s="150">
        <f t="shared" si="1721"/>
        <v>1388.2361458333332</v>
      </c>
      <c r="AT273" s="150">
        <f t="shared" si="1721"/>
        <v>1388.2361458333332</v>
      </c>
      <c r="AU273" s="150">
        <f t="shared" si="1721"/>
        <v>1388.2361458333332</v>
      </c>
      <c r="AV273" s="150">
        <f t="shared" si="1721"/>
        <v>1388.2361458333332</v>
      </c>
      <c r="AW273" s="150">
        <f t="shared" si="1721"/>
        <v>1388.2361458333332</v>
      </c>
      <c r="AX273" s="150">
        <f t="shared" si="1721"/>
        <v>1388.2361458333332</v>
      </c>
      <c r="AY273" s="150">
        <f t="shared" si="1721"/>
        <v>1388.2361458333332</v>
      </c>
      <c r="AZ273" s="150">
        <f t="shared" si="1721"/>
        <v>2776.4722916666665</v>
      </c>
      <c r="BA273" s="375">
        <f t="shared" ref="BA273:BA277" si="1746">AO273*(1+BA$263)</f>
        <v>0</v>
      </c>
      <c r="BB273" s="375">
        <f t="shared" si="1722"/>
        <v>1429.8832302083333</v>
      </c>
      <c r="BC273" s="375">
        <f t="shared" si="1723"/>
        <v>1429.8832302083333</v>
      </c>
      <c r="BD273" s="375">
        <f t="shared" si="1724"/>
        <v>1429.8832302083333</v>
      </c>
      <c r="BE273" s="375">
        <f t="shared" si="1725"/>
        <v>1429.8832302083333</v>
      </c>
      <c r="BF273" s="375">
        <f t="shared" si="1726"/>
        <v>1429.8832302083333</v>
      </c>
      <c r="BG273" s="375">
        <f t="shared" si="1727"/>
        <v>1429.8832302083333</v>
      </c>
      <c r="BH273" s="375">
        <f t="shared" si="1728"/>
        <v>1429.8832302083333</v>
      </c>
      <c r="BI273" s="375">
        <f t="shared" si="1729"/>
        <v>1429.8832302083333</v>
      </c>
      <c r="BJ273" s="375">
        <f t="shared" si="1730"/>
        <v>1429.8832302083333</v>
      </c>
      <c r="BK273" s="375">
        <f t="shared" si="1731"/>
        <v>1429.8832302083333</v>
      </c>
      <c r="BL273" s="375">
        <f t="shared" si="1732"/>
        <v>2859.7664604166666</v>
      </c>
      <c r="BM273" s="375">
        <f t="shared" si="1733"/>
        <v>0</v>
      </c>
      <c r="BN273" s="375">
        <f t="shared" si="1734"/>
        <v>1472.7797271145835</v>
      </c>
      <c r="BO273" s="375">
        <f t="shared" si="1735"/>
        <v>1472.7797271145835</v>
      </c>
      <c r="BP273" s="375">
        <f t="shared" si="1736"/>
        <v>1472.7797271145835</v>
      </c>
      <c r="BQ273" s="375">
        <f t="shared" si="1737"/>
        <v>1472.7797271145835</v>
      </c>
      <c r="BR273" s="375">
        <f t="shared" si="1738"/>
        <v>1472.7797271145835</v>
      </c>
      <c r="BS273" s="375">
        <f t="shared" si="1739"/>
        <v>1472.7797271145835</v>
      </c>
      <c r="BT273" s="375">
        <f t="shared" si="1740"/>
        <v>1472.7797271145835</v>
      </c>
      <c r="BU273" s="375">
        <f t="shared" si="1741"/>
        <v>1472.7797271145835</v>
      </c>
      <c r="BV273" s="375">
        <f t="shared" si="1742"/>
        <v>1472.7797271145835</v>
      </c>
      <c r="BW273" s="375">
        <f t="shared" si="1743"/>
        <v>1472.7797271145835</v>
      </c>
      <c r="BX273" s="375">
        <f t="shared" si="1744"/>
        <v>2945.5594542291669</v>
      </c>
    </row>
    <row r="274" spans="1:77" x14ac:dyDescent="0.3">
      <c r="A274" s="133" t="s">
        <v>380</v>
      </c>
      <c r="Q274" s="52"/>
      <c r="R274" s="52">
        <f t="shared" ref="R274:X274" si="1747">R87/R267</f>
        <v>2744.4450000000002</v>
      </c>
      <c r="S274" s="52">
        <f t="shared" si="1747"/>
        <v>3527.6750000000002</v>
      </c>
      <c r="T274" s="52">
        <f t="shared" si="1747"/>
        <v>3294.31</v>
      </c>
      <c r="U274" s="52">
        <f t="shared" si="1747"/>
        <v>3379.13</v>
      </c>
      <c r="V274" s="52">
        <f t="shared" si="1747"/>
        <v>3095.74</v>
      </c>
      <c r="W274" s="52">
        <f t="shared" si="1747"/>
        <v>2780.7849999999999</v>
      </c>
      <c r="X274" s="52">
        <f t="shared" si="1747"/>
        <v>3456.87</v>
      </c>
      <c r="Y274" s="134">
        <f t="shared" si="1745"/>
        <v>3111.1316666666667</v>
      </c>
      <c r="Z274" s="134">
        <f t="shared" si="1720"/>
        <v>3111.1316666666667</v>
      </c>
      <c r="AA274" s="134">
        <f t="shared" si="1720"/>
        <v>3111.1316666666667</v>
      </c>
      <c r="AB274" s="134">
        <f t="shared" si="1720"/>
        <v>6222.2633333333333</v>
      </c>
      <c r="AC274" s="134">
        <f t="shared" si="1720"/>
        <v>0</v>
      </c>
      <c r="AD274" s="134">
        <f t="shared" si="1720"/>
        <v>3111.1316666666667</v>
      </c>
      <c r="AE274" s="134">
        <f t="shared" si="1720"/>
        <v>3111.1316666666667</v>
      </c>
      <c r="AF274" s="134">
        <f t="shared" si="1720"/>
        <v>3111.1316666666667</v>
      </c>
      <c r="AG274" s="134">
        <f t="shared" si="1720"/>
        <v>3111.1316666666667</v>
      </c>
      <c r="AH274" s="134">
        <f t="shared" si="1720"/>
        <v>3111.1316666666667</v>
      </c>
      <c r="AI274" s="134">
        <f t="shared" si="1720"/>
        <v>3111.1316666666667</v>
      </c>
      <c r="AJ274" s="134">
        <f t="shared" si="1720"/>
        <v>3111.1316666666667</v>
      </c>
      <c r="AK274" s="134">
        <f t="shared" si="1720"/>
        <v>3111.1316666666667</v>
      </c>
      <c r="AL274" s="134">
        <f t="shared" si="1720"/>
        <v>3111.1316666666667</v>
      </c>
      <c r="AM274" s="134">
        <f t="shared" si="1720"/>
        <v>3111.1316666666667</v>
      </c>
      <c r="AN274" s="134">
        <f t="shared" si="1720"/>
        <v>6222.2633333333333</v>
      </c>
      <c r="AO274" s="150">
        <f t="shared" si="1721"/>
        <v>0</v>
      </c>
      <c r="AP274" s="150">
        <f t="shared" si="1721"/>
        <v>3204.4656166666668</v>
      </c>
      <c r="AQ274" s="150">
        <f t="shared" si="1721"/>
        <v>3204.4656166666668</v>
      </c>
      <c r="AR274" s="150">
        <f t="shared" si="1721"/>
        <v>3204.4656166666668</v>
      </c>
      <c r="AS274" s="150">
        <f t="shared" si="1721"/>
        <v>3204.4656166666668</v>
      </c>
      <c r="AT274" s="150">
        <f t="shared" si="1721"/>
        <v>3204.4656166666668</v>
      </c>
      <c r="AU274" s="150">
        <f t="shared" si="1721"/>
        <v>3204.4656166666668</v>
      </c>
      <c r="AV274" s="150">
        <f t="shared" si="1721"/>
        <v>3204.4656166666668</v>
      </c>
      <c r="AW274" s="150">
        <f t="shared" si="1721"/>
        <v>3204.4656166666668</v>
      </c>
      <c r="AX274" s="150">
        <f t="shared" si="1721"/>
        <v>3204.4656166666668</v>
      </c>
      <c r="AY274" s="150">
        <f t="shared" si="1721"/>
        <v>3204.4656166666668</v>
      </c>
      <c r="AZ274" s="150">
        <f t="shared" si="1721"/>
        <v>6408.9312333333337</v>
      </c>
      <c r="BA274" s="375">
        <f t="shared" si="1746"/>
        <v>0</v>
      </c>
      <c r="BB274" s="375">
        <f t="shared" si="1722"/>
        <v>3300.5995851666671</v>
      </c>
      <c r="BC274" s="375">
        <f t="shared" si="1723"/>
        <v>3300.5995851666671</v>
      </c>
      <c r="BD274" s="375">
        <f t="shared" si="1724"/>
        <v>3300.5995851666671</v>
      </c>
      <c r="BE274" s="375">
        <f t="shared" si="1725"/>
        <v>3300.5995851666671</v>
      </c>
      <c r="BF274" s="375">
        <f t="shared" si="1726"/>
        <v>3300.5995851666671</v>
      </c>
      <c r="BG274" s="375">
        <f t="shared" si="1727"/>
        <v>3300.5995851666671</v>
      </c>
      <c r="BH274" s="375">
        <f t="shared" si="1728"/>
        <v>3300.5995851666671</v>
      </c>
      <c r="BI274" s="375">
        <f t="shared" si="1729"/>
        <v>3300.5995851666671</v>
      </c>
      <c r="BJ274" s="375">
        <f t="shared" si="1730"/>
        <v>3300.5995851666671</v>
      </c>
      <c r="BK274" s="375">
        <f t="shared" si="1731"/>
        <v>3300.5995851666671</v>
      </c>
      <c r="BL274" s="375">
        <f t="shared" si="1732"/>
        <v>6601.1991703333342</v>
      </c>
      <c r="BM274" s="375">
        <f t="shared" si="1733"/>
        <v>0</v>
      </c>
      <c r="BN274" s="375">
        <f t="shared" si="1734"/>
        <v>3399.6175727216673</v>
      </c>
      <c r="BO274" s="375">
        <f t="shared" si="1735"/>
        <v>3399.6175727216673</v>
      </c>
      <c r="BP274" s="375">
        <f t="shared" si="1736"/>
        <v>3399.6175727216673</v>
      </c>
      <c r="BQ274" s="375">
        <f t="shared" si="1737"/>
        <v>3399.6175727216673</v>
      </c>
      <c r="BR274" s="375">
        <f t="shared" si="1738"/>
        <v>3399.6175727216673</v>
      </c>
      <c r="BS274" s="375">
        <f t="shared" si="1739"/>
        <v>3399.6175727216673</v>
      </c>
      <c r="BT274" s="375">
        <f t="shared" si="1740"/>
        <v>3399.6175727216673</v>
      </c>
      <c r="BU274" s="375">
        <f t="shared" si="1741"/>
        <v>3399.6175727216673</v>
      </c>
      <c r="BV274" s="375">
        <f t="shared" si="1742"/>
        <v>3399.6175727216673</v>
      </c>
      <c r="BW274" s="375">
        <f t="shared" si="1743"/>
        <v>3399.6175727216673</v>
      </c>
      <c r="BX274" s="375">
        <f t="shared" si="1744"/>
        <v>6799.2351454433347</v>
      </c>
    </row>
    <row r="275" spans="1:77" x14ac:dyDescent="0.3">
      <c r="A275" s="133" t="s">
        <v>374</v>
      </c>
      <c r="Q275" s="52"/>
      <c r="R275" s="52">
        <f t="shared" ref="R275:X275" si="1748">R115/R268</f>
        <v>4125.24</v>
      </c>
      <c r="S275" s="52">
        <f t="shared" si="1748"/>
        <v>4131.84</v>
      </c>
      <c r="T275" s="52">
        <f t="shared" si="1748"/>
        <v>4125.24</v>
      </c>
      <c r="U275" s="52">
        <f t="shared" si="1748"/>
        <v>4125.24</v>
      </c>
      <c r="V275" s="52">
        <f t="shared" si="1748"/>
        <v>4169.24</v>
      </c>
      <c r="W275" s="52">
        <f t="shared" si="1748"/>
        <v>4125.24</v>
      </c>
      <c r="X275" s="52">
        <f t="shared" si="1748"/>
        <v>4125.24</v>
      </c>
      <c r="Y275" s="134">
        <f t="shared" si="1745"/>
        <v>4139.9066666666668</v>
      </c>
      <c r="Z275" s="134">
        <f t="shared" si="1720"/>
        <v>4139.9066666666668</v>
      </c>
      <c r="AA275" s="134">
        <f t="shared" si="1720"/>
        <v>4139.9066666666668</v>
      </c>
      <c r="AB275" s="134">
        <f t="shared" si="1720"/>
        <v>8279.8133333333335</v>
      </c>
      <c r="AC275" s="134">
        <f t="shared" si="1720"/>
        <v>0</v>
      </c>
      <c r="AD275" s="134">
        <f t="shared" si="1720"/>
        <v>4139.9066666666668</v>
      </c>
      <c r="AE275" s="134">
        <f t="shared" si="1720"/>
        <v>4139.9066666666668</v>
      </c>
      <c r="AF275" s="134">
        <f t="shared" si="1720"/>
        <v>4139.9066666666668</v>
      </c>
      <c r="AG275" s="134">
        <f t="shared" si="1720"/>
        <v>4139.9066666666668</v>
      </c>
      <c r="AH275" s="134">
        <f t="shared" si="1720"/>
        <v>4139.9066666666668</v>
      </c>
      <c r="AI275" s="134">
        <f t="shared" si="1720"/>
        <v>4139.9066666666668</v>
      </c>
      <c r="AJ275" s="134">
        <f t="shared" si="1720"/>
        <v>4139.9066666666668</v>
      </c>
      <c r="AK275" s="134">
        <f t="shared" si="1720"/>
        <v>4139.9066666666668</v>
      </c>
      <c r="AL275" s="134">
        <f t="shared" si="1720"/>
        <v>4139.9066666666668</v>
      </c>
      <c r="AM275" s="134">
        <f t="shared" si="1720"/>
        <v>4139.9066666666668</v>
      </c>
      <c r="AN275" s="134">
        <f t="shared" si="1720"/>
        <v>8279.8133333333335</v>
      </c>
      <c r="AO275" s="150">
        <f t="shared" si="1721"/>
        <v>0</v>
      </c>
      <c r="AP275" s="150">
        <f t="shared" si="1721"/>
        <v>4264.1038666666673</v>
      </c>
      <c r="AQ275" s="150">
        <f t="shared" si="1721"/>
        <v>4264.1038666666673</v>
      </c>
      <c r="AR275" s="150">
        <f t="shared" si="1721"/>
        <v>4264.1038666666673</v>
      </c>
      <c r="AS275" s="150">
        <f t="shared" si="1721"/>
        <v>4264.1038666666673</v>
      </c>
      <c r="AT275" s="150">
        <f t="shared" si="1721"/>
        <v>4264.1038666666673</v>
      </c>
      <c r="AU275" s="150">
        <f t="shared" si="1721"/>
        <v>4264.1038666666673</v>
      </c>
      <c r="AV275" s="150">
        <f t="shared" si="1721"/>
        <v>4264.1038666666673</v>
      </c>
      <c r="AW275" s="150">
        <f t="shared" si="1721"/>
        <v>4264.1038666666673</v>
      </c>
      <c r="AX275" s="150">
        <f t="shared" si="1721"/>
        <v>4264.1038666666673</v>
      </c>
      <c r="AY275" s="150">
        <f t="shared" si="1721"/>
        <v>4264.1038666666673</v>
      </c>
      <c r="AZ275" s="150">
        <f t="shared" si="1721"/>
        <v>8528.2077333333345</v>
      </c>
      <c r="BA275" s="375">
        <f t="shared" si="1746"/>
        <v>0</v>
      </c>
      <c r="BB275" s="375">
        <f t="shared" si="1722"/>
        <v>4392.0269826666672</v>
      </c>
      <c r="BC275" s="375">
        <f t="shared" si="1723"/>
        <v>4392.0269826666672</v>
      </c>
      <c r="BD275" s="375">
        <f t="shared" si="1724"/>
        <v>4392.0269826666672</v>
      </c>
      <c r="BE275" s="375">
        <f t="shared" si="1725"/>
        <v>4392.0269826666672</v>
      </c>
      <c r="BF275" s="375">
        <f t="shared" si="1726"/>
        <v>4392.0269826666672</v>
      </c>
      <c r="BG275" s="375">
        <f t="shared" si="1727"/>
        <v>4392.0269826666672</v>
      </c>
      <c r="BH275" s="375">
        <f t="shared" si="1728"/>
        <v>4392.0269826666672</v>
      </c>
      <c r="BI275" s="375">
        <f t="shared" si="1729"/>
        <v>4392.0269826666672</v>
      </c>
      <c r="BJ275" s="375">
        <f t="shared" si="1730"/>
        <v>4392.0269826666672</v>
      </c>
      <c r="BK275" s="375">
        <f t="shared" si="1731"/>
        <v>4392.0269826666672</v>
      </c>
      <c r="BL275" s="375">
        <f t="shared" si="1732"/>
        <v>8784.0539653333344</v>
      </c>
      <c r="BM275" s="375">
        <f t="shared" si="1733"/>
        <v>0</v>
      </c>
      <c r="BN275" s="375">
        <f t="shared" si="1734"/>
        <v>4523.787792146667</v>
      </c>
      <c r="BO275" s="375">
        <f t="shared" si="1735"/>
        <v>4523.787792146667</v>
      </c>
      <c r="BP275" s="375">
        <f t="shared" si="1736"/>
        <v>4523.787792146667</v>
      </c>
      <c r="BQ275" s="375">
        <f t="shared" si="1737"/>
        <v>4523.787792146667</v>
      </c>
      <c r="BR275" s="375">
        <f t="shared" si="1738"/>
        <v>4523.787792146667</v>
      </c>
      <c r="BS275" s="375">
        <f t="shared" si="1739"/>
        <v>4523.787792146667</v>
      </c>
      <c r="BT275" s="375">
        <f t="shared" si="1740"/>
        <v>4523.787792146667</v>
      </c>
      <c r="BU275" s="375">
        <f t="shared" si="1741"/>
        <v>4523.787792146667</v>
      </c>
      <c r="BV275" s="375">
        <f t="shared" si="1742"/>
        <v>4523.787792146667</v>
      </c>
      <c r="BW275" s="375">
        <f t="shared" si="1743"/>
        <v>4523.787792146667</v>
      </c>
      <c r="BX275" s="375">
        <f t="shared" si="1744"/>
        <v>9047.575584293334</v>
      </c>
    </row>
    <row r="276" spans="1:77" x14ac:dyDescent="0.3">
      <c r="A276" s="133" t="s">
        <v>378</v>
      </c>
      <c r="Q276" s="52"/>
      <c r="R276" s="52">
        <f t="shared" ref="R276:X277" si="1749">R144/R269</f>
        <v>2189.36</v>
      </c>
      <c r="S276" s="52">
        <f t="shared" si="1749"/>
        <v>2202.56</v>
      </c>
      <c r="T276" s="52">
        <f t="shared" si="1749"/>
        <v>2189.36</v>
      </c>
      <c r="U276" s="52">
        <f t="shared" si="1749"/>
        <v>2189.36</v>
      </c>
      <c r="V276" s="52">
        <f t="shared" si="1749"/>
        <v>2200.36</v>
      </c>
      <c r="W276" s="52">
        <f t="shared" si="1749"/>
        <v>2189.36</v>
      </c>
      <c r="X276" s="52">
        <f t="shared" si="1749"/>
        <v>2189.36</v>
      </c>
      <c r="Y276" s="134">
        <f t="shared" si="1745"/>
        <v>2193.0266666666666</v>
      </c>
      <c r="Z276" s="134">
        <f t="shared" si="1720"/>
        <v>2193.0266666666666</v>
      </c>
      <c r="AA276" s="134">
        <f t="shared" si="1720"/>
        <v>2193.0266666666666</v>
      </c>
      <c r="AB276" s="134">
        <f t="shared" si="1720"/>
        <v>4386.0533333333333</v>
      </c>
      <c r="AC276" s="134">
        <f t="shared" si="1720"/>
        <v>0</v>
      </c>
      <c r="AD276" s="134">
        <f t="shared" si="1720"/>
        <v>2193.0266666666666</v>
      </c>
      <c r="AE276" s="134">
        <f t="shared" si="1720"/>
        <v>2193.0266666666666</v>
      </c>
      <c r="AF276" s="134">
        <f t="shared" si="1720"/>
        <v>2193.0266666666666</v>
      </c>
      <c r="AG276" s="134">
        <f t="shared" si="1720"/>
        <v>2193.0266666666666</v>
      </c>
      <c r="AH276" s="134">
        <f t="shared" si="1720"/>
        <v>2193.0266666666666</v>
      </c>
      <c r="AI276" s="134">
        <f t="shared" si="1720"/>
        <v>2193.0266666666666</v>
      </c>
      <c r="AJ276" s="134">
        <f t="shared" si="1720"/>
        <v>2193.0266666666666</v>
      </c>
      <c r="AK276" s="134">
        <f t="shared" si="1720"/>
        <v>2193.0266666666666</v>
      </c>
      <c r="AL276" s="134">
        <f t="shared" si="1720"/>
        <v>2193.0266666666666</v>
      </c>
      <c r="AM276" s="134">
        <f t="shared" si="1720"/>
        <v>2193.0266666666666</v>
      </c>
      <c r="AN276" s="134">
        <f t="shared" si="1720"/>
        <v>4386.0533333333333</v>
      </c>
      <c r="AO276" s="150">
        <f t="shared" si="1721"/>
        <v>0</v>
      </c>
      <c r="AP276" s="150">
        <f t="shared" si="1721"/>
        <v>2258.8174666666669</v>
      </c>
      <c r="AQ276" s="150">
        <f t="shared" si="1721"/>
        <v>2258.8174666666669</v>
      </c>
      <c r="AR276" s="150">
        <f t="shared" si="1721"/>
        <v>2258.8174666666669</v>
      </c>
      <c r="AS276" s="150">
        <f t="shared" si="1721"/>
        <v>2258.8174666666669</v>
      </c>
      <c r="AT276" s="150">
        <f t="shared" si="1721"/>
        <v>2258.8174666666669</v>
      </c>
      <c r="AU276" s="150">
        <f t="shared" si="1721"/>
        <v>2258.8174666666669</v>
      </c>
      <c r="AV276" s="150">
        <f t="shared" si="1721"/>
        <v>2258.8174666666669</v>
      </c>
      <c r="AW276" s="150">
        <f t="shared" si="1721"/>
        <v>2258.8174666666669</v>
      </c>
      <c r="AX276" s="150">
        <f t="shared" si="1721"/>
        <v>2258.8174666666669</v>
      </c>
      <c r="AY276" s="150">
        <f t="shared" si="1721"/>
        <v>2258.8174666666669</v>
      </c>
      <c r="AZ276" s="150">
        <f t="shared" si="1721"/>
        <v>4517.6349333333337</v>
      </c>
      <c r="BA276" s="375">
        <f t="shared" si="1746"/>
        <v>0</v>
      </c>
      <c r="BB276" s="375">
        <f t="shared" si="1722"/>
        <v>2326.581990666667</v>
      </c>
      <c r="BC276" s="375">
        <f t="shared" si="1723"/>
        <v>2326.581990666667</v>
      </c>
      <c r="BD276" s="375">
        <f t="shared" si="1724"/>
        <v>2326.581990666667</v>
      </c>
      <c r="BE276" s="375">
        <f t="shared" si="1725"/>
        <v>2326.581990666667</v>
      </c>
      <c r="BF276" s="375">
        <f t="shared" si="1726"/>
        <v>2326.581990666667</v>
      </c>
      <c r="BG276" s="375">
        <f t="shared" si="1727"/>
        <v>2326.581990666667</v>
      </c>
      <c r="BH276" s="375">
        <f t="shared" si="1728"/>
        <v>2326.581990666667</v>
      </c>
      <c r="BI276" s="375">
        <f t="shared" si="1729"/>
        <v>2326.581990666667</v>
      </c>
      <c r="BJ276" s="375">
        <f t="shared" si="1730"/>
        <v>2326.581990666667</v>
      </c>
      <c r="BK276" s="375">
        <f t="shared" si="1731"/>
        <v>2326.581990666667</v>
      </c>
      <c r="BL276" s="375">
        <f t="shared" si="1732"/>
        <v>4653.163981333334</v>
      </c>
      <c r="BM276" s="375">
        <f t="shared" si="1733"/>
        <v>0</v>
      </c>
      <c r="BN276" s="375">
        <f t="shared" si="1734"/>
        <v>2396.379450386667</v>
      </c>
      <c r="BO276" s="375">
        <f t="shared" si="1735"/>
        <v>2396.379450386667</v>
      </c>
      <c r="BP276" s="375">
        <f t="shared" si="1736"/>
        <v>2396.379450386667</v>
      </c>
      <c r="BQ276" s="375">
        <f t="shared" si="1737"/>
        <v>2396.379450386667</v>
      </c>
      <c r="BR276" s="375">
        <f t="shared" si="1738"/>
        <v>2396.379450386667</v>
      </c>
      <c r="BS276" s="375">
        <f t="shared" si="1739"/>
        <v>2396.379450386667</v>
      </c>
      <c r="BT276" s="375">
        <f t="shared" si="1740"/>
        <v>2396.379450386667</v>
      </c>
      <c r="BU276" s="375">
        <f t="shared" si="1741"/>
        <v>2396.379450386667</v>
      </c>
      <c r="BV276" s="375">
        <f t="shared" si="1742"/>
        <v>2396.379450386667</v>
      </c>
      <c r="BW276" s="375">
        <f t="shared" si="1743"/>
        <v>2396.379450386667</v>
      </c>
      <c r="BX276" s="375">
        <f t="shared" si="1744"/>
        <v>4792.7589007733341</v>
      </c>
    </row>
    <row r="277" spans="1:77" x14ac:dyDescent="0.3">
      <c r="A277" s="133" t="s">
        <v>379</v>
      </c>
      <c r="Q277" s="52"/>
      <c r="R277" s="52">
        <f t="shared" si="1749"/>
        <v>1048.6400000000001</v>
      </c>
      <c r="S277" s="52">
        <f t="shared" si="1749"/>
        <v>1061.8399999999999</v>
      </c>
      <c r="T277" s="52">
        <f t="shared" si="1749"/>
        <v>1048.6400000000001</v>
      </c>
      <c r="U277" s="52">
        <f t="shared" si="1749"/>
        <v>1048.6400000000001</v>
      </c>
      <c r="V277" s="52">
        <f t="shared" si="1749"/>
        <v>1262.04</v>
      </c>
      <c r="W277" s="52">
        <f t="shared" si="1749"/>
        <v>1180.6400000000001</v>
      </c>
      <c r="X277" s="52">
        <f t="shared" si="1749"/>
        <v>1311.78</v>
      </c>
      <c r="Y277" s="134">
        <f t="shared" si="1745"/>
        <v>1251.4866666666667</v>
      </c>
      <c r="Z277" s="134">
        <f t="shared" si="1720"/>
        <v>1251.4866666666667</v>
      </c>
      <c r="AA277" s="134">
        <f t="shared" si="1720"/>
        <v>1251.4866666666667</v>
      </c>
      <c r="AB277" s="134">
        <f t="shared" si="1720"/>
        <v>2502.9733333333334</v>
      </c>
      <c r="AC277" s="134">
        <f t="shared" si="1720"/>
        <v>0</v>
      </c>
      <c r="AD277" s="134">
        <f t="shared" si="1720"/>
        <v>1251.4866666666667</v>
      </c>
      <c r="AE277" s="134">
        <f t="shared" si="1720"/>
        <v>1251.4866666666667</v>
      </c>
      <c r="AF277" s="134">
        <f t="shared" si="1720"/>
        <v>1251.4866666666667</v>
      </c>
      <c r="AG277" s="134">
        <f t="shared" si="1720"/>
        <v>1251.4866666666667</v>
      </c>
      <c r="AH277" s="134">
        <f t="shared" si="1720"/>
        <v>1251.4866666666667</v>
      </c>
      <c r="AI277" s="134">
        <f t="shared" si="1720"/>
        <v>1251.4866666666667</v>
      </c>
      <c r="AJ277" s="134">
        <f t="shared" si="1720"/>
        <v>1251.4866666666667</v>
      </c>
      <c r="AK277" s="134">
        <f t="shared" si="1720"/>
        <v>1251.4866666666667</v>
      </c>
      <c r="AL277" s="134">
        <f t="shared" si="1720"/>
        <v>1251.4866666666667</v>
      </c>
      <c r="AM277" s="134">
        <f t="shared" si="1720"/>
        <v>1251.4866666666667</v>
      </c>
      <c r="AN277" s="134">
        <f t="shared" si="1720"/>
        <v>2502.9733333333334</v>
      </c>
      <c r="AO277" s="150">
        <f t="shared" si="1721"/>
        <v>0</v>
      </c>
      <c r="AP277" s="150">
        <f t="shared" si="1721"/>
        <v>1289.0312666666666</v>
      </c>
      <c r="AQ277" s="150">
        <f t="shared" si="1721"/>
        <v>1289.0312666666666</v>
      </c>
      <c r="AR277" s="150">
        <f t="shared" si="1721"/>
        <v>1289.0312666666666</v>
      </c>
      <c r="AS277" s="150">
        <f t="shared" si="1721"/>
        <v>1289.0312666666666</v>
      </c>
      <c r="AT277" s="150">
        <f t="shared" si="1721"/>
        <v>1289.0312666666666</v>
      </c>
      <c r="AU277" s="150">
        <f t="shared" si="1721"/>
        <v>1289.0312666666666</v>
      </c>
      <c r="AV277" s="150">
        <f t="shared" si="1721"/>
        <v>1289.0312666666666</v>
      </c>
      <c r="AW277" s="150">
        <f t="shared" si="1721"/>
        <v>1289.0312666666666</v>
      </c>
      <c r="AX277" s="150">
        <f t="shared" si="1721"/>
        <v>1289.0312666666666</v>
      </c>
      <c r="AY277" s="150">
        <f t="shared" si="1721"/>
        <v>1289.0312666666666</v>
      </c>
      <c r="AZ277" s="150">
        <f t="shared" si="1721"/>
        <v>2578.0625333333332</v>
      </c>
      <c r="BA277" s="375">
        <f t="shared" si="1746"/>
        <v>0</v>
      </c>
      <c r="BB277" s="375">
        <f t="shared" si="1722"/>
        <v>1327.7022046666666</v>
      </c>
      <c r="BC277" s="375">
        <f t="shared" si="1723"/>
        <v>1327.7022046666666</v>
      </c>
      <c r="BD277" s="375">
        <f t="shared" si="1724"/>
        <v>1327.7022046666666</v>
      </c>
      <c r="BE277" s="375">
        <f t="shared" si="1725"/>
        <v>1327.7022046666666</v>
      </c>
      <c r="BF277" s="375">
        <f t="shared" si="1726"/>
        <v>1327.7022046666666</v>
      </c>
      <c r="BG277" s="375">
        <f t="shared" si="1727"/>
        <v>1327.7022046666666</v>
      </c>
      <c r="BH277" s="375">
        <f t="shared" si="1728"/>
        <v>1327.7022046666666</v>
      </c>
      <c r="BI277" s="375">
        <f t="shared" si="1729"/>
        <v>1327.7022046666666</v>
      </c>
      <c r="BJ277" s="375">
        <f t="shared" si="1730"/>
        <v>1327.7022046666666</v>
      </c>
      <c r="BK277" s="375">
        <f t="shared" si="1731"/>
        <v>1327.7022046666666</v>
      </c>
      <c r="BL277" s="375">
        <f t="shared" si="1732"/>
        <v>2655.4044093333332</v>
      </c>
      <c r="BM277" s="375">
        <f t="shared" si="1733"/>
        <v>0</v>
      </c>
      <c r="BN277" s="375">
        <f t="shared" si="1734"/>
        <v>1367.5332708066667</v>
      </c>
      <c r="BO277" s="375">
        <f t="shared" si="1735"/>
        <v>1367.5332708066667</v>
      </c>
      <c r="BP277" s="375">
        <f t="shared" si="1736"/>
        <v>1367.5332708066667</v>
      </c>
      <c r="BQ277" s="375">
        <f t="shared" si="1737"/>
        <v>1367.5332708066667</v>
      </c>
      <c r="BR277" s="375">
        <f t="shared" si="1738"/>
        <v>1367.5332708066667</v>
      </c>
      <c r="BS277" s="375">
        <f t="shared" si="1739"/>
        <v>1367.5332708066667</v>
      </c>
      <c r="BT277" s="375">
        <f t="shared" si="1740"/>
        <v>1367.5332708066667</v>
      </c>
      <c r="BU277" s="375">
        <f t="shared" si="1741"/>
        <v>1367.5332708066667</v>
      </c>
      <c r="BV277" s="375">
        <f t="shared" si="1742"/>
        <v>1367.5332708066667</v>
      </c>
      <c r="BW277" s="375">
        <f t="shared" si="1743"/>
        <v>1367.5332708066667</v>
      </c>
      <c r="BX277" s="375">
        <f t="shared" si="1744"/>
        <v>2735.0665416133334</v>
      </c>
    </row>
    <row r="279" spans="1:77" x14ac:dyDescent="0.3">
      <c r="A279" s="127" t="s">
        <v>412</v>
      </c>
    </row>
    <row r="280" spans="1:77" x14ac:dyDescent="0.3">
      <c r="A280" s="33" t="s">
        <v>352</v>
      </c>
      <c r="D280" s="418">
        <f t="shared" ref="D280:Y280" si="1750">D10/C10-1</f>
        <v>-5.555555555555558E-2</v>
      </c>
      <c r="E280" s="418">
        <f t="shared" si="1750"/>
        <v>0</v>
      </c>
      <c r="F280" s="418">
        <f t="shared" si="1750"/>
        <v>0.23529411764705888</v>
      </c>
      <c r="G280" s="418">
        <f t="shared" si="1750"/>
        <v>9.5238095238095344E-2</v>
      </c>
      <c r="H280" s="418">
        <f t="shared" si="1750"/>
        <v>0</v>
      </c>
      <c r="I280" s="418">
        <f t="shared" si="1750"/>
        <v>-8.6956521739130488E-2</v>
      </c>
      <c r="J280" s="418">
        <f t="shared" si="1750"/>
        <v>-4.7619047619047672E-2</v>
      </c>
      <c r="K280" s="418">
        <f t="shared" si="1750"/>
        <v>0.10000000000000009</v>
      </c>
      <c r="L280" s="418">
        <f t="shared" si="1750"/>
        <v>0</v>
      </c>
      <c r="M280" s="418">
        <f t="shared" si="1750"/>
        <v>-4.5454545454545414E-2</v>
      </c>
      <c r="N280" s="418">
        <f t="shared" si="1750"/>
        <v>0</v>
      </c>
      <c r="O280" s="418">
        <f t="shared" si="1750"/>
        <v>0</v>
      </c>
      <c r="P280" s="418">
        <f t="shared" si="1750"/>
        <v>0</v>
      </c>
      <c r="Q280" s="418">
        <f t="shared" si="1750"/>
        <v>0</v>
      </c>
      <c r="R280" s="418">
        <f t="shared" si="1750"/>
        <v>0.14285714285714279</v>
      </c>
      <c r="S280" s="418">
        <f t="shared" si="1750"/>
        <v>0</v>
      </c>
      <c r="T280" s="418">
        <f t="shared" si="1750"/>
        <v>-4.166666666666663E-2</v>
      </c>
      <c r="U280" s="418">
        <f t="shared" si="1750"/>
        <v>0</v>
      </c>
      <c r="V280" s="418">
        <f t="shared" si="1750"/>
        <v>0</v>
      </c>
      <c r="W280" s="418">
        <f t="shared" si="1750"/>
        <v>0</v>
      </c>
      <c r="X280" s="418">
        <f t="shared" si="1750"/>
        <v>-4.3478260869565188E-2</v>
      </c>
      <c r="Y280" s="418">
        <f t="shared" si="1750"/>
        <v>0</v>
      </c>
      <c r="Z280" s="418">
        <f t="shared" ref="Z280" si="1751">Z10/Y10-1</f>
        <v>0</v>
      </c>
      <c r="AA280" s="414">
        <f>AVERAGE(O280)</f>
        <v>0</v>
      </c>
      <c r="AB280" s="414">
        <f>AVERAGE(P280)</f>
        <v>0</v>
      </c>
      <c r="AC280" s="414">
        <f>AVERAGE(Q280)</f>
        <v>0</v>
      </c>
      <c r="AD280" s="421">
        <f t="shared" ref="AD280" si="1752">AD10/AC10-1</f>
        <v>0</v>
      </c>
      <c r="AE280" s="423">
        <f t="shared" ref="AE280:AO285" si="1753">S280</f>
        <v>0</v>
      </c>
      <c r="AF280" s="425">
        <v>-0.02</v>
      </c>
      <c r="AG280" s="423">
        <f t="shared" si="1753"/>
        <v>0</v>
      </c>
      <c r="AH280" s="423">
        <f t="shared" si="1753"/>
        <v>0</v>
      </c>
      <c r="AI280" s="423">
        <f t="shared" si="1753"/>
        <v>0</v>
      </c>
      <c r="AJ280" s="425">
        <v>-0.02</v>
      </c>
      <c r="AK280" s="425">
        <v>0</v>
      </c>
      <c r="AL280" s="425">
        <v>0</v>
      </c>
      <c r="AM280" s="423">
        <f t="shared" si="1753"/>
        <v>0</v>
      </c>
      <c r="AN280" s="423">
        <f t="shared" si="1753"/>
        <v>0</v>
      </c>
      <c r="AO280" s="423">
        <f t="shared" si="1753"/>
        <v>0</v>
      </c>
      <c r="AP280" s="421">
        <f t="shared" ref="AP280:AP285" si="1754">AP10/AO10-1</f>
        <v>0.22727272727272729</v>
      </c>
      <c r="AQ280" s="423">
        <f t="shared" ref="AQ280:BA285" si="1755">AE280</f>
        <v>0</v>
      </c>
      <c r="AR280" s="423">
        <f t="shared" si="1755"/>
        <v>-0.02</v>
      </c>
      <c r="AS280" s="423">
        <f t="shared" si="1755"/>
        <v>0</v>
      </c>
      <c r="AT280" s="423">
        <f t="shared" si="1755"/>
        <v>0</v>
      </c>
      <c r="AU280" s="423">
        <f t="shared" si="1755"/>
        <v>0</v>
      </c>
      <c r="AV280" s="423">
        <f t="shared" si="1755"/>
        <v>-0.02</v>
      </c>
      <c r="AW280" s="423">
        <f t="shared" si="1755"/>
        <v>0</v>
      </c>
      <c r="AX280" s="423">
        <f t="shared" si="1755"/>
        <v>0</v>
      </c>
      <c r="AY280" s="423">
        <f t="shared" si="1755"/>
        <v>0</v>
      </c>
      <c r="AZ280" s="423">
        <f t="shared" si="1755"/>
        <v>0</v>
      </c>
      <c r="BA280" s="423">
        <f t="shared" si="1755"/>
        <v>0</v>
      </c>
      <c r="BB280" s="421">
        <f t="shared" ref="BB280:BB285" si="1756">BB10/BA10-1</f>
        <v>0.52</v>
      </c>
      <c r="BC280" s="423">
        <f t="shared" ref="BC280:BM285" si="1757">AQ280</f>
        <v>0</v>
      </c>
      <c r="BD280" s="423">
        <f t="shared" si="1757"/>
        <v>-0.02</v>
      </c>
      <c r="BE280" s="423">
        <f t="shared" si="1757"/>
        <v>0</v>
      </c>
      <c r="BF280" s="423">
        <f t="shared" si="1757"/>
        <v>0</v>
      </c>
      <c r="BG280" s="423">
        <f t="shared" si="1757"/>
        <v>0</v>
      </c>
      <c r="BH280" s="423">
        <f t="shared" si="1757"/>
        <v>-0.02</v>
      </c>
      <c r="BI280" s="423">
        <f t="shared" si="1757"/>
        <v>0</v>
      </c>
      <c r="BJ280" s="423">
        <f t="shared" si="1757"/>
        <v>0</v>
      </c>
      <c r="BK280" s="423">
        <f t="shared" si="1757"/>
        <v>0</v>
      </c>
      <c r="BL280" s="423">
        <f t="shared" si="1757"/>
        <v>0</v>
      </c>
      <c r="BM280" s="423">
        <f t="shared" si="1757"/>
        <v>0</v>
      </c>
      <c r="BN280" s="421">
        <f t="shared" ref="BN280:BN285" si="1758">BN10/BM10-1</f>
        <v>-0.22222222222222221</v>
      </c>
      <c r="BO280" s="423">
        <f t="shared" ref="BO280:BY285" si="1759">BC280</f>
        <v>0</v>
      </c>
      <c r="BP280" s="423">
        <f t="shared" si="1759"/>
        <v>-0.02</v>
      </c>
      <c r="BQ280" s="423">
        <f t="shared" si="1759"/>
        <v>0</v>
      </c>
      <c r="BR280" s="423">
        <f t="shared" si="1759"/>
        <v>0</v>
      </c>
      <c r="BS280" s="423">
        <f t="shared" si="1759"/>
        <v>0</v>
      </c>
      <c r="BT280" s="423">
        <f t="shared" si="1759"/>
        <v>-0.02</v>
      </c>
      <c r="BU280" s="423">
        <f t="shared" si="1759"/>
        <v>0</v>
      </c>
      <c r="BV280" s="423">
        <f t="shared" si="1759"/>
        <v>0</v>
      </c>
      <c r="BW280" s="423">
        <f t="shared" si="1759"/>
        <v>0</v>
      </c>
      <c r="BX280" s="423">
        <f t="shared" si="1759"/>
        <v>0</v>
      </c>
      <c r="BY280" s="423">
        <f t="shared" si="1759"/>
        <v>0</v>
      </c>
    </row>
    <row r="281" spans="1:77" x14ac:dyDescent="0.3">
      <c r="A281" s="33" t="s">
        <v>353</v>
      </c>
      <c r="D281" s="418">
        <f t="shared" ref="D281:X281" si="1760">D11/C11-1</f>
        <v>9.0909090909090828E-2</v>
      </c>
      <c r="E281" s="418">
        <f t="shared" si="1760"/>
        <v>0</v>
      </c>
      <c r="F281" s="418">
        <f t="shared" si="1760"/>
        <v>0.5</v>
      </c>
      <c r="G281" s="418">
        <f t="shared" si="1760"/>
        <v>0.27777777777777768</v>
      </c>
      <c r="H281" s="418">
        <f t="shared" si="1760"/>
        <v>0</v>
      </c>
      <c r="I281" s="418">
        <f t="shared" si="1760"/>
        <v>-4.3478260869565188E-2</v>
      </c>
      <c r="J281" s="418">
        <f t="shared" si="1760"/>
        <v>4.5454545454545414E-2</v>
      </c>
      <c r="K281" s="418">
        <f t="shared" si="1760"/>
        <v>-4.3478260869565188E-2</v>
      </c>
      <c r="L281" s="418">
        <f t="shared" si="1760"/>
        <v>0</v>
      </c>
      <c r="M281" s="418">
        <f t="shared" si="1760"/>
        <v>0</v>
      </c>
      <c r="N281" s="418">
        <f t="shared" si="1760"/>
        <v>0</v>
      </c>
      <c r="O281" s="418">
        <f t="shared" si="1760"/>
        <v>0</v>
      </c>
      <c r="P281" s="418">
        <f t="shared" si="1760"/>
        <v>0</v>
      </c>
      <c r="Q281" s="418">
        <f t="shared" si="1760"/>
        <v>0</v>
      </c>
      <c r="R281" s="418">
        <f t="shared" si="1760"/>
        <v>-0.22727272727272729</v>
      </c>
      <c r="S281" s="418">
        <f t="shared" si="1760"/>
        <v>0</v>
      </c>
      <c r="T281" s="418">
        <f t="shared" si="1760"/>
        <v>5.8823529411764719E-2</v>
      </c>
      <c r="U281" s="418">
        <f t="shared" si="1760"/>
        <v>0</v>
      </c>
      <c r="V281" s="418">
        <f t="shared" si="1760"/>
        <v>-5.555555555555558E-2</v>
      </c>
      <c r="W281" s="418">
        <f t="shared" si="1760"/>
        <v>0</v>
      </c>
      <c r="X281" s="418">
        <f t="shared" si="1760"/>
        <v>-5.8823529411764719E-2</v>
      </c>
      <c r="Y281" s="418">
        <f>Y11/X11-1</f>
        <v>-6.25E-2</v>
      </c>
      <c r="Z281" s="418">
        <f t="shared" ref="Z281" si="1761">Z11/Y11-1</f>
        <v>0</v>
      </c>
      <c r="AA281" s="414">
        <f t="shared" ref="AA281:AC285" si="1762">AVERAGE(O281)</f>
        <v>0</v>
      </c>
      <c r="AB281" s="414">
        <f t="shared" si="1762"/>
        <v>0</v>
      </c>
      <c r="AC281" s="414">
        <f t="shared" si="1762"/>
        <v>0</v>
      </c>
      <c r="AD281" s="421">
        <f t="shared" ref="AD281" si="1763">AD11/AC11-1</f>
        <v>0.60000000000000009</v>
      </c>
      <c r="AE281" s="423">
        <f t="shared" si="1753"/>
        <v>0</v>
      </c>
      <c r="AF281" s="425">
        <v>0.03</v>
      </c>
      <c r="AG281" s="423">
        <f t="shared" si="1753"/>
        <v>0</v>
      </c>
      <c r="AH281" s="425">
        <v>-0.03</v>
      </c>
      <c r="AI281" s="423">
        <f t="shared" si="1753"/>
        <v>0</v>
      </c>
      <c r="AJ281" s="425">
        <v>-0.03</v>
      </c>
      <c r="AK281" s="425">
        <v>0</v>
      </c>
      <c r="AL281" s="425">
        <v>0</v>
      </c>
      <c r="AM281" s="423">
        <f t="shared" si="1753"/>
        <v>0</v>
      </c>
      <c r="AN281" s="423">
        <f t="shared" si="1753"/>
        <v>0</v>
      </c>
      <c r="AO281" s="423">
        <f t="shared" si="1753"/>
        <v>0</v>
      </c>
      <c r="AP281" s="421">
        <f t="shared" si="1754"/>
        <v>0.17391304347826098</v>
      </c>
      <c r="AQ281" s="423">
        <f t="shared" si="1755"/>
        <v>0</v>
      </c>
      <c r="AR281" s="423">
        <f t="shared" si="1755"/>
        <v>0.03</v>
      </c>
      <c r="AS281" s="423">
        <f t="shared" si="1755"/>
        <v>0</v>
      </c>
      <c r="AT281" s="423">
        <f t="shared" si="1755"/>
        <v>-0.03</v>
      </c>
      <c r="AU281" s="423">
        <f t="shared" si="1755"/>
        <v>0</v>
      </c>
      <c r="AV281" s="423">
        <f t="shared" si="1755"/>
        <v>-0.03</v>
      </c>
      <c r="AW281" s="423">
        <f t="shared" si="1755"/>
        <v>0</v>
      </c>
      <c r="AX281" s="423">
        <f t="shared" si="1755"/>
        <v>0</v>
      </c>
      <c r="AY281" s="423">
        <f t="shared" si="1755"/>
        <v>0</v>
      </c>
      <c r="AZ281" s="423">
        <f t="shared" si="1755"/>
        <v>0</v>
      </c>
      <c r="BA281" s="423">
        <f t="shared" si="1755"/>
        <v>0</v>
      </c>
      <c r="BB281" s="421">
        <f t="shared" si="1756"/>
        <v>7.6923076923076872E-2</v>
      </c>
      <c r="BC281" s="423">
        <f t="shared" si="1757"/>
        <v>0</v>
      </c>
      <c r="BD281" s="423">
        <f t="shared" si="1757"/>
        <v>0.03</v>
      </c>
      <c r="BE281" s="423">
        <f t="shared" si="1757"/>
        <v>0</v>
      </c>
      <c r="BF281" s="423">
        <f t="shared" si="1757"/>
        <v>-0.03</v>
      </c>
      <c r="BG281" s="423">
        <f t="shared" si="1757"/>
        <v>0</v>
      </c>
      <c r="BH281" s="423">
        <f t="shared" si="1757"/>
        <v>-0.03</v>
      </c>
      <c r="BI281" s="423">
        <f t="shared" si="1757"/>
        <v>0</v>
      </c>
      <c r="BJ281" s="423">
        <f t="shared" si="1757"/>
        <v>0</v>
      </c>
      <c r="BK281" s="423">
        <f t="shared" si="1757"/>
        <v>0</v>
      </c>
      <c r="BL281" s="423">
        <f t="shared" si="1757"/>
        <v>0</v>
      </c>
      <c r="BM281" s="423">
        <f t="shared" si="1757"/>
        <v>0</v>
      </c>
      <c r="BN281" s="421">
        <f t="shared" si="1758"/>
        <v>0.4814814814814814</v>
      </c>
      <c r="BO281" s="423">
        <f t="shared" si="1759"/>
        <v>0</v>
      </c>
      <c r="BP281" s="423">
        <f t="shared" si="1759"/>
        <v>0.03</v>
      </c>
      <c r="BQ281" s="423">
        <f t="shared" si="1759"/>
        <v>0</v>
      </c>
      <c r="BR281" s="423">
        <f t="shared" si="1759"/>
        <v>-0.03</v>
      </c>
      <c r="BS281" s="423">
        <f t="shared" si="1759"/>
        <v>0</v>
      </c>
      <c r="BT281" s="423">
        <f t="shared" si="1759"/>
        <v>-0.03</v>
      </c>
      <c r="BU281" s="423">
        <f t="shared" si="1759"/>
        <v>0</v>
      </c>
      <c r="BV281" s="423">
        <f t="shared" si="1759"/>
        <v>0</v>
      </c>
      <c r="BW281" s="423">
        <f t="shared" si="1759"/>
        <v>0</v>
      </c>
      <c r="BX281" s="423">
        <f t="shared" si="1759"/>
        <v>0</v>
      </c>
      <c r="BY281" s="423">
        <f t="shared" si="1759"/>
        <v>0</v>
      </c>
    </row>
    <row r="282" spans="1:77" x14ac:dyDescent="0.3">
      <c r="A282" s="33" t="s">
        <v>354</v>
      </c>
      <c r="D282" s="418">
        <f t="shared" ref="D282:X282" si="1764">D12/C12-1</f>
        <v>-0.64705882352941169</v>
      </c>
      <c r="E282" s="418">
        <f t="shared" si="1764"/>
        <v>0</v>
      </c>
      <c r="F282" s="418">
        <f t="shared" si="1764"/>
        <v>1.6666666666666665</v>
      </c>
      <c r="G282" s="418">
        <f t="shared" si="1764"/>
        <v>0.1875</v>
      </c>
      <c r="H282" s="418">
        <f t="shared" si="1764"/>
        <v>0</v>
      </c>
      <c r="I282" s="418">
        <f t="shared" si="1764"/>
        <v>5.2631578947368363E-2</v>
      </c>
      <c r="J282" s="418">
        <f t="shared" si="1764"/>
        <v>5.0000000000000044E-2</v>
      </c>
      <c r="K282" s="418">
        <f t="shared" si="1764"/>
        <v>-4.7619047619047672E-2</v>
      </c>
      <c r="L282" s="418">
        <f t="shared" si="1764"/>
        <v>-5.0000000000000044E-2</v>
      </c>
      <c r="M282" s="418">
        <f t="shared" si="1764"/>
        <v>-5.2631578947368474E-2</v>
      </c>
      <c r="N282" s="418">
        <f t="shared" si="1764"/>
        <v>0</v>
      </c>
      <c r="O282" s="418">
        <f t="shared" si="1764"/>
        <v>0</v>
      </c>
      <c r="P282" s="418">
        <f t="shared" si="1764"/>
        <v>0</v>
      </c>
      <c r="Q282" s="418">
        <f t="shared" si="1764"/>
        <v>0</v>
      </c>
      <c r="R282" s="418">
        <f t="shared" si="1764"/>
        <v>0.22222222222222232</v>
      </c>
      <c r="S282" s="418">
        <f t="shared" si="1764"/>
        <v>4.5454545454545414E-2</v>
      </c>
      <c r="T282" s="418">
        <f t="shared" si="1764"/>
        <v>-4.3478260869565188E-2</v>
      </c>
      <c r="U282" s="418">
        <f t="shared" si="1764"/>
        <v>0</v>
      </c>
      <c r="V282" s="418">
        <f t="shared" si="1764"/>
        <v>0</v>
      </c>
      <c r="W282" s="418">
        <f t="shared" si="1764"/>
        <v>-4.5454545454545414E-2</v>
      </c>
      <c r="X282" s="418">
        <f t="shared" si="1764"/>
        <v>-4.7619047619047672E-2</v>
      </c>
      <c r="Y282" s="418">
        <f>Y12/X12-1</f>
        <v>-5.0000000000000044E-2</v>
      </c>
      <c r="Z282" s="418">
        <f t="shared" ref="Z282" si="1765">Z12/Y12-1</f>
        <v>0</v>
      </c>
      <c r="AA282" s="414">
        <f t="shared" si="1762"/>
        <v>0</v>
      </c>
      <c r="AB282" s="414">
        <f t="shared" si="1762"/>
        <v>0</v>
      </c>
      <c r="AC282" s="414">
        <f t="shared" si="1762"/>
        <v>0</v>
      </c>
      <c r="AD282" s="421">
        <f t="shared" ref="AD282" si="1766">AD12/AC12-1</f>
        <v>-0.10526315789473684</v>
      </c>
      <c r="AE282" s="423">
        <f t="shared" si="1753"/>
        <v>4.5454545454545414E-2</v>
      </c>
      <c r="AF282" s="423">
        <f t="shared" si="1753"/>
        <v>-4.3478260869565188E-2</v>
      </c>
      <c r="AG282" s="423">
        <f t="shared" si="1753"/>
        <v>0</v>
      </c>
      <c r="AH282" s="423">
        <f t="shared" si="1753"/>
        <v>0</v>
      </c>
      <c r="AI282" s="423">
        <f t="shared" si="1753"/>
        <v>-4.5454545454545414E-2</v>
      </c>
      <c r="AJ282" s="425">
        <v>0</v>
      </c>
      <c r="AK282" s="425">
        <v>-0.01</v>
      </c>
      <c r="AL282" s="425">
        <v>0</v>
      </c>
      <c r="AM282" s="423">
        <f t="shared" si="1753"/>
        <v>0</v>
      </c>
      <c r="AN282" s="423">
        <f t="shared" si="1753"/>
        <v>0</v>
      </c>
      <c r="AO282" s="423">
        <f t="shared" si="1753"/>
        <v>0</v>
      </c>
      <c r="AP282" s="421">
        <f t="shared" si="1754"/>
        <v>0.75</v>
      </c>
      <c r="AQ282" s="423">
        <f t="shared" si="1755"/>
        <v>4.5454545454545414E-2</v>
      </c>
      <c r="AR282" s="423">
        <f t="shared" si="1755"/>
        <v>-4.3478260869565188E-2</v>
      </c>
      <c r="AS282" s="423">
        <f t="shared" si="1755"/>
        <v>0</v>
      </c>
      <c r="AT282" s="423">
        <f t="shared" si="1755"/>
        <v>0</v>
      </c>
      <c r="AU282" s="423">
        <f t="shared" si="1755"/>
        <v>-4.5454545454545414E-2</v>
      </c>
      <c r="AV282" s="423">
        <f t="shared" si="1755"/>
        <v>0</v>
      </c>
      <c r="AW282" s="423">
        <f t="shared" si="1755"/>
        <v>-0.01</v>
      </c>
      <c r="AX282" s="423">
        <f t="shared" si="1755"/>
        <v>0</v>
      </c>
      <c r="AY282" s="423">
        <f t="shared" si="1755"/>
        <v>0</v>
      </c>
      <c r="AZ282" s="423">
        <f t="shared" si="1755"/>
        <v>0</v>
      </c>
      <c r="BA282" s="423">
        <f t="shared" si="1755"/>
        <v>0</v>
      </c>
      <c r="BB282" s="421">
        <f t="shared" si="1756"/>
        <v>3.7037037037036979E-2</v>
      </c>
      <c r="BC282" s="423">
        <f t="shared" si="1757"/>
        <v>4.5454545454545414E-2</v>
      </c>
      <c r="BD282" s="423">
        <f t="shared" si="1757"/>
        <v>-4.3478260869565188E-2</v>
      </c>
      <c r="BE282" s="423">
        <f t="shared" si="1757"/>
        <v>0</v>
      </c>
      <c r="BF282" s="423">
        <f t="shared" si="1757"/>
        <v>0</v>
      </c>
      <c r="BG282" s="423">
        <f t="shared" si="1757"/>
        <v>-4.5454545454545414E-2</v>
      </c>
      <c r="BH282" s="423">
        <f t="shared" si="1757"/>
        <v>0</v>
      </c>
      <c r="BI282" s="423">
        <f t="shared" si="1757"/>
        <v>-0.01</v>
      </c>
      <c r="BJ282" s="423">
        <f t="shared" si="1757"/>
        <v>0</v>
      </c>
      <c r="BK282" s="423">
        <f t="shared" si="1757"/>
        <v>0</v>
      </c>
      <c r="BL282" s="423">
        <f t="shared" si="1757"/>
        <v>0</v>
      </c>
      <c r="BM282" s="423">
        <f t="shared" si="1757"/>
        <v>0</v>
      </c>
      <c r="BN282" s="421">
        <f t="shared" si="1758"/>
        <v>3.7037037037036979E-2</v>
      </c>
      <c r="BO282" s="423">
        <f t="shared" si="1759"/>
        <v>4.5454545454545414E-2</v>
      </c>
      <c r="BP282" s="423">
        <f t="shared" si="1759"/>
        <v>-4.3478260869565188E-2</v>
      </c>
      <c r="BQ282" s="423">
        <f t="shared" si="1759"/>
        <v>0</v>
      </c>
      <c r="BR282" s="423">
        <f t="shared" si="1759"/>
        <v>0</v>
      </c>
      <c r="BS282" s="423">
        <f t="shared" si="1759"/>
        <v>-4.5454545454545414E-2</v>
      </c>
      <c r="BT282" s="423">
        <f t="shared" si="1759"/>
        <v>0</v>
      </c>
      <c r="BU282" s="423">
        <f t="shared" si="1759"/>
        <v>-0.01</v>
      </c>
      <c r="BV282" s="423">
        <f t="shared" si="1759"/>
        <v>0</v>
      </c>
      <c r="BW282" s="423">
        <f t="shared" si="1759"/>
        <v>0</v>
      </c>
      <c r="BX282" s="423">
        <f t="shared" si="1759"/>
        <v>0</v>
      </c>
      <c r="BY282" s="423">
        <f t="shared" si="1759"/>
        <v>0</v>
      </c>
    </row>
    <row r="283" spans="1:77" x14ac:dyDescent="0.3">
      <c r="A283" s="33" t="s">
        <v>355</v>
      </c>
      <c r="D283" s="418">
        <f t="shared" ref="D283:X283" si="1767">D13/C13-1</f>
        <v>-0.25</v>
      </c>
      <c r="E283" s="418">
        <f t="shared" si="1767"/>
        <v>0</v>
      </c>
      <c r="F283" s="418">
        <f t="shared" si="1767"/>
        <v>-0.41666666666666663</v>
      </c>
      <c r="G283" s="418">
        <f t="shared" si="1767"/>
        <v>0.14285714285714279</v>
      </c>
      <c r="H283" s="418">
        <f t="shared" si="1767"/>
        <v>-0.125</v>
      </c>
      <c r="I283" s="418">
        <f t="shared" si="1767"/>
        <v>0.4285714285714286</v>
      </c>
      <c r="J283" s="418">
        <f t="shared" si="1767"/>
        <v>0</v>
      </c>
      <c r="K283" s="418">
        <f t="shared" si="1767"/>
        <v>0</v>
      </c>
      <c r="L283" s="418">
        <f t="shared" si="1767"/>
        <v>0.10000000000000009</v>
      </c>
      <c r="M283" s="418">
        <f t="shared" si="1767"/>
        <v>0</v>
      </c>
      <c r="N283" s="418">
        <f t="shared" si="1767"/>
        <v>0</v>
      </c>
      <c r="O283" s="418">
        <f t="shared" si="1767"/>
        <v>0</v>
      </c>
      <c r="P283" s="418">
        <f t="shared" si="1767"/>
        <v>0</v>
      </c>
      <c r="Q283" s="418">
        <f t="shared" si="1767"/>
        <v>0</v>
      </c>
      <c r="R283" s="418">
        <f t="shared" si="1767"/>
        <v>0</v>
      </c>
      <c r="S283" s="418">
        <f t="shared" si="1767"/>
        <v>-9.0909090909090939E-2</v>
      </c>
      <c r="T283" s="418">
        <f t="shared" si="1767"/>
        <v>0</v>
      </c>
      <c r="U283" s="418">
        <f t="shared" si="1767"/>
        <v>0</v>
      </c>
      <c r="V283" s="418">
        <f t="shared" si="1767"/>
        <v>-9.9999999999999978E-2</v>
      </c>
      <c r="W283" s="418">
        <f t="shared" si="1767"/>
        <v>-0.11111111111111116</v>
      </c>
      <c r="X283" s="418">
        <f t="shared" si="1767"/>
        <v>0.125</v>
      </c>
      <c r="Y283" s="418">
        <f>Y13/X13-1</f>
        <v>0</v>
      </c>
      <c r="Z283" s="418">
        <f t="shared" ref="Z283" si="1768">Z13/Y13-1</f>
        <v>0</v>
      </c>
      <c r="AA283" s="414">
        <f t="shared" si="1762"/>
        <v>0</v>
      </c>
      <c r="AB283" s="414">
        <f t="shared" si="1762"/>
        <v>0</v>
      </c>
      <c r="AC283" s="414">
        <f t="shared" si="1762"/>
        <v>0</v>
      </c>
      <c r="AD283" s="421">
        <f t="shared" ref="AD283" si="1769">AD13/AC13-1</f>
        <v>1.1111111111111112</v>
      </c>
      <c r="AE283" s="425">
        <v>-0.05</v>
      </c>
      <c r="AF283" s="423">
        <f t="shared" si="1753"/>
        <v>0</v>
      </c>
      <c r="AG283" s="423">
        <f t="shared" si="1753"/>
        <v>0</v>
      </c>
      <c r="AH283" s="423">
        <v>-0.05</v>
      </c>
      <c r="AI283" s="423">
        <v>-0.05</v>
      </c>
      <c r="AJ283" s="425">
        <v>0.05</v>
      </c>
      <c r="AK283" s="425">
        <v>0</v>
      </c>
      <c r="AL283" s="425">
        <v>0</v>
      </c>
      <c r="AM283" s="423">
        <f t="shared" si="1753"/>
        <v>0</v>
      </c>
      <c r="AN283" s="423">
        <f t="shared" si="1753"/>
        <v>0</v>
      </c>
      <c r="AO283" s="423">
        <f t="shared" si="1753"/>
        <v>0</v>
      </c>
      <c r="AP283" s="421">
        <f t="shared" si="1754"/>
        <v>0.17647058823529416</v>
      </c>
      <c r="AQ283" s="423">
        <f t="shared" si="1755"/>
        <v>-0.05</v>
      </c>
      <c r="AR283" s="423">
        <f t="shared" si="1755"/>
        <v>0</v>
      </c>
      <c r="AS283" s="423">
        <f t="shared" si="1755"/>
        <v>0</v>
      </c>
      <c r="AT283" s="423">
        <f t="shared" si="1755"/>
        <v>-0.05</v>
      </c>
      <c r="AU283" s="423">
        <f t="shared" si="1755"/>
        <v>-0.05</v>
      </c>
      <c r="AV283" s="423">
        <f t="shared" si="1755"/>
        <v>0.05</v>
      </c>
      <c r="AW283" s="423">
        <f t="shared" si="1755"/>
        <v>0</v>
      </c>
      <c r="AX283" s="423">
        <f t="shared" si="1755"/>
        <v>0</v>
      </c>
      <c r="AY283" s="423">
        <f t="shared" si="1755"/>
        <v>0</v>
      </c>
      <c r="AZ283" s="423">
        <f t="shared" si="1755"/>
        <v>0</v>
      </c>
      <c r="BA283" s="423">
        <f t="shared" si="1755"/>
        <v>0</v>
      </c>
      <c r="BB283" s="421">
        <f t="shared" si="1756"/>
        <v>0.55555555555555558</v>
      </c>
      <c r="BC283" s="423">
        <f t="shared" si="1757"/>
        <v>-0.05</v>
      </c>
      <c r="BD283" s="423">
        <f t="shared" si="1757"/>
        <v>0</v>
      </c>
      <c r="BE283" s="423">
        <f t="shared" si="1757"/>
        <v>0</v>
      </c>
      <c r="BF283" s="423">
        <f t="shared" si="1757"/>
        <v>-0.05</v>
      </c>
      <c r="BG283" s="423">
        <f t="shared" si="1757"/>
        <v>-0.05</v>
      </c>
      <c r="BH283" s="423">
        <f t="shared" si="1757"/>
        <v>0.05</v>
      </c>
      <c r="BI283" s="423">
        <f t="shared" si="1757"/>
        <v>0</v>
      </c>
      <c r="BJ283" s="423">
        <f t="shared" si="1757"/>
        <v>0</v>
      </c>
      <c r="BK283" s="423">
        <f t="shared" si="1757"/>
        <v>0</v>
      </c>
      <c r="BL283" s="423">
        <f t="shared" si="1757"/>
        <v>0</v>
      </c>
      <c r="BM283" s="423">
        <f t="shared" si="1757"/>
        <v>0</v>
      </c>
      <c r="BN283" s="421">
        <f t="shared" si="1758"/>
        <v>7.6923076923076872E-2</v>
      </c>
      <c r="BO283" s="423">
        <f t="shared" si="1759"/>
        <v>-0.05</v>
      </c>
      <c r="BP283" s="423">
        <f t="shared" si="1759"/>
        <v>0</v>
      </c>
      <c r="BQ283" s="423">
        <f t="shared" si="1759"/>
        <v>0</v>
      </c>
      <c r="BR283" s="423">
        <f t="shared" si="1759"/>
        <v>-0.05</v>
      </c>
      <c r="BS283" s="423">
        <f t="shared" si="1759"/>
        <v>-0.05</v>
      </c>
      <c r="BT283" s="423">
        <f t="shared" si="1759"/>
        <v>0.05</v>
      </c>
      <c r="BU283" s="423">
        <f t="shared" si="1759"/>
        <v>0</v>
      </c>
      <c r="BV283" s="423">
        <f t="shared" si="1759"/>
        <v>0</v>
      </c>
      <c r="BW283" s="423">
        <f t="shared" si="1759"/>
        <v>0</v>
      </c>
      <c r="BX283" s="423">
        <f t="shared" si="1759"/>
        <v>0</v>
      </c>
      <c r="BY283" s="423">
        <f t="shared" si="1759"/>
        <v>0</v>
      </c>
    </row>
    <row r="284" spans="1:77" x14ac:dyDescent="0.3">
      <c r="A284" s="33" t="s">
        <v>356</v>
      </c>
      <c r="D284" s="418">
        <f t="shared" ref="D284:X284" si="1770">D14/C14-1</f>
        <v>-0.125</v>
      </c>
      <c r="E284" s="418">
        <f t="shared" si="1770"/>
        <v>0</v>
      </c>
      <c r="F284" s="418">
        <f t="shared" si="1770"/>
        <v>0.28571428571428581</v>
      </c>
      <c r="G284" s="418">
        <f t="shared" si="1770"/>
        <v>5.555555555555558E-2</v>
      </c>
      <c r="H284" s="418">
        <f t="shared" si="1770"/>
        <v>5.2631578947368363E-2</v>
      </c>
      <c r="I284" s="418">
        <f t="shared" si="1770"/>
        <v>0</v>
      </c>
      <c r="J284" s="418">
        <f t="shared" si="1770"/>
        <v>0</v>
      </c>
      <c r="K284" s="418">
        <f t="shared" si="1770"/>
        <v>0</v>
      </c>
      <c r="L284" s="418">
        <f t="shared" si="1770"/>
        <v>5.0000000000000044E-2</v>
      </c>
      <c r="M284" s="418">
        <f t="shared" si="1770"/>
        <v>4.7619047619047672E-2</v>
      </c>
      <c r="N284" s="418">
        <f t="shared" si="1770"/>
        <v>0</v>
      </c>
      <c r="O284" s="418">
        <f t="shared" si="1770"/>
        <v>0</v>
      </c>
      <c r="P284" s="418">
        <f t="shared" si="1770"/>
        <v>0</v>
      </c>
      <c r="Q284" s="418">
        <f t="shared" si="1770"/>
        <v>0</v>
      </c>
      <c r="R284" s="418">
        <f t="shared" si="1770"/>
        <v>-0.40909090909090906</v>
      </c>
      <c r="S284" s="418">
        <f t="shared" si="1770"/>
        <v>-0.15384615384615385</v>
      </c>
      <c r="T284" s="418">
        <f t="shared" si="1770"/>
        <v>-9.0909090909090939E-2</v>
      </c>
      <c r="U284" s="418">
        <f t="shared" si="1770"/>
        <v>0</v>
      </c>
      <c r="V284" s="418">
        <f t="shared" si="1770"/>
        <v>0</v>
      </c>
      <c r="W284" s="418">
        <f t="shared" si="1770"/>
        <v>0.10000000000000009</v>
      </c>
      <c r="X284" s="418">
        <f t="shared" si="1770"/>
        <v>9.0909090909090828E-2</v>
      </c>
      <c r="Y284" s="418">
        <f>Y14/X14-1</f>
        <v>-8.333333333333337E-2</v>
      </c>
      <c r="Z284" s="418">
        <f t="shared" ref="Z284" si="1771">Z14/Y14-1</f>
        <v>0</v>
      </c>
      <c r="AA284" s="414">
        <f t="shared" si="1762"/>
        <v>0</v>
      </c>
      <c r="AB284" s="414">
        <f t="shared" si="1762"/>
        <v>0</v>
      </c>
      <c r="AC284" s="414">
        <f t="shared" si="1762"/>
        <v>0</v>
      </c>
      <c r="AD284" s="421">
        <f t="shared" ref="AD284" si="1772">AD14/AC14-1</f>
        <v>-0.18181818181818177</v>
      </c>
      <c r="AE284" s="425">
        <v>-0.05</v>
      </c>
      <c r="AF284" s="423">
        <v>-0.04</v>
      </c>
      <c r="AG284" s="423">
        <f t="shared" si="1753"/>
        <v>0</v>
      </c>
      <c r="AH284" s="423">
        <f t="shared" si="1753"/>
        <v>0</v>
      </c>
      <c r="AI284" s="425">
        <v>-0.05</v>
      </c>
      <c r="AJ284" s="425">
        <v>7.0000000000000007E-2</v>
      </c>
      <c r="AK284" s="425">
        <v>4.7619047619047672E-2</v>
      </c>
      <c r="AL284" s="425">
        <v>0</v>
      </c>
      <c r="AM284" s="423">
        <f t="shared" si="1753"/>
        <v>0</v>
      </c>
      <c r="AN284" s="423">
        <f t="shared" si="1753"/>
        <v>0</v>
      </c>
      <c r="AO284" s="423">
        <f t="shared" si="1753"/>
        <v>0</v>
      </c>
      <c r="AP284" s="421">
        <f t="shared" si="1754"/>
        <v>1.1000000000000001</v>
      </c>
      <c r="AQ284" s="423">
        <f t="shared" si="1755"/>
        <v>-0.05</v>
      </c>
      <c r="AR284" s="423">
        <f t="shared" si="1755"/>
        <v>-0.04</v>
      </c>
      <c r="AS284" s="423">
        <f t="shared" si="1755"/>
        <v>0</v>
      </c>
      <c r="AT284" s="423">
        <f t="shared" si="1755"/>
        <v>0</v>
      </c>
      <c r="AU284" s="423">
        <f t="shared" si="1755"/>
        <v>-0.05</v>
      </c>
      <c r="AV284" s="423">
        <f t="shared" si="1755"/>
        <v>7.0000000000000007E-2</v>
      </c>
      <c r="AW284" s="423">
        <f t="shared" si="1755"/>
        <v>4.7619047619047672E-2</v>
      </c>
      <c r="AX284" s="423">
        <f t="shared" si="1755"/>
        <v>0</v>
      </c>
      <c r="AY284" s="423">
        <f t="shared" si="1755"/>
        <v>0</v>
      </c>
      <c r="AZ284" s="423">
        <f t="shared" si="1755"/>
        <v>0</v>
      </c>
      <c r="BA284" s="423">
        <f t="shared" si="1755"/>
        <v>0</v>
      </c>
      <c r="BB284" s="421">
        <f t="shared" si="1756"/>
        <v>0</v>
      </c>
      <c r="BC284" s="423">
        <f t="shared" si="1757"/>
        <v>-0.05</v>
      </c>
      <c r="BD284" s="423">
        <f t="shared" si="1757"/>
        <v>-0.04</v>
      </c>
      <c r="BE284" s="423">
        <f t="shared" si="1757"/>
        <v>0</v>
      </c>
      <c r="BF284" s="423">
        <f t="shared" si="1757"/>
        <v>0</v>
      </c>
      <c r="BG284" s="423">
        <f t="shared" si="1757"/>
        <v>-0.05</v>
      </c>
      <c r="BH284" s="423">
        <f t="shared" si="1757"/>
        <v>7.0000000000000007E-2</v>
      </c>
      <c r="BI284" s="423">
        <f t="shared" si="1757"/>
        <v>4.7619047619047672E-2</v>
      </c>
      <c r="BJ284" s="423">
        <f t="shared" si="1757"/>
        <v>0</v>
      </c>
      <c r="BK284" s="423">
        <f t="shared" si="1757"/>
        <v>0</v>
      </c>
      <c r="BL284" s="423">
        <f t="shared" si="1757"/>
        <v>0</v>
      </c>
      <c r="BM284" s="423">
        <f t="shared" si="1757"/>
        <v>0</v>
      </c>
      <c r="BN284" s="421">
        <f t="shared" si="1758"/>
        <v>0.47368421052631571</v>
      </c>
      <c r="BO284" s="423">
        <f t="shared" si="1759"/>
        <v>-0.05</v>
      </c>
      <c r="BP284" s="423">
        <f t="shared" si="1759"/>
        <v>-0.04</v>
      </c>
      <c r="BQ284" s="423">
        <f t="shared" si="1759"/>
        <v>0</v>
      </c>
      <c r="BR284" s="423">
        <f t="shared" si="1759"/>
        <v>0</v>
      </c>
      <c r="BS284" s="423">
        <f t="shared" si="1759"/>
        <v>-0.05</v>
      </c>
      <c r="BT284" s="423">
        <f t="shared" si="1759"/>
        <v>7.0000000000000007E-2</v>
      </c>
      <c r="BU284" s="423">
        <f t="shared" si="1759"/>
        <v>4.7619047619047672E-2</v>
      </c>
      <c r="BV284" s="423">
        <f t="shared" si="1759"/>
        <v>0</v>
      </c>
      <c r="BW284" s="423">
        <f t="shared" si="1759"/>
        <v>0</v>
      </c>
      <c r="BX284" s="423">
        <f t="shared" si="1759"/>
        <v>0</v>
      </c>
      <c r="BY284" s="423">
        <f t="shared" si="1759"/>
        <v>0</v>
      </c>
    </row>
    <row r="285" spans="1:77" x14ac:dyDescent="0.3">
      <c r="A285" s="33" t="s">
        <v>357</v>
      </c>
      <c r="D285" s="418">
        <f t="shared" ref="D285:X285" si="1773">D15/C15-1</f>
        <v>0.5</v>
      </c>
      <c r="E285" s="418">
        <f t="shared" si="1773"/>
        <v>0</v>
      </c>
      <c r="F285" s="418">
        <f t="shared" si="1773"/>
        <v>0.1333333333333333</v>
      </c>
      <c r="G285" s="418">
        <f t="shared" si="1773"/>
        <v>0.11764705882352944</v>
      </c>
      <c r="H285" s="418">
        <f t="shared" si="1773"/>
        <v>0</v>
      </c>
      <c r="I285" s="418">
        <f t="shared" si="1773"/>
        <v>5.2631578947368363E-2</v>
      </c>
      <c r="J285" s="418">
        <f t="shared" si="1773"/>
        <v>0</v>
      </c>
      <c r="K285" s="418">
        <f t="shared" si="1773"/>
        <v>-5.0000000000000044E-2</v>
      </c>
      <c r="L285" s="418">
        <f t="shared" si="1773"/>
        <v>5.2631578947368363E-2</v>
      </c>
      <c r="M285" s="418">
        <f t="shared" si="1773"/>
        <v>-5.0000000000000044E-2</v>
      </c>
      <c r="N285" s="418">
        <f t="shared" si="1773"/>
        <v>0</v>
      </c>
      <c r="O285" s="418">
        <f t="shared" si="1773"/>
        <v>0</v>
      </c>
      <c r="P285" s="418">
        <f t="shared" si="1773"/>
        <v>0</v>
      </c>
      <c r="Q285" s="418">
        <f t="shared" si="1773"/>
        <v>0</v>
      </c>
      <c r="R285" s="418">
        <f t="shared" si="1773"/>
        <v>-0.15789473684210531</v>
      </c>
      <c r="S285" s="418">
        <f t="shared" si="1773"/>
        <v>0</v>
      </c>
      <c r="T285" s="418">
        <f t="shared" si="1773"/>
        <v>0.125</v>
      </c>
      <c r="U285" s="418">
        <f t="shared" si="1773"/>
        <v>-5.555555555555558E-2</v>
      </c>
      <c r="V285" s="418">
        <f t="shared" si="1773"/>
        <v>0</v>
      </c>
      <c r="W285" s="418">
        <f t="shared" si="1773"/>
        <v>0.11764705882352944</v>
      </c>
      <c r="X285" s="418">
        <f t="shared" si="1773"/>
        <v>0</v>
      </c>
      <c r="Y285" s="418">
        <f>Y15/X15-1</f>
        <v>-5.2631578947368474E-2</v>
      </c>
      <c r="Z285" s="418">
        <f t="shared" ref="Z285" si="1774">Z15/Y15-1</f>
        <v>0</v>
      </c>
      <c r="AA285" s="414">
        <f t="shared" si="1762"/>
        <v>0</v>
      </c>
      <c r="AB285" s="414">
        <f t="shared" si="1762"/>
        <v>0</v>
      </c>
      <c r="AC285" s="414">
        <f t="shared" si="1762"/>
        <v>0</v>
      </c>
      <c r="AD285" s="421">
        <f t="shared" ref="AD285" si="1775">AD15/AC15-1</f>
        <v>-0.22222222222222221</v>
      </c>
      <c r="AE285" s="423">
        <f t="shared" si="1753"/>
        <v>0</v>
      </c>
      <c r="AF285" s="423">
        <f t="shared" si="1753"/>
        <v>0.125</v>
      </c>
      <c r="AG285" s="423">
        <f t="shared" si="1753"/>
        <v>-5.555555555555558E-2</v>
      </c>
      <c r="AH285" s="423">
        <f t="shared" si="1753"/>
        <v>0</v>
      </c>
      <c r="AI285" s="425">
        <v>0.05</v>
      </c>
      <c r="AJ285" s="423">
        <f t="shared" si="1753"/>
        <v>0</v>
      </c>
      <c r="AK285" s="425">
        <v>-5.0000000000000044E-2</v>
      </c>
      <c r="AL285" s="425">
        <v>0</v>
      </c>
      <c r="AM285" s="423">
        <f t="shared" si="1753"/>
        <v>0</v>
      </c>
      <c r="AN285" s="423">
        <f t="shared" si="1753"/>
        <v>0</v>
      </c>
      <c r="AO285" s="423">
        <f t="shared" si="1753"/>
        <v>0</v>
      </c>
      <c r="AP285" s="421">
        <f t="shared" si="1754"/>
        <v>-0.26666666666666672</v>
      </c>
      <c r="AQ285" s="423">
        <f t="shared" si="1755"/>
        <v>0</v>
      </c>
      <c r="AR285" s="423">
        <f t="shared" si="1755"/>
        <v>0.125</v>
      </c>
      <c r="AS285" s="423">
        <f t="shared" si="1755"/>
        <v>-5.555555555555558E-2</v>
      </c>
      <c r="AT285" s="423">
        <f t="shared" si="1755"/>
        <v>0</v>
      </c>
      <c r="AU285" s="423">
        <f t="shared" si="1755"/>
        <v>0.05</v>
      </c>
      <c r="AV285" s="423">
        <f t="shared" si="1755"/>
        <v>0</v>
      </c>
      <c r="AW285" s="423">
        <f t="shared" si="1755"/>
        <v>-5.0000000000000044E-2</v>
      </c>
      <c r="AX285" s="423">
        <f t="shared" si="1755"/>
        <v>0</v>
      </c>
      <c r="AY285" s="423">
        <f t="shared" si="1755"/>
        <v>0</v>
      </c>
      <c r="AZ285" s="423">
        <f t="shared" si="1755"/>
        <v>0</v>
      </c>
      <c r="BA285" s="423">
        <f t="shared" si="1755"/>
        <v>0</v>
      </c>
      <c r="BB285" s="421">
        <f t="shared" si="1756"/>
        <v>1</v>
      </c>
      <c r="BC285" s="423">
        <f t="shared" si="1757"/>
        <v>0</v>
      </c>
      <c r="BD285" s="423">
        <f t="shared" si="1757"/>
        <v>0.125</v>
      </c>
      <c r="BE285" s="423">
        <f t="shared" si="1757"/>
        <v>-5.555555555555558E-2</v>
      </c>
      <c r="BF285" s="423">
        <f t="shared" si="1757"/>
        <v>0</v>
      </c>
      <c r="BG285" s="423">
        <f t="shared" si="1757"/>
        <v>0.05</v>
      </c>
      <c r="BH285" s="423">
        <f t="shared" si="1757"/>
        <v>0</v>
      </c>
      <c r="BI285" s="423">
        <f t="shared" si="1757"/>
        <v>-5.0000000000000044E-2</v>
      </c>
      <c r="BJ285" s="423">
        <f t="shared" si="1757"/>
        <v>0</v>
      </c>
      <c r="BK285" s="423">
        <f t="shared" si="1757"/>
        <v>0</v>
      </c>
      <c r="BL285" s="423">
        <f t="shared" si="1757"/>
        <v>0</v>
      </c>
      <c r="BM285" s="423">
        <f t="shared" si="1757"/>
        <v>0</v>
      </c>
      <c r="BN285" s="421">
        <f t="shared" si="1758"/>
        <v>-0.125</v>
      </c>
      <c r="BO285" s="423">
        <f t="shared" si="1759"/>
        <v>0</v>
      </c>
      <c r="BP285" s="423">
        <f t="shared" si="1759"/>
        <v>0.125</v>
      </c>
      <c r="BQ285" s="423">
        <f t="shared" si="1759"/>
        <v>-5.555555555555558E-2</v>
      </c>
      <c r="BR285" s="423">
        <f t="shared" si="1759"/>
        <v>0</v>
      </c>
      <c r="BS285" s="423">
        <f t="shared" si="1759"/>
        <v>0.05</v>
      </c>
      <c r="BT285" s="423">
        <f t="shared" si="1759"/>
        <v>0</v>
      </c>
      <c r="BU285" s="423">
        <f t="shared" si="1759"/>
        <v>-5.0000000000000044E-2</v>
      </c>
      <c r="BV285" s="423">
        <f t="shared" si="1759"/>
        <v>0</v>
      </c>
      <c r="BW285" s="423">
        <f t="shared" si="1759"/>
        <v>0</v>
      </c>
      <c r="BX285" s="423">
        <f t="shared" si="1759"/>
        <v>0</v>
      </c>
      <c r="BY285" s="423">
        <f t="shared" si="1759"/>
        <v>0</v>
      </c>
    </row>
    <row r="286" spans="1:77" x14ac:dyDescent="0.3">
      <c r="A286" s="33" t="s">
        <v>358</v>
      </c>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4"/>
      <c r="Z286" s="414"/>
      <c r="AA286" s="414"/>
      <c r="AB286" s="414"/>
      <c r="AC286" s="414"/>
      <c r="AD286" s="421"/>
      <c r="AE286" s="423"/>
      <c r="AF286" s="423"/>
      <c r="AG286" s="423"/>
      <c r="AH286" s="423"/>
      <c r="AI286" s="423"/>
      <c r="AJ286" s="423"/>
      <c r="AK286" s="423"/>
      <c r="AL286" s="423"/>
      <c r="AM286" s="423"/>
      <c r="AN286" s="423"/>
      <c r="AO286" s="423"/>
      <c r="AP286" s="421"/>
      <c r="AQ286" s="423"/>
      <c r="AR286" s="423"/>
      <c r="AS286" s="423"/>
      <c r="AT286" s="423"/>
      <c r="AU286" s="423"/>
      <c r="AV286" s="423"/>
      <c r="AW286" s="423"/>
      <c r="AX286" s="423"/>
      <c r="AY286" s="423"/>
      <c r="AZ286" s="423"/>
      <c r="BA286" s="423"/>
      <c r="BB286" s="421"/>
      <c r="BC286" s="423"/>
      <c r="BD286" s="423"/>
      <c r="BE286" s="423"/>
      <c r="BF286" s="423"/>
      <c r="BG286" s="423"/>
      <c r="BH286" s="423"/>
      <c r="BI286" s="423"/>
      <c r="BJ286" s="423"/>
      <c r="BK286" s="423"/>
      <c r="BL286" s="423"/>
      <c r="BM286" s="423"/>
      <c r="BN286" s="421"/>
      <c r="BO286" s="423"/>
      <c r="BP286" s="423"/>
      <c r="BQ286" s="423"/>
      <c r="BR286" s="423"/>
      <c r="BS286" s="423"/>
      <c r="BT286" s="423"/>
      <c r="BU286" s="423"/>
      <c r="BV286" s="423"/>
      <c r="BW286" s="423"/>
      <c r="BX286" s="423"/>
      <c r="BY286" s="423"/>
    </row>
    <row r="287" spans="1:77" x14ac:dyDescent="0.3">
      <c r="A287" s="33" t="s">
        <v>359</v>
      </c>
      <c r="D287" s="418"/>
      <c r="E287" s="418"/>
      <c r="F287" s="418"/>
      <c r="G287" s="418"/>
      <c r="H287" s="418"/>
      <c r="I287" s="418"/>
      <c r="J287" s="418"/>
      <c r="K287" s="418"/>
      <c r="L287" s="418"/>
      <c r="M287" s="418"/>
      <c r="N287" s="418"/>
      <c r="O287" s="418"/>
      <c r="P287" s="418"/>
      <c r="Q287" s="418"/>
      <c r="R287" s="418"/>
      <c r="S287" s="418"/>
      <c r="T287" s="418"/>
      <c r="U287" s="418"/>
      <c r="V287" s="418"/>
      <c r="W287" s="418"/>
      <c r="X287" s="418"/>
      <c r="Y287" s="414"/>
      <c r="Z287" s="414"/>
      <c r="AA287" s="414"/>
      <c r="AB287" s="414"/>
      <c r="AC287" s="414"/>
      <c r="AD287" s="421"/>
      <c r="AE287" s="423"/>
      <c r="AF287" s="423"/>
      <c r="AG287" s="423"/>
      <c r="AH287" s="423"/>
      <c r="AI287" s="423"/>
      <c r="AJ287" s="423"/>
      <c r="AK287" s="423"/>
      <c r="AL287" s="423"/>
      <c r="AM287" s="423"/>
      <c r="AN287" s="423"/>
      <c r="AO287" s="423"/>
      <c r="AP287" s="421"/>
      <c r="AQ287" s="423"/>
      <c r="AR287" s="423"/>
      <c r="AS287" s="423"/>
      <c r="AT287" s="423"/>
      <c r="AU287" s="423"/>
      <c r="AV287" s="423"/>
      <c r="AW287" s="423"/>
      <c r="AX287" s="423"/>
      <c r="AY287" s="423"/>
      <c r="AZ287" s="423"/>
      <c r="BA287" s="423"/>
      <c r="BB287" s="421"/>
      <c r="BC287" s="423"/>
      <c r="BD287" s="423"/>
      <c r="BE287" s="423"/>
      <c r="BF287" s="423"/>
      <c r="BG287" s="423"/>
      <c r="BH287" s="423"/>
      <c r="BI287" s="423"/>
      <c r="BJ287" s="423"/>
      <c r="BK287" s="423"/>
      <c r="BL287" s="423"/>
      <c r="BM287" s="423"/>
      <c r="BN287" s="421"/>
      <c r="BO287" s="423"/>
      <c r="BP287" s="423"/>
      <c r="BQ287" s="423"/>
      <c r="BR287" s="423"/>
      <c r="BS287" s="423"/>
      <c r="BT287" s="423"/>
      <c r="BU287" s="423"/>
      <c r="BV287" s="423"/>
      <c r="BW287" s="423"/>
      <c r="BX287" s="423"/>
      <c r="BY287" s="423"/>
    </row>
    <row r="288" spans="1:77" x14ac:dyDescent="0.3">
      <c r="A288" s="33" t="s">
        <v>360</v>
      </c>
      <c r="D288" s="419"/>
      <c r="E288" s="419"/>
      <c r="F288" s="419"/>
      <c r="G288" s="419"/>
      <c r="H288" s="419"/>
      <c r="I288" s="419"/>
      <c r="J288" s="419"/>
      <c r="K288" s="419"/>
      <c r="L288" s="419"/>
      <c r="M288" s="419"/>
      <c r="N288" s="419"/>
      <c r="O288" s="419"/>
      <c r="P288" s="419"/>
      <c r="Q288" s="419"/>
      <c r="R288" s="419"/>
      <c r="S288" s="419"/>
      <c r="T288" s="419"/>
      <c r="U288" s="419"/>
      <c r="V288" s="419"/>
      <c r="W288" s="419"/>
      <c r="X288" s="419"/>
      <c r="Y288" s="420"/>
      <c r="Z288" s="420"/>
      <c r="AA288" s="420"/>
      <c r="AB288" s="420"/>
      <c r="AC288" s="420"/>
      <c r="AD288" s="422"/>
      <c r="AE288" s="424"/>
      <c r="AF288" s="424"/>
      <c r="AG288" s="424"/>
      <c r="AH288" s="424"/>
      <c r="AI288" s="424"/>
      <c r="AJ288" s="424"/>
      <c r="AK288" s="424"/>
      <c r="AL288" s="424"/>
      <c r="AM288" s="424"/>
      <c r="AN288" s="424"/>
      <c r="AO288" s="424"/>
      <c r="AP288" s="422"/>
      <c r="AQ288" s="424"/>
      <c r="AR288" s="424"/>
      <c r="AS288" s="424"/>
      <c r="AT288" s="424"/>
      <c r="AU288" s="424"/>
      <c r="AV288" s="424"/>
      <c r="AW288" s="424"/>
      <c r="AX288" s="424"/>
      <c r="AY288" s="424"/>
      <c r="AZ288" s="424"/>
      <c r="BA288" s="424"/>
      <c r="BB288" s="422"/>
      <c r="BC288" s="424"/>
      <c r="BD288" s="424"/>
      <c r="BE288" s="424"/>
      <c r="BF288" s="424"/>
      <c r="BG288" s="424"/>
      <c r="BH288" s="424"/>
      <c r="BI288" s="424"/>
      <c r="BJ288" s="424"/>
      <c r="BK288" s="424"/>
      <c r="BL288" s="424"/>
      <c r="BM288" s="424"/>
      <c r="BN288" s="422"/>
      <c r="BO288" s="424"/>
      <c r="BP288" s="424"/>
      <c r="BQ288" s="424"/>
      <c r="BR288" s="424"/>
      <c r="BS288" s="424"/>
      <c r="BT288" s="424"/>
      <c r="BU288" s="424"/>
      <c r="BV288" s="424"/>
      <c r="BW288" s="424"/>
      <c r="BX288" s="424"/>
      <c r="BY288" s="424"/>
    </row>
    <row r="289" spans="1:77" x14ac:dyDescent="0.3">
      <c r="A289" s="127" t="s">
        <v>413</v>
      </c>
      <c r="D289" s="418">
        <f t="shared" ref="D289:Y289" si="1776">D19/C19-1</f>
        <v>-0.26415094339622647</v>
      </c>
      <c r="E289" s="418">
        <f t="shared" si="1776"/>
        <v>0</v>
      </c>
      <c r="F289" s="418">
        <f t="shared" si="1776"/>
        <v>0.24358974358974361</v>
      </c>
      <c r="G289" s="418">
        <f t="shared" si="1776"/>
        <v>0.14432989690721643</v>
      </c>
      <c r="H289" s="418">
        <f t="shared" si="1776"/>
        <v>0</v>
      </c>
      <c r="I289" s="418">
        <f t="shared" si="1776"/>
        <v>1.8018018018018056E-2</v>
      </c>
      <c r="J289" s="418">
        <f t="shared" si="1776"/>
        <v>8.8495575221239076E-3</v>
      </c>
      <c r="K289" s="418">
        <f t="shared" si="1776"/>
        <v>-8.7719298245614308E-3</v>
      </c>
      <c r="L289" s="418">
        <f t="shared" si="1776"/>
        <v>1.7699115044247815E-2</v>
      </c>
      <c r="M289" s="418">
        <f t="shared" si="1776"/>
        <v>-1.7391304347826098E-2</v>
      </c>
      <c r="N289" s="418">
        <f t="shared" si="1776"/>
        <v>0</v>
      </c>
      <c r="O289" s="418">
        <f t="shared" si="1776"/>
        <v>0</v>
      </c>
      <c r="P289" s="418">
        <f t="shared" si="1776"/>
        <v>0</v>
      </c>
      <c r="Q289" s="418">
        <f t="shared" si="1776"/>
        <v>0</v>
      </c>
      <c r="R289" s="418">
        <f t="shared" si="1776"/>
        <v>-8.8495575221238965E-2</v>
      </c>
      <c r="S289" s="418">
        <f t="shared" si="1776"/>
        <v>-1.9417475728155331E-2</v>
      </c>
      <c r="T289" s="418">
        <f t="shared" si="1776"/>
        <v>0</v>
      </c>
      <c r="U289" s="418">
        <f t="shared" si="1776"/>
        <v>-9.9009900990099098E-3</v>
      </c>
      <c r="V289" s="418">
        <f t="shared" si="1776"/>
        <v>-2.0000000000000018E-2</v>
      </c>
      <c r="W289" s="418">
        <f t="shared" si="1776"/>
        <v>1.0204081632652962E-2</v>
      </c>
      <c r="X289" s="418">
        <f t="shared" si="1776"/>
        <v>-1.0101010101010055E-2</v>
      </c>
      <c r="Y289" s="418">
        <f t="shared" si="1776"/>
        <v>-4.081632653061229E-2</v>
      </c>
      <c r="Z289" s="418">
        <f t="shared" ref="Z289:AE289" si="1777">Z19/Y19-1</f>
        <v>0</v>
      </c>
      <c r="AA289" s="418">
        <f t="shared" si="1777"/>
        <v>0</v>
      </c>
      <c r="AB289" s="418">
        <f t="shared" si="1777"/>
        <v>0</v>
      </c>
      <c r="AC289" s="418">
        <f t="shared" si="1777"/>
        <v>0</v>
      </c>
      <c r="AD289" s="418">
        <f t="shared" si="1777"/>
        <v>0.11702127659574457</v>
      </c>
      <c r="AE289" s="418">
        <f t="shared" si="1777"/>
        <v>0</v>
      </c>
      <c r="AF289" s="418">
        <f t="shared" ref="AF289:AI289" si="1778">AF19/AE19-1</f>
        <v>1.904761904761898E-2</v>
      </c>
      <c r="AG289" s="418">
        <f t="shared" si="1778"/>
        <v>-9.3457943925233655E-3</v>
      </c>
      <c r="AH289" s="418">
        <f t="shared" si="1778"/>
        <v>-1.8867924528301883E-2</v>
      </c>
      <c r="AI289" s="418">
        <f t="shared" si="1778"/>
        <v>-9.6153846153845812E-3</v>
      </c>
      <c r="AJ289" s="418">
        <f t="shared" ref="AJ289:AN289" si="1779">AJ19/AI19-1</f>
        <v>9.7087378640776656E-3</v>
      </c>
      <c r="AK289" s="418">
        <f t="shared" si="1779"/>
        <v>-9.6153846153845812E-3</v>
      </c>
      <c r="AL289" s="418">
        <f t="shared" si="1779"/>
        <v>0</v>
      </c>
      <c r="AM289" s="418">
        <f t="shared" si="1779"/>
        <v>0</v>
      </c>
      <c r="AN289" s="418">
        <f t="shared" si="1779"/>
        <v>0</v>
      </c>
      <c r="AO289" s="418">
        <f t="shared" ref="AO289:AZ289" si="1780">AO19/AN19-1</f>
        <v>0</v>
      </c>
      <c r="AP289" s="418">
        <f t="shared" si="1780"/>
        <v>0.30097087378640786</v>
      </c>
      <c r="AQ289" s="418">
        <f t="shared" si="1780"/>
        <v>-7.4626865671642006E-3</v>
      </c>
      <c r="AR289" s="418">
        <f t="shared" si="1780"/>
        <v>-7.5187969924812581E-3</v>
      </c>
      <c r="AS289" s="418">
        <f t="shared" si="1780"/>
        <v>-7.575757575757569E-3</v>
      </c>
      <c r="AT289" s="418">
        <f t="shared" si="1780"/>
        <v>-1.5267175572519109E-2</v>
      </c>
      <c r="AU289" s="418">
        <f t="shared" si="1780"/>
        <v>-1.5503875968992276E-2</v>
      </c>
      <c r="AV289" s="418">
        <f t="shared" si="1780"/>
        <v>0</v>
      </c>
      <c r="AW289" s="418">
        <f t="shared" si="1780"/>
        <v>0</v>
      </c>
      <c r="AX289" s="418">
        <f t="shared" si="1780"/>
        <v>0</v>
      </c>
      <c r="AY289" s="418">
        <f t="shared" si="1780"/>
        <v>0</v>
      </c>
      <c r="AZ289" s="418">
        <f t="shared" si="1780"/>
        <v>0</v>
      </c>
      <c r="BA289" s="418">
        <f t="shared" ref="BA289:BY289" si="1781">BA19/AZ19-1</f>
        <v>0</v>
      </c>
      <c r="BB289" s="418">
        <f t="shared" si="1781"/>
        <v>0.29133858267716528</v>
      </c>
      <c r="BC289" s="418">
        <f t="shared" si="1781"/>
        <v>-6.0975609756097615E-3</v>
      </c>
      <c r="BD289" s="418">
        <f t="shared" si="1781"/>
        <v>6.1349693251533388E-3</v>
      </c>
      <c r="BE289" s="418">
        <f t="shared" si="1781"/>
        <v>-6.0975609756097615E-3</v>
      </c>
      <c r="BF289" s="418">
        <f t="shared" si="1781"/>
        <v>-1.2269938650306789E-2</v>
      </c>
      <c r="BG289" s="418">
        <f t="shared" si="1781"/>
        <v>-1.2422360248447228E-2</v>
      </c>
      <c r="BH289" s="418">
        <f t="shared" si="1781"/>
        <v>0</v>
      </c>
      <c r="BI289" s="418">
        <f t="shared" si="1781"/>
        <v>0</v>
      </c>
      <c r="BJ289" s="418">
        <f t="shared" si="1781"/>
        <v>0</v>
      </c>
      <c r="BK289" s="418">
        <f t="shared" si="1781"/>
        <v>0</v>
      </c>
      <c r="BL289" s="418">
        <f t="shared" si="1781"/>
        <v>0</v>
      </c>
      <c r="BM289" s="418">
        <f t="shared" si="1781"/>
        <v>0</v>
      </c>
      <c r="BN289" s="418">
        <f t="shared" si="1781"/>
        <v>8.8050314465408785E-2</v>
      </c>
      <c r="BO289" s="418">
        <f t="shared" si="1781"/>
        <v>-5.7803468208093012E-3</v>
      </c>
      <c r="BP289" s="418">
        <f t="shared" si="1781"/>
        <v>5.8139534883721034E-3</v>
      </c>
      <c r="BQ289" s="418">
        <f t="shared" si="1781"/>
        <v>-5.7803468208093012E-3</v>
      </c>
      <c r="BR289" s="418">
        <f t="shared" si="1781"/>
        <v>-1.1627906976744207E-2</v>
      </c>
      <c r="BS289" s="418">
        <f t="shared" si="1781"/>
        <v>-1.1764705882352899E-2</v>
      </c>
      <c r="BT289" s="418">
        <f t="shared" si="1781"/>
        <v>5.9523809523809312E-3</v>
      </c>
      <c r="BU289" s="418">
        <f t="shared" si="1781"/>
        <v>0</v>
      </c>
      <c r="BV289" s="418">
        <f t="shared" si="1781"/>
        <v>0</v>
      </c>
      <c r="BW289" s="418">
        <f t="shared" si="1781"/>
        <v>0</v>
      </c>
      <c r="BX289" s="418">
        <f t="shared" si="1781"/>
        <v>0</v>
      </c>
      <c r="BY289" s="418">
        <f t="shared" si="1781"/>
        <v>-1</v>
      </c>
    </row>
    <row r="290" spans="1:77" x14ac:dyDescent="0.3">
      <c r="Y290" s="25"/>
    </row>
  </sheetData>
  <mergeCells count="3">
    <mergeCell ref="CC2:CJ2"/>
    <mergeCell ref="BZ3:CA3"/>
    <mergeCell ref="BZ2:CA2"/>
  </mergeCells>
  <printOptions horizontalCentered="1" verticalCentered="1"/>
  <pageMargins left="0.15" right="0.15" top="0.75" bottom="0.75" header="0.3" footer="0.3"/>
  <pageSetup scale="13" orientation="landscape" horizontalDpi="1200" verticalDpi="1200" r:id="rId1"/>
  <headerFooter>
    <oddFooter>&amp;L&amp;"Bodoni MT,Bold"&amp;10&amp;F&amp;C&amp;10&amp;P of &amp;N&amp;R&amp;10&amp;A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Cover</vt:lpstr>
      <vt:lpstr>Dashboard</vt:lpstr>
      <vt:lpstr>Activity</vt:lpstr>
      <vt:lpstr>Financial Position</vt:lpstr>
      <vt:lpstr>Cash Flow</vt:lpstr>
      <vt:lpstr>Support</vt:lpstr>
      <vt:lpstr>DCS Detail</vt:lpstr>
      <vt:lpstr>Hillpointe Detail</vt:lpstr>
      <vt:lpstr>Sandhill Detail</vt:lpstr>
      <vt:lpstr>Financial Position Detail</vt:lpstr>
      <vt:lpstr>Cash Flow Detail</vt:lpstr>
      <vt:lpstr>Waitlist</vt:lpstr>
      <vt:lpstr>Model Comments</vt:lpstr>
      <vt:lpstr>Activity!Print_Area</vt:lpstr>
      <vt:lpstr>'Cash Flow'!Print_Area</vt:lpstr>
      <vt:lpstr>'Cash Flow Detail'!Print_Area</vt:lpstr>
      <vt:lpstr>Dashboard!Print_Area</vt:lpstr>
      <vt:lpstr>'Financial Position'!Print_Area</vt:lpstr>
      <vt:lpstr>'Financial Position Detail'!Print_Area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Bryan Weeks</dc:creator>
  <cp:lastModifiedBy>Bryan</cp:lastModifiedBy>
  <cp:lastPrinted>2022-05-12T03:55:02Z</cp:lastPrinted>
  <dcterms:created xsi:type="dcterms:W3CDTF">2021-02-17T19:35:42Z</dcterms:created>
  <dcterms:modified xsi:type="dcterms:W3CDTF">2022-06-13T19:34:46Z</dcterms:modified>
</cp:coreProperties>
</file>