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triciawilbourne/Downloads/"/>
    </mc:Choice>
  </mc:AlternateContent>
  <xr:revisionPtr revIDLastSave="0" documentId="8_{B5E4FAEF-E765-0C42-A1DE-0FB6C3FEFCEA}" xr6:coauthVersionLast="36" xr6:coauthVersionMax="36" xr10:uidLastSave="{00000000-0000-0000-0000-000000000000}"/>
  <bookViews>
    <workbookView xWindow="0" yWindow="760" windowWidth="23260" windowHeight="12580" tabRatio="932" activeTab="1" xr2:uid="{00000000-000D-0000-FFFF-FFFF00000000}"/>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externalReferences>
    <externalReference r:id="rId13"/>
  </externalReferences>
  <definedNames>
    <definedName name="_xlnm.Print_Area" localSheetId="1">'Form 1 Cover'!$B$2:$K$62</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81029"/>
</workbook>
</file>

<file path=xl/calcChain.xml><?xml version="1.0" encoding="utf-8"?>
<calcChain xmlns="http://schemas.openxmlformats.org/spreadsheetml/2006/main">
  <c r="L37" i="54" l="1"/>
  <c r="D66" i="51"/>
  <c r="E66" i="51"/>
  <c r="D50" i="51"/>
  <c r="E50" i="51"/>
  <c r="D42" i="51"/>
  <c r="E42" i="51"/>
  <c r="D39" i="51"/>
  <c r="E39" i="51"/>
  <c r="E19" i="48"/>
  <c r="E18" i="48"/>
  <c r="E17" i="48"/>
  <c r="E12" i="48"/>
  <c r="E11" i="48"/>
  <c r="E10" i="48"/>
  <c r="E9" i="48"/>
  <c r="E16" i="48" s="1"/>
  <c r="E8" i="48"/>
  <c r="E15" i="48" s="1"/>
  <c r="F19" i="48"/>
  <c r="F18" i="48"/>
  <c r="F17" i="48"/>
  <c r="F12" i="48"/>
  <c r="F11" i="48"/>
  <c r="F10" i="48"/>
  <c r="F9" i="48"/>
  <c r="F16" i="48" s="1"/>
  <c r="F8" i="48"/>
  <c r="F15" i="48" s="1"/>
  <c r="M41" i="67"/>
  <c r="L41" i="67"/>
  <c r="K41" i="67"/>
  <c r="J41" i="67"/>
  <c r="I41" i="67"/>
  <c r="H41" i="67"/>
  <c r="G41" i="67"/>
  <c r="F41" i="67"/>
  <c r="E41" i="67"/>
  <c r="D41" i="67"/>
  <c r="C41" i="67"/>
  <c r="M40" i="67"/>
  <c r="L40" i="67"/>
  <c r="K40" i="67"/>
  <c r="J40" i="67"/>
  <c r="I40" i="67"/>
  <c r="H40" i="67"/>
  <c r="G40" i="67"/>
  <c r="F40" i="67"/>
  <c r="E40" i="67"/>
  <c r="D40" i="67"/>
  <c r="C40" i="67"/>
  <c r="B41" i="67"/>
  <c r="B40" i="67"/>
  <c r="I17" i="37"/>
  <c r="H17" i="37"/>
  <c r="M47" i="67"/>
  <c r="L47" i="67"/>
  <c r="K47" i="67"/>
  <c r="J47" i="67"/>
  <c r="I47" i="67"/>
  <c r="H47" i="67"/>
  <c r="G47" i="67"/>
  <c r="F47" i="67"/>
  <c r="E47" i="67"/>
  <c r="D47" i="67"/>
  <c r="C47" i="67"/>
  <c r="B47" i="67"/>
  <c r="M45" i="67"/>
  <c r="L45" i="67"/>
  <c r="K45" i="67"/>
  <c r="J45" i="67"/>
  <c r="I45" i="67"/>
  <c r="H45" i="67"/>
  <c r="G45" i="67"/>
  <c r="F45" i="67"/>
  <c r="E45" i="67"/>
  <c r="D45" i="67"/>
  <c r="C45" i="67"/>
  <c r="B45" i="67"/>
  <c r="M46" i="67"/>
  <c r="L46" i="67"/>
  <c r="K46" i="67"/>
  <c r="J46" i="67"/>
  <c r="I46" i="67"/>
  <c r="H46" i="67"/>
  <c r="G46" i="67"/>
  <c r="F46" i="67"/>
  <c r="E46" i="67"/>
  <c r="D46" i="67"/>
  <c r="C46" i="67"/>
  <c r="B46" i="67"/>
  <c r="M44" i="67"/>
  <c r="L44" i="67"/>
  <c r="K44" i="67"/>
  <c r="J44" i="67"/>
  <c r="I44" i="67"/>
  <c r="H44" i="67"/>
  <c r="G44" i="67"/>
  <c r="F44" i="67"/>
  <c r="E44" i="67"/>
  <c r="D44" i="67"/>
  <c r="C44" i="67"/>
  <c r="B44" i="67"/>
  <c r="M42" i="67"/>
  <c r="L42" i="67"/>
  <c r="K42" i="67"/>
  <c r="J42" i="67"/>
  <c r="I42" i="67"/>
  <c r="H42" i="67"/>
  <c r="G42" i="67"/>
  <c r="F42" i="67"/>
  <c r="E42" i="67"/>
  <c r="D42" i="67"/>
  <c r="C42" i="67"/>
  <c r="B42" i="67"/>
  <c r="M37" i="67"/>
  <c r="L37" i="67"/>
  <c r="K37" i="67"/>
  <c r="J37" i="67"/>
  <c r="I37" i="67"/>
  <c r="H37" i="67"/>
  <c r="G37" i="67"/>
  <c r="F37" i="67"/>
  <c r="E37" i="67"/>
  <c r="D37" i="67"/>
  <c r="C37" i="67"/>
  <c r="B37" i="67"/>
  <c r="B39" i="67" s="1"/>
  <c r="M38" i="67"/>
  <c r="L38" i="67"/>
  <c r="K38" i="67"/>
  <c r="J38" i="67"/>
  <c r="I38" i="67"/>
  <c r="H38" i="67"/>
  <c r="G38" i="67"/>
  <c r="F38" i="67"/>
  <c r="E38" i="67"/>
  <c r="D38" i="67"/>
  <c r="C38" i="67"/>
  <c r="B38" i="67"/>
  <c r="B36" i="67"/>
  <c r="B35" i="67"/>
  <c r="M36" i="67"/>
  <c r="L36" i="67"/>
  <c r="K36" i="67"/>
  <c r="J36" i="67"/>
  <c r="I36" i="67"/>
  <c r="H36" i="67"/>
  <c r="G36" i="67"/>
  <c r="F36" i="67"/>
  <c r="E36" i="67"/>
  <c r="D36" i="67"/>
  <c r="C36" i="67"/>
  <c r="M35" i="67"/>
  <c r="M39" i="67" s="1"/>
  <c r="L35" i="67"/>
  <c r="L39" i="67" s="1"/>
  <c r="K35" i="67"/>
  <c r="K39" i="67" s="1"/>
  <c r="J35" i="67"/>
  <c r="J39" i="67" s="1"/>
  <c r="I35" i="67"/>
  <c r="I39" i="67" s="1"/>
  <c r="H35" i="67"/>
  <c r="H39" i="67" s="1"/>
  <c r="G35" i="67"/>
  <c r="G39" i="67" s="1"/>
  <c r="F35" i="67"/>
  <c r="E35" i="67"/>
  <c r="E39" i="67" s="1"/>
  <c r="D35" i="67"/>
  <c r="D39" i="67" s="1"/>
  <c r="C35" i="67"/>
  <c r="C39" i="67" s="1"/>
  <c r="M24" i="67"/>
  <c r="L24" i="67"/>
  <c r="K24" i="67"/>
  <c r="J24" i="67"/>
  <c r="I24" i="67"/>
  <c r="H24" i="67"/>
  <c r="G24" i="67"/>
  <c r="F24" i="67"/>
  <c r="E24" i="67"/>
  <c r="D24" i="67"/>
  <c r="C24" i="67"/>
  <c r="B24" i="67"/>
  <c r="M21" i="67"/>
  <c r="L21" i="67"/>
  <c r="K21" i="67"/>
  <c r="J21" i="67"/>
  <c r="I21" i="67"/>
  <c r="H21" i="67"/>
  <c r="G21" i="67"/>
  <c r="F21" i="67"/>
  <c r="E21" i="67"/>
  <c r="D21" i="67"/>
  <c r="C21" i="67"/>
  <c r="B21" i="67"/>
  <c r="M23" i="67"/>
  <c r="L23" i="67"/>
  <c r="K23" i="67"/>
  <c r="J23" i="67"/>
  <c r="I23" i="67"/>
  <c r="H23" i="67"/>
  <c r="G23" i="67"/>
  <c r="F23" i="67"/>
  <c r="E23" i="67"/>
  <c r="D23" i="67"/>
  <c r="C23" i="67"/>
  <c r="B23" i="67"/>
  <c r="M12" i="67"/>
  <c r="L12" i="67"/>
  <c r="K12" i="67"/>
  <c r="J12" i="67"/>
  <c r="I12" i="67"/>
  <c r="H12" i="67"/>
  <c r="G12" i="67"/>
  <c r="F12" i="67"/>
  <c r="E12" i="67"/>
  <c r="D12" i="67"/>
  <c r="C12" i="67"/>
  <c r="B12" i="67"/>
  <c r="M10" i="67"/>
  <c r="M25" i="67" s="1"/>
  <c r="L10" i="67"/>
  <c r="L25" i="67" s="1"/>
  <c r="K10" i="67"/>
  <c r="K25" i="67" s="1"/>
  <c r="J10" i="67"/>
  <c r="J25" i="67" s="1"/>
  <c r="I10" i="67"/>
  <c r="I25" i="67" s="1"/>
  <c r="H10" i="67"/>
  <c r="H25" i="67" s="1"/>
  <c r="G10" i="67"/>
  <c r="G25" i="67" s="1"/>
  <c r="F10" i="67"/>
  <c r="F25" i="67" s="1"/>
  <c r="E10" i="67"/>
  <c r="E25" i="67" s="1"/>
  <c r="D10" i="67"/>
  <c r="D25" i="67" s="1"/>
  <c r="C10" i="67"/>
  <c r="C25" i="67" s="1"/>
  <c r="B10" i="67"/>
  <c r="B25" i="67" s="1"/>
  <c r="C17" i="37"/>
  <c r="G19" i="48"/>
  <c r="G17" i="48"/>
  <c r="G18" i="48"/>
  <c r="G12" i="48"/>
  <c r="G11" i="48"/>
  <c r="G10" i="48"/>
  <c r="G9" i="48"/>
  <c r="G16" i="48" s="1"/>
  <c r="G8" i="48"/>
  <c r="G15" i="48" s="1"/>
  <c r="G20" i="48" s="1"/>
  <c r="F50" i="51"/>
  <c r="F42" i="51"/>
  <c r="F66" i="51"/>
  <c r="F39" i="51"/>
  <c r="L43" i="54"/>
  <c r="N35" i="54"/>
  <c r="F20" i="48" l="1"/>
  <c r="F35" i="51"/>
  <c r="F39" i="67"/>
  <c r="E20" i="48"/>
  <c r="D35" i="51"/>
  <c r="E35" i="51"/>
  <c r="E55" i="52" l="1"/>
  <c r="D55" i="52"/>
  <c r="C55" i="52"/>
  <c r="D28" i="52"/>
  <c r="C28" i="52"/>
  <c r="D5" i="52"/>
  <c r="C5" i="52"/>
  <c r="I283" i="48" l="1"/>
  <c r="H283" i="48"/>
  <c r="G283" i="48"/>
  <c r="F283" i="48"/>
  <c r="E283" i="48"/>
  <c r="N45" i="54" l="1"/>
  <c r="N13" i="54" l="1"/>
  <c r="N12" i="54"/>
  <c r="J13" i="54"/>
  <c r="F13" i="54"/>
  <c r="N24" i="67" l="1"/>
  <c r="C4" i="52"/>
  <c r="C12" i="52" s="1"/>
  <c r="C22" i="52" s="1"/>
  <c r="C6" i="52"/>
  <c r="C7" i="52"/>
  <c r="C10" i="52"/>
  <c r="C11" i="52"/>
  <c r="C15" i="52"/>
  <c r="C21" i="52" s="1"/>
  <c r="C16" i="52"/>
  <c r="D4" i="52"/>
  <c r="D6" i="52"/>
  <c r="D7" i="52"/>
  <c r="D10" i="52"/>
  <c r="D11" i="52"/>
  <c r="D15" i="52"/>
  <c r="D21" i="52" s="1"/>
  <c r="D16" i="52"/>
  <c r="G28" i="48"/>
  <c r="G51" i="48"/>
  <c r="G80" i="48"/>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E57" i="52"/>
  <c r="E60" i="52"/>
  <c r="E61" i="52"/>
  <c r="E65" i="52"/>
  <c r="E66" i="52"/>
  <c r="I477" i="48"/>
  <c r="I485" i="48"/>
  <c r="I493" i="48"/>
  <c r="I501" i="48"/>
  <c r="I509" i="48"/>
  <c r="I527" i="48"/>
  <c r="I535" i="48"/>
  <c r="I469" i="48"/>
  <c r="E68" i="52"/>
  <c r="F68" i="52" s="1"/>
  <c r="F58" i="52"/>
  <c r="F59" i="52"/>
  <c r="F69" i="52"/>
  <c r="F70" i="52"/>
  <c r="A7" i="67"/>
  <c r="B1" i="67"/>
  <c r="N47" i="67"/>
  <c r="N46" i="67"/>
  <c r="N45" i="67"/>
  <c r="N44" i="67"/>
  <c r="N43" i="67"/>
  <c r="N42" i="67"/>
  <c r="N41" i="67"/>
  <c r="N40" i="67"/>
  <c r="N39" i="67"/>
  <c r="N38" i="67"/>
  <c r="N37" i="67"/>
  <c r="N36" i="67"/>
  <c r="N35" i="67"/>
  <c r="N34" i="67"/>
  <c r="M28" i="67"/>
  <c r="L28" i="67"/>
  <c r="K28" i="67"/>
  <c r="J28" i="67"/>
  <c r="I28" i="67"/>
  <c r="H28" i="67"/>
  <c r="G28" i="67"/>
  <c r="F28" i="67"/>
  <c r="E28" i="67"/>
  <c r="D28" i="67"/>
  <c r="C28" i="67"/>
  <c r="B28" i="67"/>
  <c r="B29" i="67" s="1"/>
  <c r="N27" i="67"/>
  <c r="N26" i="67"/>
  <c r="N25" i="67"/>
  <c r="N23" i="67"/>
  <c r="N22" i="67"/>
  <c r="N21" i="67"/>
  <c r="N20" i="67"/>
  <c r="N19" i="67"/>
  <c r="N18" i="67"/>
  <c r="N17" i="67"/>
  <c r="N16" i="67"/>
  <c r="N15" i="67"/>
  <c r="N14" i="67"/>
  <c r="N13" i="67"/>
  <c r="N12" i="67"/>
  <c r="N11" i="67"/>
  <c r="N10" i="67"/>
  <c r="E146" i="56"/>
  <c r="B308" i="48"/>
  <c r="I310" i="48"/>
  <c r="I308" i="48"/>
  <c r="I226" i="48"/>
  <c r="H226" i="48"/>
  <c r="G226" i="48"/>
  <c r="F226" i="48"/>
  <c r="E226" i="48"/>
  <c r="B3" i="51"/>
  <c r="A55" i="51" s="1"/>
  <c r="J7" i="54"/>
  <c r="E50" i="66"/>
  <c r="D50" i="66"/>
  <c r="F47" i="66"/>
  <c r="G200" i="48"/>
  <c r="G144" i="48"/>
  <c r="G54" i="48"/>
  <c r="G111" i="48"/>
  <c r="F76" i="51"/>
  <c r="F61" i="51"/>
  <c r="A51" i="52"/>
  <c r="I517" i="48"/>
  <c r="A24" i="52"/>
  <c r="A1"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67" i="66"/>
  <c r="G75" i="66"/>
  <c r="G83" i="66"/>
  <c r="F86" i="66"/>
  <c r="F59" i="66"/>
  <c r="F67" i="66"/>
  <c r="F75" i="66"/>
  <c r="F83" i="66"/>
  <c r="E86" i="66"/>
  <c r="E59" i="66"/>
  <c r="E67" i="66"/>
  <c r="E75" i="66"/>
  <c r="E83" i="66"/>
  <c r="D91" i="66"/>
  <c r="D86" i="66"/>
  <c r="D83" i="66"/>
  <c r="D67" i="66"/>
  <c r="D59" i="66"/>
  <c r="D75" i="66"/>
  <c r="G45" i="66"/>
  <c r="F43" i="66"/>
  <c r="G17" i="66"/>
  <c r="G41" i="66" s="1"/>
  <c r="G21" i="66"/>
  <c r="G28" i="66"/>
  <c r="G36" i="66"/>
  <c r="G40" i="66"/>
  <c r="F17" i="66"/>
  <c r="F21" i="66"/>
  <c r="F28" i="66"/>
  <c r="F36" i="66"/>
  <c r="F41" i="66" s="1"/>
  <c r="F40" i="66"/>
  <c r="E17" i="66"/>
  <c r="E41" i="66" s="1"/>
  <c r="E21" i="66"/>
  <c r="E28" i="66"/>
  <c r="E36" i="66"/>
  <c r="E40" i="66"/>
  <c r="D17" i="66"/>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F32" i="33"/>
  <c r="E32" i="33"/>
  <c r="C32" i="33"/>
  <c r="B32" i="33"/>
  <c r="F19" i="33"/>
  <c r="F33" i="33" s="1"/>
  <c r="E19" i="33"/>
  <c r="C19" i="33"/>
  <c r="B19" i="33"/>
  <c r="B33" i="33" s="1"/>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F98" i="66" l="1"/>
  <c r="D87" i="66"/>
  <c r="D92" i="66" s="1"/>
  <c r="G87" i="66"/>
  <c r="G92" i="66" s="1"/>
  <c r="C33" i="33"/>
  <c r="E87" i="66"/>
  <c r="E33" i="33"/>
  <c r="D41" i="66"/>
  <c r="D98" i="66" s="1"/>
  <c r="F87" i="66"/>
  <c r="F92" i="66" s="1"/>
  <c r="K32" i="37"/>
  <c r="F56" i="52"/>
  <c r="E28" i="52"/>
  <c r="F28" i="52" s="1"/>
  <c r="E5" i="52"/>
  <c r="F5" i="52" s="1"/>
  <c r="F57"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60" i="52"/>
  <c r="E27" i="52"/>
  <c r="D62" i="52"/>
  <c r="E101" i="51"/>
  <c r="H101" i="51"/>
  <c r="D101" i="51"/>
  <c r="G101" i="51"/>
  <c r="F101" i="51"/>
  <c r="O28" i="67" s="1"/>
  <c r="F20" i="54"/>
  <c r="F28" i="54" s="1"/>
  <c r="E98" i="66"/>
  <c r="E92" i="66"/>
  <c r="G98" i="66"/>
  <c r="D35" i="52"/>
  <c r="D45" i="52" s="1"/>
  <c r="F65" i="52"/>
  <c r="E7" i="52"/>
  <c r="F7" i="52" s="1"/>
  <c r="F54" i="52"/>
  <c r="J20" i="54"/>
  <c r="J28" i="54" s="1"/>
  <c r="N28" i="67"/>
  <c r="B30" i="67" s="1"/>
  <c r="C29" i="67"/>
  <c r="E71" i="52" l="1"/>
  <c r="E72" i="52" s="1"/>
  <c r="F538" i="48"/>
  <c r="F62" i="52"/>
  <c r="E35" i="52"/>
  <c r="D72" i="52"/>
  <c r="I538" i="48"/>
  <c r="G538" i="48"/>
  <c r="F71" i="52"/>
  <c r="C45" i="52"/>
  <c r="E15" i="52"/>
  <c r="E21" i="52" s="1"/>
  <c r="F27" i="52"/>
  <c r="F35" i="52" s="1"/>
  <c r="C72" i="52"/>
  <c r="E538" i="48"/>
  <c r="E539" i="48" s="1"/>
  <c r="H538" i="48"/>
  <c r="E44" i="52"/>
  <c r="F38" i="52"/>
  <c r="F44" i="52" s="1"/>
  <c r="F12" i="52"/>
  <c r="E12" i="52"/>
  <c r="P28" i="67"/>
  <c r="D29" i="67"/>
  <c r="C30" i="67"/>
  <c r="I539" i="48" l="1"/>
  <c r="I545" i="48" s="1"/>
  <c r="H539" i="48"/>
  <c r="H545" i="48" s="1"/>
  <c r="G539" i="48"/>
  <c r="F539" i="48"/>
  <c r="F548" i="48" s="1"/>
  <c r="F72" i="52"/>
  <c r="E45" i="52"/>
  <c r="F15" i="52"/>
  <c r="E545" i="48"/>
  <c r="E548" i="48"/>
  <c r="F45" i="52"/>
  <c r="E22" i="52"/>
  <c r="O49" i="67" s="1"/>
  <c r="D30" i="67"/>
  <c r="E29" i="67"/>
  <c r="G540" i="48" l="1"/>
  <c r="H547" i="48"/>
  <c r="H548" i="48"/>
  <c r="G548" i="48"/>
  <c r="I548" i="48"/>
  <c r="I547" i="48"/>
  <c r="G547" i="48"/>
  <c r="F545" i="48"/>
  <c r="F547" i="48"/>
  <c r="O53" i="67"/>
  <c r="E30" i="67"/>
  <c r="F29" i="67"/>
  <c r="F19" i="52" l="1"/>
  <c r="F21" i="52" s="1"/>
  <c r="F22" i="52" s="1"/>
  <c r="G544" i="48"/>
  <c r="F30" i="67"/>
  <c r="G29" i="67"/>
  <c r="G545" i="48" l="1"/>
  <c r="M48" i="67"/>
  <c r="M49" i="67" s="1"/>
  <c r="M53" i="67" s="1"/>
  <c r="M62" i="67" s="1"/>
  <c r="I48" i="67"/>
  <c r="I49" i="67" s="1"/>
  <c r="I53" i="67" s="1"/>
  <c r="I62" i="67" s="1"/>
  <c r="E48" i="67"/>
  <c r="E49" i="67" s="1"/>
  <c r="E53" i="67" s="1"/>
  <c r="L48" i="67"/>
  <c r="L49" i="67" s="1"/>
  <c r="L53" i="67" s="1"/>
  <c r="L62" i="67" s="1"/>
  <c r="H48" i="67"/>
  <c r="H49" i="67" s="1"/>
  <c r="H53" i="67" s="1"/>
  <c r="D48" i="67"/>
  <c r="D49" i="67" s="1"/>
  <c r="D53" i="67" s="1"/>
  <c r="D62" i="67" s="1"/>
  <c r="J48" i="67"/>
  <c r="J49" i="67" s="1"/>
  <c r="J53" i="67" s="1"/>
  <c r="J62" i="67" s="1"/>
  <c r="B48" i="67"/>
  <c r="K48" i="67"/>
  <c r="K49" i="67" s="1"/>
  <c r="K53" i="67" s="1"/>
  <c r="K62" i="67" s="1"/>
  <c r="G48" i="67"/>
  <c r="G49" i="67" s="1"/>
  <c r="G53" i="67" s="1"/>
  <c r="C48" i="67"/>
  <c r="C49" i="67" s="1"/>
  <c r="C53" i="67" s="1"/>
  <c r="C62" i="67" s="1"/>
  <c r="F48" i="67"/>
  <c r="F49" i="67" s="1"/>
  <c r="F53" i="67" s="1"/>
  <c r="F62" i="67" s="1"/>
  <c r="G30" i="67"/>
  <c r="H29" i="67"/>
  <c r="G62" i="67" l="1"/>
  <c r="H62" i="67"/>
  <c r="E62" i="67"/>
  <c r="N48" i="67"/>
  <c r="N49" i="67" s="1"/>
  <c r="B49" i="67"/>
  <c r="H30" i="67"/>
  <c r="I29" i="67"/>
  <c r="N53" i="67" l="1"/>
  <c r="N62" i="67" s="1"/>
  <c r="N66" i="67" s="1"/>
  <c r="P49" i="67"/>
  <c r="P53" i="67" s="1"/>
  <c r="B50" i="67"/>
  <c r="C50" i="67" s="1"/>
  <c r="B53" i="67"/>
  <c r="I30" i="67"/>
  <c r="J29" i="67"/>
  <c r="C51" i="67" l="1"/>
  <c r="D50"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B51" i="67"/>
  <c r="J30" i="67"/>
  <c r="K29" i="67"/>
  <c r="E50" i="67" l="1"/>
  <c r="D51" i="67"/>
  <c r="C54" i="67"/>
  <c r="B55" i="67"/>
  <c r="K30" i="67"/>
  <c r="L29" i="67"/>
  <c r="D54" i="67" l="1"/>
  <c r="C55" i="67"/>
  <c r="E51" i="67"/>
  <c r="F50" i="67"/>
  <c r="M29" i="67"/>
  <c r="M30" i="67" s="1"/>
  <c r="L30" i="67"/>
  <c r="F51" i="67" l="1"/>
  <c r="G50" i="67"/>
  <c r="D55" i="67"/>
  <c r="E54" i="67"/>
  <c r="F54" i="67" l="1"/>
  <c r="E55" i="67"/>
  <c r="H50" i="67"/>
  <c r="G51" i="67"/>
  <c r="H51" i="67" l="1"/>
  <c r="I50" i="67"/>
  <c r="F55" i="67"/>
  <c r="G54" i="67"/>
  <c r="G55" i="67" l="1"/>
  <c r="H54" i="67"/>
  <c r="I51" i="67"/>
  <c r="J50" i="67"/>
  <c r="J51" i="67" l="1"/>
  <c r="K50" i="67"/>
  <c r="H55" i="67"/>
  <c r="I54" i="67"/>
  <c r="I55" i="67" l="1"/>
  <c r="J54" i="67"/>
  <c r="L50" i="67"/>
  <c r="K51" i="67"/>
  <c r="L51" i="67" l="1"/>
  <c r="M50" i="67"/>
  <c r="M51" i="67" s="1"/>
  <c r="J55" i="67"/>
  <c r="K54" i="67"/>
  <c r="K55" i="67" l="1"/>
  <c r="L54" i="67"/>
  <c r="M54" i="67" l="1"/>
  <c r="M55" i="67" s="1"/>
  <c r="L5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tc={EA389DDC-632C-45C4-B5A4-884F49773175}</author>
  </authors>
  <commentList>
    <comment ref="F97" authorId="0" shapeId="0" xr:uid="{EA389DDC-632C-45C4-B5A4-884F49773175}">
      <text>
        <r>
          <rPr>
            <sz val="10"/>
            <rFont val="Arial"/>
          </rPr>
          <t>[Threaded comment]
Your version of Excel allows you to read this threaded comment; however, any edits to it will get removed if the file is opened in a newer version of Excel. Learn more: https://go.microsoft.com/fwlink/?linkid=870924
Comment:
    Total revenue over expendures from final audit add to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<sst xmlns="http://schemas.openxmlformats.org/spreadsheetml/2006/main" count="1851" uniqueCount="723">
  <si>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</si>
  <si>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</si>
  <si>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</si>
  <si>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</si>
  <si>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</si>
  <si>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</si>
  <si>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</si>
  <si>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</si>
  <si>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</si>
  <si>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</si>
  <si>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</si>
  <si>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</si>
  <si>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</si>
  <si>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</si>
  <si>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</si>
  <si>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</si>
  <si>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</si>
  <si>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</si>
  <si>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</si>
  <si>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</si>
  <si>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</si>
  <si>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</si>
  <si>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</si>
  <si>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</si>
  <si>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</si>
  <si>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</si>
  <si>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</si>
  <si>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</si>
  <si>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</si>
  <si>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</si>
  <si>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</si>
  <si>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</si>
  <si>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</si>
  <si>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</si>
  <si>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</si>
  <si>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</si>
  <si>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</si>
  <si>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</si>
  <si>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</si>
  <si>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</si>
  <si>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</si>
  <si>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</si>
  <si>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</si>
  <si>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</si>
  <si>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</si>
  <si>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</si>
  <si>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</si>
  <si>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</si>
  <si>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</si>
  <si>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</si>
  <si>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</si>
  <si>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</si>
  <si>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</si>
  <si>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</si>
  <si>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</si>
  <si>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</si>
  <si>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</si>
  <si>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</si>
  <si>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</si>
  <si>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</si>
  <si>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</si>
  <si>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</si>
  <si>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</si>
  <si>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</si>
  <si>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</si>
  <si>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</si>
  <si>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</si>
  <si>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</si>
  <si>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</si>
  <si>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</si>
  <si>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</si>
  <si>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</si>
  <si>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</si>
  <si>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</si>
  <si>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</si>
  <si>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</si>
  <si>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</si>
  <si>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</si>
  <si>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</si>
  <si>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</si>
  <si>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</si>
  <si>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</si>
  <si>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</si>
  <si>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</si>
  <si>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</si>
  <si>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</si>
  <si>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</si>
  <si>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</si>
  <si>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</si>
  <si>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</si>
  <si>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</si>
  <si>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</si>
  <si>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</si>
  <si>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</si>
  <si>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</si>
  <si>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</si>
  <si>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</si>
  <si>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</si>
  <si>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</si>
  <si>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</si>
  <si>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</si>
  <si>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</si>
  <si>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</si>
  <si>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</si>
  <si>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</si>
  <si>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</si>
  <si>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</si>
  <si>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</si>
  <si>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</si>
  <si>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</si>
  <si>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</si>
  <si>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</si>
  <si>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</si>
  <si>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</si>
  <si>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</si>
  <si>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</si>
  <si>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</si>
  <si>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</si>
  <si>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</si>
  <si>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</si>
  <si>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</si>
  <si>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</si>
  <si>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</si>
  <si>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</si>
  <si>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</si>
  <si>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</si>
  <si>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</si>
  <si>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</si>
  <si>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</si>
  <si>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</si>
  <si>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</si>
  <si>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</si>
  <si>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</si>
  <si>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</si>
  <si>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</si>
  <si>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</si>
  <si>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</si>
  <si>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</si>
  <si>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</si>
  <si>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</si>
  <si>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</si>
  <si>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</si>
  <si>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</si>
  <si>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</si>
  <si>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</si>
  <si>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</si>
  <si>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</si>
  <si>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</si>
  <si>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</si>
  <si>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</si>
  <si>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</si>
  <si>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</si>
  <si>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</si>
  <si>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</si>
  <si>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</si>
  <si>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</si>
  <si>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</si>
  <si>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</si>
  <si>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</si>
  <si>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</si>
  <si>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</si>
  <si>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</si>
  <si>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</si>
  <si>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</si>
  <si>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</si>
  <si>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</si>
  <si>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</si>
  <si>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</si>
  <si>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</si>
  <si>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</si>
  <si>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</si>
  <si>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</si>
  <si>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</si>
  <si>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</si>
  <si>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</si>
  <si>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</si>
  <si>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</si>
  <si>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</si>
  <si>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</si>
  <si>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</si>
  <si>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</si>
  <si>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</si>
  <si>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</si>
  <si>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</si>
  <si>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</si>
  <si>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</si>
  <si>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</si>
  <si>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</si>
  <si>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</si>
  <si>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</si>
  <si>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</si>
  <si>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</si>
  <si>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</si>
  <si>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</si>
  <si>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</si>
  <si>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</si>
  <si>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</si>
  <si>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</si>
  <si>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</si>
  <si>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</si>
  <si>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</si>
  <si>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</si>
  <si>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</si>
  <si>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</si>
  <si>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</si>
  <si>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</si>
  <si>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</si>
  <si>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</si>
  <si>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</si>
  <si>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</si>
  <si>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1400</t>
  </si>
  <si>
    <t>Transportation Fees</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</si>
  <si>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</si>
  <si>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</si>
  <si>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</si>
  <si>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</si>
  <si>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</si>
  <si>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</si>
  <si>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</si>
  <si>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</si>
  <si>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</si>
  <si>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</si>
  <si>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</si>
  <si>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</si>
  <si>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</si>
  <si>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</si>
  <si>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</si>
  <si>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</si>
  <si>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</si>
  <si>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</si>
  <si>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</si>
  <si>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</si>
  <si>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</si>
  <si>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</si>
  <si>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</si>
  <si>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</si>
  <si>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</si>
  <si>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</si>
  <si>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</si>
  <si>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</si>
  <si>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</si>
  <si>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</si>
  <si>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</si>
  <si>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</si>
  <si>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</si>
  <si>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</si>
  <si>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</si>
  <si>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</si>
  <si>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</si>
  <si>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</si>
  <si>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</si>
  <si>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</si>
  <si>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</si>
  <si>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</si>
  <si>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</si>
  <si>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</si>
  <si>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</si>
  <si>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</si>
  <si>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</si>
  <si>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</si>
  <si>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</si>
  <si>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</si>
  <si>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</si>
  <si>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</si>
  <si>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</si>
  <si>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</si>
  <si>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</si>
  <si>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</si>
  <si>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</si>
  <si>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</si>
  <si>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</si>
  <si>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</si>
  <si>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</si>
  <si>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</si>
  <si>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</si>
  <si>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</si>
  <si>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</si>
  <si>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</si>
  <si>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</si>
  <si>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</si>
  <si>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</si>
  <si>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</si>
  <si>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</si>
  <si>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</si>
  <si>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</si>
  <si>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</si>
  <si>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</si>
  <si>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</si>
  <si>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</si>
  <si>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</si>
  <si>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</si>
  <si>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</si>
  <si>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</si>
  <si>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</si>
  <si>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</si>
  <si>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</si>
  <si>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</si>
  <si>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</si>
  <si>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</si>
  <si>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</si>
  <si>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</si>
  <si>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</si>
  <si>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</si>
  <si>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</si>
  <si>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</si>
  <si>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</si>
  <si>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Investment Income</t>
  </si>
  <si>
    <t>Food Services</t>
  </si>
  <si>
    <t>Daily Sales - Reimbursable Program</t>
  </si>
  <si>
    <t>Daily Sales - Non-Reimbursable Progrm</t>
  </si>
  <si>
    <t>Special Functions</t>
  </si>
  <si>
    <t>1650</t>
  </si>
  <si>
    <t>Daily Sales - Summer Food Program</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</si>
  <si>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</si>
  <si>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</si>
  <si>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</si>
  <si>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</si>
  <si>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</si>
  <si>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</si>
  <si>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</si>
  <si>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</si>
  <si>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</si>
  <si>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</si>
  <si>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</si>
  <si>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</si>
  <si>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</si>
  <si>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</si>
  <si>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</si>
  <si>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</si>
  <si>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3115</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</si>
  <si>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</si>
  <si>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</si>
  <si>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</si>
  <si>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</si>
  <si>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</si>
  <si>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</si>
  <si>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</si>
  <si>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</si>
  <si>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</si>
  <si>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</si>
  <si>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</si>
  <si>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</si>
  <si>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</si>
  <si>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</si>
  <si>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</si>
  <si>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</si>
  <si>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</si>
  <si>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</si>
  <si>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</si>
  <si>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</si>
  <si>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</si>
  <si>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</si>
  <si>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</si>
  <si>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</si>
  <si>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</si>
  <si>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</si>
  <si>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</si>
  <si>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</si>
  <si>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</si>
  <si>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</si>
  <si>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</si>
  <si>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</si>
  <si>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</si>
  <si>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</si>
  <si>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</si>
  <si>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</si>
  <si>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</si>
  <si>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</si>
  <si>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</si>
  <si>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</si>
  <si>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</si>
  <si>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</si>
  <si>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Gifted and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</si>
  <si>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</si>
  <si>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</si>
  <si>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</si>
  <si>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</si>
  <si>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</si>
  <si>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</si>
  <si>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</si>
  <si>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</si>
  <si>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</si>
  <si>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</si>
  <si>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</si>
  <si>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</si>
  <si>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</si>
  <si>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</si>
  <si>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</si>
  <si>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</si>
  <si>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</si>
  <si>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</si>
  <si>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</si>
  <si>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</si>
  <si>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</si>
  <si>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</si>
  <si>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</si>
  <si>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</si>
  <si>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</si>
  <si>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</si>
  <si>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</si>
  <si>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</si>
  <si>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</si>
  <si>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</si>
  <si>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</si>
  <si>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</si>
  <si>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</si>
  <si>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</si>
  <si>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</si>
  <si>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</si>
  <si>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 xml:space="preserve">Charter School </t>
  </si>
  <si>
    <t>Form 3</t>
  </si>
  <si>
    <t>Page 2 of 2</t>
  </si>
  <si>
    <t>Page 1 of 2</t>
  </si>
  <si>
    <t>(9) + (10)</t>
  </si>
  <si>
    <t>Type</t>
  </si>
  <si>
    <t>INTEREST</t>
  </si>
  <si>
    <t>Form 4 Expenditures</t>
  </si>
  <si>
    <t>Form 3 Revenues</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</si>
  <si>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</si>
  <si>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</si>
  <si>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</si>
  <si>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</si>
  <si>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</si>
  <si>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</si>
  <si>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</si>
  <si>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</si>
  <si>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</si>
  <si>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</si>
  <si>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</si>
  <si>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</si>
  <si>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</si>
  <si>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</si>
  <si>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</si>
  <si>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</si>
  <si>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</si>
  <si>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</si>
  <si>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</si>
  <si>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</si>
  <si>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</si>
  <si>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</si>
  <si>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</si>
  <si>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</si>
  <si>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</si>
  <si>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</si>
  <si>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</si>
  <si>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</si>
  <si>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</si>
  <si>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</si>
  <si>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</si>
  <si>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</si>
  <si>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</si>
  <si>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</si>
  <si>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</si>
  <si>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</si>
  <si>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</si>
  <si>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</si>
  <si>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</si>
  <si>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</si>
  <si>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</si>
  <si>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</si>
  <si>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</si>
  <si>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</si>
  <si>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</si>
  <si>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</si>
  <si>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</si>
  <si>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</si>
  <si>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</si>
  <si>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</si>
  <si>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</si>
  <si>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</si>
  <si>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</si>
  <si>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</si>
  <si>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</si>
  <si>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</si>
  <si>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</si>
  <si>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</si>
  <si>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</si>
  <si>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</si>
  <si>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</si>
  <si>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</si>
  <si>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</si>
  <si>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</si>
  <si>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</si>
  <si>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</si>
  <si>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</si>
  <si>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</si>
  <si>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</si>
  <si>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</si>
  <si>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</si>
  <si>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</si>
  <si>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</si>
  <si>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</si>
  <si>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</si>
  <si>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</si>
  <si>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</si>
  <si>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</si>
  <si>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</si>
  <si>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</si>
  <si>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</si>
  <si>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</si>
  <si>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</si>
  <si>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</si>
  <si>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</si>
  <si>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</si>
  <si>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</si>
  <si>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</si>
  <si>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</si>
  <si>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</si>
  <si>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</si>
  <si>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</si>
  <si>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</si>
  <si>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</si>
  <si>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</si>
  <si>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</si>
  <si>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Enter data in the yellow cells only.</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</si>
  <si>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</si>
  <si>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</si>
  <si>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</si>
  <si>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</si>
  <si>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</si>
  <si>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</si>
  <si>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</si>
  <si>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</si>
  <si>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</si>
  <si>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</si>
  <si>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</si>
  <si>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</si>
  <si>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</si>
  <si>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</si>
  <si>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</si>
  <si>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</si>
  <si>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</si>
  <si>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</si>
  <si>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</si>
  <si>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</si>
  <si>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</si>
  <si>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</si>
  <si>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</si>
  <si>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</si>
  <si>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</si>
  <si>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</si>
  <si>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</si>
  <si>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</si>
  <si>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</si>
  <si>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</si>
  <si>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</si>
  <si>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</si>
  <si>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</si>
  <si>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</si>
  <si>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</si>
  <si>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</si>
  <si>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</si>
  <si>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</si>
  <si>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</si>
  <si>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</si>
  <si>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</si>
  <si>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</si>
  <si>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</si>
  <si>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</si>
  <si>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</si>
  <si>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</si>
  <si>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</si>
  <si>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</si>
  <si>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</si>
  <si>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</si>
  <si>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r>
      <t xml:space="preserve">TOTAL </t>
    </r>
    <r>
      <rPr>
        <b/>
        <u/>
        <sz val="11"/>
        <rFont val="Arial"/>
        <family val="2"/>
      </rPr>
      <t>FINAL</t>
    </r>
    <r>
      <rPr>
        <b/>
        <sz val="11"/>
        <rFont val="Arial"/>
        <family val="2"/>
      </rPr>
      <t xml:space="preserve"> AMENDED BUDGET</t>
    </r>
  </si>
  <si>
    <t>ADE - YEAR</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</si>
  <si>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</si>
  <si>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</si>
  <si>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</si>
  <si>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</si>
  <si>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</si>
  <si>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</si>
  <si>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</si>
  <si>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</si>
  <si>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</si>
  <si>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</si>
  <si>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</si>
  <si>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</si>
  <si>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</si>
  <si>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</si>
  <si>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</si>
  <si>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</si>
  <si>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</si>
  <si>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</si>
  <si>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</si>
  <si>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</si>
  <si>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</si>
  <si>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</si>
  <si>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</si>
  <si>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</si>
  <si>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</si>
  <si>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</si>
  <si>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</si>
  <si>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</si>
  <si>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</si>
  <si>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</si>
  <si>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</si>
  <si>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</si>
  <si>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</si>
  <si>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</si>
  <si>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</si>
  <si>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</si>
  <si>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</si>
  <si>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</si>
  <si>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</si>
  <si>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</si>
  <si>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</si>
  <si>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</si>
  <si>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</si>
  <si>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</si>
  <si>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</si>
  <si>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</si>
  <si>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</si>
  <si>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</si>
  <si>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</si>
  <si>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State Special Ed</t>
  </si>
  <si>
    <t>IDEA - Early Childhood (Part C)</t>
  </si>
  <si>
    <t>IDEA - Special Education (Part B)</t>
  </si>
  <si>
    <t>Title I</t>
  </si>
  <si>
    <t>Title II</t>
  </si>
  <si>
    <t>Title III</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</si>
  <si>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</si>
  <si>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</si>
  <si>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</si>
  <si>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</si>
  <si>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</si>
  <si>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</si>
  <si>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</si>
  <si>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</si>
  <si>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</si>
  <si>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</si>
  <si>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</si>
  <si>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</si>
  <si>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</si>
  <si>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</si>
  <si>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</si>
  <si>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</si>
  <si>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</si>
  <si>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</si>
  <si>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Select whether this budget is Tentative, Final or Amended from the drop down box in cell B2.</t>
  </si>
  <si>
    <t>Projected Cash Flow</t>
  </si>
  <si>
    <t>ps</t>
  </si>
  <si>
    <t>TOTAL PROJECTED</t>
  </si>
  <si>
    <t>BUDGET</t>
  </si>
  <si>
    <t>FROM FORM 3</t>
  </si>
  <si>
    <t>TOTAL REVENUES</t>
  </si>
  <si>
    <t>From FORM 5</t>
  </si>
  <si>
    <t>formulas corrected to include 430 at risk programs</t>
  </si>
  <si>
    <t>x 1 =</t>
  </si>
  <si>
    <t>x 1=</t>
  </si>
  <si>
    <t>FORM 10 LOBBY EXPENSES</t>
  </si>
  <si>
    <t>Per NAC 387.715:</t>
  </si>
  <si>
    <t>2022-2023</t>
  </si>
  <si>
    <t>June 30, 2023</t>
  </si>
  <si>
    <t>2021/2022</t>
  </si>
  <si>
    <t>July 1, 2022</t>
  </si>
  <si>
    <t>budget2023</t>
  </si>
  <si>
    <t>Adjusted Base Per Pupil Rate as of FY21-23</t>
  </si>
  <si>
    <t xml:space="preserve">     (found in Pupil Centered Funding Plan Payment Book)</t>
  </si>
  <si>
    <t>Total Local Special Education Distributions</t>
  </si>
  <si>
    <t>Total English Learner Allocation (if applicable)</t>
  </si>
  <si>
    <t>Total At-Risk Student Allocation (if applicable)</t>
  </si>
  <si>
    <t>15</t>
  </si>
  <si>
    <t>Total Gifted and Talented Allocation (if applicable)</t>
  </si>
  <si>
    <t>16.</t>
  </si>
  <si>
    <t>Form 2 Enrollment - ADE</t>
  </si>
  <si>
    <t>FINAL</t>
  </si>
  <si>
    <t>AMENDED FINAL</t>
  </si>
  <si>
    <t>TENTATIVE</t>
  </si>
  <si>
    <t>ACTUAL ADE PRIOR YEAR</t>
  </si>
  <si>
    <t>ACTUAL ADE CURRENT YEAR</t>
  </si>
  <si>
    <t>Total Adjusted Base Allocation (ADE * per pupil rate)</t>
  </si>
  <si>
    <t>District Activities</t>
  </si>
  <si>
    <t>Pass Through dollars from sponsored district</t>
  </si>
  <si>
    <t>PCFP - Adjusted Base Funding</t>
  </si>
  <si>
    <t>3113</t>
  </si>
  <si>
    <t>PCFP - Auxillary Services - Transportation</t>
  </si>
  <si>
    <t>3114</t>
  </si>
  <si>
    <t>PCFP - Auxillary Services - Food Service</t>
  </si>
  <si>
    <t>Local Special Education Funding under PCFP</t>
  </si>
  <si>
    <t>OTHER RESOURCES AND FUND BALANCE</t>
  </si>
  <si>
    <t>Gain/Loss on Disposal of Assets</t>
  </si>
  <si>
    <t>450</t>
  </si>
  <si>
    <t>Total Gifted and Talented Programs</t>
  </si>
  <si>
    <t>Basic Support / PCFP</t>
  </si>
  <si>
    <t>Charter Sponsorship Fee</t>
  </si>
  <si>
    <t>Title IVA</t>
  </si>
  <si>
    <t>TOTAL PUPIL CENTERED FUNDING PLAN  (Number 11 + 12 + 13 + 14 + 15)</t>
  </si>
  <si>
    <t>ENROLLMENT AND PUPIL CENTERED FUNDING PLAN INFORMATION</t>
  </si>
  <si>
    <t>3250</t>
  </si>
  <si>
    <t>3254</t>
  </si>
  <si>
    <t>3255</t>
  </si>
  <si>
    <t>3256</t>
  </si>
  <si>
    <t>3270</t>
  </si>
  <si>
    <t>State Special Ed Funding</t>
  </si>
  <si>
    <t>PCFP - Englist Learner (restricted use)</t>
  </si>
  <si>
    <t>PCFP - At-Risk (restricted use)</t>
  </si>
  <si>
    <t>PCFP - (restricted use)</t>
  </si>
  <si>
    <t>PCFP - Gifted and Talented (restricted use)</t>
  </si>
  <si>
    <t>FORM 2 ENROLLMENT-ADE</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</si>
  <si>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</si>
  <si>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</si>
  <si>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</si>
  <si>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English Learner Allocation in #13 (column L), if applicable</t>
  </si>
  <si>
    <t>Enter the Total Gifted and Talented Allocation in #15 (column L), if applicable</t>
  </si>
  <si>
    <t>Enter the Total Local Special Education Distributions in #12 (column L), if applicable</t>
  </si>
  <si>
    <t>Enter the Total At-Risk Student Allocation in #14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</si>
  <si>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</si>
  <si>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The 3000 series - Revenue from State Sources has been updated with components of the Pupil Centered Funding Plan (PCFP).</t>
  </si>
  <si>
    <t>Updated to reflect Pupil Centered Funding Plan revenue components</t>
  </si>
  <si>
    <t>Discovery Charter School</t>
  </si>
  <si>
    <t>Hillpointe Lease</t>
  </si>
  <si>
    <t>Private Grant</t>
  </si>
  <si>
    <t>Federal Grants</t>
  </si>
  <si>
    <t>Capital Lease</t>
  </si>
  <si>
    <t>Depreciation</t>
  </si>
  <si>
    <t>Depreciation Addback</t>
  </si>
  <si>
    <t>Capitalized Assets</t>
  </si>
  <si>
    <t>Working Capital Changes</t>
  </si>
  <si>
    <t>Lease Exp</t>
  </si>
  <si>
    <t>Interest</t>
  </si>
  <si>
    <t>Cash Flow Statement 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</si>
</sst>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s>
  <fills count="67">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8" fillId="0" borderId="0" applyNumberFormat="0" applyFill="0" applyBorder="0" applyAlignment="0" applyProtection="0"/>
    <xf numFmtId="0" fontId="29" fillId="0" borderId="57" applyNumberFormat="0" applyFill="0" applyAlignment="0" applyProtection="0"/>
    <xf numFmtId="0" fontId="30" fillId="0" borderId="58" applyNumberFormat="0" applyFill="0" applyAlignment="0" applyProtection="0"/>
    <xf numFmtId="0" fontId="31" fillId="0" borderId="59"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60" applyNumberFormat="0" applyAlignment="0" applyProtection="0"/>
    <xf numFmtId="0" fontId="36" fillId="9" borderId="61" applyNumberFormat="0" applyAlignment="0" applyProtection="0"/>
    <xf numFmtId="0" fontId="37" fillId="9" borderId="60" applyNumberFormat="0" applyAlignment="0" applyProtection="0"/>
    <xf numFmtId="0" fontId="38" fillId="0" borderId="62" applyNumberFormat="0" applyFill="0" applyAlignment="0" applyProtection="0"/>
    <xf numFmtId="0" fontId="39" fillId="10" borderId="63"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65" applyNumberFormat="0" applyFill="0" applyAlignment="0" applyProtection="0"/>
    <xf numFmtId="0" fontId="4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3"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6" fillId="0" borderId="0"/>
    <xf numFmtId="0" fontId="5" fillId="0" borderId="0"/>
    <xf numFmtId="44" fontId="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0" fontId="64"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2" fontId="6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4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173" fontId="62" fillId="0" borderId="0"/>
    <xf numFmtId="173" fontId="62"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171"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0" fontId="65" fillId="0" borderId="0" applyNumberFormat="0" applyFill="0" applyBorder="0" applyAlignment="0" applyProtection="0"/>
    <xf numFmtId="2" fontId="44" fillId="0" borderId="0" applyFon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66"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6"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7"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54"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53" fillId="0" borderId="0" applyNumberFormat="0" applyFill="0" applyBorder="0" applyAlignment="0" applyProtection="0">
      <alignment vertical="top"/>
      <protection locked="0"/>
    </xf>
    <xf numFmtId="0" fontId="69" fillId="0" borderId="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35" fillId="42" borderId="60" applyNumberFormat="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0"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49" fillId="0" borderId="0"/>
    <xf numFmtId="0" fontId="5" fillId="0" borderId="0"/>
    <xf numFmtId="0" fontId="56" fillId="0" borderId="0" applyNumberFormat="0" applyFill="0" applyBorder="0" applyProtection="0">
      <alignment vertical="top" wrapText="1"/>
    </xf>
    <xf numFmtId="0" fontId="56" fillId="0" borderId="0" applyNumberFormat="0" applyFill="0" applyBorder="0" applyProtection="0">
      <alignment vertical="top" wrapText="1"/>
    </xf>
    <xf numFmtId="0" fontId="56" fillId="0" borderId="0" applyNumberFormat="0" applyFill="0" applyBorder="0" applyProtection="0">
      <alignment vertical="top" wrapText="1"/>
    </xf>
    <xf numFmtId="0" fontId="5" fillId="0" borderId="0" applyFill="0"/>
    <xf numFmtId="0" fontId="4" fillId="0" borderId="0"/>
    <xf numFmtId="0" fontId="45"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5"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5" fillId="0" borderId="0"/>
    <xf numFmtId="166" fontId="4" fillId="0" borderId="0"/>
    <xf numFmtId="0" fontId="4" fillId="0" borderId="0"/>
    <xf numFmtId="0" fontId="45" fillId="0" borderId="0"/>
    <xf numFmtId="0" fontId="5" fillId="0" borderId="0"/>
    <xf numFmtId="0" fontId="4" fillId="0" borderId="0"/>
    <xf numFmtId="0" fontId="4" fillId="0" borderId="0"/>
    <xf numFmtId="0" fontId="4" fillId="0" borderId="0"/>
    <xf numFmtId="0" fontId="4" fillId="0" borderId="0"/>
    <xf numFmtId="166" fontId="4" fillId="0" borderId="0"/>
    <xf numFmtId="0" fontId="45" fillId="0" borderId="0"/>
    <xf numFmtId="0" fontId="4" fillId="0" borderId="0"/>
    <xf numFmtId="166" fontId="5" fillId="0" borderId="0"/>
    <xf numFmtId="0" fontId="45" fillId="0" borderId="0"/>
    <xf numFmtId="166" fontId="5" fillId="0" borderId="0"/>
    <xf numFmtId="166" fontId="5" fillId="0" borderId="0"/>
    <xf numFmtId="0" fontId="45" fillId="0" borderId="0"/>
    <xf numFmtId="166" fontId="5" fillId="0" borderId="0"/>
    <xf numFmtId="0" fontId="5" fillId="0" borderId="0"/>
    <xf numFmtId="0" fontId="45"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0" fontId="36"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2" fillId="0" borderId="0"/>
    <xf numFmtId="9" fontId="62" fillId="0" borderId="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2" fillId="0" borderId="0"/>
    <xf numFmtId="0" fontId="61" fillId="0" borderId="0" applyNumberForma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72" applyNumberFormat="0" applyFont="0" applyFill="0" applyAlignment="0" applyProtection="0"/>
    <xf numFmtId="166" fontId="44" fillId="0" borderId="72" applyNumberFormat="0" applyFon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4" fillId="0" borderId="72" applyNumberFormat="0" applyFon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2" fillId="0" borderId="73" applyNumberForma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32" borderId="0" applyNumberFormat="0" applyBorder="0" applyAlignment="0" applyProtection="0"/>
    <xf numFmtId="0" fontId="33" fillId="6" borderId="0" applyNumberFormat="0" applyBorder="0" applyAlignment="0" applyProtection="0"/>
    <xf numFmtId="0" fontId="37"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2" fillId="5" borderId="0" applyNumberFormat="0" applyBorder="0" applyAlignment="0" applyProtection="0"/>
    <xf numFmtId="0" fontId="29" fillId="0" borderId="57" applyNumberFormat="0" applyFill="0" applyAlignment="0" applyProtection="0"/>
    <xf numFmtId="0" fontId="30" fillId="0" borderId="58" applyNumberFormat="0" applyFill="0" applyAlignment="0" applyProtection="0"/>
    <xf numFmtId="0" fontId="31" fillId="0" borderId="59" applyNumberFormat="0" applyFill="0" applyAlignment="0" applyProtection="0"/>
    <xf numFmtId="0" fontId="31" fillId="0" borderId="0" applyNumberFormat="0" applyFill="0" applyBorder="0" applyAlignment="0" applyProtection="0"/>
    <xf numFmtId="0" fontId="35" fillId="8" borderId="60" applyNumberFormat="0" applyAlignment="0" applyProtection="0"/>
    <xf numFmtId="0" fontId="38" fillId="0" borderId="62" applyNumberFormat="0" applyFill="0" applyAlignment="0" applyProtection="0"/>
    <xf numFmtId="0" fontId="34" fillId="7" borderId="0" applyNumberFormat="0" applyBorder="0" applyAlignment="0" applyProtection="0"/>
    <xf numFmtId="0" fontId="4" fillId="0" borderId="0"/>
    <xf numFmtId="0" fontId="4" fillId="11" borderId="64" applyNumberFormat="0" applyFont="0" applyAlignment="0" applyProtection="0"/>
    <xf numFmtId="0" fontId="36" fillId="9" borderId="61" applyNumberFormat="0" applyAlignment="0" applyProtection="0"/>
    <xf numFmtId="9" fontId="4" fillId="0" borderId="0" applyFont="0" applyFill="0" applyBorder="0" applyAlignment="0" applyProtection="0"/>
    <xf numFmtId="0" fontId="28" fillId="0" borderId="0" applyNumberFormat="0" applyFill="0" applyBorder="0" applyAlignment="0" applyProtection="0"/>
    <xf numFmtId="0" fontId="42"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41" borderId="0" applyNumberFormat="0" applyBorder="0" applyAlignment="0" applyProtection="0"/>
    <xf numFmtId="166" fontId="50" fillId="0" borderId="0" applyNumberFormat="0" applyFill="0" applyBorder="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0" fontId="58" fillId="0" borderId="68" applyNumberFormat="0" applyFill="0" applyAlignment="0" applyProtection="0"/>
    <xf numFmtId="166" fontId="51" fillId="0" borderId="0" applyNumberFormat="0" applyFill="0" applyBorder="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7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5" fillId="42" borderId="60" applyNumberFormat="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55" fillId="0" borderId="71" applyNumberFormat="0" applyFill="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166" fontId="50" fillId="0" borderId="0" applyNumberForma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166" fontId="5" fillId="0" borderId="0"/>
    <xf numFmtId="0" fontId="4" fillId="0" borderId="0"/>
    <xf numFmtId="0" fontId="73" fillId="0" borderId="59" applyNumberFormat="0" applyFill="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4" fontId="5"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6" fontId="44"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1"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4"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9"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0" borderId="65" applyNumberFormat="0" applyFill="0" applyAlignment="0" applyProtection="0"/>
    <xf numFmtId="0" fontId="30"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15" borderId="0" applyNumberFormat="0" applyBorder="0" applyAlignment="0" applyProtection="0"/>
    <xf numFmtId="0" fontId="43" fillId="41" borderId="0" applyNumberFormat="0" applyBorder="0" applyAlignment="0" applyProtection="0"/>
    <xf numFmtId="0" fontId="43" fillId="19" borderId="0" applyNumberFormat="0" applyBorder="0" applyAlignment="0" applyProtection="0"/>
    <xf numFmtId="0" fontId="43" fillId="44" borderId="0" applyNumberFormat="0" applyBorder="0" applyAlignment="0" applyProtection="0"/>
    <xf numFmtId="0" fontId="43" fillId="23" borderId="0" applyNumberFormat="0" applyBorder="0" applyAlignment="0" applyProtection="0"/>
    <xf numFmtId="0" fontId="43" fillId="45" borderId="0" applyNumberFormat="0" applyBorder="0" applyAlignment="0" applyProtection="0"/>
    <xf numFmtId="0" fontId="43" fillId="27" borderId="0" applyNumberFormat="0" applyBorder="0" applyAlignment="0" applyProtection="0"/>
    <xf numFmtId="0" fontId="43" fillId="43" borderId="0" applyNumberFormat="0" applyBorder="0" applyAlignment="0" applyProtection="0"/>
    <xf numFmtId="0" fontId="43" fillId="3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8" borderId="0" applyNumberFormat="0" applyBorder="0" applyAlignment="0" applyProtection="0"/>
    <xf numFmtId="0" fontId="43" fillId="12" borderId="0" applyNumberFormat="0" applyBorder="0" applyAlignment="0" applyProtection="0"/>
    <xf numFmtId="0" fontId="43" fillId="46" borderId="0" applyNumberFormat="0" applyBorder="0" applyAlignment="0" applyProtection="0"/>
    <xf numFmtId="0" fontId="43" fillId="16" borderId="0" applyNumberFormat="0" applyBorder="0" applyAlignment="0" applyProtection="0"/>
    <xf numFmtId="0" fontId="43" fillId="44" borderId="0" applyNumberFormat="0" applyBorder="0" applyAlignment="0" applyProtection="0"/>
    <xf numFmtId="0" fontId="43" fillId="20" borderId="0" applyNumberFormat="0" applyBorder="0" applyAlignment="0" applyProtection="0"/>
    <xf numFmtId="0" fontId="43" fillId="45" borderId="0" applyNumberFormat="0" applyBorder="0" applyAlignment="0" applyProtection="0"/>
    <xf numFmtId="0" fontId="43" fillId="24" borderId="0" applyNumberFormat="0" applyBorder="0" applyAlignment="0" applyProtection="0"/>
    <xf numFmtId="0" fontId="43" fillId="47" borderId="0" applyNumberFormat="0" applyBorder="0" applyAlignment="0" applyProtection="0"/>
    <xf numFmtId="0" fontId="43" fillId="32" borderId="0" applyNumberFormat="0" applyBorder="0" applyAlignment="0" applyProtection="0"/>
    <xf numFmtId="0" fontId="43" fillId="48" borderId="0" applyNumberFormat="0" applyBorder="0" applyAlignment="0" applyProtection="0"/>
    <xf numFmtId="0" fontId="33" fillId="6" borderId="0" applyNumberFormat="0" applyBorder="0" applyAlignment="0" applyProtection="0"/>
    <xf numFmtId="0" fontId="33" fillId="49" borderId="0" applyNumberFormat="0" applyBorder="0" applyAlignment="0" applyProtection="0"/>
    <xf numFmtId="0" fontId="37" fillId="9" borderId="60" applyNumberFormat="0" applyAlignment="0" applyProtection="0"/>
    <xf numFmtId="0" fontId="64"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2" fontId="62" fillId="0" borderId="0"/>
    <xf numFmtId="43" fontId="5" fillId="0" borderId="0" applyFont="0" applyFill="0" applyBorder="0" applyAlignment="0" applyProtection="0"/>
    <xf numFmtId="172" fontId="62" fillId="0" borderId="0"/>
    <xf numFmtId="44" fontId="5" fillId="0" borderId="0" applyFont="0" applyFill="0" applyBorder="0" applyAlignment="0" applyProtection="0"/>
    <xf numFmtId="173" fontId="62" fillId="0" borderId="0"/>
    <xf numFmtId="44" fontId="5"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73" fontId="62"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5" borderId="0" applyNumberFormat="0" applyBorder="0" applyAlignment="0" applyProtection="0"/>
    <xf numFmtId="0" fontId="32" fillId="41" borderId="0" applyNumberFormat="0" applyBorder="0" applyAlignment="0" applyProtection="0"/>
    <xf numFmtId="0" fontId="66" fillId="0" borderId="68" applyNumberFormat="0" applyFill="0" applyAlignment="0" applyProtection="0"/>
    <xf numFmtId="0" fontId="58" fillId="0" borderId="68" applyNumberFormat="0" applyFill="0" applyAlignment="0" applyProtection="0"/>
    <xf numFmtId="0" fontId="29" fillId="0" borderId="57" applyNumberFormat="0" applyFill="0" applyAlignment="0" applyProtection="0"/>
    <xf numFmtId="0" fontId="58" fillId="0" borderId="68" applyNumberFormat="0" applyFill="0" applyAlignment="0" applyProtection="0"/>
    <xf numFmtId="0" fontId="67" fillId="0" borderId="69" applyNumberFormat="0" applyFill="0" applyAlignment="0" applyProtection="0"/>
    <xf numFmtId="0" fontId="59" fillId="0" borderId="69" applyNumberFormat="0" applyFill="0" applyAlignment="0" applyProtection="0"/>
    <xf numFmtId="0" fontId="30" fillId="0" borderId="58" applyNumberFormat="0" applyFill="0" applyAlignment="0" applyProtection="0"/>
    <xf numFmtId="0" fontId="59" fillId="0" borderId="69"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60" fillId="0" borderId="70" applyNumberFormat="0" applyFill="0" applyAlignment="0" applyProtection="0"/>
    <xf numFmtId="0" fontId="31" fillId="0" borderId="59"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0" fillId="0" borderId="0" applyNumberFormat="0" applyFill="0" applyBorder="0" applyAlignment="0" applyProtection="0"/>
    <xf numFmtId="0" fontId="31" fillId="0" borderId="0" applyNumberFormat="0" applyFill="0" applyBorder="0" applyAlignment="0" applyProtection="0"/>
    <xf numFmtId="0" fontId="35" fillId="8" borderId="60" applyNumberFormat="0" applyAlignment="0" applyProtection="0"/>
    <xf numFmtId="0" fontId="35" fillId="42" borderId="60" applyNumberFormat="0" applyAlignment="0" applyProtection="0"/>
    <xf numFmtId="0" fontId="55" fillId="0" borderId="71" applyNumberFormat="0" applyFill="0" applyAlignment="0" applyProtection="0"/>
    <xf numFmtId="0" fontId="70" fillId="0" borderId="71" applyNumberFormat="0" applyFill="0" applyAlignment="0" applyProtection="0"/>
    <xf numFmtId="0" fontId="55" fillId="0" borderId="71" applyNumberFormat="0" applyFill="0" applyAlignment="0" applyProtection="0"/>
    <xf numFmtId="0" fontId="38" fillId="0" borderId="62" applyNumberFormat="0" applyFill="0" applyAlignment="0" applyProtection="0"/>
    <xf numFmtId="0" fontId="34" fillId="7" borderId="0" applyNumberFormat="0" applyBorder="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applyNumberFormat="0" applyFill="0" applyBorder="0" applyProtection="0">
      <alignment vertical="top" wrapText="1"/>
    </xf>
    <xf numFmtId="0" fontId="4" fillId="0" borderId="0"/>
    <xf numFmtId="0" fontId="62" fillId="0" borderId="0"/>
    <xf numFmtId="0" fontId="4" fillId="0" borderId="0"/>
    <xf numFmtId="0" fontId="5" fillId="0" borderId="0"/>
    <xf numFmtId="0" fontId="5" fillId="0" borderId="0"/>
    <xf numFmtId="0" fontId="5" fillId="0" borderId="0"/>
    <xf numFmtId="0" fontId="5" fillId="0" borderId="0"/>
    <xf numFmtId="0" fontId="56" fillId="0" borderId="0" applyNumberFormat="0" applyFill="0" applyBorder="0" applyProtection="0">
      <alignment vertical="top" wrapText="1"/>
    </xf>
    <xf numFmtId="0" fontId="62" fillId="0" borderId="0"/>
    <xf numFmtId="0" fontId="56"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9" borderId="61" applyNumberFormat="0" applyAlignment="0" applyProtection="0"/>
    <xf numFmtId="0" fontId="36" fillId="50" borderId="61" applyNumberFormat="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62" fillId="0" borderId="0"/>
    <xf numFmtId="9" fontId="5" fillId="0" borderId="0" applyFon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61" fillId="0" borderId="0" applyNumberFormat="0" applyFill="0" applyBorder="0" applyAlignment="0" applyProtection="0"/>
    <xf numFmtId="0" fontId="28" fillId="0" borderId="0" applyNumberFormat="0" applyFill="0" applyBorder="0" applyAlignment="0" applyProtection="0"/>
    <xf numFmtId="0" fontId="42" fillId="0" borderId="65" applyNumberFormat="0" applyFill="0" applyAlignment="0" applyProtection="0"/>
    <xf numFmtId="0" fontId="42"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33" fillId="49" borderId="0" applyNumberFormat="0" applyBorder="0" applyAlignment="0" applyProtection="0"/>
    <xf numFmtId="0" fontId="64" fillId="50" borderId="60" applyNumberFormat="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32" fillId="41" borderId="0" applyNumberFormat="0" applyBorder="0" applyAlignment="0" applyProtection="0"/>
    <xf numFmtId="0" fontId="58" fillId="0" borderId="68" applyNumberFormat="0" applyFill="0" applyAlignment="0" applyProtection="0"/>
    <xf numFmtId="0" fontId="66" fillId="0" borderId="68" applyNumberFormat="0" applyFill="0" applyAlignment="0" applyProtection="0"/>
    <xf numFmtId="0" fontId="66" fillId="0" borderId="68" applyNumberFormat="0" applyFill="0" applyAlignment="0" applyProtection="0"/>
    <xf numFmtId="0" fontId="66" fillId="0" borderId="68" applyNumberFormat="0" applyFill="0" applyAlignment="0" applyProtection="0"/>
    <xf numFmtId="0" fontId="59" fillId="0" borderId="69" applyNumberFormat="0" applyFill="0" applyAlignment="0" applyProtection="0"/>
    <xf numFmtId="0" fontId="67" fillId="0" borderId="69" applyNumberFormat="0" applyFill="0" applyAlignment="0" applyProtection="0"/>
    <xf numFmtId="0" fontId="67" fillId="0" borderId="69" applyNumberFormat="0" applyFill="0" applyAlignment="0" applyProtection="0"/>
    <xf numFmtId="0" fontId="67" fillId="0" borderId="69" applyNumberFormat="0" applyFill="0" applyAlignment="0" applyProtection="0"/>
    <xf numFmtId="0" fontId="60" fillId="0" borderId="70" applyNumberFormat="0" applyFill="0" applyAlignment="0" applyProtection="0"/>
    <xf numFmtId="0" fontId="68" fillId="0" borderId="70" applyNumberFormat="0" applyFill="0" applyAlignment="0" applyProtection="0"/>
    <xf numFmtId="0" fontId="68" fillId="0" borderId="70"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5" fillId="42" borderId="60" applyNumberFormat="0" applyAlignment="0" applyProtection="0"/>
    <xf numFmtId="0" fontId="55" fillId="0" borderId="71" applyNumberFormat="0" applyFill="0" applyAlignment="0" applyProtection="0"/>
    <xf numFmtId="0" fontId="70" fillId="0" borderId="71" applyNumberFormat="0" applyFill="0" applyAlignment="0" applyProtection="0"/>
    <xf numFmtId="0" fontId="70" fillId="0" borderId="71" applyNumberFormat="0" applyFill="0" applyAlignment="0" applyProtection="0"/>
    <xf numFmtId="0" fontId="71"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49" fillId="11" borderId="64" applyNumberFormat="0" applyFont="0" applyAlignment="0" applyProtection="0"/>
    <xf numFmtId="0" fontId="36" fillId="50" borderId="61" applyNumberForma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2" fillId="0" borderId="73" applyNumberFormat="0" applyFill="0" applyAlignment="0" applyProtection="0"/>
    <xf numFmtId="0" fontId="42"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3" fillId="42" borderId="74" applyNumberFormat="0" applyProtection="0">
      <alignment vertical="center"/>
    </xf>
    <xf numFmtId="4" fontId="74" fillId="42" borderId="74" applyNumberFormat="0" applyProtection="0">
      <alignment vertical="center"/>
    </xf>
    <xf numFmtId="4" fontId="63" fillId="42" borderId="74" applyNumberFormat="0" applyProtection="0">
      <alignment horizontal="left" vertical="center" indent="1"/>
    </xf>
    <xf numFmtId="0" fontId="63" fillId="42" borderId="74" applyNumberFormat="0" applyProtection="0">
      <alignment horizontal="left" vertical="top" indent="1"/>
    </xf>
    <xf numFmtId="4" fontId="63" fillId="52" borderId="0" applyNumberFormat="0" applyProtection="0">
      <alignment horizontal="left" vertical="center" indent="1"/>
    </xf>
    <xf numFmtId="4" fontId="57" fillId="43" borderId="74" applyNumberFormat="0" applyProtection="0">
      <alignment horizontal="right" vertical="center"/>
    </xf>
    <xf numFmtId="4" fontId="57" fillId="38" borderId="74" applyNumberFormat="0" applyProtection="0">
      <alignment horizontal="right" vertical="center"/>
    </xf>
    <xf numFmtId="4" fontId="57" fillId="48" borderId="74" applyNumberFormat="0" applyProtection="0">
      <alignment horizontal="right" vertical="center"/>
    </xf>
    <xf numFmtId="4" fontId="57" fillId="45" borderId="74" applyNumberFormat="0" applyProtection="0">
      <alignment horizontal="right" vertical="center"/>
    </xf>
    <xf numFmtId="4" fontId="57" fillId="53" borderId="74" applyNumberFormat="0" applyProtection="0">
      <alignment horizontal="right" vertical="center"/>
    </xf>
    <xf numFmtId="4" fontId="57" fillId="44" borderId="74" applyNumberFormat="0" applyProtection="0">
      <alignment horizontal="right" vertical="center"/>
    </xf>
    <xf numFmtId="4" fontId="57" fillId="54" borderId="74" applyNumberFormat="0" applyProtection="0">
      <alignment horizontal="right" vertical="center"/>
    </xf>
    <xf numFmtId="4" fontId="57" fillId="55" borderId="74" applyNumberFormat="0" applyProtection="0">
      <alignment horizontal="right" vertical="center"/>
    </xf>
    <xf numFmtId="4" fontId="57" fillId="56" borderId="74" applyNumberFormat="0" applyProtection="0">
      <alignment horizontal="right" vertical="center"/>
    </xf>
    <xf numFmtId="4" fontId="63" fillId="57" borderId="75" applyNumberFormat="0" applyProtection="0">
      <alignment horizontal="left" vertical="center" indent="1"/>
    </xf>
    <xf numFmtId="4" fontId="57" fillId="58" borderId="0" applyNumberFormat="0" applyProtection="0">
      <alignment horizontal="left" vertical="center" indent="1"/>
    </xf>
    <xf numFmtId="4" fontId="75" fillId="47" borderId="0" applyNumberFormat="0" applyProtection="0">
      <alignment horizontal="left" vertical="center" indent="1"/>
    </xf>
    <xf numFmtId="4" fontId="57" fillId="52" borderId="74" applyNumberFormat="0" applyProtection="0">
      <alignment horizontal="right" vertical="center"/>
    </xf>
    <xf numFmtId="4" fontId="57" fillId="58" borderId="0" applyNumberFormat="0" applyProtection="0">
      <alignment horizontal="left" vertical="center" indent="1"/>
    </xf>
    <xf numFmtId="4" fontId="57"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7" fillId="39" borderId="74" applyNumberFormat="0" applyProtection="0">
      <alignment vertical="center"/>
    </xf>
    <xf numFmtId="4" fontId="76" fillId="39" borderId="74" applyNumberFormat="0" applyProtection="0">
      <alignment vertical="center"/>
    </xf>
    <xf numFmtId="4" fontId="57" fillId="39" borderId="74" applyNumberFormat="0" applyProtection="0">
      <alignment horizontal="left" vertical="center" indent="1"/>
    </xf>
    <xf numFmtId="0" fontId="57" fillId="39" borderId="74" applyNumberFormat="0" applyProtection="0">
      <alignment horizontal="left" vertical="top" indent="1"/>
    </xf>
    <xf numFmtId="4" fontId="57" fillId="58" borderId="74" applyNumberFormat="0" applyProtection="0">
      <alignment horizontal="right" vertical="center"/>
    </xf>
    <xf numFmtId="4" fontId="76" fillId="58" borderId="74" applyNumberFormat="0" applyProtection="0">
      <alignment horizontal="right" vertical="center"/>
    </xf>
    <xf numFmtId="4" fontId="57" fillId="52" borderId="74" applyNumberFormat="0" applyProtection="0">
      <alignment horizontal="left" vertical="center" indent="1"/>
    </xf>
    <xf numFmtId="0" fontId="57" fillId="52" borderId="74" applyNumberFormat="0" applyProtection="0">
      <alignment horizontal="left" vertical="top" indent="1"/>
    </xf>
    <xf numFmtId="4" fontId="77" fillId="59" borderId="0" applyNumberFormat="0" applyProtection="0">
      <alignment horizontal="left" vertical="center" indent="1"/>
    </xf>
    <xf numFmtId="4" fontId="52" fillId="58" borderId="74" applyNumberFormat="0" applyProtection="0">
      <alignment horizontal="right" vertical="center"/>
    </xf>
    <xf numFmtId="0" fontId="61"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6" fillId="0" borderId="0"/>
    <xf numFmtId="0" fontId="46" fillId="0" borderId="0"/>
    <xf numFmtId="0" fontId="46" fillId="0" borderId="0"/>
    <xf numFmtId="0" fontId="46" fillId="0" borderId="0"/>
    <xf numFmtId="0" fontId="46" fillId="0" borderId="0"/>
    <xf numFmtId="41" fontId="82" fillId="0" borderId="0"/>
    <xf numFmtId="0" fontId="83" fillId="0" borderId="0"/>
    <xf numFmtId="0" fontId="5" fillId="0" borderId="0"/>
    <xf numFmtId="0" fontId="3" fillId="0" borderId="0"/>
    <xf numFmtId="0" fontId="5" fillId="0" borderId="0"/>
    <xf numFmtId="0" fontId="3" fillId="0" borderId="0"/>
    <xf numFmtId="0" fontId="83" fillId="0" borderId="0"/>
    <xf numFmtId="0" fontId="84" fillId="0" borderId="57" applyNumberFormat="0" applyFill="0" applyAlignment="0" applyProtection="0"/>
    <xf numFmtId="0" fontId="85" fillId="0" borderId="58" applyNumberFormat="0" applyFill="0" applyAlignment="0" applyProtection="0"/>
    <xf numFmtId="0" fontId="86" fillId="0" borderId="59" applyNumberFormat="0" applyFill="0" applyAlignment="0" applyProtection="0"/>
    <xf numFmtId="0" fontId="86" fillId="0" borderId="0" applyNumberFormat="0" applyFill="0" applyBorder="0" applyAlignment="0" applyProtection="0"/>
    <xf numFmtId="0" fontId="87" fillId="5" borderId="0" applyNumberFormat="0" applyBorder="0" applyAlignment="0" applyProtection="0"/>
    <xf numFmtId="0" fontId="88" fillId="6" borderId="0" applyNumberFormat="0" applyBorder="0" applyAlignment="0" applyProtection="0"/>
    <xf numFmtId="0" fontId="89" fillId="7" borderId="0" applyNumberFormat="0" applyBorder="0" applyAlignment="0" applyProtection="0"/>
    <xf numFmtId="0" fontId="90" fillId="8" borderId="60" applyNumberFormat="0" applyAlignment="0" applyProtection="0"/>
    <xf numFmtId="0" fontId="91" fillId="9" borderId="61" applyNumberFormat="0" applyAlignment="0" applyProtection="0"/>
    <xf numFmtId="0" fontId="92" fillId="9" borderId="60" applyNumberFormat="0" applyAlignment="0" applyProtection="0"/>
    <xf numFmtId="0" fontId="93" fillId="0" borderId="62" applyNumberFormat="0" applyFill="0" applyAlignment="0" applyProtection="0"/>
    <xf numFmtId="0" fontId="94" fillId="10" borderId="63" applyNumberFormat="0" applyAlignment="0" applyProtection="0"/>
    <xf numFmtId="0" fontId="95" fillId="0" borderId="0" applyNumberFormat="0" applyFill="0" applyBorder="0" applyAlignment="0" applyProtection="0"/>
    <xf numFmtId="0" fontId="83" fillId="11" borderId="64" applyNumberFormat="0" applyFont="0" applyAlignment="0" applyProtection="0"/>
    <xf numFmtId="0" fontId="96" fillId="0" borderId="0" applyNumberFormat="0" applyFill="0" applyBorder="0" applyAlignment="0" applyProtection="0"/>
    <xf numFmtId="0" fontId="97" fillId="0" borderId="65" applyNumberFormat="0" applyFill="0" applyAlignment="0" applyProtection="0"/>
    <xf numFmtId="0" fontId="98" fillId="12"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98" fillId="15" borderId="0" applyNumberFormat="0" applyBorder="0" applyAlignment="0" applyProtection="0"/>
    <xf numFmtId="0" fontId="98"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98" fillId="19" borderId="0" applyNumberFormat="0" applyBorder="0" applyAlignment="0" applyProtection="0"/>
    <xf numFmtId="0" fontId="98"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98" fillId="23" borderId="0" applyNumberFormat="0" applyBorder="0" applyAlignment="0" applyProtection="0"/>
    <xf numFmtId="0" fontId="98" fillId="24"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98" fillId="31" borderId="0" applyNumberFormat="0" applyBorder="0" applyAlignment="0" applyProtection="0"/>
    <xf numFmtId="0" fontId="98"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98" fillId="35" borderId="0" applyNumberFormat="0" applyBorder="0" applyAlignment="0" applyProtection="0"/>
    <xf numFmtId="0" fontId="5" fillId="0" borderId="0"/>
    <xf numFmtId="44" fontId="83" fillId="0" borderId="0" applyFont="0" applyFill="0" applyBorder="0" applyAlignment="0" applyProtection="0"/>
    <xf numFmtId="43" fontId="83"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9" fillId="0" borderId="0" applyNumberFormat="0" applyFont="0" applyFill="0" applyAlignment="0" applyProtection="0"/>
    <xf numFmtId="0" fontId="16"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3" fillId="0" borderId="0" applyFont="0" applyFill="0" applyBorder="0" applyAlignment="0" applyProtection="0"/>
    <xf numFmtId="9" fontId="8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4" fillId="0" borderId="0" applyFont="0" applyFill="0" applyBorder="0" applyAlignment="0" applyProtection="0"/>
    <xf numFmtId="0" fontId="103" fillId="0" borderId="3">
      <alignment horizontal="left"/>
    </xf>
    <xf numFmtId="49" fontId="14" fillId="0" borderId="27" applyFont="0" applyFill="0" applyBorder="0" applyAlignment="0" applyProtection="0">
      <alignment horizontal="right"/>
    </xf>
    <xf numFmtId="0" fontId="104" fillId="61" borderId="81" applyNumberFormat="0" applyAlignment="0" applyProtection="0">
      <alignment horizontal="center" vertical="top"/>
    </xf>
    <xf numFmtId="0" fontId="105"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15">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6"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5" fillId="0" borderId="0" xfId="0" applyFont="1" applyProtection="1"/>
    <xf numFmtId="0" fontId="15" fillId="0" borderId="0" xfId="0" applyFont="1" applyAlignment="1" applyProtection="1">
      <alignment horizontal="left"/>
    </xf>
    <xf numFmtId="166" fontId="15" fillId="0" borderId="0" xfId="0" applyNumberFormat="1" applyFont="1" applyProtection="1"/>
    <xf numFmtId="0" fontId="15" fillId="0" borderId="0" xfId="0" applyFont="1" applyBorder="1" applyProtection="1"/>
    <xf numFmtId="38" fontId="15" fillId="0" borderId="0" xfId="0" applyNumberFormat="1" applyFont="1" applyBorder="1" applyAlignment="1" applyProtection="1">
      <alignment horizontal="center"/>
    </xf>
    <xf numFmtId="0" fontId="15" fillId="0" borderId="0" xfId="0" applyFont="1" applyAlignment="1" applyProtection="1">
      <alignment horizontal="right"/>
    </xf>
    <xf numFmtId="0" fontId="15" fillId="0" borderId="17" xfId="0" applyFont="1" applyBorder="1" applyProtection="1"/>
    <xf numFmtId="0" fontId="15" fillId="0" borderId="0" xfId="0" applyFont="1" applyAlignment="1" applyProtection="1">
      <alignment horizontal="center"/>
    </xf>
    <xf numFmtId="167" fontId="15" fillId="0" borderId="0" xfId="0" applyNumberFormat="1"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5" fillId="0" borderId="0" xfId="0" applyNumberFormat="1" applyFont="1" applyBorder="1" applyAlignment="1" applyProtection="1">
      <alignment horizontal="left"/>
    </xf>
    <xf numFmtId="0" fontId="20" fillId="0" borderId="0" xfId="0" applyFont="1" applyBorder="1" applyProtection="1"/>
    <xf numFmtId="14" fontId="20" fillId="0" borderId="0" xfId="0" applyNumberFormat="1" applyFont="1" applyBorder="1" applyProtection="1"/>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6" fillId="0" borderId="3" xfId="0" applyFont="1" applyBorder="1" applyAlignment="1" applyProtection="1">
      <alignment horizontal="center" vertical="center" wrapText="1"/>
    </xf>
    <xf numFmtId="0" fontId="16" fillId="0" borderId="3" xfId="0" applyFont="1" applyBorder="1" applyAlignment="1" applyProtection="1">
      <alignment horizontal="left"/>
    </xf>
    <xf numFmtId="0" fontId="16"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0" fontId="12" fillId="0" borderId="0" xfId="0" applyFont="1"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9"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15"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5" fillId="0" borderId="0" xfId="0" applyNumberFormat="1" applyFont="1" applyBorder="1" applyProtection="1"/>
    <xf numFmtId="0" fontId="26" fillId="0" borderId="3" xfId="0" applyNumberFormat="1" applyFont="1" applyBorder="1" applyAlignment="1" applyProtection="1">
      <alignment horizontal="left"/>
    </xf>
    <xf numFmtId="0" fontId="26"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7" fillId="0" borderId="0" xfId="0" applyFont="1" applyProtection="1"/>
    <xf numFmtId="0" fontId="7" fillId="0" borderId="0" xfId="0" applyFont="1" applyAlignment="1" applyProtection="1"/>
    <xf numFmtId="0" fontId="15" fillId="0" borderId="0" xfId="0" applyFont="1" applyAlignment="1" applyProtection="1"/>
    <xf numFmtId="0" fontId="15" fillId="0" borderId="7" xfId="0" applyFont="1" applyBorder="1" applyAlignment="1" applyProtection="1">
      <protection locked="0"/>
    </xf>
    <xf numFmtId="0" fontId="15" fillId="0" borderId="0" xfId="0" applyFont="1" applyBorder="1" applyAlignment="1" applyProtection="1">
      <protection locked="0"/>
    </xf>
    <xf numFmtId="0" fontId="15" fillId="0" borderId="0" xfId="0" applyFont="1" applyProtection="1">
      <protection locked="0"/>
    </xf>
    <xf numFmtId="0" fontId="15" fillId="0" borderId="7" xfId="0" applyFont="1" applyBorder="1" applyProtection="1">
      <protection locked="0"/>
    </xf>
    <xf numFmtId="14" fontId="15" fillId="0" borderId="0" xfId="0" applyNumberFormat="1" applyFont="1" applyAlignment="1" applyProtection="1">
      <alignment horizontal="left"/>
    </xf>
    <xf numFmtId="3" fontId="7" fillId="36" borderId="3" xfId="0" applyNumberFormat="1" applyFont="1" applyFill="1" applyBorder="1" applyProtection="1">
      <protection locked="0"/>
    </xf>
    <xf numFmtId="38" fontId="15"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6"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8"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7"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5" fillId="36" borderId="3" xfId="0" applyFont="1" applyFill="1" applyBorder="1" applyProtection="1">
      <protection locked="0"/>
    </xf>
    <xf numFmtId="0" fontId="6" fillId="0" borderId="0" xfId="0" applyFont="1" applyAlignment="1" applyProtection="1">
      <alignment horizontal="left"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15" fillId="0" borderId="0" xfId="0" applyFont="1" applyAlignment="1" applyProtection="1">
      <alignment horizontal="center" vertical="top"/>
    </xf>
    <xf numFmtId="0" fontId="6" fillId="0" borderId="0" xfId="0" applyFont="1" applyAlignment="1" applyProtection="1">
      <alignment horizontal="left" vertical="top"/>
    </xf>
    <xf numFmtId="0" fontId="17"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15"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6" fillId="0" borderId="0" xfId="0" applyFont="1" applyAlignment="1"/>
    <xf numFmtId="0" fontId="19"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12" fillId="0" borderId="0" xfId="0" applyFont="1" applyBorder="1" applyAlignment="1"/>
    <xf numFmtId="0" fontId="5" fillId="0" borderId="0" xfId="0" applyFont="1" applyBorder="1" applyAlignment="1">
      <alignment wrapText="1"/>
    </xf>
    <xf numFmtId="0" fontId="5" fillId="0" borderId="7" xfId="0" applyFont="1" applyBorder="1" applyAlignment="1"/>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1" fillId="0" borderId="0" xfId="0" applyFont="1" applyAlignment="1" applyProtection="1"/>
    <xf numFmtId="0" fontId="15" fillId="36" borderId="3" xfId="0" applyFont="1" applyFill="1" applyBorder="1" applyAlignment="1" applyProtection="1">
      <protection locked="0"/>
    </xf>
    <xf numFmtId="0" fontId="7" fillId="36" borderId="20" xfId="0" applyFont="1" applyFill="1" applyBorder="1" applyAlignment="1" applyProtection="1"/>
    <xf numFmtId="0" fontId="15" fillId="36" borderId="20" xfId="0" applyFont="1" applyFill="1" applyBorder="1" applyAlignment="1" applyProtection="1"/>
    <xf numFmtId="167" fontId="15" fillId="36" borderId="3" xfId="0" applyNumberFormat="1" applyFont="1" applyFill="1" applyBorder="1" applyAlignment="1" applyProtection="1">
      <protection locked="0"/>
    </xf>
    <xf numFmtId="0" fontId="15" fillId="36" borderId="16" xfId="0" applyFont="1" applyFill="1" applyBorder="1" applyAlignment="1" applyProtection="1">
      <protection locked="0"/>
    </xf>
    <xf numFmtId="0" fontId="15" fillId="0" borderId="0" xfId="0" applyFont="1" applyBorder="1" applyAlignment="1" applyProtection="1">
      <alignment vertical="center"/>
    </xf>
    <xf numFmtId="0" fontId="7" fillId="36" borderId="0" xfId="0" applyFont="1" applyFill="1" applyAlignment="1" applyProtection="1">
      <protection locked="0"/>
    </xf>
    <xf numFmtId="38" fontId="15" fillId="36" borderId="3" xfId="0" applyNumberFormat="1" applyFont="1" applyFill="1" applyBorder="1" applyAlignment="1" applyProtection="1">
      <protection locked="0"/>
    </xf>
    <xf numFmtId="0" fontId="5" fillId="0" borderId="0" xfId="0" applyFont="1" applyBorder="1" applyProtection="1"/>
    <xf numFmtId="0" fontId="18" fillId="0" borderId="0" xfId="0" applyFont="1" applyBorder="1" applyProtection="1"/>
    <xf numFmtId="0" fontId="19" fillId="0" borderId="0" xfId="0" applyFont="1" applyBorder="1" applyProtection="1"/>
    <xf numFmtId="0" fontId="12"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6" fillId="0" borderId="4" xfId="0" applyFont="1" applyBorder="1" applyAlignment="1" applyProtection="1">
      <alignment horizontal="left"/>
    </xf>
    <xf numFmtId="0" fontId="17"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101"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3"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102" fillId="0" borderId="0" xfId="8671" applyFont="1" applyProtection="1"/>
    <xf numFmtId="0" fontId="102" fillId="0" borderId="0" xfId="8671" applyFont="1" applyAlignment="1" applyProtection="1">
      <alignment horizontal="right"/>
    </xf>
    <xf numFmtId="0" fontId="100" fillId="0" borderId="0" xfId="8671" applyFont="1" applyAlignment="1" applyProtection="1">
      <alignment horizontal="right"/>
    </xf>
    <xf numFmtId="0" fontId="106" fillId="0" borderId="0" xfId="8671" applyFont="1" applyProtection="1"/>
    <xf numFmtId="44" fontId="107" fillId="0" borderId="0" xfId="48" applyFont="1" applyProtection="1"/>
    <xf numFmtId="0" fontId="9" fillId="62" borderId="83" xfId="8651" applyFont="1" applyFill="1" applyBorder="1" applyAlignment="1" applyProtection="1">
      <alignment horizontal="center" wrapText="1"/>
    </xf>
    <xf numFmtId="44" fontId="108"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101"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11" fillId="36" borderId="0" xfId="8651" applyNumberFormat="1" applyFont="1" applyFill="1" applyBorder="1" applyAlignment="1" applyProtection="1">
      <alignment horizontal="left"/>
      <protection locked="0"/>
    </xf>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9"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7"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7" fillId="36" borderId="0" xfId="0" applyFont="1" applyFill="1" applyBorder="1" applyAlignment="1">
      <alignment vertical="center"/>
    </xf>
    <xf numFmtId="0" fontId="17" fillId="36" borderId="0" xfId="0" applyFont="1" applyFill="1" applyBorder="1"/>
    <xf numFmtId="0" fontId="15" fillId="36" borderId="0" xfId="0" applyFont="1" applyFill="1" applyProtection="1"/>
    <xf numFmtId="0" fontId="0" fillId="36" borderId="0" xfId="0" applyFill="1"/>
    <xf numFmtId="0" fontId="7" fillId="0" borderId="0" xfId="0" applyFont="1" applyFill="1" applyAlignment="1" applyProtection="1">
      <protection locked="0"/>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11</xdr:col>
      <xdr:colOff>47625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yan/Dropbox/Discovery%20Charter%20School/Financials/Reporting/2022%20School%20Year/Discovery_Dashboard_Feb.2021_v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Activity"/>
      <sheetName val="Financial Position"/>
      <sheetName val="Cash Flow"/>
      <sheetName val="Support"/>
      <sheetName val="DCS Detail"/>
      <sheetName val="Hillpointe Detail"/>
      <sheetName val="Sandhill Detail"/>
      <sheetName val="Financial Position Detail"/>
      <sheetName val="Cash Flow Detail"/>
      <sheetName val="Waitlist"/>
      <sheetName val="Model Comments"/>
    </sheetNames>
    <sheetDataSet>
      <sheetData sheetId="0" refreshError="1"/>
      <sheetData sheetId="1" refreshError="1"/>
      <sheetData sheetId="2">
        <row r="24">
          <cell r="H24">
            <v>1538103.76</v>
          </cell>
          <cell r="J24">
            <v>1879680.7033333331</v>
          </cell>
          <cell r="L24">
            <v>1921628.3366666669</v>
          </cell>
        </row>
        <row r="25">
          <cell r="H25">
            <v>459078.67999999993</v>
          </cell>
          <cell r="J25">
            <v>498456.79315894027</v>
          </cell>
          <cell r="L25">
            <v>538833.71078014339</v>
          </cell>
        </row>
        <row r="39">
          <cell r="H39">
            <v>3427573.29</v>
          </cell>
          <cell r="J39">
            <v>4599520.9755589394</v>
          </cell>
          <cell r="L39">
            <v>4562361.5299854772</v>
          </cell>
        </row>
      </sheetData>
      <sheetData sheetId="3">
        <row r="22">
          <cell r="N22">
            <v>6474786.0999999996</v>
          </cell>
        </row>
      </sheetData>
      <sheetData sheetId="4" refreshError="1"/>
      <sheetData sheetId="5" refreshError="1"/>
      <sheetData sheetId="6">
        <row r="42">
          <cell r="E42">
            <v>446665.5</v>
          </cell>
          <cell r="F42">
            <v>0</v>
          </cell>
          <cell r="G42">
            <v>216575.82</v>
          </cell>
          <cell r="H42">
            <v>618861.75</v>
          </cell>
          <cell r="I42">
            <v>0</v>
          </cell>
          <cell r="J42">
            <v>535724.38</v>
          </cell>
          <cell r="K42">
            <v>0</v>
          </cell>
          <cell r="L42">
            <v>301629.08</v>
          </cell>
          <cell r="M42">
            <v>276303.90999999997</v>
          </cell>
          <cell r="N42">
            <v>583398.67000000004</v>
          </cell>
          <cell r="O42">
            <v>4382.2700000000004</v>
          </cell>
          <cell r="P42">
            <v>347870.21</v>
          </cell>
          <cell r="Q42">
            <v>212494.19</v>
          </cell>
          <cell r="R42">
            <v>266207.96999999997</v>
          </cell>
          <cell r="S42">
            <v>266418.64999999997</v>
          </cell>
          <cell r="T42">
            <v>256314.23999999999</v>
          </cell>
          <cell r="U42">
            <v>320245.57</v>
          </cell>
          <cell r="V42">
            <v>277109.40999999997</v>
          </cell>
          <cell r="W42">
            <v>277109.40999999997</v>
          </cell>
          <cell r="X42">
            <v>252620.62</v>
          </cell>
          <cell r="Y42">
            <v>270439.84250000003</v>
          </cell>
          <cell r="Z42">
            <v>269229.8208333333</v>
          </cell>
          <cell r="AA42">
            <v>269229.8208333333</v>
          </cell>
          <cell r="AB42">
            <v>269229.8208333333</v>
          </cell>
          <cell r="AC42">
            <v>269229.8208333333</v>
          </cell>
          <cell r="AD42">
            <v>337794.67005658342</v>
          </cell>
          <cell r="AE42">
            <v>334729.38266950002</v>
          </cell>
          <cell r="AF42">
            <v>334116.32519208337</v>
          </cell>
          <cell r="AG42">
            <v>332277.15275983338</v>
          </cell>
          <cell r="AH42">
            <v>329824.92285016668</v>
          </cell>
          <cell r="AI42">
            <v>332890.21023725002</v>
          </cell>
          <cell r="AJ42">
            <v>332890.21023725002</v>
          </cell>
          <cell r="AK42">
            <v>332277.15275983338</v>
          </cell>
          <cell r="AL42">
            <v>331051.03780500003</v>
          </cell>
          <cell r="AM42">
            <v>331051.03780500003</v>
          </cell>
          <cell r="AN42">
            <v>331051.03780500003</v>
          </cell>
        </row>
        <row r="43">
          <cell r="E43">
            <v>0</v>
          </cell>
          <cell r="F43">
            <v>0</v>
          </cell>
          <cell r="G43">
            <v>18846.02</v>
          </cell>
          <cell r="H43">
            <v>0</v>
          </cell>
          <cell r="I43">
            <v>19377.690000000002</v>
          </cell>
          <cell r="J43">
            <v>0</v>
          </cell>
          <cell r="K43">
            <v>0</v>
          </cell>
          <cell r="L43">
            <v>19377.689999999995</v>
          </cell>
          <cell r="M43">
            <v>0</v>
          </cell>
          <cell r="N43">
            <v>0</v>
          </cell>
          <cell r="O43">
            <v>0</v>
          </cell>
          <cell r="P43">
            <v>30406.85</v>
          </cell>
          <cell r="Q43">
            <v>0</v>
          </cell>
          <cell r="R43">
            <v>20665.400000000001</v>
          </cell>
          <cell r="S43">
            <v>0</v>
          </cell>
          <cell r="T43">
            <v>0</v>
          </cell>
          <cell r="U43">
            <v>20665.400000000001</v>
          </cell>
          <cell r="V43">
            <v>0</v>
          </cell>
          <cell r="W43">
            <v>0</v>
          </cell>
          <cell r="X43">
            <v>20665.400000000001</v>
          </cell>
          <cell r="Y43">
            <v>0</v>
          </cell>
          <cell r="Z43">
            <v>0</v>
          </cell>
          <cell r="AA43">
            <v>0</v>
          </cell>
          <cell r="AB43">
            <v>30406.85</v>
          </cell>
          <cell r="AC43">
            <v>0</v>
          </cell>
          <cell r="AD43">
            <v>20940.249820000005</v>
          </cell>
          <cell r="AE43">
            <v>0</v>
          </cell>
          <cell r="AF43">
            <v>0</v>
          </cell>
          <cell r="AG43">
            <v>20940.249820000005</v>
          </cell>
          <cell r="AH43">
            <v>0</v>
          </cell>
          <cell r="AI43">
            <v>0</v>
          </cell>
          <cell r="AJ43">
            <v>20940.249820000005</v>
          </cell>
          <cell r="AK43">
            <v>0</v>
          </cell>
          <cell r="AL43">
            <v>0</v>
          </cell>
          <cell r="AM43">
            <v>0</v>
          </cell>
          <cell r="AN43">
            <v>30811.261105000005</v>
          </cell>
        </row>
        <row r="44">
          <cell r="AC44">
            <v>0</v>
          </cell>
          <cell r="AD44">
            <v>0</v>
          </cell>
          <cell r="AE44">
            <v>500000</v>
          </cell>
          <cell r="AF44">
            <v>0</v>
          </cell>
          <cell r="AG44">
            <v>0</v>
          </cell>
          <cell r="AH44">
            <v>0</v>
          </cell>
          <cell r="AI44">
            <v>0</v>
          </cell>
          <cell r="AJ44">
            <v>0</v>
          </cell>
          <cell r="AK44">
            <v>0</v>
          </cell>
          <cell r="AL44">
            <v>0</v>
          </cell>
          <cell r="AM44">
            <v>0</v>
          </cell>
          <cell r="AN44">
            <v>0</v>
          </cell>
        </row>
        <row r="45">
          <cell r="E45">
            <v>0</v>
          </cell>
          <cell r="F45">
            <v>0</v>
          </cell>
          <cell r="G45">
            <v>0</v>
          </cell>
          <cell r="H45">
            <v>14545.23</v>
          </cell>
          <cell r="I45">
            <v>0</v>
          </cell>
          <cell r="J45">
            <v>0</v>
          </cell>
          <cell r="K45">
            <v>0</v>
          </cell>
          <cell r="L45">
            <v>11005.400000000001</v>
          </cell>
          <cell r="M45">
            <v>-11545.230000000003</v>
          </cell>
          <cell r="N45">
            <v>0</v>
          </cell>
          <cell r="O45">
            <v>0</v>
          </cell>
          <cell r="P45">
            <v>16382.859999999999</v>
          </cell>
          <cell r="Q45">
            <v>0</v>
          </cell>
          <cell r="R45">
            <v>0</v>
          </cell>
          <cell r="S45">
            <v>0</v>
          </cell>
          <cell r="T45">
            <v>47528.22</v>
          </cell>
          <cell r="U45">
            <v>0</v>
          </cell>
          <cell r="V45">
            <v>0</v>
          </cell>
          <cell r="W45">
            <v>11991.52</v>
          </cell>
          <cell r="X45">
            <v>0</v>
          </cell>
          <cell r="Y45">
            <v>331000</v>
          </cell>
          <cell r="Z45">
            <v>61633.500000000007</v>
          </cell>
          <cell r="AA45">
            <v>61633.500000000007</v>
          </cell>
          <cell r="AB45">
            <v>0</v>
          </cell>
          <cell r="AC45">
            <v>0</v>
          </cell>
          <cell r="AD45">
            <v>0</v>
          </cell>
          <cell r="AE45">
            <v>0</v>
          </cell>
          <cell r="AF45">
            <v>0</v>
          </cell>
          <cell r="AG45">
            <v>0</v>
          </cell>
          <cell r="AH45">
            <v>0</v>
          </cell>
          <cell r="AI45">
            <v>0</v>
          </cell>
          <cell r="AJ45">
            <v>62500</v>
          </cell>
          <cell r="AK45">
            <v>62500</v>
          </cell>
          <cell r="AL45">
            <v>62500</v>
          </cell>
          <cell r="AM45">
            <v>62500</v>
          </cell>
          <cell r="AN45">
            <v>0</v>
          </cell>
        </row>
        <row r="46">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3384</v>
          </cell>
          <cell r="AG46">
            <v>3384</v>
          </cell>
          <cell r="AH46">
            <v>3384</v>
          </cell>
          <cell r="AI46">
            <v>3384</v>
          </cell>
          <cell r="AJ46">
            <v>3384</v>
          </cell>
          <cell r="AK46">
            <v>3384</v>
          </cell>
          <cell r="AL46">
            <v>3384</v>
          </cell>
          <cell r="AM46">
            <v>3384</v>
          </cell>
          <cell r="AN46">
            <v>3384</v>
          </cell>
        </row>
        <row r="48">
          <cell r="E48">
            <v>435751.44000000006</v>
          </cell>
          <cell r="F48">
            <v>503537.95999999996</v>
          </cell>
          <cell r="G48">
            <v>241710.22</v>
          </cell>
          <cell r="H48">
            <v>638695.51</v>
          </cell>
          <cell r="I48">
            <v>21391.79</v>
          </cell>
          <cell r="J48">
            <v>537549.01</v>
          </cell>
          <cell r="K48">
            <v>2144.9300000000003</v>
          </cell>
          <cell r="L48">
            <v>335882.75</v>
          </cell>
          <cell r="M48">
            <v>282239.23</v>
          </cell>
          <cell r="N48">
            <v>586679.18000000005</v>
          </cell>
          <cell r="O48">
            <v>10662.230000000001</v>
          </cell>
          <cell r="P48">
            <v>396026.9800000001</v>
          </cell>
          <cell r="Q48">
            <v>214417.71000000002</v>
          </cell>
          <cell r="R48">
            <v>289768.8</v>
          </cell>
          <cell r="S48">
            <v>772256.53</v>
          </cell>
          <cell r="T48">
            <v>311135.48</v>
          </cell>
          <cell r="U48">
            <v>344701.31</v>
          </cell>
          <cell r="V48">
            <v>280244.37</v>
          </cell>
          <cell r="W48">
            <v>302448.59000000003</v>
          </cell>
          <cell r="X48">
            <v>283107.32</v>
          </cell>
          <cell r="Y48">
            <v>607375.16250000009</v>
          </cell>
          <cell r="Z48">
            <v>334143.83083333331</v>
          </cell>
          <cell r="AA48">
            <v>337143.28083333327</v>
          </cell>
          <cell r="AB48">
            <v>301003.73083333333</v>
          </cell>
          <cell r="AC48">
            <v>272220.67416666669</v>
          </cell>
          <cell r="AD48">
            <v>363546.68320991675</v>
          </cell>
          <cell r="AE48">
            <v>843155.60266950005</v>
          </cell>
          <cell r="AF48">
            <v>347303.67185874999</v>
          </cell>
          <cell r="AG48">
            <v>361843.74257983337</v>
          </cell>
          <cell r="AH48">
            <v>338398.8828501667</v>
          </cell>
          <cell r="AI48">
            <v>351994.03690391663</v>
          </cell>
          <cell r="AJ48">
            <v>434240.09339058341</v>
          </cell>
          <cell r="AK48">
            <v>406267.8060931667</v>
          </cell>
          <cell r="AL48">
            <v>402298.88113833335</v>
          </cell>
          <cell r="AM48">
            <v>406582.99780500005</v>
          </cell>
          <cell r="AN48">
            <v>367253.69224333338</v>
          </cell>
        </row>
        <row r="53">
          <cell r="E53">
            <v>-75983.16</v>
          </cell>
          <cell r="F53">
            <v>79503.429999999993</v>
          </cell>
          <cell r="G53">
            <v>87078.54</v>
          </cell>
          <cell r="H53">
            <v>96975.42</v>
          </cell>
          <cell r="I53">
            <v>96108.84</v>
          </cell>
          <cell r="J53">
            <v>92667.18</v>
          </cell>
          <cell r="K53">
            <v>92897.049999999988</v>
          </cell>
          <cell r="L53">
            <v>93636.4</v>
          </cell>
          <cell r="M53">
            <v>92941.02</v>
          </cell>
          <cell r="N53">
            <v>95167.39</v>
          </cell>
          <cell r="O53">
            <v>95303.54</v>
          </cell>
          <cell r="P53">
            <v>225150.11</v>
          </cell>
          <cell r="Q53">
            <v>930.15</v>
          </cell>
          <cell r="R53">
            <v>95313.56</v>
          </cell>
          <cell r="S53">
            <v>93587.78</v>
          </cell>
          <cell r="T53">
            <v>88589.55</v>
          </cell>
          <cell r="U53">
            <v>87926.78</v>
          </cell>
          <cell r="V53">
            <v>97725.13</v>
          </cell>
          <cell r="W53">
            <v>90011.87999999999</v>
          </cell>
          <cell r="X53">
            <v>91379.62000000001</v>
          </cell>
          <cell r="Y53">
            <v>93038.876666666663</v>
          </cell>
          <cell r="Z53">
            <v>93038.876666666663</v>
          </cell>
          <cell r="AA53">
            <v>93038.876666666663</v>
          </cell>
          <cell r="AB53">
            <v>186077.75333333333</v>
          </cell>
          <cell r="AC53">
            <v>0</v>
          </cell>
          <cell r="AD53">
            <v>93038.876666666663</v>
          </cell>
          <cell r="AE53">
            <v>93038.876666666663</v>
          </cell>
          <cell r="AF53">
            <v>93038.876666666663</v>
          </cell>
          <cell r="AG53">
            <v>93038.876666666663</v>
          </cell>
          <cell r="AH53">
            <v>93038.876666666663</v>
          </cell>
          <cell r="AI53">
            <v>93038.876666666663</v>
          </cell>
          <cell r="AJ53">
            <v>93038.876666666663</v>
          </cell>
          <cell r="AK53">
            <v>93038.876666666663</v>
          </cell>
          <cell r="AL53">
            <v>93038.876666666663</v>
          </cell>
          <cell r="AM53">
            <v>93038.876666666663</v>
          </cell>
          <cell r="AN53">
            <v>186077.75333333333</v>
          </cell>
        </row>
        <row r="54">
          <cell r="E54">
            <v>0</v>
          </cell>
          <cell r="F54">
            <v>0</v>
          </cell>
          <cell r="G54">
            <v>1083.75</v>
          </cell>
          <cell r="H54">
            <v>1477.5</v>
          </cell>
          <cell r="I54">
            <v>0</v>
          </cell>
          <cell r="J54">
            <v>480</v>
          </cell>
          <cell r="K54">
            <v>172.5</v>
          </cell>
          <cell r="L54">
            <v>855.77999999999918</v>
          </cell>
          <cell r="M54">
            <v>1020</v>
          </cell>
          <cell r="N54">
            <v>427.5</v>
          </cell>
          <cell r="O54">
            <v>2047.5</v>
          </cell>
          <cell r="P54">
            <v>5400</v>
          </cell>
          <cell r="Q54">
            <v>0</v>
          </cell>
          <cell r="R54">
            <v>4785.96</v>
          </cell>
          <cell r="S54">
            <v>6030</v>
          </cell>
          <cell r="T54">
            <v>7198.75</v>
          </cell>
          <cell r="U54">
            <v>7255</v>
          </cell>
          <cell r="V54">
            <v>10214.040000000001</v>
          </cell>
          <cell r="W54">
            <v>9431.26</v>
          </cell>
          <cell r="X54">
            <v>9761.26</v>
          </cell>
          <cell r="Y54">
            <v>9802.1866666666665</v>
          </cell>
          <cell r="Z54">
            <v>9802.1866666666665</v>
          </cell>
          <cell r="AA54">
            <v>9802.1866666666665</v>
          </cell>
          <cell r="AB54">
            <v>19604.373333333333</v>
          </cell>
          <cell r="AC54">
            <v>0</v>
          </cell>
          <cell r="AD54">
            <v>9802.1866666666665</v>
          </cell>
          <cell r="AE54">
            <v>9802.1866666666665</v>
          </cell>
          <cell r="AF54">
            <v>9802.1866666666665</v>
          </cell>
          <cell r="AG54">
            <v>9802.1866666666665</v>
          </cell>
          <cell r="AH54">
            <v>9802.1866666666665</v>
          </cell>
          <cell r="AI54">
            <v>9802.1866666666665</v>
          </cell>
          <cell r="AJ54">
            <v>9802.1866666666665</v>
          </cell>
          <cell r="AK54">
            <v>9802.1866666666665</v>
          </cell>
          <cell r="AL54">
            <v>9802.1866666666665</v>
          </cell>
          <cell r="AM54">
            <v>9802.1866666666665</v>
          </cell>
          <cell r="AN54">
            <v>19604.373333333333</v>
          </cell>
        </row>
        <row r="55">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row>
        <row r="56">
          <cell r="E56">
            <v>-1135.46</v>
          </cell>
          <cell r="F56">
            <v>1924.11</v>
          </cell>
          <cell r="G56">
            <v>2181.94</v>
          </cell>
          <cell r="H56">
            <v>2970.09</v>
          </cell>
          <cell r="I56">
            <v>2828.63</v>
          </cell>
          <cell r="J56">
            <v>2562.08</v>
          </cell>
          <cell r="K56">
            <v>3103.6</v>
          </cell>
          <cell r="L56">
            <v>3006.3700000000013</v>
          </cell>
          <cell r="M56">
            <v>2682.97</v>
          </cell>
          <cell r="N56">
            <v>2592.58</v>
          </cell>
          <cell r="O56">
            <v>2627.2200000000003</v>
          </cell>
          <cell r="P56">
            <v>5316.59</v>
          </cell>
          <cell r="Q56">
            <v>0</v>
          </cell>
          <cell r="R56">
            <v>2796.66</v>
          </cell>
          <cell r="S56">
            <v>2523.1799999999998</v>
          </cell>
          <cell r="T56">
            <v>1719.04</v>
          </cell>
          <cell r="U56">
            <v>1158.77</v>
          </cell>
          <cell r="V56">
            <v>1363.9199999999998</v>
          </cell>
          <cell r="W56">
            <v>1775.93</v>
          </cell>
          <cell r="X56">
            <v>1697.6000000000001</v>
          </cell>
          <cell r="Y56">
            <v>1881.6237727575447</v>
          </cell>
          <cell r="Z56">
            <v>1755.7341132517995</v>
          </cell>
          <cell r="AA56">
            <v>1645.9672456669161</v>
          </cell>
          <cell r="AB56">
            <v>3248.2237940995983</v>
          </cell>
          <cell r="AC56">
            <v>0</v>
          </cell>
          <cell r="AD56">
            <v>1727.4411433029591</v>
          </cell>
          <cell r="AE56">
            <v>1712.4471251107498</v>
          </cell>
          <cell r="AF56">
            <v>1710.2053134556522</v>
          </cell>
          <cell r="AG56">
            <v>1685.7169621268108</v>
          </cell>
          <cell r="AH56">
            <v>1675.7145119660981</v>
          </cell>
          <cell r="AI56">
            <v>1679.9641214374101</v>
          </cell>
          <cell r="AJ56">
            <v>1698.581529566613</v>
          </cell>
          <cell r="AK56">
            <v>1698.5815295666132</v>
          </cell>
          <cell r="AL56">
            <v>1694.458727604278</v>
          </cell>
          <cell r="AM56">
            <v>1691.8889565319248</v>
          </cell>
          <cell r="AN56">
            <v>3378.5446682284992</v>
          </cell>
        </row>
        <row r="57">
          <cell r="E57">
            <v>0</v>
          </cell>
          <cell r="F57">
            <v>0</v>
          </cell>
          <cell r="G57">
            <v>89.4</v>
          </cell>
          <cell r="H57">
            <v>121.91</v>
          </cell>
          <cell r="I57">
            <v>0</v>
          </cell>
          <cell r="J57">
            <v>39.6</v>
          </cell>
          <cell r="K57">
            <v>14.219999999999999</v>
          </cell>
          <cell r="L57">
            <v>34.04</v>
          </cell>
          <cell r="M57">
            <v>84.17</v>
          </cell>
          <cell r="N57">
            <v>35.28</v>
          </cell>
          <cell r="O57">
            <v>168.93</v>
          </cell>
          <cell r="P57">
            <v>445.52</v>
          </cell>
          <cell r="Q57">
            <v>0</v>
          </cell>
          <cell r="R57">
            <v>434.23</v>
          </cell>
          <cell r="S57">
            <v>435.45</v>
          </cell>
          <cell r="T57">
            <v>241.09</v>
          </cell>
          <cell r="U57">
            <v>182.09</v>
          </cell>
          <cell r="V57">
            <v>347.33000000000004</v>
          </cell>
          <cell r="W57">
            <v>384.08</v>
          </cell>
          <cell r="X57">
            <v>407.39</v>
          </cell>
          <cell r="Y57">
            <v>435.9402210488521</v>
          </cell>
          <cell r="Z57">
            <v>399.58705813700749</v>
          </cell>
          <cell r="AA57">
            <v>370.2975048640227</v>
          </cell>
          <cell r="AB57">
            <v>749.75131626851669</v>
          </cell>
          <cell r="AC57">
            <v>0</v>
          </cell>
          <cell r="AD57">
            <v>394.80491589842393</v>
          </cell>
          <cell r="AE57">
            <v>394.20241619210492</v>
          </cell>
          <cell r="AF57">
            <v>392.08334748698974</v>
          </cell>
          <cell r="AG57">
            <v>385.81807983529518</v>
          </cell>
          <cell r="AH57">
            <v>383.85108293505044</v>
          </cell>
          <cell r="AI57">
            <v>385.78730837376872</v>
          </cell>
          <cell r="AJ57">
            <v>389.42452512027216</v>
          </cell>
          <cell r="AK57">
            <v>389.42452512027216</v>
          </cell>
          <cell r="AL57">
            <v>388.6558978662506</v>
          </cell>
          <cell r="AM57">
            <v>387.86353810541425</v>
          </cell>
          <cell r="AN57">
            <v>774.52141638752096</v>
          </cell>
        </row>
        <row r="58">
          <cell r="E58">
            <v>-19038.34</v>
          </cell>
          <cell r="F58">
            <v>19038.34</v>
          </cell>
          <cell r="G58">
            <v>20393.89</v>
          </cell>
          <cell r="H58">
            <v>20403.8</v>
          </cell>
          <cell r="I58">
            <v>20423.3</v>
          </cell>
          <cell r="J58">
            <v>42029.11</v>
          </cell>
          <cell r="K58">
            <v>25186.800000000003</v>
          </cell>
          <cell r="L58">
            <v>26370.969999999994</v>
          </cell>
          <cell r="M58">
            <v>24597.669999999995</v>
          </cell>
          <cell r="N58">
            <v>20415.98</v>
          </cell>
          <cell r="O58">
            <v>25527.5</v>
          </cell>
          <cell r="P58">
            <v>58765.32</v>
          </cell>
          <cell r="Q58">
            <v>5397.34</v>
          </cell>
          <cell r="R58">
            <v>27234.199999999997</v>
          </cell>
          <cell r="S58">
            <v>25355.420000000002</v>
          </cell>
          <cell r="T58">
            <v>18162.579999999998</v>
          </cell>
          <cell r="U58">
            <v>18104.080000000002</v>
          </cell>
          <cell r="V58">
            <v>18140.64</v>
          </cell>
          <cell r="W58">
            <v>18169.89</v>
          </cell>
          <cell r="X58">
            <v>59657.65</v>
          </cell>
          <cell r="Y58">
            <v>26679.511298193778</v>
          </cell>
          <cell r="Z58">
            <v>26693.648612357712</v>
          </cell>
          <cell r="AA58">
            <v>26910.505704856929</v>
          </cell>
          <cell r="AB58">
            <v>55969.59227861822</v>
          </cell>
          <cell r="AC58">
            <v>0</v>
          </cell>
          <cell r="AD58">
            <v>30804.626988269287</v>
          </cell>
          <cell r="AE58">
            <v>32470.659584722664</v>
          </cell>
          <cell r="AF58">
            <v>28504.077781002652</v>
          </cell>
          <cell r="AG58">
            <v>28764.730135689639</v>
          </cell>
          <cell r="AH58">
            <v>29060.59892473706</v>
          </cell>
          <cell r="AI58">
            <v>29367.755099005644</v>
          </cell>
          <cell r="AJ58">
            <v>29828.741418904487</v>
          </cell>
          <cell r="AK58">
            <v>29828.741418904483</v>
          </cell>
          <cell r="AL58">
            <v>29689.329194709513</v>
          </cell>
          <cell r="AM58">
            <v>29291.996281850497</v>
          </cell>
          <cell r="AN58">
            <v>58809.112135371819</v>
          </cell>
        </row>
        <row r="59">
          <cell r="E59">
            <v>-2862.12</v>
          </cell>
          <cell r="F59">
            <v>0</v>
          </cell>
          <cell r="G59">
            <v>0</v>
          </cell>
          <cell r="H59">
            <v>0</v>
          </cell>
          <cell r="I59">
            <v>0</v>
          </cell>
          <cell r="J59">
            <v>0</v>
          </cell>
          <cell r="K59">
            <v>0</v>
          </cell>
          <cell r="L59">
            <v>0</v>
          </cell>
          <cell r="M59">
            <v>2862.12</v>
          </cell>
          <cell r="N59">
            <v>0</v>
          </cell>
          <cell r="O59">
            <v>134.20000000000002</v>
          </cell>
          <cell r="P59">
            <v>654.23</v>
          </cell>
          <cell r="Q59">
            <v>0</v>
          </cell>
          <cell r="R59">
            <v>241.46</v>
          </cell>
          <cell r="S59">
            <v>241.46</v>
          </cell>
          <cell r="T59">
            <v>249.07999999999998</v>
          </cell>
          <cell r="U59">
            <v>241.46</v>
          </cell>
          <cell r="V59">
            <v>249.07999999999998</v>
          </cell>
          <cell r="W59">
            <v>241.46</v>
          </cell>
          <cell r="X59">
            <v>256.70999999999998</v>
          </cell>
          <cell r="Y59">
            <v>308.4833808020843</v>
          </cell>
          <cell r="Z59">
            <v>293.56614796598183</v>
          </cell>
          <cell r="AA59">
            <v>284.16513800333894</v>
          </cell>
          <cell r="AB59">
            <v>556.34583123117238</v>
          </cell>
          <cell r="AC59">
            <v>0</v>
          </cell>
          <cell r="AD59">
            <v>278.92139886426952</v>
          </cell>
          <cell r="AE59">
            <v>282.76750348412878</v>
          </cell>
          <cell r="AF59">
            <v>286.32134290728226</v>
          </cell>
          <cell r="AG59">
            <v>283.15533749373913</v>
          </cell>
          <cell r="AH59">
            <v>281.66807885484729</v>
          </cell>
          <cell r="AI59">
            <v>281.31135611934849</v>
          </cell>
          <cell r="AJ59">
            <v>282.35750295393592</v>
          </cell>
          <cell r="AK59">
            <v>282.35750295393598</v>
          </cell>
          <cell r="AL59">
            <v>282.84837496674544</v>
          </cell>
          <cell r="AM59">
            <v>282.85992803569064</v>
          </cell>
          <cell r="AN59">
            <v>564.73088039378354</v>
          </cell>
        </row>
        <row r="60">
          <cell r="E60">
            <v>-1268.56</v>
          </cell>
          <cell r="F60">
            <v>1276.67</v>
          </cell>
          <cell r="G60">
            <v>962.86</v>
          </cell>
          <cell r="H60">
            <v>788.33999999999992</v>
          </cell>
          <cell r="I60">
            <v>716.06</v>
          </cell>
          <cell r="J60">
            <v>587.76</v>
          </cell>
          <cell r="K60">
            <v>1672.1399999999999</v>
          </cell>
          <cell r="L60">
            <v>1685.4499999999998</v>
          </cell>
          <cell r="M60">
            <v>1406.21</v>
          </cell>
          <cell r="N60">
            <v>1395.35</v>
          </cell>
          <cell r="O60">
            <v>1416.34</v>
          </cell>
          <cell r="P60">
            <v>3085.81</v>
          </cell>
          <cell r="Q60">
            <v>0</v>
          </cell>
          <cell r="R60">
            <v>934.08</v>
          </cell>
          <cell r="S60">
            <v>575.25</v>
          </cell>
          <cell r="T60">
            <v>417.97999999999996</v>
          </cell>
          <cell r="U60">
            <v>342.33</v>
          </cell>
          <cell r="V60">
            <v>380.66</v>
          </cell>
          <cell r="W60">
            <v>1336.9499999999998</v>
          </cell>
          <cell r="X60">
            <v>1373.95</v>
          </cell>
          <cell r="Y60">
            <v>773.89213512049605</v>
          </cell>
          <cell r="Z60">
            <v>753.42791921553157</v>
          </cell>
          <cell r="AA60">
            <v>779.90563291711692</v>
          </cell>
          <cell r="AB60">
            <v>1653.2961535516263</v>
          </cell>
          <cell r="AC60">
            <v>0</v>
          </cell>
          <cell r="AD60">
            <v>959.96774726666479</v>
          </cell>
          <cell r="AE60">
            <v>901.50242790808443</v>
          </cell>
          <cell r="AF60">
            <v>831.71314513993138</v>
          </cell>
          <cell r="AG60">
            <v>839.97328942842228</v>
          </cell>
          <cell r="AH60">
            <v>852.33691374454941</v>
          </cell>
          <cell r="AI60">
            <v>862.68423957703965</v>
          </cell>
          <cell r="AJ60">
            <v>874.69629384411519</v>
          </cell>
          <cell r="AK60">
            <v>874.69629384411519</v>
          </cell>
          <cell r="AL60">
            <v>862.5146576408938</v>
          </cell>
          <cell r="AM60">
            <v>856.94497617415243</v>
          </cell>
          <cell r="AN60">
            <v>1721.0990469295107</v>
          </cell>
        </row>
        <row r="61">
          <cell r="E61">
            <v>0</v>
          </cell>
          <cell r="F61">
            <v>0</v>
          </cell>
          <cell r="G61">
            <v>19.510000000000002</v>
          </cell>
          <cell r="H61">
            <v>26.6</v>
          </cell>
          <cell r="I61">
            <v>0</v>
          </cell>
          <cell r="J61">
            <v>8.64</v>
          </cell>
          <cell r="K61">
            <v>3.1</v>
          </cell>
          <cell r="L61">
            <v>7.4299999999999962</v>
          </cell>
          <cell r="M61">
            <v>15.3</v>
          </cell>
          <cell r="N61">
            <v>6.42</v>
          </cell>
          <cell r="O61">
            <v>30.71</v>
          </cell>
          <cell r="P61">
            <v>81</v>
          </cell>
          <cell r="Q61">
            <v>0</v>
          </cell>
          <cell r="R61">
            <v>79.760000000000005</v>
          </cell>
          <cell r="S61">
            <v>90.449999999999989</v>
          </cell>
          <cell r="T61">
            <v>107.98</v>
          </cell>
          <cell r="U61">
            <v>108.83</v>
          </cell>
          <cell r="V61">
            <v>153.21</v>
          </cell>
          <cell r="W61">
            <v>141.47</v>
          </cell>
          <cell r="X61">
            <v>146.41999999999999</v>
          </cell>
          <cell r="Y61">
            <v>148.46270278578226</v>
          </cell>
          <cell r="Z61">
            <v>147.26848482671875</v>
          </cell>
          <cell r="AA61">
            <v>147.29087806059539</v>
          </cell>
          <cell r="AB61">
            <v>294.63836715119328</v>
          </cell>
          <cell r="AC61">
            <v>0</v>
          </cell>
          <cell r="AD61">
            <v>147.39190300965697</v>
          </cell>
          <cell r="AE61">
            <v>147.44113439084083</v>
          </cell>
          <cell r="AF61">
            <v>147.49906717496967</v>
          </cell>
          <cell r="AG61">
            <v>147.36140494485358</v>
          </cell>
          <cell r="AH61">
            <v>147.37467924744425</v>
          </cell>
          <cell r="AI61">
            <v>147.38665084556553</v>
          </cell>
          <cell r="AJ61">
            <v>147.40913993555512</v>
          </cell>
          <cell r="AK61">
            <v>147.40913993555512</v>
          </cell>
          <cell r="AL61">
            <v>147.41160235354059</v>
          </cell>
          <cell r="AM61">
            <v>147.40738349106914</v>
          </cell>
          <cell r="AN61">
            <v>294.78857164388097</v>
          </cell>
        </row>
        <row r="62">
          <cell r="E62">
            <v>1102.56</v>
          </cell>
          <cell r="F62">
            <v>1102.56</v>
          </cell>
          <cell r="G62">
            <v>1102.56</v>
          </cell>
          <cell r="H62">
            <v>1102.56</v>
          </cell>
          <cell r="I62">
            <v>1102.56</v>
          </cell>
          <cell r="J62">
            <v>1102.56</v>
          </cell>
          <cell r="K62">
            <v>1102.56</v>
          </cell>
          <cell r="L62">
            <v>1102.5600000000002</v>
          </cell>
          <cell r="M62">
            <v>1102.56</v>
          </cell>
          <cell r="N62">
            <v>1102.56</v>
          </cell>
          <cell r="O62">
            <v>1102.56</v>
          </cell>
          <cell r="P62">
            <v>1929.39</v>
          </cell>
          <cell r="Q62">
            <v>1102.56</v>
          </cell>
          <cell r="R62">
            <v>1010.6800000000001</v>
          </cell>
          <cell r="S62">
            <v>918.8</v>
          </cell>
          <cell r="T62">
            <v>918.8</v>
          </cell>
          <cell r="U62">
            <v>918.8</v>
          </cell>
          <cell r="V62">
            <v>918.8</v>
          </cell>
          <cell r="W62">
            <v>918.8</v>
          </cell>
          <cell r="X62">
            <v>918.8</v>
          </cell>
          <cell r="Y62">
            <v>941.66788510358265</v>
          </cell>
          <cell r="Z62">
            <v>935.00576079797702</v>
          </cell>
          <cell r="AA62">
            <v>938.15514496259084</v>
          </cell>
          <cell r="AB62">
            <v>1868.9641910886835</v>
          </cell>
          <cell r="AC62">
            <v>0</v>
          </cell>
          <cell r="AD62">
            <v>938.37971564548218</v>
          </cell>
          <cell r="AE62">
            <v>936.81140080210025</v>
          </cell>
          <cell r="AF62">
            <v>936.99772834291662</v>
          </cell>
          <cell r="AG62">
            <v>936.33056309139295</v>
          </cell>
          <cell r="AH62">
            <v>936.51982056188081</v>
          </cell>
          <cell r="AI62">
            <v>936.2862027903509</v>
          </cell>
          <cell r="AJ62">
            <v>936.88757187235399</v>
          </cell>
          <cell r="AK62">
            <v>936.88757187235399</v>
          </cell>
          <cell r="AL62">
            <v>936.67440847619253</v>
          </cell>
          <cell r="AM62">
            <v>936.6548381439203</v>
          </cell>
          <cell r="AN62">
            <v>1873.2117076595557</v>
          </cell>
        </row>
        <row r="63">
          <cell r="E63">
            <v>0</v>
          </cell>
          <cell r="F63">
            <v>0</v>
          </cell>
          <cell r="G63">
            <v>0</v>
          </cell>
          <cell r="H63">
            <v>0</v>
          </cell>
          <cell r="I63">
            <v>0</v>
          </cell>
          <cell r="J63">
            <v>0</v>
          </cell>
          <cell r="K63">
            <v>0</v>
          </cell>
          <cell r="L63">
            <v>0</v>
          </cell>
          <cell r="M63">
            <v>0</v>
          </cell>
          <cell r="N63">
            <v>0</v>
          </cell>
          <cell r="O63">
            <v>0</v>
          </cell>
          <cell r="P63">
            <v>0</v>
          </cell>
          <cell r="Q63">
            <v>0</v>
          </cell>
          <cell r="R63">
            <v>45.94</v>
          </cell>
          <cell r="S63">
            <v>91.88</v>
          </cell>
          <cell r="T63">
            <v>91.88</v>
          </cell>
          <cell r="U63">
            <v>91.88</v>
          </cell>
          <cell r="V63">
            <v>91.88</v>
          </cell>
          <cell r="W63">
            <v>91.88</v>
          </cell>
          <cell r="X63">
            <v>91.88</v>
          </cell>
          <cell r="Y63">
            <v>107.06768989243548</v>
          </cell>
          <cell r="Z63">
            <v>108.10817620342303</v>
          </cell>
          <cell r="AA63">
            <v>104.18894750296796</v>
          </cell>
          <cell r="AB63">
            <v>203.8191236970822</v>
          </cell>
          <cell r="AC63">
            <v>0</v>
          </cell>
          <cell r="AD63">
            <v>101.60184122057618</v>
          </cell>
          <cell r="AE63">
            <v>102.44192858386026</v>
          </cell>
          <cell r="AF63">
            <v>103.88967244290644</v>
          </cell>
          <cell r="AG63">
            <v>103.4356699501166</v>
          </cell>
          <cell r="AH63">
            <v>102.76816905678712</v>
          </cell>
          <cell r="AI63">
            <v>102.56520070733271</v>
          </cell>
          <cell r="AJ63">
            <v>102.78374699359655</v>
          </cell>
          <cell r="AK63">
            <v>102.78374699359657</v>
          </cell>
          <cell r="AL63">
            <v>102.95259067545661</v>
          </cell>
          <cell r="AM63">
            <v>103.02554240282751</v>
          </cell>
          <cell r="AN63">
            <v>205.80419050848963</v>
          </cell>
        </row>
        <row r="64">
          <cell r="E64">
            <v>0</v>
          </cell>
          <cell r="F64">
            <v>110.22</v>
          </cell>
          <cell r="G64">
            <v>108.06</v>
          </cell>
          <cell r="H64">
            <v>0</v>
          </cell>
          <cell r="I64">
            <v>917.25</v>
          </cell>
          <cell r="J64">
            <v>110.98</v>
          </cell>
          <cell r="K64">
            <v>1679.3300000000002</v>
          </cell>
          <cell r="L64">
            <v>0</v>
          </cell>
          <cell r="M64">
            <v>225.3599999999999</v>
          </cell>
          <cell r="N64">
            <v>0</v>
          </cell>
          <cell r="O64">
            <v>0</v>
          </cell>
          <cell r="P64">
            <v>98</v>
          </cell>
          <cell r="Q64">
            <v>1074.95</v>
          </cell>
          <cell r="R64">
            <v>1438.0300000000002</v>
          </cell>
          <cell r="S64">
            <v>0</v>
          </cell>
          <cell r="T64">
            <v>0</v>
          </cell>
          <cell r="U64">
            <v>0</v>
          </cell>
          <cell r="V64">
            <v>0</v>
          </cell>
          <cell r="W64">
            <v>0</v>
          </cell>
          <cell r="X64">
            <v>2844.0099999999998</v>
          </cell>
          <cell r="Y64">
            <v>232.12079999999989</v>
          </cell>
          <cell r="Z64">
            <v>0</v>
          </cell>
          <cell r="AA64">
            <v>0</v>
          </cell>
          <cell r="AB64">
            <v>100.94</v>
          </cell>
          <cell r="AC64">
            <v>1107.1985000000002</v>
          </cell>
          <cell r="AD64">
            <v>1481.1709000000003</v>
          </cell>
          <cell r="AE64">
            <v>0</v>
          </cell>
          <cell r="AF64">
            <v>0</v>
          </cell>
          <cell r="AG64">
            <v>0</v>
          </cell>
          <cell r="AH64">
            <v>0</v>
          </cell>
          <cell r="AI64">
            <v>0</v>
          </cell>
          <cell r="AJ64">
            <v>2929.3302999999996</v>
          </cell>
          <cell r="AK64">
            <v>239.0844239999999</v>
          </cell>
          <cell r="AL64">
            <v>0</v>
          </cell>
          <cell r="AM64">
            <v>0</v>
          </cell>
          <cell r="AN64">
            <v>103.9682</v>
          </cell>
        </row>
        <row r="65">
          <cell r="E65">
            <v>386.59</v>
          </cell>
          <cell r="F65">
            <v>769.21999999999991</v>
          </cell>
          <cell r="G65">
            <v>52.87</v>
          </cell>
          <cell r="H65">
            <v>1583.81</v>
          </cell>
          <cell r="I65">
            <v>61.95</v>
          </cell>
          <cell r="J65">
            <v>181.55</v>
          </cell>
          <cell r="K65">
            <v>335.92</v>
          </cell>
          <cell r="L65">
            <v>-85</v>
          </cell>
          <cell r="M65">
            <v>125.28</v>
          </cell>
          <cell r="N65">
            <v>0</v>
          </cell>
          <cell r="O65">
            <v>107.88</v>
          </cell>
          <cell r="P65">
            <v>2800</v>
          </cell>
          <cell r="Q65">
            <v>971.77</v>
          </cell>
          <cell r="R65">
            <v>3141.16</v>
          </cell>
          <cell r="S65">
            <v>2182.09</v>
          </cell>
          <cell r="T65">
            <v>1084.72</v>
          </cell>
          <cell r="U65">
            <v>2869.7799999999997</v>
          </cell>
          <cell r="V65">
            <v>292.91000000000003</v>
          </cell>
          <cell r="W65">
            <v>1828.9899999999998</v>
          </cell>
          <cell r="X65">
            <v>923</v>
          </cell>
          <cell r="Y65">
            <v>129.0384</v>
          </cell>
          <cell r="Z65">
            <v>0</v>
          </cell>
          <cell r="AA65">
            <v>111.1164</v>
          </cell>
          <cell r="AB65">
            <v>2884</v>
          </cell>
          <cell r="AC65">
            <v>1000.9231000000001</v>
          </cell>
          <cell r="AD65">
            <v>3235.3948</v>
          </cell>
          <cell r="AE65">
            <v>2247.5527000000002</v>
          </cell>
          <cell r="AF65">
            <v>1117.2616</v>
          </cell>
          <cell r="AG65">
            <v>2955.8733999999999</v>
          </cell>
          <cell r="AH65">
            <v>301.69730000000004</v>
          </cell>
          <cell r="AI65">
            <v>1883.8597</v>
          </cell>
          <cell r="AJ65">
            <v>950.69000000000017</v>
          </cell>
          <cell r="AK65">
            <v>132.90955199999999</v>
          </cell>
          <cell r="AL65">
            <v>0</v>
          </cell>
          <cell r="AM65">
            <v>114.44989200000001</v>
          </cell>
          <cell r="AN65">
            <v>2970.52</v>
          </cell>
        </row>
        <row r="66">
          <cell r="E66">
            <v>0</v>
          </cell>
          <cell r="F66">
            <v>113.91</v>
          </cell>
          <cell r="G66">
            <v>0</v>
          </cell>
          <cell r="H66">
            <v>7027.02</v>
          </cell>
          <cell r="I66">
            <v>240.96</v>
          </cell>
          <cell r="J66">
            <v>261.95</v>
          </cell>
          <cell r="K66">
            <v>236.4</v>
          </cell>
          <cell r="L66">
            <v>127.77999999999906</v>
          </cell>
          <cell r="M66">
            <v>-30.410000000000309</v>
          </cell>
          <cell r="N66">
            <v>158.25</v>
          </cell>
          <cell r="O66">
            <v>0</v>
          </cell>
          <cell r="P66">
            <v>0</v>
          </cell>
          <cell r="Q66">
            <v>2804.38</v>
          </cell>
          <cell r="R66">
            <v>-995.01</v>
          </cell>
          <cell r="S66">
            <v>0</v>
          </cell>
          <cell r="T66">
            <v>0</v>
          </cell>
          <cell r="U66">
            <v>85.62</v>
          </cell>
          <cell r="V66">
            <v>164.72</v>
          </cell>
          <cell r="W66">
            <v>0</v>
          </cell>
          <cell r="X66">
            <v>523</v>
          </cell>
          <cell r="Y66">
            <v>-31.322300000000318</v>
          </cell>
          <cell r="Z66">
            <v>162.9975</v>
          </cell>
          <cell r="AA66">
            <v>0</v>
          </cell>
          <cell r="AB66">
            <v>0</v>
          </cell>
          <cell r="AC66">
            <v>2888.5113999999999</v>
          </cell>
          <cell r="AD66">
            <v>-1024.8603000000001</v>
          </cell>
          <cell r="AE66">
            <v>0</v>
          </cell>
          <cell r="AF66">
            <v>0</v>
          </cell>
          <cell r="AG66">
            <v>88.188600000000008</v>
          </cell>
          <cell r="AH66">
            <v>169.66160000000002</v>
          </cell>
          <cell r="AI66">
            <v>0</v>
          </cell>
          <cell r="AJ66">
            <v>538.69000000000005</v>
          </cell>
          <cell r="AK66">
            <v>-32.261969000000327</v>
          </cell>
          <cell r="AL66">
            <v>167.88742500000001</v>
          </cell>
          <cell r="AM66">
            <v>0</v>
          </cell>
          <cell r="AN66">
            <v>0</v>
          </cell>
        </row>
        <row r="67">
          <cell r="E67">
            <v>0</v>
          </cell>
          <cell r="F67">
            <v>4825.3900000000003</v>
          </cell>
          <cell r="G67">
            <v>47062.329999999994</v>
          </cell>
          <cell r="H67">
            <v>7511.65</v>
          </cell>
          <cell r="I67">
            <v>2725</v>
          </cell>
          <cell r="J67">
            <v>0</v>
          </cell>
          <cell r="K67">
            <v>0</v>
          </cell>
          <cell r="L67">
            <v>1255.720000000003</v>
          </cell>
          <cell r="M67">
            <v>0</v>
          </cell>
          <cell r="N67">
            <v>1249</v>
          </cell>
          <cell r="O67">
            <v>0</v>
          </cell>
          <cell r="P67">
            <v>0</v>
          </cell>
          <cell r="Q67">
            <v>0</v>
          </cell>
          <cell r="R67">
            <v>13763.37</v>
          </cell>
          <cell r="S67">
            <v>71820.22</v>
          </cell>
          <cell r="T67">
            <v>6619.09</v>
          </cell>
          <cell r="U67">
            <v>58174.82</v>
          </cell>
          <cell r="V67">
            <v>0</v>
          </cell>
          <cell r="W67">
            <v>986.2</v>
          </cell>
          <cell r="X67">
            <v>0</v>
          </cell>
          <cell r="Y67">
            <v>0</v>
          </cell>
          <cell r="Z67">
            <v>1286.47</v>
          </cell>
          <cell r="AA67">
            <v>0</v>
          </cell>
          <cell r="AB67">
            <v>0</v>
          </cell>
          <cell r="AC67">
            <v>0</v>
          </cell>
          <cell r="AD67">
            <v>14176.271100000002</v>
          </cell>
          <cell r="AE67">
            <v>73974.8266</v>
          </cell>
          <cell r="AF67">
            <v>6817.6627000000008</v>
          </cell>
          <cell r="AG67">
            <v>0</v>
          </cell>
          <cell r="AH67">
            <v>0</v>
          </cell>
          <cell r="AI67">
            <v>1015.7860000000001</v>
          </cell>
          <cell r="AJ67">
            <v>0</v>
          </cell>
          <cell r="AK67">
            <v>0</v>
          </cell>
          <cell r="AL67">
            <v>1325.0641000000001</v>
          </cell>
          <cell r="AM67">
            <v>0</v>
          </cell>
          <cell r="AN67">
            <v>0</v>
          </cell>
        </row>
        <row r="68">
          <cell r="E68">
            <v>0</v>
          </cell>
          <cell r="F68">
            <v>0</v>
          </cell>
          <cell r="G68">
            <v>0</v>
          </cell>
          <cell r="H68">
            <v>0</v>
          </cell>
          <cell r="I68">
            <v>0</v>
          </cell>
          <cell r="J68">
            <v>0</v>
          </cell>
          <cell r="K68">
            <v>0</v>
          </cell>
          <cell r="L68">
            <v>0</v>
          </cell>
          <cell r="M68">
            <v>225</v>
          </cell>
          <cell r="N68">
            <v>0</v>
          </cell>
          <cell r="O68">
            <v>0</v>
          </cell>
          <cell r="P68">
            <v>0</v>
          </cell>
          <cell r="Q68">
            <v>0</v>
          </cell>
          <cell r="R68">
            <v>0</v>
          </cell>
          <cell r="S68">
            <v>0</v>
          </cell>
          <cell r="T68">
            <v>0</v>
          </cell>
          <cell r="U68">
            <v>1234.69</v>
          </cell>
          <cell r="V68">
            <v>0</v>
          </cell>
          <cell r="W68">
            <v>0</v>
          </cell>
          <cell r="X68">
            <v>0</v>
          </cell>
          <cell r="Y68">
            <v>231.75</v>
          </cell>
          <cell r="Z68">
            <v>0</v>
          </cell>
          <cell r="AA68">
            <v>0</v>
          </cell>
          <cell r="AB68">
            <v>0</v>
          </cell>
          <cell r="AC68">
            <v>0</v>
          </cell>
          <cell r="AD68">
            <v>0</v>
          </cell>
          <cell r="AE68">
            <v>0</v>
          </cell>
          <cell r="AF68">
            <v>0</v>
          </cell>
          <cell r="AG68">
            <v>1271.7307000000001</v>
          </cell>
          <cell r="AH68">
            <v>0</v>
          </cell>
          <cell r="AI68">
            <v>0</v>
          </cell>
          <cell r="AJ68">
            <v>0</v>
          </cell>
          <cell r="AK68">
            <v>238.70250000000001</v>
          </cell>
          <cell r="AL68">
            <v>0</v>
          </cell>
          <cell r="AM68">
            <v>0</v>
          </cell>
          <cell r="AN68">
            <v>0</v>
          </cell>
        </row>
        <row r="69">
          <cell r="E69">
            <v>0</v>
          </cell>
          <cell r="F69">
            <v>0</v>
          </cell>
          <cell r="G69">
            <v>0</v>
          </cell>
          <cell r="H69">
            <v>409.99</v>
          </cell>
          <cell r="I69">
            <v>0</v>
          </cell>
          <cell r="J69">
            <v>-947.77</v>
          </cell>
          <cell r="K69">
            <v>182.77</v>
          </cell>
          <cell r="L69">
            <v>0</v>
          </cell>
          <cell r="M69">
            <v>0</v>
          </cell>
          <cell r="N69">
            <v>755.99</v>
          </cell>
          <cell r="O69">
            <v>0</v>
          </cell>
          <cell r="P69">
            <v>41112.89</v>
          </cell>
          <cell r="Q69">
            <v>260</v>
          </cell>
          <cell r="R69">
            <v>0</v>
          </cell>
          <cell r="S69">
            <v>2379.88</v>
          </cell>
          <cell r="T69">
            <v>1612</v>
          </cell>
          <cell r="U69">
            <v>3612</v>
          </cell>
          <cell r="V69">
            <v>1713.99</v>
          </cell>
          <cell r="W69">
            <v>3340.42</v>
          </cell>
          <cell r="X69">
            <v>0</v>
          </cell>
          <cell r="Y69">
            <v>0</v>
          </cell>
          <cell r="Z69">
            <v>778.66969999999992</v>
          </cell>
          <cell r="AA69">
            <v>0</v>
          </cell>
          <cell r="AB69">
            <v>0</v>
          </cell>
          <cell r="AC69">
            <v>267.8</v>
          </cell>
          <cell r="AD69">
            <v>0</v>
          </cell>
          <cell r="AE69">
            <v>40000</v>
          </cell>
          <cell r="AF69">
            <v>1660.36</v>
          </cell>
          <cell r="AG69">
            <v>3720.3600000000006</v>
          </cell>
          <cell r="AH69">
            <v>1765.4097000000002</v>
          </cell>
          <cell r="AI69">
            <v>3440.6326000000004</v>
          </cell>
          <cell r="AJ69">
            <v>0</v>
          </cell>
          <cell r="AK69">
            <v>0</v>
          </cell>
          <cell r="AL69">
            <v>802.02979100000005</v>
          </cell>
          <cell r="AM69">
            <v>0</v>
          </cell>
          <cell r="AN69">
            <v>0</v>
          </cell>
        </row>
        <row r="72">
          <cell r="E72">
            <v>0</v>
          </cell>
          <cell r="F72">
            <v>2683.9</v>
          </cell>
          <cell r="G72">
            <v>0</v>
          </cell>
          <cell r="H72">
            <v>903.89</v>
          </cell>
          <cell r="I72">
            <v>0</v>
          </cell>
          <cell r="J72">
            <v>0</v>
          </cell>
          <cell r="K72">
            <v>1655.25</v>
          </cell>
          <cell r="L72">
            <v>2261.1499999999996</v>
          </cell>
          <cell r="M72">
            <v>2116.15</v>
          </cell>
          <cell r="N72">
            <v>4232.3</v>
          </cell>
          <cell r="O72">
            <v>0</v>
          </cell>
          <cell r="P72">
            <v>2116.15</v>
          </cell>
          <cell r="Q72">
            <v>2309.08</v>
          </cell>
          <cell r="R72">
            <v>2309.08</v>
          </cell>
          <cell r="S72">
            <v>2116.15</v>
          </cell>
          <cell r="T72">
            <v>2116.15</v>
          </cell>
          <cell r="U72">
            <v>2795</v>
          </cell>
          <cell r="V72">
            <v>3205.85</v>
          </cell>
          <cell r="W72">
            <v>2795</v>
          </cell>
          <cell r="X72">
            <v>2795</v>
          </cell>
          <cell r="Y72">
            <v>2179.6345000000001</v>
          </cell>
          <cell r="Z72">
            <v>4359.2690000000002</v>
          </cell>
          <cell r="AA72">
            <v>0</v>
          </cell>
          <cell r="AB72">
            <v>2179.6345000000001</v>
          </cell>
          <cell r="AC72">
            <v>2378.3523999999998</v>
          </cell>
          <cell r="AD72">
            <v>2378.3523999999998</v>
          </cell>
          <cell r="AE72">
            <v>2179.6345000000001</v>
          </cell>
          <cell r="AF72">
            <v>2179.6345000000001</v>
          </cell>
          <cell r="AG72">
            <v>2878.85</v>
          </cell>
          <cell r="AH72">
            <v>3302.0255000000002</v>
          </cell>
          <cell r="AI72">
            <v>2878.85</v>
          </cell>
          <cell r="AJ72">
            <v>2878.85</v>
          </cell>
          <cell r="AK72">
            <v>2245.0235350000003</v>
          </cell>
          <cell r="AL72">
            <v>4490.0470700000005</v>
          </cell>
          <cell r="AM72">
            <v>0</v>
          </cell>
          <cell r="AN72">
            <v>2245.0235350000003</v>
          </cell>
        </row>
        <row r="73">
          <cell r="E73">
            <v>0</v>
          </cell>
          <cell r="F73">
            <v>0</v>
          </cell>
          <cell r="G73">
            <v>35.4</v>
          </cell>
          <cell r="H73">
            <v>0</v>
          </cell>
          <cell r="I73">
            <v>0</v>
          </cell>
          <cell r="J73">
            <v>0</v>
          </cell>
          <cell r="K73">
            <v>25.98</v>
          </cell>
          <cell r="L73">
            <v>56.849999999999994</v>
          </cell>
          <cell r="M73">
            <v>0</v>
          </cell>
          <cell r="N73">
            <v>0</v>
          </cell>
          <cell r="O73">
            <v>0</v>
          </cell>
          <cell r="P73">
            <v>88.3</v>
          </cell>
          <cell r="Q73">
            <v>56.85</v>
          </cell>
          <cell r="R73">
            <v>0</v>
          </cell>
          <cell r="S73">
            <v>0</v>
          </cell>
          <cell r="T73">
            <v>0</v>
          </cell>
          <cell r="U73">
            <v>0</v>
          </cell>
          <cell r="V73">
            <v>0</v>
          </cell>
          <cell r="W73">
            <v>0</v>
          </cell>
          <cell r="X73">
            <v>0</v>
          </cell>
          <cell r="Y73">
            <v>0</v>
          </cell>
          <cell r="Z73">
            <v>0</v>
          </cell>
          <cell r="AA73">
            <v>0</v>
          </cell>
          <cell r="AB73">
            <v>90.948999999999998</v>
          </cell>
          <cell r="AC73">
            <v>58.555500000000002</v>
          </cell>
          <cell r="AD73">
            <v>0</v>
          </cell>
          <cell r="AE73">
            <v>0</v>
          </cell>
          <cell r="AF73">
            <v>0</v>
          </cell>
          <cell r="AG73">
            <v>0</v>
          </cell>
          <cell r="AH73">
            <v>0</v>
          </cell>
          <cell r="AI73">
            <v>0</v>
          </cell>
          <cell r="AJ73">
            <v>0</v>
          </cell>
          <cell r="AK73">
            <v>0</v>
          </cell>
          <cell r="AL73">
            <v>0</v>
          </cell>
          <cell r="AM73">
            <v>0</v>
          </cell>
          <cell r="AN73">
            <v>93.67747</v>
          </cell>
        </row>
        <row r="74">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row>
        <row r="75">
          <cell r="E75">
            <v>0</v>
          </cell>
          <cell r="F75">
            <v>0</v>
          </cell>
          <cell r="G75">
            <v>0</v>
          </cell>
          <cell r="H75">
            <v>0</v>
          </cell>
          <cell r="I75">
            <v>0</v>
          </cell>
          <cell r="J75">
            <v>0</v>
          </cell>
          <cell r="K75">
            <v>0</v>
          </cell>
          <cell r="L75">
            <v>0</v>
          </cell>
          <cell r="M75">
            <v>285</v>
          </cell>
          <cell r="N75">
            <v>0</v>
          </cell>
          <cell r="O75">
            <v>0</v>
          </cell>
          <cell r="P75">
            <v>0</v>
          </cell>
          <cell r="Q75">
            <v>0</v>
          </cell>
          <cell r="R75">
            <v>0</v>
          </cell>
          <cell r="S75">
            <v>0</v>
          </cell>
          <cell r="T75">
            <v>6205.68</v>
          </cell>
          <cell r="U75">
            <v>0</v>
          </cell>
          <cell r="V75">
            <v>0</v>
          </cell>
          <cell r="W75">
            <v>0</v>
          </cell>
          <cell r="X75">
            <v>0</v>
          </cell>
          <cell r="Y75">
            <v>293.55</v>
          </cell>
          <cell r="Z75">
            <v>0</v>
          </cell>
          <cell r="AA75">
            <v>0</v>
          </cell>
          <cell r="AB75">
            <v>0</v>
          </cell>
          <cell r="AC75">
            <v>0</v>
          </cell>
          <cell r="AD75">
            <v>0</v>
          </cell>
          <cell r="AE75">
            <v>0</v>
          </cell>
          <cell r="AF75">
            <v>6391.8504000000003</v>
          </cell>
          <cell r="AG75">
            <v>0</v>
          </cell>
          <cell r="AH75">
            <v>0</v>
          </cell>
          <cell r="AI75">
            <v>0</v>
          </cell>
          <cell r="AJ75">
            <v>0</v>
          </cell>
          <cell r="AK75">
            <v>302.35650000000004</v>
          </cell>
          <cell r="AL75">
            <v>0</v>
          </cell>
          <cell r="AM75">
            <v>0</v>
          </cell>
          <cell r="AN75">
            <v>0</v>
          </cell>
        </row>
        <row r="76">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200</v>
          </cell>
          <cell r="U76">
            <v>0</v>
          </cell>
          <cell r="V76">
            <v>20</v>
          </cell>
          <cell r="W76">
            <v>2058.83</v>
          </cell>
          <cell r="X76">
            <v>-145</v>
          </cell>
          <cell r="Y76">
            <v>0</v>
          </cell>
          <cell r="Z76">
            <v>0</v>
          </cell>
          <cell r="AA76">
            <v>0</v>
          </cell>
          <cell r="AB76">
            <v>0</v>
          </cell>
          <cell r="AC76">
            <v>0</v>
          </cell>
          <cell r="AD76">
            <v>0</v>
          </cell>
          <cell r="AE76">
            <v>0</v>
          </cell>
          <cell r="AF76">
            <v>206</v>
          </cell>
          <cell r="AG76">
            <v>0</v>
          </cell>
          <cell r="AH76">
            <v>20.6</v>
          </cell>
          <cell r="AI76">
            <v>2120.5949000000001</v>
          </cell>
          <cell r="AJ76">
            <v>-149.35</v>
          </cell>
          <cell r="AK76">
            <v>0</v>
          </cell>
          <cell r="AL76">
            <v>0</v>
          </cell>
          <cell r="AM76">
            <v>0</v>
          </cell>
          <cell r="AN76">
            <v>0</v>
          </cell>
        </row>
        <row r="83">
          <cell r="AD83">
            <v>26444.620555555553</v>
          </cell>
          <cell r="AE83">
            <v>26444.620555555553</v>
          </cell>
          <cell r="AF83">
            <v>26444.620555555553</v>
          </cell>
          <cell r="AG83">
            <v>26444.620555555553</v>
          </cell>
          <cell r="AH83">
            <v>26444.620555555553</v>
          </cell>
          <cell r="AI83">
            <v>26444.620555555553</v>
          </cell>
          <cell r="AJ83">
            <v>26444.620555555553</v>
          </cell>
          <cell r="AK83">
            <v>26444.620555555553</v>
          </cell>
          <cell r="AL83">
            <v>26444.620555555553</v>
          </cell>
          <cell r="AM83">
            <v>26444.620555555553</v>
          </cell>
          <cell r="AN83">
            <v>52889.241111111107</v>
          </cell>
        </row>
        <row r="84">
          <cell r="AD84">
            <v>0</v>
          </cell>
          <cell r="AE84">
            <v>0</v>
          </cell>
          <cell r="AF84">
            <v>0</v>
          </cell>
          <cell r="AG84">
            <v>0</v>
          </cell>
          <cell r="AH84">
            <v>0</v>
          </cell>
          <cell r="AI84">
            <v>0</v>
          </cell>
          <cell r="AJ84">
            <v>0</v>
          </cell>
          <cell r="AK84">
            <v>0</v>
          </cell>
          <cell r="AL84">
            <v>0</v>
          </cell>
          <cell r="AM84">
            <v>0</v>
          </cell>
          <cell r="AN84">
            <v>0</v>
          </cell>
        </row>
        <row r="85">
          <cell r="AD85">
            <v>1009.6663965319774</v>
          </cell>
          <cell r="AE85">
            <v>1018.3799569674811</v>
          </cell>
          <cell r="AF85">
            <v>990.49210745182199</v>
          </cell>
          <cell r="AG85">
            <v>988.59562594491763</v>
          </cell>
          <cell r="AH85">
            <v>988.10363695544527</v>
          </cell>
          <cell r="AI85">
            <v>991.27927654295377</v>
          </cell>
          <cell r="AJ85">
            <v>997.75283339909925</v>
          </cell>
          <cell r="AK85">
            <v>997.75283339909925</v>
          </cell>
          <cell r="AL85">
            <v>996.05089580868821</v>
          </cell>
          <cell r="AM85">
            <v>992.86102992886072</v>
          </cell>
          <cell r="AN85">
            <v>1986.3988948511608</v>
          </cell>
        </row>
        <row r="86">
          <cell r="AD86">
            <v>1008.5451404509158</v>
          </cell>
          <cell r="AE86">
            <v>1042.0741812750828</v>
          </cell>
          <cell r="AF86">
            <v>1114.8127709171051</v>
          </cell>
          <cell r="AG86">
            <v>1077.3614868226455</v>
          </cell>
          <cell r="AH86">
            <v>1044.5364436316154</v>
          </cell>
          <cell r="AI86">
            <v>1042.7088260268581</v>
          </cell>
          <cell r="AJ86">
            <v>1055.0064748540372</v>
          </cell>
          <cell r="AK86">
            <v>1055.0064748540369</v>
          </cell>
          <cell r="AL86">
            <v>1061.6438083401972</v>
          </cell>
          <cell r="AM86">
            <v>1064.4394693494992</v>
          </cell>
          <cell r="AN86">
            <v>2114.4865668225393</v>
          </cell>
        </row>
        <row r="87">
          <cell r="AD87">
            <v>393.04296599394883</v>
          </cell>
          <cell r="AE87">
            <v>392.58276982906762</v>
          </cell>
          <cell r="AF87">
            <v>391.92216217715156</v>
          </cell>
          <cell r="AG87">
            <v>391.80727494333775</v>
          </cell>
          <cell r="AH87">
            <v>391.74544517820846</v>
          </cell>
          <cell r="AI87">
            <v>391.779449897657</v>
          </cell>
          <cell r="AJ87">
            <v>392.14667800322849</v>
          </cell>
          <cell r="AK87">
            <v>392.14667800322849</v>
          </cell>
          <cell r="AL87">
            <v>392.01863686169702</v>
          </cell>
          <cell r="AM87">
            <v>391.93804643778697</v>
          </cell>
          <cell r="AN87">
            <v>783.88063123575535</v>
          </cell>
        </row>
        <row r="88">
          <cell r="AD88">
            <v>157.72475064343649</v>
          </cell>
          <cell r="AE88">
            <v>160.77470693866272</v>
          </cell>
          <cell r="AF88">
            <v>167.27311628250936</v>
          </cell>
          <cell r="AG88">
            <v>163.73508927006174</v>
          </cell>
          <cell r="AH88">
            <v>161.09220148600696</v>
          </cell>
          <cell r="AI88">
            <v>160.73244722960354</v>
          </cell>
          <cell r="AJ88">
            <v>161.88871864171347</v>
          </cell>
          <cell r="AK88">
            <v>161.88871864171344</v>
          </cell>
          <cell r="AL88">
            <v>162.48357121289587</v>
          </cell>
          <cell r="AM88">
            <v>162.72769468064345</v>
          </cell>
          <cell r="AN88">
            <v>324.15669747503955</v>
          </cell>
        </row>
        <row r="89">
          <cell r="E89">
            <v>0</v>
          </cell>
          <cell r="F89">
            <v>0</v>
          </cell>
          <cell r="G89">
            <v>0</v>
          </cell>
          <cell r="H89">
            <v>0</v>
          </cell>
          <cell r="I89">
            <v>152</v>
          </cell>
          <cell r="J89">
            <v>0</v>
          </cell>
          <cell r="K89">
            <v>4181.26</v>
          </cell>
          <cell r="L89">
            <v>152</v>
          </cell>
          <cell r="M89">
            <v>952</v>
          </cell>
          <cell r="N89">
            <v>1652</v>
          </cell>
          <cell r="O89">
            <v>152</v>
          </cell>
          <cell r="P89">
            <v>5200</v>
          </cell>
          <cell r="Q89">
            <v>604</v>
          </cell>
          <cell r="R89">
            <v>152</v>
          </cell>
          <cell r="S89">
            <v>2952</v>
          </cell>
          <cell r="T89">
            <v>1450</v>
          </cell>
          <cell r="U89">
            <v>6402</v>
          </cell>
          <cell r="V89">
            <v>15420.400000000001</v>
          </cell>
          <cell r="W89">
            <v>4605</v>
          </cell>
          <cell r="X89">
            <v>7795</v>
          </cell>
          <cell r="Y89">
            <v>7795</v>
          </cell>
          <cell r="Z89">
            <v>7795</v>
          </cell>
          <cell r="AA89">
            <v>7795</v>
          </cell>
          <cell r="AB89">
            <v>7795</v>
          </cell>
          <cell r="AC89">
            <v>0</v>
          </cell>
          <cell r="AD89">
            <v>3500</v>
          </cell>
          <cell r="AE89">
            <v>4000</v>
          </cell>
          <cell r="AF89">
            <v>4000</v>
          </cell>
          <cell r="AG89">
            <v>4000</v>
          </cell>
          <cell r="AH89">
            <v>4000</v>
          </cell>
          <cell r="AI89">
            <v>4000</v>
          </cell>
          <cell r="AJ89">
            <v>4000</v>
          </cell>
          <cell r="AK89">
            <v>4000</v>
          </cell>
          <cell r="AL89">
            <v>4000</v>
          </cell>
          <cell r="AM89">
            <v>4000</v>
          </cell>
          <cell r="AN89">
            <v>4000</v>
          </cell>
        </row>
        <row r="90">
          <cell r="E90">
            <v>-3375</v>
          </cell>
          <cell r="F90">
            <v>0</v>
          </cell>
          <cell r="G90">
            <v>0</v>
          </cell>
          <cell r="H90">
            <v>0</v>
          </cell>
          <cell r="I90">
            <v>0</v>
          </cell>
          <cell r="J90">
            <v>0</v>
          </cell>
          <cell r="K90">
            <v>0</v>
          </cell>
          <cell r="L90">
            <v>0</v>
          </cell>
          <cell r="M90">
            <v>0</v>
          </cell>
          <cell r="N90">
            <v>0</v>
          </cell>
          <cell r="O90">
            <v>691</v>
          </cell>
          <cell r="P90">
            <v>0</v>
          </cell>
          <cell r="Q90">
            <v>0</v>
          </cell>
          <cell r="R90">
            <v>0</v>
          </cell>
          <cell r="S90">
            <v>691</v>
          </cell>
          <cell r="T90">
            <v>0</v>
          </cell>
          <cell r="U90">
            <v>300</v>
          </cell>
          <cell r="V90">
            <v>0</v>
          </cell>
          <cell r="W90">
            <v>0</v>
          </cell>
          <cell r="X90">
            <v>0</v>
          </cell>
          <cell r="Y90">
            <v>0</v>
          </cell>
          <cell r="Z90">
            <v>0</v>
          </cell>
          <cell r="AA90">
            <v>711.73</v>
          </cell>
          <cell r="AB90">
            <v>0</v>
          </cell>
          <cell r="AC90">
            <v>0</v>
          </cell>
          <cell r="AD90">
            <v>0</v>
          </cell>
          <cell r="AE90">
            <v>711.73</v>
          </cell>
          <cell r="AF90">
            <v>0</v>
          </cell>
          <cell r="AG90">
            <v>309</v>
          </cell>
          <cell r="AH90">
            <v>0</v>
          </cell>
          <cell r="AI90">
            <v>0</v>
          </cell>
          <cell r="AJ90">
            <v>0</v>
          </cell>
          <cell r="AK90">
            <v>0</v>
          </cell>
          <cell r="AL90">
            <v>0</v>
          </cell>
          <cell r="AM90">
            <v>733.08190000000002</v>
          </cell>
          <cell r="AN90">
            <v>0</v>
          </cell>
        </row>
        <row r="94">
          <cell r="E94">
            <v>75.849999999999994</v>
          </cell>
          <cell r="F94">
            <v>750</v>
          </cell>
          <cell r="G94">
            <v>0</v>
          </cell>
          <cell r="H94">
            <v>1801</v>
          </cell>
          <cell r="I94">
            <v>2771.6</v>
          </cell>
          <cell r="J94">
            <v>0</v>
          </cell>
          <cell r="K94">
            <v>0</v>
          </cell>
          <cell r="L94">
            <v>8509.99</v>
          </cell>
          <cell r="M94">
            <v>225</v>
          </cell>
          <cell r="N94">
            <v>0</v>
          </cell>
          <cell r="O94">
            <v>1742</v>
          </cell>
          <cell r="P94">
            <v>0</v>
          </cell>
          <cell r="Q94">
            <v>736</v>
          </cell>
          <cell r="R94">
            <v>4500</v>
          </cell>
          <cell r="S94">
            <v>0</v>
          </cell>
          <cell r="T94">
            <v>248.89</v>
          </cell>
          <cell r="U94">
            <v>0</v>
          </cell>
          <cell r="V94">
            <v>0</v>
          </cell>
          <cell r="W94">
            <v>0</v>
          </cell>
          <cell r="X94">
            <v>0</v>
          </cell>
          <cell r="Y94">
            <v>231.75</v>
          </cell>
          <cell r="Z94">
            <v>0</v>
          </cell>
          <cell r="AA94">
            <v>1794.26</v>
          </cell>
          <cell r="AB94">
            <v>0</v>
          </cell>
          <cell r="AC94">
            <v>758.08</v>
          </cell>
          <cell r="AD94">
            <v>4635</v>
          </cell>
          <cell r="AE94">
            <v>0</v>
          </cell>
          <cell r="AF94">
            <v>256.35669999999999</v>
          </cell>
          <cell r="AG94">
            <v>0</v>
          </cell>
          <cell r="AH94">
            <v>0</v>
          </cell>
          <cell r="AI94">
            <v>0</v>
          </cell>
          <cell r="AJ94">
            <v>0</v>
          </cell>
          <cell r="AK94">
            <v>238.70250000000004</v>
          </cell>
          <cell r="AL94">
            <v>0</v>
          </cell>
          <cell r="AM94">
            <v>1848.0878</v>
          </cell>
          <cell r="AN94">
            <v>0</v>
          </cell>
        </row>
        <row r="97">
          <cell r="AD97">
            <v>309</v>
          </cell>
          <cell r="AE97">
            <v>0</v>
          </cell>
          <cell r="AF97">
            <v>0</v>
          </cell>
          <cell r="AG97">
            <v>1390.5</v>
          </cell>
          <cell r="AH97">
            <v>0</v>
          </cell>
          <cell r="AI97">
            <v>927</v>
          </cell>
          <cell r="AJ97">
            <v>0</v>
          </cell>
          <cell r="AK97">
            <v>0</v>
          </cell>
          <cell r="AL97">
            <v>954.81000000000017</v>
          </cell>
          <cell r="AM97">
            <v>212.18</v>
          </cell>
          <cell r="AN97">
            <v>0</v>
          </cell>
        </row>
        <row r="98">
          <cell r="AD98">
            <v>25.4925</v>
          </cell>
          <cell r="AE98">
            <v>0</v>
          </cell>
          <cell r="AF98">
            <v>0</v>
          </cell>
          <cell r="AG98">
            <v>114.7214</v>
          </cell>
          <cell r="AH98">
            <v>0</v>
          </cell>
          <cell r="AI98">
            <v>76.477499999999992</v>
          </cell>
          <cell r="AJ98">
            <v>0</v>
          </cell>
          <cell r="AK98">
            <v>0</v>
          </cell>
          <cell r="AL98">
            <v>78.771825000000007</v>
          </cell>
          <cell r="AM98">
            <v>17.504850000000001</v>
          </cell>
          <cell r="AN98">
            <v>0</v>
          </cell>
        </row>
        <row r="99">
          <cell r="AD99">
            <v>4.6349999999999998</v>
          </cell>
          <cell r="AE99">
            <v>0</v>
          </cell>
          <cell r="AF99">
            <v>0</v>
          </cell>
          <cell r="AG99">
            <v>20.857500000000002</v>
          </cell>
          <cell r="AH99">
            <v>0</v>
          </cell>
          <cell r="AI99">
            <v>13.905000000000001</v>
          </cell>
          <cell r="AJ99">
            <v>0</v>
          </cell>
          <cell r="AK99">
            <v>0</v>
          </cell>
          <cell r="AL99">
            <v>14.322150000000001</v>
          </cell>
          <cell r="AM99">
            <v>3.1827000000000005</v>
          </cell>
          <cell r="AN99">
            <v>0</v>
          </cell>
        </row>
        <row r="100">
          <cell r="E100">
            <v>0</v>
          </cell>
          <cell r="F100">
            <v>0</v>
          </cell>
          <cell r="G100">
            <v>0</v>
          </cell>
          <cell r="H100">
            <v>6437.5</v>
          </cell>
          <cell r="I100">
            <v>6437.5</v>
          </cell>
          <cell r="J100">
            <v>0</v>
          </cell>
          <cell r="K100">
            <v>7067.5</v>
          </cell>
          <cell r="L100">
            <v>6727.1900000000005</v>
          </cell>
          <cell r="M100">
            <v>0</v>
          </cell>
          <cell r="N100">
            <v>0</v>
          </cell>
          <cell r="O100">
            <v>0</v>
          </cell>
          <cell r="P100">
            <v>0</v>
          </cell>
          <cell r="Q100">
            <v>0</v>
          </cell>
          <cell r="R100">
            <v>0</v>
          </cell>
          <cell r="S100">
            <v>0</v>
          </cell>
          <cell r="T100">
            <v>0</v>
          </cell>
          <cell r="U100">
            <v>34020</v>
          </cell>
          <cell r="V100">
            <v>0</v>
          </cell>
          <cell r="W100">
            <v>0</v>
          </cell>
          <cell r="X100">
            <v>0</v>
          </cell>
          <cell r="Y100">
            <v>0</v>
          </cell>
          <cell r="Z100">
            <v>0</v>
          </cell>
          <cell r="AA100">
            <v>0</v>
          </cell>
          <cell r="AB100">
            <v>0</v>
          </cell>
          <cell r="AC100">
            <v>0</v>
          </cell>
          <cell r="AD100">
            <v>0</v>
          </cell>
          <cell r="AE100">
            <v>0</v>
          </cell>
          <cell r="AF100">
            <v>0</v>
          </cell>
          <cell r="AG100">
            <v>35040.6</v>
          </cell>
          <cell r="AH100">
            <v>0</v>
          </cell>
          <cell r="AI100">
            <v>0</v>
          </cell>
          <cell r="AJ100">
            <v>0</v>
          </cell>
          <cell r="AK100">
            <v>0</v>
          </cell>
          <cell r="AL100">
            <v>0</v>
          </cell>
          <cell r="AM100">
            <v>0</v>
          </cell>
          <cell r="AN100">
            <v>0</v>
          </cell>
        </row>
        <row r="101">
          <cell r="E101">
            <v>0</v>
          </cell>
          <cell r="F101">
            <v>0</v>
          </cell>
          <cell r="G101">
            <v>2730</v>
          </cell>
          <cell r="H101">
            <v>10680.5</v>
          </cell>
          <cell r="I101">
            <v>8157.5</v>
          </cell>
          <cell r="J101">
            <v>0</v>
          </cell>
          <cell r="K101">
            <v>594</v>
          </cell>
          <cell r="L101">
            <v>0</v>
          </cell>
          <cell r="M101">
            <v>0</v>
          </cell>
          <cell r="N101">
            <v>0</v>
          </cell>
          <cell r="O101">
            <v>0</v>
          </cell>
          <cell r="P101">
            <v>1632</v>
          </cell>
          <cell r="Q101">
            <v>0</v>
          </cell>
          <cell r="R101">
            <v>3332.5</v>
          </cell>
          <cell r="S101">
            <v>5887.5</v>
          </cell>
          <cell r="T101">
            <v>9724.1299999999992</v>
          </cell>
          <cell r="U101">
            <v>315</v>
          </cell>
          <cell r="V101">
            <v>0</v>
          </cell>
          <cell r="W101">
            <v>3545</v>
          </cell>
          <cell r="X101">
            <v>0</v>
          </cell>
          <cell r="Y101">
            <v>0</v>
          </cell>
          <cell r="Z101">
            <v>0</v>
          </cell>
          <cell r="AA101">
            <v>0</v>
          </cell>
          <cell r="AB101">
            <v>1680.9600000000003</v>
          </cell>
          <cell r="AC101">
            <v>0</v>
          </cell>
          <cell r="AD101">
            <v>3432.4749999999999</v>
          </cell>
          <cell r="AE101">
            <v>6064.125</v>
          </cell>
          <cell r="AF101">
            <v>10015.8539</v>
          </cell>
          <cell r="AG101">
            <v>324.45</v>
          </cell>
          <cell r="AH101">
            <v>0</v>
          </cell>
          <cell r="AI101">
            <v>3651.35</v>
          </cell>
          <cell r="AJ101">
            <v>0</v>
          </cell>
          <cell r="AK101">
            <v>0</v>
          </cell>
          <cell r="AL101">
            <v>0</v>
          </cell>
          <cell r="AM101">
            <v>0</v>
          </cell>
          <cell r="AN101">
            <v>1731.3888000000002</v>
          </cell>
        </row>
        <row r="102">
          <cell r="E102">
            <v>3000</v>
          </cell>
          <cell r="F102">
            <v>0</v>
          </cell>
          <cell r="G102">
            <v>0</v>
          </cell>
          <cell r="H102">
            <v>1500</v>
          </cell>
          <cell r="I102">
            <v>1500</v>
          </cell>
          <cell r="J102">
            <v>1500</v>
          </cell>
          <cell r="K102">
            <v>1500</v>
          </cell>
          <cell r="L102">
            <v>1500</v>
          </cell>
          <cell r="M102">
            <v>1500</v>
          </cell>
          <cell r="N102">
            <v>1500</v>
          </cell>
          <cell r="O102">
            <v>16545</v>
          </cell>
          <cell r="P102">
            <v>3000</v>
          </cell>
          <cell r="Q102">
            <v>4500</v>
          </cell>
          <cell r="R102">
            <v>3000</v>
          </cell>
          <cell r="S102">
            <v>50000</v>
          </cell>
          <cell r="T102">
            <v>6000</v>
          </cell>
          <cell r="U102">
            <v>3000</v>
          </cell>
          <cell r="V102">
            <v>0</v>
          </cell>
          <cell r="W102">
            <v>3000</v>
          </cell>
          <cell r="X102">
            <v>6250</v>
          </cell>
          <cell r="Y102">
            <v>1545.0000000000002</v>
          </cell>
          <cell r="Z102">
            <v>1545.0000000000002</v>
          </cell>
          <cell r="AA102">
            <v>17041.350000000002</v>
          </cell>
          <cell r="AB102">
            <v>3090.0000000000005</v>
          </cell>
          <cell r="AC102">
            <v>4635</v>
          </cell>
          <cell r="AD102">
            <v>3090.0000000000005</v>
          </cell>
          <cell r="AE102">
            <v>25000</v>
          </cell>
          <cell r="AF102">
            <v>6180.0000000000009</v>
          </cell>
          <cell r="AG102">
            <v>3090.0000000000005</v>
          </cell>
          <cell r="AH102">
            <v>0</v>
          </cell>
          <cell r="AI102">
            <v>3090.0000000000005</v>
          </cell>
          <cell r="AJ102">
            <v>6437.5</v>
          </cell>
          <cell r="AK102">
            <v>1591.3500000000001</v>
          </cell>
          <cell r="AL102">
            <v>1591.3500000000001</v>
          </cell>
          <cell r="AM102">
            <v>17552.590499999998</v>
          </cell>
          <cell r="AN102">
            <v>3182.7000000000003</v>
          </cell>
        </row>
        <row r="103">
          <cell r="E103">
            <v>676</v>
          </cell>
          <cell r="F103">
            <v>707.75</v>
          </cell>
          <cell r="G103">
            <v>926.6</v>
          </cell>
          <cell r="H103">
            <v>1236.1499999999999</v>
          </cell>
          <cell r="I103">
            <v>491.40000000000003</v>
          </cell>
          <cell r="J103">
            <v>1182.1500000000001</v>
          </cell>
          <cell r="K103">
            <v>739.8</v>
          </cell>
          <cell r="L103">
            <v>1040.25</v>
          </cell>
          <cell r="M103">
            <v>1179.55</v>
          </cell>
          <cell r="N103">
            <v>0</v>
          </cell>
          <cell r="O103">
            <v>0</v>
          </cell>
          <cell r="P103">
            <v>567.29999999999995</v>
          </cell>
          <cell r="Q103">
            <v>-567.29999999999995</v>
          </cell>
          <cell r="R103">
            <v>0</v>
          </cell>
          <cell r="S103">
            <v>0</v>
          </cell>
          <cell r="T103">
            <v>0</v>
          </cell>
          <cell r="U103">
            <v>0</v>
          </cell>
          <cell r="V103">
            <v>0</v>
          </cell>
          <cell r="W103">
            <v>0</v>
          </cell>
          <cell r="X103">
            <v>0</v>
          </cell>
          <cell r="Y103">
            <v>1214.9365</v>
          </cell>
          <cell r="Z103">
            <v>0</v>
          </cell>
          <cell r="AA103">
            <v>0</v>
          </cell>
          <cell r="AB103">
            <v>584.31899999999996</v>
          </cell>
          <cell r="AC103">
            <v>-584.31899999999996</v>
          </cell>
          <cell r="AD103">
            <v>0</v>
          </cell>
          <cell r="AE103">
            <v>0</v>
          </cell>
          <cell r="AF103">
            <v>0</v>
          </cell>
          <cell r="AG103">
            <v>0</v>
          </cell>
          <cell r="AH103">
            <v>0</v>
          </cell>
          <cell r="AI103">
            <v>0</v>
          </cell>
          <cell r="AJ103">
            <v>0</v>
          </cell>
          <cell r="AK103">
            <v>1251.384595</v>
          </cell>
          <cell r="AL103">
            <v>0</v>
          </cell>
          <cell r="AM103">
            <v>0</v>
          </cell>
          <cell r="AN103">
            <v>601.84857000000011</v>
          </cell>
        </row>
        <row r="104">
          <cell r="E104">
            <v>0</v>
          </cell>
          <cell r="F104">
            <v>0</v>
          </cell>
          <cell r="G104">
            <v>0</v>
          </cell>
          <cell r="H104">
            <v>0</v>
          </cell>
          <cell r="I104">
            <v>0</v>
          </cell>
          <cell r="J104">
            <v>0</v>
          </cell>
          <cell r="K104">
            <v>0</v>
          </cell>
          <cell r="L104">
            <v>0</v>
          </cell>
          <cell r="M104">
            <v>0</v>
          </cell>
          <cell r="N104">
            <v>3900</v>
          </cell>
          <cell r="O104">
            <v>0</v>
          </cell>
          <cell r="P104">
            <v>0</v>
          </cell>
          <cell r="Q104">
            <v>0</v>
          </cell>
          <cell r="R104">
            <v>0</v>
          </cell>
          <cell r="S104">
            <v>0</v>
          </cell>
          <cell r="T104">
            <v>0</v>
          </cell>
          <cell r="U104">
            <v>0</v>
          </cell>
          <cell r="V104">
            <v>0</v>
          </cell>
          <cell r="W104">
            <v>0</v>
          </cell>
          <cell r="X104">
            <v>0</v>
          </cell>
          <cell r="Y104">
            <v>0</v>
          </cell>
          <cell r="Z104">
            <v>4017</v>
          </cell>
          <cell r="AA104">
            <v>0</v>
          </cell>
          <cell r="AB104">
            <v>0</v>
          </cell>
          <cell r="AC104">
            <v>0</v>
          </cell>
          <cell r="AD104">
            <v>0</v>
          </cell>
          <cell r="AE104">
            <v>0</v>
          </cell>
          <cell r="AF104">
            <v>0</v>
          </cell>
          <cell r="AG104">
            <v>0</v>
          </cell>
          <cell r="AH104">
            <v>0</v>
          </cell>
          <cell r="AI104">
            <v>0</v>
          </cell>
          <cell r="AJ104">
            <v>0</v>
          </cell>
          <cell r="AK104">
            <v>0</v>
          </cell>
          <cell r="AL104">
            <v>4137.51</v>
          </cell>
          <cell r="AM104">
            <v>0</v>
          </cell>
          <cell r="AN104">
            <v>0</v>
          </cell>
        </row>
        <row r="105">
          <cell r="E105">
            <v>393.67</v>
          </cell>
          <cell r="F105">
            <v>220.39</v>
          </cell>
          <cell r="G105">
            <v>1834.0800000000002</v>
          </cell>
          <cell r="H105">
            <v>94.88</v>
          </cell>
          <cell r="I105">
            <v>276.2</v>
          </cell>
          <cell r="J105">
            <v>-66.039999999999992</v>
          </cell>
          <cell r="K105">
            <v>108.02000000000001</v>
          </cell>
          <cell r="L105">
            <v>35.810000000000059</v>
          </cell>
          <cell r="M105">
            <v>386.94</v>
          </cell>
          <cell r="N105">
            <v>137.88999999999999</v>
          </cell>
          <cell r="O105">
            <v>3587.17</v>
          </cell>
          <cell r="P105">
            <v>0</v>
          </cell>
          <cell r="Q105">
            <v>0</v>
          </cell>
          <cell r="R105">
            <v>399.9</v>
          </cell>
          <cell r="S105">
            <v>892.46999999999991</v>
          </cell>
          <cell r="T105">
            <v>559.86</v>
          </cell>
          <cell r="U105">
            <v>401.88</v>
          </cell>
          <cell r="V105">
            <v>15.23</v>
          </cell>
          <cell r="W105">
            <v>5090.68</v>
          </cell>
          <cell r="X105">
            <v>167.49</v>
          </cell>
          <cell r="Y105">
            <v>398.54820000000001</v>
          </cell>
          <cell r="Z105">
            <v>142.02670000000001</v>
          </cell>
          <cell r="AA105">
            <v>3694.7851000000001</v>
          </cell>
          <cell r="AB105">
            <v>0</v>
          </cell>
          <cell r="AC105">
            <v>0</v>
          </cell>
          <cell r="AD105">
            <v>411.89699999999999</v>
          </cell>
          <cell r="AE105">
            <v>919.2441</v>
          </cell>
          <cell r="AF105">
            <v>576.6558</v>
          </cell>
          <cell r="AG105">
            <v>413.93639999999999</v>
          </cell>
          <cell r="AH105">
            <v>15.686900000000001</v>
          </cell>
          <cell r="AI105">
            <v>5243.4004000000004</v>
          </cell>
          <cell r="AJ105">
            <v>172.5147</v>
          </cell>
          <cell r="AK105">
            <v>410.50464600000004</v>
          </cell>
          <cell r="AL105">
            <v>146.28750099999999</v>
          </cell>
          <cell r="AM105">
            <v>3805.6286529999998</v>
          </cell>
          <cell r="AN105">
            <v>0</v>
          </cell>
        </row>
        <row r="111">
          <cell r="AD111">
            <v>18817.766666666666</v>
          </cell>
          <cell r="AE111">
            <v>18817.766666666666</v>
          </cell>
          <cell r="AF111">
            <v>18817.766666666666</v>
          </cell>
          <cell r="AG111">
            <v>18817.766666666666</v>
          </cell>
          <cell r="AH111">
            <v>18817.766666666666</v>
          </cell>
          <cell r="AI111">
            <v>18817.766666666666</v>
          </cell>
          <cell r="AJ111">
            <v>18817.766666666666</v>
          </cell>
          <cell r="AK111">
            <v>18817.766666666666</v>
          </cell>
          <cell r="AL111">
            <v>18817.766666666666</v>
          </cell>
          <cell r="AM111">
            <v>18817.766666666666</v>
          </cell>
          <cell r="AN111">
            <v>37635.533333333333</v>
          </cell>
        </row>
        <row r="112">
          <cell r="AD112">
            <v>0</v>
          </cell>
          <cell r="AE112">
            <v>0</v>
          </cell>
          <cell r="AF112">
            <v>0</v>
          </cell>
          <cell r="AG112">
            <v>0</v>
          </cell>
          <cell r="AH112">
            <v>0</v>
          </cell>
          <cell r="AI112">
            <v>0</v>
          </cell>
          <cell r="AJ112">
            <v>0</v>
          </cell>
          <cell r="AK112">
            <v>0</v>
          </cell>
          <cell r="AL112">
            <v>0</v>
          </cell>
          <cell r="AM112">
            <v>0</v>
          </cell>
          <cell r="AN112">
            <v>0</v>
          </cell>
        </row>
        <row r="113">
          <cell r="AD113">
            <v>567.44773830998429</v>
          </cell>
          <cell r="AE113">
            <v>559.41759020995653</v>
          </cell>
          <cell r="AF113">
            <v>558.13554918630837</v>
          </cell>
          <cell r="AG113">
            <v>558.9206189624291</v>
          </cell>
          <cell r="AH113">
            <v>559.58749950502636</v>
          </cell>
          <cell r="AI113">
            <v>560.06420697354804</v>
          </cell>
          <cell r="AJ113">
            <v>560.59553385787547</v>
          </cell>
          <cell r="AK113">
            <v>560.59553385787547</v>
          </cell>
          <cell r="AL113">
            <v>559.61664750757427</v>
          </cell>
          <cell r="AM113">
            <v>559.64508426437681</v>
          </cell>
          <cell r="AN113">
            <v>1119.7214642653446</v>
          </cell>
        </row>
        <row r="114">
          <cell r="AD114">
            <v>3277.3811042514835</v>
          </cell>
          <cell r="AE114">
            <v>3264.9848530176391</v>
          </cell>
          <cell r="AF114">
            <v>3250.8302564174583</v>
          </cell>
          <cell r="AG114">
            <v>3253.9163493104584</v>
          </cell>
          <cell r="AH114">
            <v>3260.1961049719876</v>
          </cell>
          <cell r="AI114">
            <v>3270.4127104759741</v>
          </cell>
          <cell r="AJ114">
            <v>3262.9535630741675</v>
          </cell>
          <cell r="AK114">
            <v>3262.9535630741675</v>
          </cell>
          <cell r="AL114">
            <v>3260.8924857631218</v>
          </cell>
          <cell r="AM114">
            <v>3260.307861869619</v>
          </cell>
          <cell r="AN114">
            <v>6523.3236110112848</v>
          </cell>
        </row>
        <row r="115">
          <cell r="AD115">
            <v>184.4840243546048</v>
          </cell>
          <cell r="AE115">
            <v>170.55846843504111</v>
          </cell>
          <cell r="AF115">
            <v>154.65764303578337</v>
          </cell>
          <cell r="AG115">
            <v>158.47712600193861</v>
          </cell>
          <cell r="AH115">
            <v>161.59169527473131</v>
          </cell>
          <cell r="AI115">
            <v>163.71814372132729</v>
          </cell>
          <cell r="AJ115">
            <v>165.58118347057109</v>
          </cell>
          <cell r="AK115">
            <v>165.58118347057109</v>
          </cell>
          <cell r="AL115">
            <v>162.88077762999487</v>
          </cell>
          <cell r="AM115">
            <v>161.78396465784539</v>
          </cell>
          <cell r="AN115">
            <v>325.60402120770851</v>
          </cell>
        </row>
        <row r="116">
          <cell r="AD116">
            <v>98.281226558750603</v>
          </cell>
          <cell r="AE116">
            <v>99.146384509957286</v>
          </cell>
          <cell r="AF116">
            <v>100.13426072864307</v>
          </cell>
          <cell r="AG116">
            <v>99.889953620080277</v>
          </cell>
          <cell r="AH116">
            <v>99.414500368550335</v>
          </cell>
          <cell r="AI116">
            <v>98.643609122702529</v>
          </cell>
          <cell r="AJ116">
            <v>99.251655818114031</v>
          </cell>
          <cell r="AK116">
            <v>99.251655818114031</v>
          </cell>
          <cell r="AL116">
            <v>99.390288569451656</v>
          </cell>
          <cell r="AM116">
            <v>99.425132006522276</v>
          </cell>
          <cell r="AN116">
            <v>198.64765580672432</v>
          </cell>
        </row>
        <row r="117">
          <cell r="E117">
            <v>2616.48</v>
          </cell>
          <cell r="F117">
            <v>236</v>
          </cell>
          <cell r="G117">
            <v>0</v>
          </cell>
          <cell r="H117">
            <v>0</v>
          </cell>
          <cell r="I117">
            <v>0</v>
          </cell>
          <cell r="J117">
            <v>0</v>
          </cell>
          <cell r="K117">
            <v>0</v>
          </cell>
          <cell r="L117">
            <v>177</v>
          </cell>
          <cell r="M117">
            <v>0</v>
          </cell>
          <cell r="N117">
            <v>0</v>
          </cell>
          <cell r="O117">
            <v>0</v>
          </cell>
          <cell r="P117">
            <v>177</v>
          </cell>
          <cell r="Q117">
            <v>236</v>
          </cell>
          <cell r="R117">
            <v>0</v>
          </cell>
          <cell r="S117">
            <v>0</v>
          </cell>
          <cell r="T117">
            <v>0</v>
          </cell>
          <cell r="U117">
            <v>177</v>
          </cell>
          <cell r="V117">
            <v>0</v>
          </cell>
          <cell r="W117">
            <v>0</v>
          </cell>
          <cell r="X117">
            <v>0</v>
          </cell>
          <cell r="Y117">
            <v>0</v>
          </cell>
          <cell r="Z117">
            <v>0</v>
          </cell>
          <cell r="AA117">
            <v>0</v>
          </cell>
          <cell r="AB117">
            <v>182.31</v>
          </cell>
          <cell r="AC117">
            <v>243.08</v>
          </cell>
          <cell r="AD117">
            <v>0</v>
          </cell>
          <cell r="AE117">
            <v>0</v>
          </cell>
          <cell r="AF117">
            <v>0</v>
          </cell>
          <cell r="AG117">
            <v>182.31</v>
          </cell>
          <cell r="AH117">
            <v>0</v>
          </cell>
          <cell r="AI117">
            <v>0</v>
          </cell>
          <cell r="AJ117">
            <v>0</v>
          </cell>
          <cell r="AK117">
            <v>0</v>
          </cell>
          <cell r="AL117">
            <v>0</v>
          </cell>
          <cell r="AM117">
            <v>0</v>
          </cell>
          <cell r="AN117">
            <v>187.77930000000001</v>
          </cell>
        </row>
        <row r="118">
          <cell r="E118">
            <v>0</v>
          </cell>
          <cell r="F118">
            <v>158.35000000000002</v>
          </cell>
          <cell r="G118">
            <v>921.08</v>
          </cell>
          <cell r="H118">
            <v>3750</v>
          </cell>
          <cell r="I118">
            <v>0</v>
          </cell>
          <cell r="J118">
            <v>0</v>
          </cell>
          <cell r="K118">
            <v>0</v>
          </cell>
          <cell r="L118">
            <v>5000.0000000000009</v>
          </cell>
          <cell r="M118">
            <v>0</v>
          </cell>
          <cell r="N118">
            <v>0</v>
          </cell>
          <cell r="O118">
            <v>193.74</v>
          </cell>
          <cell r="P118">
            <v>434.89</v>
          </cell>
          <cell r="Q118">
            <v>414.83</v>
          </cell>
          <cell r="R118">
            <v>2563.1</v>
          </cell>
          <cell r="S118">
            <v>600</v>
          </cell>
          <cell r="T118">
            <v>0</v>
          </cell>
          <cell r="U118">
            <v>1244.4299999999998</v>
          </cell>
          <cell r="V118">
            <v>401.13</v>
          </cell>
          <cell r="W118">
            <v>0</v>
          </cell>
          <cell r="X118">
            <v>157.41</v>
          </cell>
          <cell r="Y118">
            <v>0</v>
          </cell>
          <cell r="Z118">
            <v>0</v>
          </cell>
          <cell r="AA118">
            <v>199.55220000000003</v>
          </cell>
          <cell r="AB118">
            <v>447.93669999999997</v>
          </cell>
          <cell r="AC118">
            <v>427.2749</v>
          </cell>
          <cell r="AD118">
            <v>2639.9930000000004</v>
          </cell>
          <cell r="AE118">
            <v>618</v>
          </cell>
          <cell r="AF118">
            <v>0</v>
          </cell>
          <cell r="AG118">
            <v>1281.7628999999999</v>
          </cell>
          <cell r="AH118">
            <v>413.16390000000001</v>
          </cell>
          <cell r="AI118">
            <v>0</v>
          </cell>
          <cell r="AJ118">
            <v>162.13230000000001</v>
          </cell>
          <cell r="AK118">
            <v>0</v>
          </cell>
          <cell r="AL118">
            <v>0</v>
          </cell>
          <cell r="AM118">
            <v>205.53876600000001</v>
          </cell>
          <cell r="AN118">
            <v>461.37480099999999</v>
          </cell>
        </row>
        <row r="121">
          <cell r="E121">
            <v>835</v>
          </cell>
          <cell r="F121">
            <v>650</v>
          </cell>
          <cell r="G121">
            <v>1485</v>
          </cell>
          <cell r="H121">
            <v>2990</v>
          </cell>
          <cell r="I121">
            <v>1485</v>
          </cell>
          <cell r="J121">
            <v>1300</v>
          </cell>
          <cell r="K121">
            <v>370</v>
          </cell>
          <cell r="L121">
            <v>185</v>
          </cell>
          <cell r="M121">
            <v>185</v>
          </cell>
          <cell r="N121">
            <v>2135</v>
          </cell>
          <cell r="O121">
            <v>0</v>
          </cell>
          <cell r="P121">
            <v>1020</v>
          </cell>
          <cell r="Q121">
            <v>650</v>
          </cell>
          <cell r="R121">
            <v>1020</v>
          </cell>
          <cell r="S121">
            <v>835</v>
          </cell>
          <cell r="T121">
            <v>1095.1300000000001</v>
          </cell>
          <cell r="U121">
            <v>2735</v>
          </cell>
          <cell r="V121">
            <v>185</v>
          </cell>
          <cell r="W121">
            <v>1020</v>
          </cell>
          <cell r="X121">
            <v>5120</v>
          </cell>
          <cell r="Y121">
            <v>190.55</v>
          </cell>
          <cell r="Z121">
            <v>2199.0500000000002</v>
          </cell>
          <cell r="AA121">
            <v>0</v>
          </cell>
          <cell r="AB121">
            <v>1050.6000000000001</v>
          </cell>
          <cell r="AC121">
            <v>669.5</v>
          </cell>
          <cell r="AD121">
            <v>1050.6000000000001</v>
          </cell>
          <cell r="AE121">
            <v>860.05000000000007</v>
          </cell>
          <cell r="AF121">
            <v>1127.9839000000002</v>
          </cell>
          <cell r="AG121">
            <v>2817.05</v>
          </cell>
          <cell r="AH121">
            <v>190.55</v>
          </cell>
          <cell r="AI121">
            <v>1050.6000000000001</v>
          </cell>
          <cell r="AJ121">
            <v>5273.6000000000013</v>
          </cell>
          <cell r="AK121">
            <v>196.26650000000001</v>
          </cell>
          <cell r="AL121">
            <v>2265.0215000000003</v>
          </cell>
          <cell r="AM121">
            <v>0</v>
          </cell>
          <cell r="AN121">
            <v>1082.1180000000002</v>
          </cell>
        </row>
        <row r="122">
          <cell r="E122">
            <v>-1366.46</v>
          </cell>
          <cell r="F122">
            <v>1366.46</v>
          </cell>
          <cell r="G122">
            <v>2746.75</v>
          </cell>
          <cell r="H122">
            <v>1024.94</v>
          </cell>
          <cell r="I122">
            <v>817.27</v>
          </cell>
          <cell r="J122">
            <v>819.81</v>
          </cell>
          <cell r="K122">
            <v>0</v>
          </cell>
          <cell r="L122">
            <v>0</v>
          </cell>
          <cell r="M122">
            <v>2159.7599999999993</v>
          </cell>
          <cell r="N122">
            <v>2262.5700000000002</v>
          </cell>
          <cell r="O122">
            <v>0</v>
          </cell>
          <cell r="P122">
            <v>2926.96</v>
          </cell>
          <cell r="Q122">
            <v>0</v>
          </cell>
          <cell r="R122">
            <v>1555.91</v>
          </cell>
          <cell r="S122">
            <v>973.32</v>
          </cell>
          <cell r="T122">
            <v>854.01</v>
          </cell>
          <cell r="U122">
            <v>740.04</v>
          </cell>
          <cell r="V122">
            <v>0</v>
          </cell>
          <cell r="W122">
            <v>1367.76</v>
          </cell>
          <cell r="X122">
            <v>720.09</v>
          </cell>
          <cell r="Y122">
            <v>2224.5527999999995</v>
          </cell>
          <cell r="Z122">
            <v>2330.4471000000003</v>
          </cell>
          <cell r="AA122">
            <v>0</v>
          </cell>
          <cell r="AB122">
            <v>3014.7688000000003</v>
          </cell>
          <cell r="AC122">
            <v>0</v>
          </cell>
          <cell r="AD122">
            <v>1602.5873000000001</v>
          </cell>
          <cell r="AE122">
            <v>1002.5196000000001</v>
          </cell>
          <cell r="AF122">
            <v>879.63030000000003</v>
          </cell>
          <cell r="AG122">
            <v>762.24119999999994</v>
          </cell>
          <cell r="AH122">
            <v>0</v>
          </cell>
          <cell r="AI122">
            <v>1408.7927999999999</v>
          </cell>
          <cell r="AJ122">
            <v>741.69270000000006</v>
          </cell>
          <cell r="AK122">
            <v>2291.2893839999997</v>
          </cell>
          <cell r="AL122">
            <v>2400.3605130000005</v>
          </cell>
          <cell r="AM122">
            <v>0</v>
          </cell>
          <cell r="AN122">
            <v>3105.2118640000003</v>
          </cell>
        </row>
        <row r="123">
          <cell r="E123">
            <v>2175.16</v>
          </cell>
          <cell r="F123">
            <v>0</v>
          </cell>
          <cell r="G123">
            <v>0</v>
          </cell>
          <cell r="H123">
            <v>0</v>
          </cell>
          <cell r="I123">
            <v>0</v>
          </cell>
          <cell r="J123">
            <v>2210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1536.6666666666665</v>
          </cell>
          <cell r="Z123">
            <v>1536.6666666666665</v>
          </cell>
          <cell r="AA123">
            <v>1536.6666666666665</v>
          </cell>
          <cell r="AB123">
            <v>1536.6666666666665</v>
          </cell>
          <cell r="AC123">
            <v>1536.6666666666665</v>
          </cell>
          <cell r="AD123">
            <v>1536.6666666666665</v>
          </cell>
          <cell r="AE123">
            <v>1536.6666666666665</v>
          </cell>
          <cell r="AF123">
            <v>1536.6666666666665</v>
          </cell>
          <cell r="AG123">
            <v>1536.6666666666665</v>
          </cell>
          <cell r="AH123">
            <v>1536.6666666666665</v>
          </cell>
          <cell r="AI123">
            <v>1536.6666666666665</v>
          </cell>
          <cell r="AJ123">
            <v>1536.6666666666665</v>
          </cell>
          <cell r="AK123">
            <v>1536.6666666666665</v>
          </cell>
          <cell r="AL123">
            <v>1536.6666666666665</v>
          </cell>
          <cell r="AM123">
            <v>1536.6666666666665</v>
          </cell>
          <cell r="AN123">
            <v>1536.6666666666665</v>
          </cell>
        </row>
        <row r="124">
          <cell r="E124">
            <v>1650.22</v>
          </cell>
          <cell r="F124">
            <v>0</v>
          </cell>
          <cell r="G124">
            <v>0</v>
          </cell>
          <cell r="H124">
            <v>825.11</v>
          </cell>
          <cell r="I124">
            <v>0</v>
          </cell>
          <cell r="J124">
            <v>135.33000000000001</v>
          </cell>
          <cell r="K124">
            <v>13.78</v>
          </cell>
          <cell r="L124">
            <v>0</v>
          </cell>
          <cell r="M124">
            <v>866.48</v>
          </cell>
          <cell r="N124">
            <v>41.37</v>
          </cell>
          <cell r="O124">
            <v>41.37</v>
          </cell>
          <cell r="P124">
            <v>124.11</v>
          </cell>
          <cell r="Q124">
            <v>1005.77</v>
          </cell>
          <cell r="R124">
            <v>444.24</v>
          </cell>
          <cell r="S124">
            <v>94.08</v>
          </cell>
          <cell r="T124">
            <v>1345.73</v>
          </cell>
          <cell r="U124">
            <v>294.83999999999997</v>
          </cell>
          <cell r="V124">
            <v>0</v>
          </cell>
          <cell r="W124">
            <v>944.22</v>
          </cell>
          <cell r="X124">
            <v>392.94</v>
          </cell>
          <cell r="Y124">
            <v>892.47440000000006</v>
          </cell>
          <cell r="Z124">
            <v>42.6111</v>
          </cell>
          <cell r="AA124">
            <v>42.6111</v>
          </cell>
          <cell r="AB124">
            <v>127.83330000000001</v>
          </cell>
          <cell r="AC124">
            <v>1035.9431</v>
          </cell>
          <cell r="AD124">
            <v>457.56720000000001</v>
          </cell>
          <cell r="AE124">
            <v>96.9024</v>
          </cell>
          <cell r="AF124">
            <v>1386.1019000000001</v>
          </cell>
          <cell r="AG124">
            <v>303.68520000000001</v>
          </cell>
          <cell r="AH124">
            <v>0</v>
          </cell>
          <cell r="AI124">
            <v>972.54660000000001</v>
          </cell>
          <cell r="AJ124">
            <v>404.72820000000002</v>
          </cell>
          <cell r="AK124">
            <v>919.24863200000004</v>
          </cell>
          <cell r="AL124">
            <v>43.889433000000004</v>
          </cell>
          <cell r="AM124">
            <v>43.889433000000004</v>
          </cell>
          <cell r="AN124">
            <v>131.66829900000002</v>
          </cell>
        </row>
        <row r="125">
          <cell r="E125">
            <v>41646</v>
          </cell>
          <cell r="F125">
            <v>33781</v>
          </cell>
          <cell r="G125">
            <v>85249</v>
          </cell>
          <cell r="H125">
            <v>34335.5</v>
          </cell>
          <cell r="I125">
            <v>34035.5</v>
          </cell>
          <cell r="J125">
            <v>8331</v>
          </cell>
          <cell r="K125">
            <v>52137.22</v>
          </cell>
          <cell r="L125">
            <v>61268.22</v>
          </cell>
          <cell r="M125">
            <v>60168.219999999943</v>
          </cell>
          <cell r="N125">
            <v>79371.66</v>
          </cell>
          <cell r="O125">
            <v>57078.32</v>
          </cell>
          <cell r="P125">
            <v>-292738.68</v>
          </cell>
          <cell r="Q125">
            <v>45210.32</v>
          </cell>
          <cell r="R125">
            <v>23353.32</v>
          </cell>
          <cell r="S125">
            <v>21143.32</v>
          </cell>
          <cell r="T125">
            <v>21143.32</v>
          </cell>
          <cell r="U125">
            <v>30509.46</v>
          </cell>
          <cell r="V125">
            <v>21143.32</v>
          </cell>
          <cell r="W125">
            <v>17391.739999999998</v>
          </cell>
          <cell r="X125">
            <v>19654.669999999998</v>
          </cell>
          <cell r="Y125">
            <v>17859.91</v>
          </cell>
          <cell r="Z125">
            <v>17859.91</v>
          </cell>
          <cell r="AA125">
            <v>17859.91</v>
          </cell>
          <cell r="AB125">
            <v>17859.91</v>
          </cell>
          <cell r="AC125">
            <v>18109.84</v>
          </cell>
          <cell r="AD125">
            <v>18109.84</v>
          </cell>
          <cell r="AE125">
            <v>18109.84</v>
          </cell>
          <cell r="AF125">
            <v>18109.84</v>
          </cell>
          <cell r="AG125">
            <v>18109.84</v>
          </cell>
          <cell r="AH125">
            <v>18109.84</v>
          </cell>
          <cell r="AI125">
            <v>18109.84</v>
          </cell>
          <cell r="AJ125">
            <v>18109.84</v>
          </cell>
          <cell r="AK125">
            <v>18109.84</v>
          </cell>
          <cell r="AL125">
            <v>18109.84</v>
          </cell>
          <cell r="AM125">
            <v>18109.84</v>
          </cell>
          <cell r="AN125">
            <v>18109.84</v>
          </cell>
        </row>
        <row r="126">
          <cell r="E126">
            <v>0</v>
          </cell>
          <cell r="F126">
            <v>5257.75</v>
          </cell>
          <cell r="G126">
            <v>4688.8999999999996</v>
          </cell>
          <cell r="H126">
            <v>2548.75</v>
          </cell>
          <cell r="I126">
            <v>17557.490000000002</v>
          </cell>
          <cell r="J126">
            <v>0</v>
          </cell>
          <cell r="K126">
            <v>1746.98</v>
          </cell>
          <cell r="L126">
            <v>-598.00000000000182</v>
          </cell>
          <cell r="M126">
            <v>0</v>
          </cell>
          <cell r="N126">
            <v>0</v>
          </cell>
          <cell r="O126">
            <v>0</v>
          </cell>
          <cell r="P126">
            <v>0</v>
          </cell>
          <cell r="Q126">
            <v>0</v>
          </cell>
          <cell r="R126">
            <v>-2500</v>
          </cell>
          <cell r="S126">
            <v>0</v>
          </cell>
          <cell r="T126">
            <v>0</v>
          </cell>
          <cell r="U126">
            <v>6054.65</v>
          </cell>
          <cell r="V126">
            <v>6054.65</v>
          </cell>
          <cell r="W126">
            <v>6054.65</v>
          </cell>
          <cell r="X126">
            <v>0</v>
          </cell>
          <cell r="Y126">
            <v>0</v>
          </cell>
          <cell r="Z126">
            <v>0</v>
          </cell>
          <cell r="AA126">
            <v>0</v>
          </cell>
          <cell r="AB126">
            <v>0</v>
          </cell>
          <cell r="AC126">
            <v>0</v>
          </cell>
          <cell r="AD126">
            <v>-2575</v>
          </cell>
          <cell r="AE126">
            <v>0</v>
          </cell>
          <cell r="AF126">
            <v>0</v>
          </cell>
          <cell r="AG126">
            <v>6236.2894999999999</v>
          </cell>
          <cell r="AH126">
            <v>6236.2894999999999</v>
          </cell>
          <cell r="AI126">
            <v>6236.2894999999999</v>
          </cell>
          <cell r="AJ126">
            <v>0</v>
          </cell>
          <cell r="AK126">
            <v>0</v>
          </cell>
          <cell r="AL126">
            <v>0</v>
          </cell>
          <cell r="AM126">
            <v>0</v>
          </cell>
          <cell r="AN126">
            <v>0</v>
          </cell>
        </row>
        <row r="127">
          <cell r="E127">
            <v>12614.32</v>
          </cell>
          <cell r="F127">
            <v>16261.08</v>
          </cell>
          <cell r="G127">
            <v>17603.099999999999</v>
          </cell>
          <cell r="H127">
            <v>30341.77</v>
          </cell>
          <cell r="I127">
            <v>17154.400000000001</v>
          </cell>
          <cell r="J127">
            <v>18668.830000000002</v>
          </cell>
          <cell r="K127">
            <v>18860.009999999998</v>
          </cell>
          <cell r="L127">
            <v>19282.009999999998</v>
          </cell>
          <cell r="M127">
            <v>17850.750000000015</v>
          </cell>
          <cell r="N127">
            <v>18622.73</v>
          </cell>
          <cell r="O127">
            <v>17842.579999999998</v>
          </cell>
          <cell r="P127">
            <v>19281.22</v>
          </cell>
          <cell r="Q127">
            <v>19865.579999999998</v>
          </cell>
          <cell r="R127">
            <v>20250.580000000002</v>
          </cell>
          <cell r="S127">
            <v>18422.16</v>
          </cell>
          <cell r="T127">
            <v>21983.21</v>
          </cell>
          <cell r="U127">
            <v>30077.4</v>
          </cell>
          <cell r="V127">
            <v>22637.57</v>
          </cell>
          <cell r="W127">
            <v>23856.379999999997</v>
          </cell>
          <cell r="X127">
            <v>23126.31</v>
          </cell>
          <cell r="Y127">
            <v>18386.272500000017</v>
          </cell>
          <cell r="Z127">
            <v>19181.411899999999</v>
          </cell>
          <cell r="AA127">
            <v>18377.857400000001</v>
          </cell>
          <cell r="AB127">
            <v>19859.656600000002</v>
          </cell>
          <cell r="AC127">
            <v>20461.547399999999</v>
          </cell>
          <cell r="AD127">
            <v>20858.097399999999</v>
          </cell>
          <cell r="AE127">
            <v>18974.824800000002</v>
          </cell>
          <cell r="AF127">
            <v>22642.706299999998</v>
          </cell>
          <cell r="AG127">
            <v>30979.722000000002</v>
          </cell>
          <cell r="AH127">
            <v>23316.697100000001</v>
          </cell>
          <cell r="AI127">
            <v>24572.071400000001</v>
          </cell>
          <cell r="AJ127">
            <v>23820.099300000002</v>
          </cell>
          <cell r="AK127">
            <v>18937.860675000018</v>
          </cell>
          <cell r="AL127">
            <v>19756.854256999999</v>
          </cell>
          <cell r="AM127">
            <v>18929.193122000001</v>
          </cell>
          <cell r="AN127">
            <v>20455.446298000003</v>
          </cell>
        </row>
        <row r="128">
          <cell r="E128">
            <v>3535.87</v>
          </cell>
          <cell r="F128">
            <v>4339.8</v>
          </cell>
          <cell r="G128">
            <v>1792.81</v>
          </cell>
          <cell r="H128">
            <v>3819.59</v>
          </cell>
          <cell r="I128">
            <v>181.89</v>
          </cell>
          <cell r="J128">
            <v>2666.6499999999996</v>
          </cell>
          <cell r="K128">
            <v>2600.98</v>
          </cell>
          <cell r="L128">
            <v>855.68999999999869</v>
          </cell>
          <cell r="M128">
            <v>2700.66</v>
          </cell>
          <cell r="N128">
            <v>5150.68</v>
          </cell>
          <cell r="O128">
            <v>264.72000000000003</v>
          </cell>
          <cell r="P128">
            <v>1011.72</v>
          </cell>
          <cell r="Q128">
            <v>1895.92</v>
          </cell>
          <cell r="R128">
            <v>1556.16</v>
          </cell>
          <cell r="S128">
            <v>1895.36</v>
          </cell>
          <cell r="T128">
            <v>3376.3</v>
          </cell>
          <cell r="U128">
            <v>2618.2200000000003</v>
          </cell>
          <cell r="V128">
            <v>2564.6999999999998</v>
          </cell>
          <cell r="W128">
            <v>1687.1200000000001</v>
          </cell>
          <cell r="X128">
            <v>877.77</v>
          </cell>
          <cell r="Y128">
            <v>2781.6797999999999</v>
          </cell>
          <cell r="Z128">
            <v>5305.2003999999997</v>
          </cell>
          <cell r="AA128">
            <v>272.66160000000002</v>
          </cell>
          <cell r="AB128">
            <v>1042.0716000000002</v>
          </cell>
          <cell r="AC128">
            <v>1952.7976000000001</v>
          </cell>
          <cell r="AD128">
            <v>1602.8448000000001</v>
          </cell>
          <cell r="AE128">
            <v>1952.2208000000001</v>
          </cell>
          <cell r="AF128">
            <v>3477.5890000000004</v>
          </cell>
          <cell r="AG128">
            <v>2696.7665999999999</v>
          </cell>
          <cell r="AH128">
            <v>2641.6410000000001</v>
          </cell>
          <cell r="AI128">
            <v>1737.7336000000003</v>
          </cell>
          <cell r="AJ128">
            <v>904.10310000000004</v>
          </cell>
          <cell r="AK128">
            <v>2865.1301939999998</v>
          </cell>
          <cell r="AL128">
            <v>5464.3564120000001</v>
          </cell>
          <cell r="AM128">
            <v>280.84144800000001</v>
          </cell>
          <cell r="AN128">
            <v>1073.3337480000002</v>
          </cell>
        </row>
        <row r="129">
          <cell r="E129">
            <v>0</v>
          </cell>
          <cell r="F129">
            <v>0</v>
          </cell>
          <cell r="G129">
            <v>0</v>
          </cell>
          <cell r="H129">
            <v>129.32</v>
          </cell>
          <cell r="I129">
            <v>472.34000000000003</v>
          </cell>
          <cell r="J129">
            <v>0</v>
          </cell>
          <cell r="K129">
            <v>0</v>
          </cell>
          <cell r="L129">
            <v>211.59</v>
          </cell>
          <cell r="M129">
            <v>43.149999999999977</v>
          </cell>
          <cell r="N129">
            <v>290.58</v>
          </cell>
          <cell r="O129">
            <v>0</v>
          </cell>
          <cell r="P129">
            <v>0</v>
          </cell>
          <cell r="Q129">
            <v>0</v>
          </cell>
          <cell r="R129">
            <v>231.75</v>
          </cell>
          <cell r="S129">
            <v>133.19999999999999</v>
          </cell>
          <cell r="T129">
            <v>1319.28</v>
          </cell>
          <cell r="U129">
            <v>240.35</v>
          </cell>
          <cell r="V129">
            <v>56.89</v>
          </cell>
          <cell r="W129">
            <v>2909.91</v>
          </cell>
          <cell r="X129">
            <v>2193.59</v>
          </cell>
          <cell r="Y129">
            <v>44.444499999999977</v>
          </cell>
          <cell r="Z129">
            <v>299.29739999999998</v>
          </cell>
          <cell r="AA129">
            <v>0</v>
          </cell>
          <cell r="AB129">
            <v>0</v>
          </cell>
          <cell r="AC129">
            <v>0</v>
          </cell>
          <cell r="AD129">
            <v>238.70250000000001</v>
          </cell>
          <cell r="AE129">
            <v>137.196</v>
          </cell>
          <cell r="AF129">
            <v>1358.8584000000001</v>
          </cell>
          <cell r="AG129">
            <v>247.56049999999999</v>
          </cell>
          <cell r="AH129">
            <v>58.596700000000006</v>
          </cell>
          <cell r="AI129">
            <v>2997.2073</v>
          </cell>
          <cell r="AJ129">
            <v>2259.3977000000004</v>
          </cell>
          <cell r="AK129">
            <v>45.777834999999975</v>
          </cell>
          <cell r="AL129">
            <v>308.27632199999999</v>
          </cell>
          <cell r="AM129">
            <v>0</v>
          </cell>
          <cell r="AN129">
            <v>0</v>
          </cell>
        </row>
        <row r="130">
          <cell r="E130">
            <v>3295</v>
          </cell>
          <cell r="F130">
            <v>7508.96</v>
          </cell>
          <cell r="G130">
            <v>5208</v>
          </cell>
          <cell r="H130">
            <v>3743.1800000000003</v>
          </cell>
          <cell r="I130">
            <v>4626.2700000000004</v>
          </cell>
          <cell r="J130">
            <v>1654.5</v>
          </cell>
          <cell r="K130">
            <v>609</v>
          </cell>
          <cell r="L130">
            <v>1389.9999999999998</v>
          </cell>
          <cell r="M130">
            <v>2548.7300000000005</v>
          </cell>
          <cell r="N130">
            <v>3309.24</v>
          </cell>
          <cell r="O130">
            <v>1599.74</v>
          </cell>
          <cell r="P130">
            <v>2333.2400000000002</v>
          </cell>
          <cell r="Q130">
            <v>-208.76</v>
          </cell>
          <cell r="R130">
            <v>4544.82</v>
          </cell>
          <cell r="S130">
            <v>1822.42</v>
          </cell>
          <cell r="T130">
            <v>6115.12</v>
          </cell>
          <cell r="U130">
            <v>4394.84</v>
          </cell>
          <cell r="V130">
            <v>1184.2</v>
          </cell>
          <cell r="W130">
            <v>5274.5</v>
          </cell>
          <cell r="X130">
            <v>637.95000000000005</v>
          </cell>
          <cell r="Y130">
            <v>2625.1919000000007</v>
          </cell>
          <cell r="Z130">
            <v>3408.5171999999998</v>
          </cell>
          <cell r="AA130">
            <v>1647.7322000000001</v>
          </cell>
          <cell r="AB130">
            <v>2403.2372</v>
          </cell>
          <cell r="AC130">
            <v>-215.02279999999999</v>
          </cell>
          <cell r="AD130">
            <v>4681.1645999999992</v>
          </cell>
          <cell r="AE130">
            <v>1877.0925999999999</v>
          </cell>
          <cell r="AF130">
            <v>6298.5736000000006</v>
          </cell>
          <cell r="AG130">
            <v>4526.6851999999999</v>
          </cell>
          <cell r="AH130">
            <v>1219.7260000000001</v>
          </cell>
          <cell r="AI130">
            <v>5432.7349999999997</v>
          </cell>
          <cell r="AJ130">
            <v>657.08850000000007</v>
          </cell>
          <cell r="AK130">
            <v>2703.9476570000006</v>
          </cell>
          <cell r="AL130">
            <v>3510.7727159999999</v>
          </cell>
          <cell r="AM130">
            <v>1697.1641660000003</v>
          </cell>
          <cell r="AN130">
            <v>2475.3343160000004</v>
          </cell>
        </row>
        <row r="131">
          <cell r="E131">
            <v>1799.0900000000001</v>
          </cell>
          <cell r="F131">
            <v>177</v>
          </cell>
          <cell r="G131">
            <v>1456.04</v>
          </cell>
          <cell r="H131">
            <v>2911.33</v>
          </cell>
          <cell r="I131">
            <v>551.94000000000005</v>
          </cell>
          <cell r="J131">
            <v>1041.54</v>
          </cell>
          <cell r="K131">
            <v>0</v>
          </cell>
          <cell r="L131">
            <v>2081.83</v>
          </cell>
          <cell r="M131">
            <v>594.71</v>
          </cell>
          <cell r="N131">
            <v>676</v>
          </cell>
          <cell r="O131">
            <v>671.83</v>
          </cell>
          <cell r="P131">
            <v>4828.7999999999993</v>
          </cell>
          <cell r="Q131">
            <v>1857.06</v>
          </cell>
          <cell r="R131">
            <v>2963.91</v>
          </cell>
          <cell r="S131">
            <v>1322.42</v>
          </cell>
          <cell r="T131">
            <v>1606.46</v>
          </cell>
          <cell r="U131">
            <v>277</v>
          </cell>
          <cell r="V131">
            <v>490</v>
          </cell>
          <cell r="W131">
            <v>1111.8499999999999</v>
          </cell>
          <cell r="X131">
            <v>3427.1400000000003</v>
          </cell>
          <cell r="Y131">
            <v>612.55130000000008</v>
          </cell>
          <cell r="Z131">
            <v>696.28</v>
          </cell>
          <cell r="AA131">
            <v>691.98490000000004</v>
          </cell>
          <cell r="AB131">
            <v>4973.6639999999998</v>
          </cell>
          <cell r="AC131">
            <v>1912.7718</v>
          </cell>
          <cell r="AD131">
            <v>3052.8272999999999</v>
          </cell>
          <cell r="AE131">
            <v>1362.0926000000002</v>
          </cell>
          <cell r="AF131">
            <v>1654.6538</v>
          </cell>
          <cell r="AG131">
            <v>285.31</v>
          </cell>
          <cell r="AH131">
            <v>504.7</v>
          </cell>
          <cell r="AI131">
            <v>1145.2055</v>
          </cell>
          <cell r="AJ131">
            <v>3529.9542000000001</v>
          </cell>
          <cell r="AK131">
            <v>630.92783900000006</v>
          </cell>
          <cell r="AL131">
            <v>717.16840000000002</v>
          </cell>
          <cell r="AM131">
            <v>712.74444700000004</v>
          </cell>
          <cell r="AN131">
            <v>5122.87392</v>
          </cell>
        </row>
        <row r="132">
          <cell r="E132">
            <v>-115.53</v>
          </cell>
          <cell r="F132">
            <v>115.53</v>
          </cell>
          <cell r="G132">
            <v>228.9</v>
          </cell>
          <cell r="H132">
            <v>116.32</v>
          </cell>
          <cell r="I132">
            <v>114.42</v>
          </cell>
          <cell r="J132">
            <v>261.01</v>
          </cell>
          <cell r="K132">
            <v>0</v>
          </cell>
          <cell r="L132">
            <v>243.84999999999991</v>
          </cell>
          <cell r="M132">
            <v>7792.73</v>
          </cell>
          <cell r="N132">
            <v>1470.08</v>
          </cell>
          <cell r="O132">
            <v>140.88</v>
          </cell>
          <cell r="P132">
            <v>121.33</v>
          </cell>
          <cell r="Q132">
            <v>115.16</v>
          </cell>
          <cell r="R132">
            <v>117.89</v>
          </cell>
          <cell r="S132">
            <v>117.48</v>
          </cell>
          <cell r="T132">
            <v>119.15</v>
          </cell>
          <cell r="U132">
            <v>185.54</v>
          </cell>
          <cell r="V132">
            <v>762.48</v>
          </cell>
          <cell r="W132">
            <v>824.41</v>
          </cell>
          <cell r="X132">
            <v>633.66</v>
          </cell>
          <cell r="Y132">
            <v>8026.5118999999995</v>
          </cell>
          <cell r="Z132">
            <v>1514.1823999999999</v>
          </cell>
          <cell r="AA132">
            <v>145.10640000000001</v>
          </cell>
          <cell r="AB132">
            <v>124.9699</v>
          </cell>
          <cell r="AC132">
            <v>118.6148</v>
          </cell>
          <cell r="AD132">
            <v>121.4267</v>
          </cell>
          <cell r="AE132">
            <v>121.0044</v>
          </cell>
          <cell r="AF132">
            <v>122.72450000000001</v>
          </cell>
          <cell r="AG132">
            <v>191.1062</v>
          </cell>
          <cell r="AH132">
            <v>785.35440000000006</v>
          </cell>
          <cell r="AI132">
            <v>849.14229999999998</v>
          </cell>
          <cell r="AJ132">
            <v>652.66980000000001</v>
          </cell>
          <cell r="AK132">
            <v>8267.3072570000004</v>
          </cell>
          <cell r="AL132">
            <v>1559.607872</v>
          </cell>
          <cell r="AM132">
            <v>149.45959200000001</v>
          </cell>
          <cell r="AN132">
            <v>128.718997</v>
          </cell>
        </row>
        <row r="133">
          <cell r="E133">
            <v>-861.12</v>
          </cell>
          <cell r="F133">
            <v>861.12</v>
          </cell>
          <cell r="G133">
            <v>1588.51</v>
          </cell>
          <cell r="H133">
            <v>1716.32</v>
          </cell>
          <cell r="I133">
            <v>539.75</v>
          </cell>
          <cell r="J133">
            <v>667.61</v>
          </cell>
          <cell r="K133">
            <v>0</v>
          </cell>
          <cell r="L133">
            <v>0</v>
          </cell>
          <cell r="M133">
            <v>1159.2700000000004</v>
          </cell>
          <cell r="N133">
            <v>522.89</v>
          </cell>
          <cell r="O133">
            <v>216.96</v>
          </cell>
          <cell r="P133">
            <v>1298.97</v>
          </cell>
          <cell r="Q133">
            <v>0</v>
          </cell>
          <cell r="R133">
            <v>1780.05</v>
          </cell>
          <cell r="S133">
            <v>2189.84</v>
          </cell>
          <cell r="T133">
            <v>2278.77</v>
          </cell>
          <cell r="U133">
            <v>0</v>
          </cell>
          <cell r="V133">
            <v>4224.8999999999996</v>
          </cell>
          <cell r="W133">
            <v>-1760.95</v>
          </cell>
          <cell r="X133">
            <v>0</v>
          </cell>
          <cell r="Y133">
            <v>1194.0481000000004</v>
          </cell>
          <cell r="Z133">
            <v>538.57669999999996</v>
          </cell>
          <cell r="AA133">
            <v>223.46880000000002</v>
          </cell>
          <cell r="AB133">
            <v>1337.9391000000001</v>
          </cell>
          <cell r="AC133">
            <v>0</v>
          </cell>
          <cell r="AD133">
            <v>1833.4514999999999</v>
          </cell>
          <cell r="AE133">
            <v>2255.5352000000003</v>
          </cell>
          <cell r="AF133">
            <v>2347.1331</v>
          </cell>
          <cell r="AG133">
            <v>0</v>
          </cell>
          <cell r="AH133">
            <v>4351.6469999999999</v>
          </cell>
          <cell r="AI133">
            <v>-1813.7785000000001</v>
          </cell>
          <cell r="AJ133">
            <v>0</v>
          </cell>
          <cell r="AK133">
            <v>1229.8695430000005</v>
          </cell>
          <cell r="AL133">
            <v>554.73400099999992</v>
          </cell>
          <cell r="AM133">
            <v>230.17286400000003</v>
          </cell>
          <cell r="AN133">
            <v>1378.0772730000001</v>
          </cell>
        </row>
        <row r="134">
          <cell r="E134">
            <v>283.33999999999997</v>
          </cell>
          <cell r="F134">
            <v>283.33999999999997</v>
          </cell>
          <cell r="G134">
            <v>283.33999999999997</v>
          </cell>
          <cell r="H134">
            <v>283.33999999999997</v>
          </cell>
          <cell r="I134">
            <v>283.33999999999997</v>
          </cell>
          <cell r="J134">
            <v>283.33999999999997</v>
          </cell>
          <cell r="K134">
            <v>283.33999999999997</v>
          </cell>
          <cell r="L134">
            <v>283.34000000000003</v>
          </cell>
          <cell r="M134">
            <v>9317.0300000000007</v>
          </cell>
          <cell r="N134">
            <v>2643.08</v>
          </cell>
          <cell r="O134">
            <v>2728.06</v>
          </cell>
          <cell r="P134">
            <v>129454.54000000001</v>
          </cell>
          <cell r="Q134">
            <v>23791.88</v>
          </cell>
          <cell r="R134">
            <v>23847.31</v>
          </cell>
          <cell r="S134">
            <v>23847.31</v>
          </cell>
          <cell r="T134">
            <v>23847.31</v>
          </cell>
          <cell r="U134">
            <v>23847.31</v>
          </cell>
          <cell r="V134">
            <v>23847.31</v>
          </cell>
          <cell r="W134">
            <v>23847.31</v>
          </cell>
          <cell r="X134">
            <v>23847.31</v>
          </cell>
          <cell r="Y134">
            <v>23847.310000000005</v>
          </cell>
          <cell r="Z134">
            <v>23847.310000000005</v>
          </cell>
          <cell r="AA134">
            <v>23847.310000000005</v>
          </cell>
          <cell r="AB134">
            <v>23847.310000000005</v>
          </cell>
          <cell r="AC134">
            <v>23847.310000000005</v>
          </cell>
          <cell r="AD134">
            <v>25013.976666666673</v>
          </cell>
          <cell r="AE134">
            <v>25013.976666666673</v>
          </cell>
          <cell r="AF134">
            <v>25041.75444444445</v>
          </cell>
          <cell r="AG134">
            <v>25069.532222222231</v>
          </cell>
          <cell r="AH134">
            <v>25180.643333333341</v>
          </cell>
          <cell r="AI134">
            <v>25208.421111111122</v>
          </cell>
          <cell r="AJ134">
            <v>25236.198888888899</v>
          </cell>
          <cell r="AK134">
            <v>25263.97666666668</v>
          </cell>
          <cell r="AL134">
            <v>25291.754444444457</v>
          </cell>
          <cell r="AM134">
            <v>25319.532222222238</v>
          </cell>
          <cell r="AN134">
            <v>25347.310000000016</v>
          </cell>
        </row>
        <row r="139">
          <cell r="AD139">
            <v>8871.8333333333321</v>
          </cell>
          <cell r="AE139">
            <v>8871.8333333333321</v>
          </cell>
          <cell r="AF139">
            <v>8871.8333333333321</v>
          </cell>
          <cell r="AG139">
            <v>8871.8333333333321</v>
          </cell>
          <cell r="AH139">
            <v>8871.8333333333321</v>
          </cell>
          <cell r="AI139">
            <v>8871.8333333333321</v>
          </cell>
          <cell r="AJ139">
            <v>8871.8333333333321</v>
          </cell>
          <cell r="AK139">
            <v>8871.8333333333321</v>
          </cell>
          <cell r="AL139">
            <v>8871.8333333333321</v>
          </cell>
          <cell r="AM139">
            <v>8871.8333333333321</v>
          </cell>
          <cell r="AN139">
            <v>17743.666666666664</v>
          </cell>
        </row>
        <row r="140">
          <cell r="AD140">
            <v>2844.2866666666669</v>
          </cell>
          <cell r="AE140">
            <v>2844.2866666666669</v>
          </cell>
          <cell r="AF140">
            <v>2844.2866666666669</v>
          </cell>
          <cell r="AG140">
            <v>2844.2866666666669</v>
          </cell>
          <cell r="AH140">
            <v>2844.2866666666669</v>
          </cell>
          <cell r="AI140">
            <v>2844.2866666666669</v>
          </cell>
          <cell r="AJ140">
            <v>2844.2866666666669</v>
          </cell>
          <cell r="AK140">
            <v>2844.2866666666669</v>
          </cell>
          <cell r="AL140">
            <v>2844.2866666666669</v>
          </cell>
          <cell r="AM140">
            <v>2844.2866666666669</v>
          </cell>
          <cell r="AN140">
            <v>5688.5733333333337</v>
          </cell>
        </row>
        <row r="141">
          <cell r="AD141">
            <v>0</v>
          </cell>
          <cell r="AE141">
            <v>0</v>
          </cell>
          <cell r="AF141">
            <v>0</v>
          </cell>
          <cell r="AG141">
            <v>0</v>
          </cell>
          <cell r="AH141">
            <v>0</v>
          </cell>
          <cell r="AI141">
            <v>0</v>
          </cell>
          <cell r="AJ141">
            <v>0</v>
          </cell>
          <cell r="AK141">
            <v>0</v>
          </cell>
          <cell r="AL141">
            <v>0</v>
          </cell>
          <cell r="AM141">
            <v>0</v>
          </cell>
          <cell r="AN141">
            <v>0</v>
          </cell>
        </row>
        <row r="142">
          <cell r="AD142">
            <v>148.28108330933543</v>
          </cell>
          <cell r="AE142">
            <v>144.1693099487008</v>
          </cell>
          <cell r="AF142">
            <v>143.52413626590368</v>
          </cell>
          <cell r="AG142">
            <v>144.0540507734421</v>
          </cell>
          <cell r="AH142">
            <v>144.44654511749778</v>
          </cell>
          <cell r="AI142">
            <v>144.68891558175798</v>
          </cell>
          <cell r="AJ142">
            <v>144.86067349943963</v>
          </cell>
          <cell r="AK142">
            <v>144.86067349943963</v>
          </cell>
          <cell r="AL142">
            <v>144.37204352659739</v>
          </cell>
          <cell r="AM142">
            <v>144.40100546629688</v>
          </cell>
          <cell r="AN142">
            <v>289.05254498984903</v>
          </cell>
        </row>
        <row r="143">
          <cell r="AD143">
            <v>44.077719627325507</v>
          </cell>
          <cell r="AE143">
            <v>43.231019460367563</v>
          </cell>
          <cell r="AF143">
            <v>42.035894763792811</v>
          </cell>
          <cell r="AG143">
            <v>42.312314842426986</v>
          </cell>
          <cell r="AH143">
            <v>42.533608956395689</v>
          </cell>
          <cell r="AI143">
            <v>42.682389325440894</v>
          </cell>
          <cell r="AJ143">
            <v>42.812157829291579</v>
          </cell>
          <cell r="AK143">
            <v>42.812157829291579</v>
          </cell>
          <cell r="AL143">
            <v>42.631363286715306</v>
          </cell>
          <cell r="AM143">
            <v>42.545698119050691</v>
          </cell>
          <cell r="AN143">
            <v>85.237054339603631</v>
          </cell>
        </row>
        <row r="144">
          <cell r="AD144">
            <v>2594.0149875369584</v>
          </cell>
          <cell r="AE144">
            <v>2593.8874648869873</v>
          </cell>
          <cell r="AF144">
            <v>2593.7574384814152</v>
          </cell>
          <cell r="AG144">
            <v>2593.859275286547</v>
          </cell>
          <cell r="AH144">
            <v>2593.9944030530623</v>
          </cell>
          <cell r="AI144">
            <v>2593.9637237091979</v>
          </cell>
          <cell r="AJ144">
            <v>2593.9128821590284</v>
          </cell>
          <cell r="AK144">
            <v>2593.9128821590284</v>
          </cell>
          <cell r="AL144">
            <v>2593.8982956764667</v>
          </cell>
          <cell r="AM144">
            <v>2593.8998429321068</v>
          </cell>
          <cell r="AN144">
            <v>5187.8403728501253</v>
          </cell>
        </row>
        <row r="145">
          <cell r="AD145">
            <v>384.16931875353407</v>
          </cell>
          <cell r="AE145">
            <v>384.02459030731541</v>
          </cell>
          <cell r="AF145">
            <v>389.60873338154681</v>
          </cell>
          <cell r="AG145">
            <v>388.14216483493271</v>
          </cell>
          <cell r="AH145">
            <v>387.08751126505297</v>
          </cell>
          <cell r="AI145">
            <v>386.47823631910984</v>
          </cell>
          <cell r="AJ145">
            <v>386.58509247691541</v>
          </cell>
          <cell r="AK145">
            <v>386.58509247691541</v>
          </cell>
          <cell r="AL145">
            <v>386.93020300882699</v>
          </cell>
          <cell r="AM145">
            <v>387.34529053761429</v>
          </cell>
          <cell r="AN145">
            <v>774.04388311981938</v>
          </cell>
        </row>
        <row r="146">
          <cell r="AD146">
            <v>72.895452520902822</v>
          </cell>
          <cell r="AE146">
            <v>65.250412619641779</v>
          </cell>
          <cell r="AF146">
            <v>57.456738505021491</v>
          </cell>
          <cell r="AG146">
            <v>59.493644380684188</v>
          </cell>
          <cell r="AH146">
            <v>61.045366850921418</v>
          </cell>
          <cell r="AI146">
            <v>62.06641219652446</v>
          </cell>
          <cell r="AJ146">
            <v>63.03467117894936</v>
          </cell>
          <cell r="AK146">
            <v>63.034671178949367</v>
          </cell>
          <cell r="AL146">
            <v>61.625988130098868</v>
          </cell>
          <cell r="AM146">
            <v>61.108213203021307</v>
          </cell>
          <cell r="AN146">
            <v>123.25970489118539</v>
          </cell>
        </row>
        <row r="147">
          <cell r="AD147">
            <v>42.660928435590932</v>
          </cell>
          <cell r="AE147">
            <v>42.660321088421973</v>
          </cell>
          <cell r="AF147">
            <v>42.65973957195213</v>
          </cell>
          <cell r="AG147">
            <v>42.65995256270206</v>
          </cell>
          <cell r="AH147">
            <v>42.660112129584647</v>
          </cell>
          <cell r="AI147">
            <v>42.660203252829589</v>
          </cell>
          <cell r="AJ147">
            <v>42.66020950684689</v>
          </cell>
          <cell r="AK147">
            <v>42.66020950684689</v>
          </cell>
          <cell r="AL147">
            <v>42.6601068027406</v>
          </cell>
          <cell r="AM147">
            <v>42.660076190500412</v>
          </cell>
          <cell r="AN147">
            <v>85.320248557728874</v>
          </cell>
        </row>
        <row r="148">
          <cell r="AD148">
            <v>163.65252815885395</v>
          </cell>
          <cell r="AE148">
            <v>163.63075948128198</v>
          </cell>
          <cell r="AF148">
            <v>163.60856763846897</v>
          </cell>
          <cell r="AG148">
            <v>163.61304453073615</v>
          </cell>
          <cell r="AH148">
            <v>163.62119310591919</v>
          </cell>
          <cell r="AI148">
            <v>163.62059473011789</v>
          </cell>
          <cell r="AJ148">
            <v>163.62444794089637</v>
          </cell>
          <cell r="AK148">
            <v>163.62444794089637</v>
          </cell>
          <cell r="AL148">
            <v>163.62043648118811</v>
          </cell>
          <cell r="AM148">
            <v>163.61896176688899</v>
          </cell>
          <cell r="AN148">
            <v>327.24089328475509</v>
          </cell>
        </row>
        <row r="149">
          <cell r="AD149">
            <v>97.120506848536934</v>
          </cell>
          <cell r="AE149">
            <v>97.083918551623015</v>
          </cell>
          <cell r="AF149">
            <v>98.495626311699709</v>
          </cell>
          <cell r="AG149">
            <v>98.124868226787854</v>
          </cell>
          <cell r="AH149">
            <v>97.858244931992928</v>
          </cell>
          <cell r="AI149">
            <v>97.704216255396474</v>
          </cell>
          <cell r="AJ149">
            <v>97.731230187672821</v>
          </cell>
          <cell r="AK149">
            <v>97.731230187672836</v>
          </cell>
          <cell r="AL149">
            <v>97.818476378977962</v>
          </cell>
          <cell r="AM149">
            <v>97.92341321145723</v>
          </cell>
          <cell r="AN149">
            <v>195.68333696570235</v>
          </cell>
        </row>
        <row r="150">
          <cell r="E150">
            <v>0</v>
          </cell>
          <cell r="F150">
            <v>0</v>
          </cell>
          <cell r="G150">
            <v>1068.75</v>
          </cell>
          <cell r="H150">
            <v>0</v>
          </cell>
          <cell r="I150">
            <v>5925</v>
          </cell>
          <cell r="J150">
            <v>1818.75</v>
          </cell>
          <cell r="K150">
            <v>2106</v>
          </cell>
          <cell r="L150">
            <v>3712.5</v>
          </cell>
          <cell r="M150">
            <v>3168.75</v>
          </cell>
          <cell r="N150">
            <v>3093.75</v>
          </cell>
          <cell r="O150">
            <v>0</v>
          </cell>
          <cell r="P150">
            <v>3187.5</v>
          </cell>
          <cell r="Q150">
            <v>500</v>
          </cell>
          <cell r="R150">
            <v>0</v>
          </cell>
          <cell r="S150">
            <v>0</v>
          </cell>
          <cell r="T150">
            <v>0</v>
          </cell>
          <cell r="U150">
            <v>9871.8799999999992</v>
          </cell>
          <cell r="V150">
            <v>4518.75</v>
          </cell>
          <cell r="W150">
            <v>4950</v>
          </cell>
          <cell r="X150">
            <v>10162.5</v>
          </cell>
          <cell r="Y150">
            <v>7375.7824999999993</v>
          </cell>
          <cell r="Z150">
            <v>7375.7824999999993</v>
          </cell>
          <cell r="AA150">
            <v>7375.7824999999993</v>
          </cell>
          <cell r="AB150">
            <v>7375.7824999999993</v>
          </cell>
          <cell r="AC150">
            <v>0</v>
          </cell>
          <cell r="AD150">
            <v>0</v>
          </cell>
          <cell r="AE150">
            <v>0</v>
          </cell>
          <cell r="AF150">
            <v>0</v>
          </cell>
          <cell r="AG150">
            <v>0</v>
          </cell>
          <cell r="AH150">
            <v>0</v>
          </cell>
          <cell r="AI150">
            <v>0</v>
          </cell>
          <cell r="AJ150">
            <v>0</v>
          </cell>
          <cell r="AK150">
            <v>0</v>
          </cell>
          <cell r="AL150">
            <v>0</v>
          </cell>
          <cell r="AM150">
            <v>0</v>
          </cell>
          <cell r="AN150">
            <v>0</v>
          </cell>
        </row>
        <row r="163">
          <cell r="E163">
            <v>0</v>
          </cell>
          <cell r="F163">
            <v>0</v>
          </cell>
          <cell r="G163">
            <v>0</v>
          </cell>
          <cell r="H163">
            <v>0</v>
          </cell>
          <cell r="I163">
            <v>0</v>
          </cell>
          <cell r="J163">
            <v>0</v>
          </cell>
          <cell r="K163">
            <v>0</v>
          </cell>
          <cell r="L163">
            <v>0</v>
          </cell>
          <cell r="M163">
            <v>0</v>
          </cell>
          <cell r="N163">
            <v>0</v>
          </cell>
          <cell r="O163">
            <v>0</v>
          </cell>
          <cell r="P163">
            <v>267350</v>
          </cell>
          <cell r="Q163">
            <v>53924.19</v>
          </cell>
          <cell r="R163">
            <v>54078.66</v>
          </cell>
          <cell r="S163">
            <v>54234.44</v>
          </cell>
          <cell r="T163">
            <v>54391.57</v>
          </cell>
          <cell r="U163">
            <v>54550.04</v>
          </cell>
          <cell r="V163">
            <v>54709.88</v>
          </cell>
          <cell r="W163">
            <v>54871.08</v>
          </cell>
          <cell r="X163">
            <v>54989.11</v>
          </cell>
          <cell r="Y163">
            <v>55108.15</v>
          </cell>
          <cell r="Z163">
            <v>55228.22</v>
          </cell>
          <cell r="AA163">
            <v>55349.31</v>
          </cell>
          <cell r="AB163">
            <v>55471.45</v>
          </cell>
          <cell r="AC163">
            <v>55594.63</v>
          </cell>
          <cell r="AD163">
            <v>55718.87</v>
          </cell>
          <cell r="AE163">
            <v>55844.18</v>
          </cell>
          <cell r="AF163">
            <v>55970.559999999998</v>
          </cell>
          <cell r="AG163">
            <v>56098.03</v>
          </cell>
          <cell r="AH163">
            <v>56226.6</v>
          </cell>
          <cell r="AI163">
            <v>56356.26</v>
          </cell>
          <cell r="AJ163">
            <v>56440.08</v>
          </cell>
          <cell r="AK163">
            <v>56524.61</v>
          </cell>
          <cell r="AL163">
            <v>56609.87</v>
          </cell>
          <cell r="AM163">
            <v>56695.86</v>
          </cell>
          <cell r="AN163">
            <v>56782.59</v>
          </cell>
        </row>
        <row r="187">
          <cell r="AC187">
            <v>0</v>
          </cell>
        </row>
        <row r="188">
          <cell r="AC188">
            <v>427.2749</v>
          </cell>
        </row>
        <row r="189">
          <cell r="AC189">
            <v>18109.84</v>
          </cell>
          <cell r="AD189">
            <v>18109.84</v>
          </cell>
          <cell r="AE189">
            <v>18109.84</v>
          </cell>
          <cell r="AF189">
            <v>18109.84</v>
          </cell>
          <cell r="AG189">
            <v>18109.84</v>
          </cell>
          <cell r="AH189">
            <v>18109.84</v>
          </cell>
          <cell r="AI189">
            <v>18109.84</v>
          </cell>
          <cell r="AJ189">
            <v>18109.84</v>
          </cell>
          <cell r="AK189">
            <v>18109.84</v>
          </cell>
          <cell r="AL189">
            <v>18109.84</v>
          </cell>
          <cell r="AM189">
            <v>18109.84</v>
          </cell>
          <cell r="AN189">
            <v>18109.84</v>
          </cell>
        </row>
        <row r="192">
          <cell r="AC192">
            <v>3947.99</v>
          </cell>
          <cell r="AD192">
            <v>2622.4314999999997</v>
          </cell>
          <cell r="AE192">
            <v>3166.7968000000001</v>
          </cell>
          <cell r="AF192">
            <v>1899.9174</v>
          </cell>
          <cell r="AG192">
            <v>3457.9983999999999</v>
          </cell>
          <cell r="AH192">
            <v>507.64580000000007</v>
          </cell>
          <cell r="AI192">
            <v>9247.8549999999996</v>
          </cell>
          <cell r="AJ192">
            <v>1512.5447000000001</v>
          </cell>
          <cell r="AK192">
            <v>511.15222899999969</v>
          </cell>
          <cell r="AL192">
            <v>314.17492600000003</v>
          </cell>
          <cell r="AM192">
            <v>3920.0785449999998</v>
          </cell>
          <cell r="AN192">
            <v>3064.1974700000001</v>
          </cell>
        </row>
        <row r="193">
          <cell r="AC193">
            <v>669.5</v>
          </cell>
          <cell r="AD193">
            <v>15226.871100000002</v>
          </cell>
          <cell r="AE193">
            <v>74881.226600000009</v>
          </cell>
          <cell r="AF193">
            <v>16624.426599999999</v>
          </cell>
          <cell r="AG193">
            <v>4088.7807000000003</v>
          </cell>
          <cell r="AH193">
            <v>190.55</v>
          </cell>
          <cell r="AI193">
            <v>5930.925400000001</v>
          </cell>
          <cell r="AJ193">
            <v>5482.8239000000012</v>
          </cell>
          <cell r="AK193">
            <v>3026.6203920000003</v>
          </cell>
          <cell r="AL193">
            <v>6315.1451670000006</v>
          </cell>
          <cell r="AM193">
            <v>3480.8765539999999</v>
          </cell>
          <cell r="AN193">
            <v>1323.2817880000002</v>
          </cell>
        </row>
        <row r="194">
          <cell r="AC194">
            <v>20461.547399999999</v>
          </cell>
          <cell r="AD194">
            <v>18283.097399999999</v>
          </cell>
          <cell r="AE194">
            <v>18974.824800000002</v>
          </cell>
          <cell r="AF194">
            <v>22642.706299999998</v>
          </cell>
          <cell r="AG194">
            <v>37216.011500000001</v>
          </cell>
          <cell r="AH194">
            <v>29552.9866</v>
          </cell>
          <cell r="AI194">
            <v>30808.3609</v>
          </cell>
          <cell r="AJ194">
            <v>23820.099300000002</v>
          </cell>
          <cell r="AK194">
            <v>18937.860675000018</v>
          </cell>
          <cell r="AL194">
            <v>19756.854256999999</v>
          </cell>
          <cell r="AM194">
            <v>18929.193122000001</v>
          </cell>
          <cell r="AN194">
            <v>20455.446298000003</v>
          </cell>
        </row>
        <row r="196">
          <cell r="AC196">
            <v>4293.7610000000004</v>
          </cell>
          <cell r="AD196">
            <v>10022.475</v>
          </cell>
          <cell r="AE196">
            <v>35775.854999999996</v>
          </cell>
          <cell r="AF196">
            <v>20195.853900000002</v>
          </cell>
          <cell r="AG196">
            <v>42946.359999999993</v>
          </cell>
          <cell r="AH196">
            <v>4000</v>
          </cell>
          <cell r="AI196">
            <v>10741.35</v>
          </cell>
          <cell r="AJ196">
            <v>10437.5</v>
          </cell>
          <cell r="AK196">
            <v>6842.7345949999999</v>
          </cell>
          <cell r="AL196">
            <v>9728.86</v>
          </cell>
          <cell r="AM196">
            <v>22285.672399999999</v>
          </cell>
          <cell r="AN196">
            <v>9703.7166700000016</v>
          </cell>
        </row>
        <row r="197">
          <cell r="AC197">
            <v>2378.3523999999998</v>
          </cell>
          <cell r="AD197">
            <v>2617.0548999999996</v>
          </cell>
          <cell r="AE197">
            <v>2316.8305</v>
          </cell>
          <cell r="AF197">
            <v>3538.4929000000002</v>
          </cell>
          <cell r="AG197">
            <v>3126.4105</v>
          </cell>
          <cell r="AH197">
            <v>3360.6222000000002</v>
          </cell>
          <cell r="AI197">
            <v>5876.0573000000004</v>
          </cell>
          <cell r="AJ197">
            <v>5138.2476999999999</v>
          </cell>
          <cell r="AK197">
            <v>2290.8013700000001</v>
          </cell>
          <cell r="AL197">
            <v>4798.3233920000002</v>
          </cell>
          <cell r="AM197">
            <v>0</v>
          </cell>
          <cell r="AN197">
            <v>2245.0235350000003</v>
          </cell>
        </row>
        <row r="199">
          <cell r="AC199">
            <v>23847.310000000005</v>
          </cell>
          <cell r="AD199">
            <v>25013.976666666673</v>
          </cell>
          <cell r="AE199">
            <v>25013.976666666673</v>
          </cell>
          <cell r="AF199">
            <v>25041.75444444445</v>
          </cell>
          <cell r="AG199">
            <v>25069.532222222231</v>
          </cell>
          <cell r="AH199">
            <v>25180.643333333341</v>
          </cell>
          <cell r="AI199">
            <v>25208.421111111122</v>
          </cell>
          <cell r="AJ199">
            <v>25236.198888888899</v>
          </cell>
          <cell r="AK199">
            <v>25263.97666666668</v>
          </cell>
          <cell r="AL199">
            <v>25291.754444444457</v>
          </cell>
          <cell r="AM199">
            <v>25319.532222222238</v>
          </cell>
          <cell r="AN199">
            <v>25347.310000000016</v>
          </cell>
        </row>
        <row r="200">
          <cell r="AC200">
            <v>55594.63</v>
          </cell>
          <cell r="AD200">
            <v>55718.87</v>
          </cell>
          <cell r="AE200">
            <v>55844.18</v>
          </cell>
          <cell r="AF200">
            <v>55970.559999999998</v>
          </cell>
          <cell r="AG200">
            <v>56098.03</v>
          </cell>
          <cell r="AH200">
            <v>56226.6</v>
          </cell>
          <cell r="AI200">
            <v>56356.26</v>
          </cell>
          <cell r="AJ200">
            <v>56440.08</v>
          </cell>
          <cell r="AK200">
            <v>56524.61</v>
          </cell>
          <cell r="AL200">
            <v>56609.87</v>
          </cell>
          <cell r="AM200">
            <v>56695.86</v>
          </cell>
          <cell r="AN200">
            <v>56782.59</v>
          </cell>
        </row>
        <row r="203">
          <cell r="AC203">
            <v>139772.04586666665</v>
          </cell>
          <cell r="AD203">
            <v>377967.34611465235</v>
          </cell>
          <cell r="AE203">
            <v>493290.09911761072</v>
          </cell>
          <cell r="AF203">
            <v>387682.90220573655</v>
          </cell>
          <cell r="AG203">
            <v>411237.57412731892</v>
          </cell>
          <cell r="AH203">
            <v>354417.80084944115</v>
          </cell>
          <cell r="AI203">
            <v>389018.90527355083</v>
          </cell>
          <cell r="AJ203">
            <v>363107.27034619998</v>
          </cell>
          <cell r="AK203">
            <v>360923.3989179777</v>
          </cell>
          <cell r="AL203">
            <v>362741.78450094484</v>
          </cell>
          <cell r="AM203">
            <v>360813.10736080201</v>
          </cell>
          <cell r="AN203">
            <v>561389.29530457524</v>
          </cell>
        </row>
      </sheetData>
      <sheetData sheetId="7">
        <row r="125">
          <cell r="AC125">
            <v>9528.91</v>
          </cell>
          <cell r="AD125">
            <v>9528.91</v>
          </cell>
          <cell r="AE125">
            <v>9528.91</v>
          </cell>
          <cell r="AF125">
            <v>9528.91</v>
          </cell>
          <cell r="AG125">
            <v>9528.91</v>
          </cell>
          <cell r="AH125">
            <v>9528.91</v>
          </cell>
          <cell r="AI125">
            <v>9528.91</v>
          </cell>
          <cell r="AJ125">
            <v>9528.91</v>
          </cell>
          <cell r="AK125">
            <v>9528.91</v>
          </cell>
          <cell r="AL125">
            <v>9528.91</v>
          </cell>
          <cell r="AM125">
            <v>9528.91</v>
          </cell>
          <cell r="AN125">
            <v>9528.91</v>
          </cell>
        </row>
        <row r="163">
          <cell r="AC163">
            <v>55594.63</v>
          </cell>
          <cell r="AD163">
            <v>55718.87</v>
          </cell>
          <cell r="AE163">
            <v>55844.18</v>
          </cell>
          <cell r="AF163">
            <v>55970.559999999998</v>
          </cell>
          <cell r="AG163">
            <v>56098.03</v>
          </cell>
          <cell r="AH163">
            <v>56226.6</v>
          </cell>
          <cell r="AI163">
            <v>56356.26</v>
          </cell>
          <cell r="AJ163">
            <v>56440.08</v>
          </cell>
          <cell r="AK163">
            <v>56524.61</v>
          </cell>
          <cell r="AL163">
            <v>56609.87</v>
          </cell>
          <cell r="AM163">
            <v>56695.86</v>
          </cell>
          <cell r="AN163">
            <v>56782.59</v>
          </cell>
        </row>
      </sheetData>
      <sheetData sheetId="8" refreshError="1"/>
      <sheetData sheetId="9" refreshError="1"/>
      <sheetData sheetId="10">
        <row r="8">
          <cell r="AB8">
            <v>23847.310000000005</v>
          </cell>
          <cell r="AC8">
            <v>25013.976666666673</v>
          </cell>
          <cell r="AD8">
            <v>25013.976666666673</v>
          </cell>
          <cell r="AE8">
            <v>25041.75444444445</v>
          </cell>
          <cell r="AF8">
            <v>25069.532222222231</v>
          </cell>
          <cell r="AG8">
            <v>25180.643333333341</v>
          </cell>
          <cell r="AH8">
            <v>25208.421111111122</v>
          </cell>
          <cell r="AI8">
            <v>25236.198888888899</v>
          </cell>
          <cell r="AJ8">
            <v>25263.97666666668</v>
          </cell>
          <cell r="AK8">
            <v>25291.754444444457</v>
          </cell>
          <cell r="AL8">
            <v>25319.532222222238</v>
          </cell>
          <cell r="AM8">
            <v>25347.310000000016</v>
          </cell>
        </row>
        <row r="9">
          <cell r="AB9">
            <v>-340778.35931977432</v>
          </cell>
          <cell r="AC9">
            <v>76797.116209027634</v>
          </cell>
          <cell r="AD9">
            <v>41864.185045229708</v>
          </cell>
          <cell r="AE9">
            <v>-38811.325015847688</v>
          </cell>
          <cell r="AF9">
            <v>11375.866685750399</v>
          </cell>
          <cell r="AG9">
            <v>-22189.138091006971</v>
          </cell>
          <cell r="AH9">
            <v>11119.820781970848</v>
          </cell>
          <cell r="AI9">
            <v>2213.4658188107423</v>
          </cell>
          <cell r="AJ9">
            <v>-11330.838836737559</v>
          </cell>
          <cell r="AK9">
            <v>3850.8137848382466</v>
          </cell>
          <cell r="AL9">
            <v>-3941.6336419917061</v>
          </cell>
          <cell r="AM9">
            <v>274059.90576819732</v>
          </cell>
        </row>
        <row r="15">
          <cell r="AB15">
            <v>-168000</v>
          </cell>
          <cell r="AC15">
            <v>0</v>
          </cell>
          <cell r="AD15">
            <v>-4000</v>
          </cell>
          <cell r="AE15">
            <v>-4000</v>
          </cell>
          <cell r="AF15">
            <v>-16000</v>
          </cell>
          <cell r="AG15">
            <v>-4000</v>
          </cell>
          <cell r="AH15">
            <v>-4000</v>
          </cell>
          <cell r="AI15">
            <v>-4000</v>
          </cell>
          <cell r="AJ15">
            <v>-4000</v>
          </cell>
          <cell r="AK15">
            <v>-4000</v>
          </cell>
          <cell r="AL15">
            <v>-4000</v>
          </cell>
          <cell r="AM15">
            <v>-4000</v>
          </cell>
        </row>
        <row r="21">
          <cell r="AB21">
            <v>14469.63</v>
          </cell>
          <cell r="AC21">
            <v>14593.87</v>
          </cell>
          <cell r="AD21">
            <v>14719.18</v>
          </cell>
          <cell r="AE21">
            <v>14845.56</v>
          </cell>
          <cell r="AF21">
            <v>14973.03</v>
          </cell>
          <cell r="AG21">
            <v>15101.6</v>
          </cell>
          <cell r="AH21">
            <v>9761.26</v>
          </cell>
          <cell r="AI21">
            <v>9845.08</v>
          </cell>
          <cell r="AJ21">
            <v>9929.61</v>
          </cell>
          <cell r="AK21">
            <v>10014.870000000001</v>
          </cell>
          <cell r="AL21">
            <v>10100.86</v>
          </cell>
          <cell r="AM21">
            <v>10187.59</v>
          </cell>
        </row>
      </sheetData>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Antoinette Perez" id="{8BE25809-F104-4628-B195-55767CF52FBC}" userId="S::antoinette@higgins-associates.com::b7851061-4404-4599-b41c-782ba08a3b7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97" dT="2022-04-07T20:25:03.96" personId="{8BE25809-F104-4628-B195-55767CF52FBC}" id="{EA389DDC-632C-45C4-B5A4-884F49773175}">
    <text>Total revenue over expendures from final audit add to prior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9"/>
  <sheetViews>
    <sheetView workbookViewId="0"/>
  </sheetViews>
  <sheetFormatPr baseColWidth="10" defaultColWidth="8.83203125" defaultRowHeight="13"/>
  <cols>
    <col min="1" max="1" width="4.83203125" style="446" customWidth="1"/>
    <col min="2" max="2" width="110.6640625" customWidth="1"/>
  </cols>
  <sheetData>
    <row r="1" spans="1:2" ht="16">
      <c r="A1" s="466" t="s">
        <v>483</v>
      </c>
      <c r="B1" s="466"/>
    </row>
    <row r="3" spans="1:2">
      <c r="A3" s="467" t="s">
        <v>610</v>
      </c>
      <c r="B3" s="467"/>
    </row>
    <row r="4" spans="1:2">
      <c r="A4" s="453"/>
      <c r="B4" s="52"/>
    </row>
    <row r="5" spans="1:2" ht="24.75" customHeight="1">
      <c r="A5" s="468" t="s">
        <v>571</v>
      </c>
    </row>
    <row r="6" spans="1:2" ht="6" customHeight="1">
      <c r="A6" s="453"/>
      <c r="B6" s="275"/>
    </row>
    <row r="7" spans="1:2" ht="15.75" customHeight="1">
      <c r="A7" s="469" t="s">
        <v>612</v>
      </c>
      <c r="B7" s="469"/>
    </row>
    <row r="8" spans="1:2" ht="14.25" customHeight="1">
      <c r="A8" s="470" t="s">
        <v>611</v>
      </c>
      <c r="B8" s="443"/>
    </row>
    <row r="9" spans="1:2">
      <c r="A9" s="454" t="s">
        <v>575</v>
      </c>
      <c r="B9" s="52"/>
    </row>
    <row r="10" spans="1:2">
      <c r="A10" s="453"/>
      <c r="B10" s="612" t="s">
        <v>515</v>
      </c>
    </row>
    <row r="11" spans="1:2">
      <c r="A11" s="453"/>
      <c r="B11" s="612" t="s">
        <v>525</v>
      </c>
    </row>
    <row r="12" spans="1:2">
      <c r="A12" s="453"/>
      <c r="B12" s="613" t="s">
        <v>514</v>
      </c>
    </row>
    <row r="13" spans="1:2" ht="14" thickBot="1"/>
    <row r="14" spans="1:2" ht="16.5" customHeight="1">
      <c r="A14" s="471" t="s">
        <v>511</v>
      </c>
      <c r="B14" s="472"/>
    </row>
    <row r="15" spans="1:2">
      <c r="A15" s="444">
        <v>1</v>
      </c>
      <c r="B15" s="473" t="s">
        <v>513</v>
      </c>
    </row>
    <row r="16" spans="1:2" ht="15.75" customHeight="1">
      <c r="A16" s="444">
        <v>2</v>
      </c>
      <c r="B16" s="474" t="s">
        <v>555</v>
      </c>
    </row>
    <row r="17" spans="1:2" ht="24.75" customHeight="1">
      <c r="A17" s="444">
        <v>3</v>
      </c>
      <c r="B17" s="475" t="s">
        <v>576</v>
      </c>
    </row>
    <row r="18" spans="1:2" ht="26.25" customHeight="1">
      <c r="A18" s="444">
        <v>4</v>
      </c>
      <c r="B18" s="475" t="s">
        <v>577</v>
      </c>
    </row>
    <row r="19" spans="1:2" ht="25.5" customHeight="1">
      <c r="A19" s="444">
        <v>5</v>
      </c>
      <c r="B19" s="475" t="s">
        <v>572</v>
      </c>
    </row>
    <row r="20" spans="1:2" ht="29.25" customHeight="1">
      <c r="A20" s="444">
        <v>6</v>
      </c>
      <c r="B20" s="475" t="s">
        <v>573</v>
      </c>
    </row>
    <row r="21" spans="1:2" ht="14" thickBot="1">
      <c r="A21" s="445">
        <v>7</v>
      </c>
      <c r="B21" s="476" t="s">
        <v>574</v>
      </c>
    </row>
    <row r="22" spans="1:2" ht="14" thickBot="1"/>
    <row r="23" spans="1:2" ht="15" customHeight="1">
      <c r="A23" s="477" t="s">
        <v>700</v>
      </c>
      <c r="B23" s="478"/>
    </row>
    <row r="24" spans="1:2" ht="15" customHeight="1">
      <c r="A24" s="609"/>
      <c r="B24" s="610" t="s">
        <v>710</v>
      </c>
    </row>
    <row r="25" spans="1:2" ht="37.5" customHeight="1">
      <c r="A25" s="444">
        <v>1</v>
      </c>
      <c r="B25" s="475" t="s">
        <v>578</v>
      </c>
    </row>
    <row r="26" spans="1:2">
      <c r="A26" s="444">
        <v>2</v>
      </c>
      <c r="B26" s="479" t="s">
        <v>579</v>
      </c>
    </row>
    <row r="27" spans="1:2">
      <c r="A27" s="444">
        <v>3</v>
      </c>
      <c r="B27" s="473" t="s">
        <v>701</v>
      </c>
    </row>
    <row r="28" spans="1:2" ht="12.75" customHeight="1">
      <c r="A28" s="444">
        <v>5</v>
      </c>
      <c r="B28" s="475" t="s">
        <v>702</v>
      </c>
    </row>
    <row r="29" spans="1:2">
      <c r="A29" s="444">
        <v>6</v>
      </c>
      <c r="B29" s="448" t="s">
        <v>703</v>
      </c>
    </row>
    <row r="30" spans="1:2">
      <c r="A30" s="444">
        <v>7</v>
      </c>
      <c r="B30" s="603" t="s">
        <v>706</v>
      </c>
    </row>
    <row r="31" spans="1:2">
      <c r="A31" s="444">
        <v>8</v>
      </c>
      <c r="B31" s="603" t="s">
        <v>704</v>
      </c>
    </row>
    <row r="32" spans="1:2">
      <c r="A32" s="444">
        <v>9</v>
      </c>
      <c r="B32" s="603" t="s">
        <v>707</v>
      </c>
    </row>
    <row r="33" spans="1:2">
      <c r="A33" s="444">
        <v>10</v>
      </c>
      <c r="B33" s="603" t="s">
        <v>705</v>
      </c>
    </row>
    <row r="34" spans="1:2" ht="39.75" customHeight="1" thickBot="1">
      <c r="A34" s="445">
        <v>11</v>
      </c>
      <c r="B34" s="481" t="s">
        <v>708</v>
      </c>
    </row>
    <row r="35" spans="1:2" ht="14" thickBot="1"/>
    <row r="36" spans="1:2">
      <c r="A36" s="477" t="s">
        <v>516</v>
      </c>
      <c r="B36" s="478"/>
    </row>
    <row r="37" spans="1:2">
      <c r="A37" s="444">
        <v>1</v>
      </c>
      <c r="B37" s="448" t="s">
        <v>580</v>
      </c>
    </row>
    <row r="38" spans="1:2">
      <c r="A38" s="444">
        <v>2</v>
      </c>
      <c r="B38" s="448" t="s">
        <v>581</v>
      </c>
    </row>
    <row r="39" spans="1:2" ht="25.5" customHeight="1">
      <c r="A39" s="444">
        <v>3</v>
      </c>
      <c r="B39" s="475" t="s">
        <v>582</v>
      </c>
    </row>
    <row r="40" spans="1:2" ht="25.5" customHeight="1">
      <c r="A40" s="444">
        <v>4</v>
      </c>
      <c r="B40" s="475" t="s">
        <v>583</v>
      </c>
    </row>
    <row r="41" spans="1:2" ht="14">
      <c r="A41" s="444">
        <v>5</v>
      </c>
      <c r="B41" s="475" t="s">
        <v>709</v>
      </c>
    </row>
    <row r="42" spans="1:2">
      <c r="A42" s="444">
        <v>6</v>
      </c>
      <c r="B42" s="447" t="s">
        <v>518</v>
      </c>
    </row>
    <row r="43" spans="1:2">
      <c r="A43" s="444">
        <v>7</v>
      </c>
      <c r="B43" s="447" t="s">
        <v>520</v>
      </c>
    </row>
    <row r="44" spans="1:2" ht="26.25" customHeight="1">
      <c r="A44" s="444">
        <v>8</v>
      </c>
      <c r="B44" s="475" t="s">
        <v>584</v>
      </c>
    </row>
    <row r="45" spans="1:2" ht="14" thickBot="1">
      <c r="A45" s="445">
        <v>9</v>
      </c>
      <c r="B45" s="449" t="s">
        <v>521</v>
      </c>
    </row>
    <row r="46" spans="1:2" ht="14" thickBot="1"/>
    <row r="47" spans="1:2">
      <c r="A47" s="456" t="s">
        <v>522</v>
      </c>
      <c r="B47" s="450"/>
    </row>
    <row r="48" spans="1:2" ht="19.5" customHeight="1">
      <c r="A48" s="444">
        <v>1</v>
      </c>
      <c r="B48" s="451" t="s">
        <v>585</v>
      </c>
    </row>
    <row r="49" spans="1:2" ht="21" customHeight="1">
      <c r="A49" s="444">
        <v>2</v>
      </c>
      <c r="B49" s="452" t="s">
        <v>523</v>
      </c>
    </row>
    <row r="50" spans="1:2" ht="24.75" customHeight="1">
      <c r="A50" s="444">
        <v>3</v>
      </c>
      <c r="B50" s="480" t="s">
        <v>586</v>
      </c>
    </row>
    <row r="51" spans="1:2" ht="27.75" customHeight="1">
      <c r="A51" s="444">
        <v>4</v>
      </c>
      <c r="B51" s="475" t="s">
        <v>587</v>
      </c>
    </row>
    <row r="52" spans="1:2" ht="28.5" customHeight="1">
      <c r="A52" s="444">
        <v>5</v>
      </c>
      <c r="B52" s="475" t="s">
        <v>588</v>
      </c>
    </row>
    <row r="53" spans="1:2" ht="27" customHeight="1">
      <c r="A53" s="444">
        <v>6</v>
      </c>
      <c r="B53" s="475" t="s">
        <v>589</v>
      </c>
    </row>
    <row r="54" spans="1:2" ht="27.75" customHeight="1">
      <c r="A54" s="444">
        <v>7</v>
      </c>
      <c r="B54" s="475" t="s">
        <v>590</v>
      </c>
    </row>
    <row r="55" spans="1:2" ht="28">
      <c r="A55" s="444">
        <v>8</v>
      </c>
      <c r="B55" s="475" t="s">
        <v>591</v>
      </c>
    </row>
    <row r="56" spans="1:2" ht="25.5" customHeight="1">
      <c r="A56" s="444">
        <v>9</v>
      </c>
      <c r="B56" s="475" t="s">
        <v>592</v>
      </c>
    </row>
    <row r="57" spans="1:2" ht="24.75" customHeight="1">
      <c r="A57" s="444">
        <v>10</v>
      </c>
      <c r="B57" s="475" t="s">
        <v>593</v>
      </c>
    </row>
    <row r="58" spans="1:2" ht="39.75" customHeight="1" thickBot="1">
      <c r="A58" s="445">
        <v>11</v>
      </c>
      <c r="B58" s="606" t="s">
        <v>594</v>
      </c>
    </row>
    <row r="59" spans="1:2" ht="14" thickBot="1"/>
    <row r="60" spans="1:2">
      <c r="A60" s="477" t="s">
        <v>524</v>
      </c>
      <c r="B60" s="478"/>
    </row>
    <row r="61" spans="1:2" ht="14" thickBot="1">
      <c r="A61" s="445">
        <v>1</v>
      </c>
      <c r="B61" s="608" t="s">
        <v>595</v>
      </c>
    </row>
    <row r="62" spans="1:2" ht="14" thickBot="1"/>
    <row r="63" spans="1:2">
      <c r="A63" s="482" t="s">
        <v>544</v>
      </c>
      <c r="B63" s="483"/>
    </row>
    <row r="64" spans="1:2">
      <c r="A64" s="444"/>
      <c r="B64" s="607" t="s">
        <v>6</v>
      </c>
    </row>
    <row r="65" spans="1:2" ht="20.25" customHeight="1">
      <c r="A65" s="444">
        <v>1</v>
      </c>
      <c r="B65" s="451" t="s">
        <v>596</v>
      </c>
    </row>
    <row r="66" spans="1:2" ht="18.75" customHeight="1">
      <c r="A66" s="444">
        <v>2</v>
      </c>
      <c r="B66" s="452" t="s">
        <v>517</v>
      </c>
    </row>
    <row r="67" spans="1:2" ht="25.5" customHeight="1">
      <c r="A67" s="444">
        <v>3</v>
      </c>
      <c r="B67" s="475" t="s">
        <v>582</v>
      </c>
    </row>
    <row r="68" spans="1:2" ht="27.75" customHeight="1">
      <c r="A68" s="444">
        <v>4</v>
      </c>
      <c r="B68" s="484" t="s">
        <v>583</v>
      </c>
    </row>
    <row r="69" spans="1:2">
      <c r="A69" s="444"/>
      <c r="B69" s="455" t="s">
        <v>518</v>
      </c>
    </row>
    <row r="70" spans="1:2">
      <c r="A70" s="444">
        <v>5</v>
      </c>
      <c r="B70" s="447" t="s">
        <v>520</v>
      </c>
    </row>
    <row r="71" spans="1:2" ht="27.75" customHeight="1">
      <c r="A71" s="444">
        <v>6</v>
      </c>
      <c r="B71" s="475" t="s">
        <v>597</v>
      </c>
    </row>
    <row r="72" spans="1:2">
      <c r="A72" s="444">
        <v>7</v>
      </c>
      <c r="B72" s="473" t="s">
        <v>521</v>
      </c>
    </row>
    <row r="73" spans="1:2" ht="15.75" customHeight="1">
      <c r="A73" s="444">
        <v>8</v>
      </c>
      <c r="B73" s="451" t="s">
        <v>598</v>
      </c>
    </row>
    <row r="74" spans="1:2" ht="18.75" customHeight="1">
      <c r="A74" s="444">
        <v>9</v>
      </c>
      <c r="B74" s="452" t="s">
        <v>526</v>
      </c>
    </row>
    <row r="75" spans="1:2" ht="28.5" customHeight="1">
      <c r="A75" s="444">
        <v>10</v>
      </c>
      <c r="B75" s="475" t="s">
        <v>599</v>
      </c>
    </row>
    <row r="76" spans="1:2" ht="26.25" customHeight="1">
      <c r="A76" s="444">
        <v>11</v>
      </c>
      <c r="B76" s="475" t="s">
        <v>600</v>
      </c>
    </row>
    <row r="77" spans="1:2" ht="27" customHeight="1" thickBot="1">
      <c r="A77" s="445">
        <v>12</v>
      </c>
      <c r="B77" s="481" t="s">
        <v>601</v>
      </c>
    </row>
    <row r="78" spans="1:2" ht="14" thickBot="1"/>
    <row r="79" spans="1:2">
      <c r="A79" s="482" t="s">
        <v>527</v>
      </c>
      <c r="B79" s="483"/>
    </row>
    <row r="80" spans="1:2">
      <c r="A80" s="444"/>
      <c r="B80" s="611" t="s">
        <v>0</v>
      </c>
    </row>
    <row r="81" spans="1:2">
      <c r="A81" s="444">
        <v>1</v>
      </c>
      <c r="B81" s="447" t="s">
        <v>545</v>
      </c>
    </row>
    <row r="82" spans="1:2">
      <c r="A82" s="444">
        <v>2</v>
      </c>
      <c r="B82" s="447" t="s">
        <v>528</v>
      </c>
    </row>
    <row r="83" spans="1:2">
      <c r="A83" s="444">
        <v>3</v>
      </c>
      <c r="B83" s="447" t="s">
        <v>529</v>
      </c>
    </row>
    <row r="84" spans="1:2">
      <c r="A84" s="444">
        <v>4</v>
      </c>
      <c r="B84" s="447" t="s">
        <v>533</v>
      </c>
    </row>
    <row r="85" spans="1:2">
      <c r="A85" s="444">
        <v>5</v>
      </c>
      <c r="B85" s="447" t="s">
        <v>535</v>
      </c>
    </row>
    <row r="86" spans="1:2">
      <c r="A86" s="444">
        <v>6</v>
      </c>
      <c r="B86" s="447" t="s">
        <v>534</v>
      </c>
    </row>
    <row r="87" spans="1:2">
      <c r="A87" s="444">
        <v>7</v>
      </c>
      <c r="B87" s="447" t="s">
        <v>536</v>
      </c>
    </row>
    <row r="88" spans="1:2">
      <c r="A88" s="444">
        <v>8</v>
      </c>
      <c r="B88" s="447" t="s">
        <v>537</v>
      </c>
    </row>
    <row r="89" spans="1:2">
      <c r="A89" s="444">
        <v>9</v>
      </c>
      <c r="B89" s="447" t="s">
        <v>538</v>
      </c>
    </row>
    <row r="90" spans="1:2">
      <c r="A90" s="444">
        <v>10</v>
      </c>
      <c r="B90" s="447" t="s">
        <v>539</v>
      </c>
    </row>
    <row r="91" spans="1:2">
      <c r="A91" s="444">
        <v>11</v>
      </c>
      <c r="B91" s="447" t="s">
        <v>540</v>
      </c>
    </row>
    <row r="92" spans="1:2" ht="14" thickBot="1">
      <c r="A92" s="445">
        <v>12</v>
      </c>
      <c r="B92" s="449" t="s">
        <v>541</v>
      </c>
    </row>
    <row r="93" spans="1:2" ht="14" thickBot="1"/>
    <row r="94" spans="1:2">
      <c r="A94" s="456" t="s">
        <v>1</v>
      </c>
      <c r="B94" s="457"/>
    </row>
    <row r="95" spans="1:2">
      <c r="A95" s="444"/>
      <c r="B95" s="611" t="s">
        <v>2</v>
      </c>
    </row>
    <row r="96" spans="1:2">
      <c r="A96" s="444">
        <v>1</v>
      </c>
      <c r="B96" s="447" t="s">
        <v>3</v>
      </c>
    </row>
    <row r="97" spans="1:2">
      <c r="A97" s="444">
        <v>2</v>
      </c>
      <c r="B97" s="447" t="s">
        <v>546</v>
      </c>
    </row>
    <row r="98" spans="1:2" ht="25.5" customHeight="1">
      <c r="A98" s="444">
        <v>3</v>
      </c>
      <c r="B98" s="475" t="s">
        <v>602</v>
      </c>
    </row>
    <row r="99" spans="1:2" ht="27" customHeight="1">
      <c r="A99" s="444">
        <v>4</v>
      </c>
      <c r="B99" s="475" t="s">
        <v>603</v>
      </c>
    </row>
    <row r="100" spans="1:2" ht="27.75" customHeight="1">
      <c r="A100" s="444">
        <v>5</v>
      </c>
      <c r="B100" s="475" t="s">
        <v>604</v>
      </c>
    </row>
    <row r="101" spans="1:2">
      <c r="A101" s="444">
        <v>6</v>
      </c>
      <c r="B101" s="447" t="s">
        <v>7</v>
      </c>
    </row>
    <row r="102" spans="1:2">
      <c r="A102" s="444">
        <v>7</v>
      </c>
      <c r="B102" s="447" t="s">
        <v>8</v>
      </c>
    </row>
    <row r="103" spans="1:2">
      <c r="A103" s="444">
        <v>8</v>
      </c>
      <c r="B103" s="447" t="s">
        <v>10</v>
      </c>
    </row>
    <row r="104" spans="1:2">
      <c r="A104" s="444">
        <v>9</v>
      </c>
      <c r="B104" s="447" t="s">
        <v>9</v>
      </c>
    </row>
    <row r="105" spans="1:2" ht="14" thickBot="1">
      <c r="A105" s="445">
        <v>10</v>
      </c>
      <c r="B105" s="449" t="s">
        <v>11</v>
      </c>
    </row>
    <row r="106" spans="1:2" ht="14" thickBot="1"/>
    <row r="107" spans="1:2">
      <c r="A107" s="482" t="s">
        <v>490</v>
      </c>
      <c r="B107" s="483"/>
    </row>
    <row r="108" spans="1:2">
      <c r="A108" s="444"/>
      <c r="B108" s="611" t="s">
        <v>12</v>
      </c>
    </row>
    <row r="109" spans="1:2">
      <c r="A109" s="444">
        <v>1</v>
      </c>
      <c r="B109" s="447" t="s">
        <v>547</v>
      </c>
    </row>
    <row r="110" spans="1:2">
      <c r="A110" s="444">
        <v>2</v>
      </c>
      <c r="B110" s="447" t="s">
        <v>13</v>
      </c>
    </row>
    <row r="111" spans="1:2">
      <c r="A111" s="444">
        <v>3</v>
      </c>
      <c r="B111" s="447" t="s">
        <v>548</v>
      </c>
    </row>
    <row r="112" spans="1:2">
      <c r="A112" s="444">
        <v>4</v>
      </c>
      <c r="B112" s="447" t="s">
        <v>14</v>
      </c>
    </row>
    <row r="113" spans="1:2">
      <c r="A113" s="444">
        <v>5</v>
      </c>
      <c r="B113" s="447" t="s">
        <v>549</v>
      </c>
    </row>
    <row r="114" spans="1:2">
      <c r="A114" s="444">
        <v>6</v>
      </c>
      <c r="B114" s="447" t="s">
        <v>16</v>
      </c>
    </row>
    <row r="115" spans="1:2">
      <c r="A115" s="444">
        <v>7</v>
      </c>
      <c r="B115" s="447" t="s">
        <v>550</v>
      </c>
    </row>
    <row r="116" spans="1:2">
      <c r="A116" s="444">
        <v>8</v>
      </c>
      <c r="B116" s="447" t="s">
        <v>17</v>
      </c>
    </row>
    <row r="117" spans="1:2" ht="14" thickBot="1">
      <c r="A117" s="445">
        <v>9</v>
      </c>
      <c r="B117" s="449" t="s">
        <v>15</v>
      </c>
    </row>
    <row r="118" spans="1:2" ht="14" thickBot="1"/>
    <row r="119" spans="1:2" ht="12.75" customHeight="1">
      <c r="A119" s="482" t="s">
        <v>651</v>
      </c>
      <c r="B119" s="591"/>
    </row>
    <row r="120" spans="1:2">
      <c r="A120" s="444"/>
      <c r="B120" s="611" t="s">
        <v>18</v>
      </c>
    </row>
    <row r="121" spans="1:2">
      <c r="A121" s="444">
        <v>1</v>
      </c>
      <c r="B121" s="447" t="s">
        <v>21</v>
      </c>
    </row>
    <row r="122" spans="1:2">
      <c r="A122" s="444">
        <v>2</v>
      </c>
      <c r="B122" s="447" t="s">
        <v>19</v>
      </c>
    </row>
    <row r="123" spans="1:2">
      <c r="A123" s="444">
        <v>3</v>
      </c>
      <c r="B123" s="447" t="s">
        <v>20</v>
      </c>
    </row>
    <row r="124" spans="1:2">
      <c r="A124" s="444">
        <v>4</v>
      </c>
      <c r="B124" s="447" t="s">
        <v>22</v>
      </c>
    </row>
    <row r="125" spans="1:2">
      <c r="A125" s="444">
        <v>5</v>
      </c>
      <c r="B125" s="447" t="s">
        <v>23</v>
      </c>
    </row>
    <row r="126" spans="1:2">
      <c r="A126" s="444">
        <v>6</v>
      </c>
      <c r="B126" s="447" t="s">
        <v>24</v>
      </c>
    </row>
    <row r="127" spans="1:2">
      <c r="A127" s="444">
        <v>7</v>
      </c>
      <c r="B127" s="447" t="s">
        <v>25</v>
      </c>
    </row>
    <row r="128" spans="1:2">
      <c r="A128" s="444">
        <v>8</v>
      </c>
      <c r="B128" s="479" t="s">
        <v>605</v>
      </c>
    </row>
    <row r="129" spans="1:2">
      <c r="A129" s="444">
        <v>9</v>
      </c>
      <c r="B129" s="447" t="s">
        <v>27</v>
      </c>
    </row>
    <row r="130" spans="1:2" ht="14" thickBot="1">
      <c r="A130" s="445">
        <v>10</v>
      </c>
      <c r="B130" s="449" t="s">
        <v>26</v>
      </c>
    </row>
    <row r="131" spans="1:2" ht="14" thickBot="1"/>
    <row r="132" spans="1:2">
      <c r="A132" s="482" t="s">
        <v>28</v>
      </c>
      <c r="B132" s="483"/>
    </row>
    <row r="133" spans="1:2">
      <c r="A133" s="444">
        <v>1</v>
      </c>
      <c r="B133" s="447" t="s">
        <v>30</v>
      </c>
    </row>
    <row r="134" spans="1:2">
      <c r="A134" s="444">
        <v>2</v>
      </c>
      <c r="B134" s="447" t="s">
        <v>29</v>
      </c>
    </row>
    <row r="135" spans="1:2">
      <c r="A135" s="444">
        <v>3</v>
      </c>
      <c r="B135" s="479" t="s">
        <v>606</v>
      </c>
    </row>
    <row r="136" spans="1:2">
      <c r="A136" s="444">
        <v>4</v>
      </c>
      <c r="B136" s="447" t="s">
        <v>551</v>
      </c>
    </row>
    <row r="137" spans="1:2">
      <c r="A137" s="444">
        <v>5</v>
      </c>
      <c r="B137" s="447" t="s">
        <v>543</v>
      </c>
    </row>
    <row r="138" spans="1:2">
      <c r="A138" s="444">
        <v>6</v>
      </c>
      <c r="B138" s="448" t="s">
        <v>607</v>
      </c>
    </row>
    <row r="139" spans="1:2" ht="27.75" customHeight="1" thickBot="1">
      <c r="A139" s="445">
        <v>7</v>
      </c>
      <c r="B139" s="481" t="s">
        <v>608</v>
      </c>
    </row>
  </sheetData>
  <sheetProtection sheet="1" objects="1" scenarios="1"/>
  <phoneticPr fontId="14"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heetViews>
  <sheetFormatPr baseColWidth="10" defaultColWidth="9.1640625" defaultRowHeight="14"/>
  <cols>
    <col min="1" max="1" width="30.83203125" style="29" customWidth="1"/>
    <col min="2" max="2" width="28.6640625" style="29" customWidth="1"/>
    <col min="3" max="3" width="18.6640625" style="29" customWidth="1"/>
    <col min="4" max="4" width="2.5" style="29" customWidth="1"/>
    <col min="5" max="5" width="28.83203125" style="29" customWidth="1"/>
    <col min="6" max="6" width="18.6640625" style="29" customWidth="1"/>
    <col min="7" max="16384" width="9.1640625" style="29"/>
  </cols>
  <sheetData>
    <row r="1" spans="1:6">
      <c r="A1" s="27" t="str">
        <f>'Form 1 Cover'!B20</f>
        <v>Discovery Charter School</v>
      </c>
    </row>
    <row r="3" spans="1:6">
      <c r="A3" s="246" t="str">
        <f>"FUND TRANSFERS "&amp;TEXT('Form 1 Cover'!D137, "MM/DD/YY")</f>
        <v>FUND TRANSFERS 2022-2023</v>
      </c>
      <c r="B3" s="523" t="s">
        <v>53</v>
      </c>
      <c r="C3" s="522"/>
      <c r="D3" s="247"/>
      <c r="E3" s="523" t="s">
        <v>54</v>
      </c>
      <c r="F3" s="524"/>
    </row>
    <row r="4" spans="1:6">
      <c r="A4" s="134"/>
      <c r="B4" s="248"/>
      <c r="C4" s="42"/>
      <c r="D4" s="38"/>
      <c r="E4" s="248"/>
      <c r="F4" s="42"/>
    </row>
    <row r="5" spans="1:6">
      <c r="A5" s="249">
        <f>-1</f>
        <v>-1</v>
      </c>
      <c r="B5" s="250">
        <f>A5-1</f>
        <v>-2</v>
      </c>
      <c r="C5" s="250">
        <v>-3</v>
      </c>
      <c r="D5" s="251"/>
      <c r="E5" s="250">
        <f>C5-1</f>
        <v>-4</v>
      </c>
      <c r="F5" s="250">
        <v>-5</v>
      </c>
    </row>
    <row r="6" spans="1:6" ht="18" customHeight="1" thickBot="1">
      <c r="A6" s="224" t="s">
        <v>55</v>
      </c>
      <c r="B6" s="224" t="s">
        <v>56</v>
      </c>
      <c r="C6" s="224" t="s">
        <v>57</v>
      </c>
      <c r="D6" s="252"/>
      <c r="E6" s="224" t="s">
        <v>58</v>
      </c>
      <c r="F6" s="224" t="s">
        <v>57</v>
      </c>
    </row>
    <row r="7" spans="1:6" ht="21.75" customHeight="1">
      <c r="A7" s="371" t="s">
        <v>59</v>
      </c>
      <c r="B7" s="435"/>
      <c r="C7" s="435"/>
      <c r="D7" s="253"/>
      <c r="E7" s="435"/>
      <c r="F7" s="435"/>
    </row>
    <row r="8" spans="1:6">
      <c r="A8" s="439"/>
      <c r="B8" s="429"/>
      <c r="C8" s="429"/>
      <c r="D8" s="253"/>
      <c r="E8" s="429"/>
      <c r="F8" s="429"/>
    </row>
    <row r="9" spans="1:6">
      <c r="A9" s="439"/>
      <c r="B9" s="429"/>
      <c r="C9" s="429"/>
      <c r="D9" s="253"/>
      <c r="E9" s="429"/>
      <c r="F9" s="429"/>
    </row>
    <row r="10" spans="1:6">
      <c r="A10" s="439"/>
      <c r="B10" s="429"/>
      <c r="C10" s="429"/>
      <c r="D10" s="253"/>
      <c r="E10" s="429"/>
      <c r="F10" s="429"/>
    </row>
    <row r="11" spans="1:6">
      <c r="A11" s="439"/>
      <c r="B11" s="429"/>
      <c r="C11" s="429"/>
      <c r="D11" s="253"/>
      <c r="E11" s="429"/>
      <c r="F11" s="429"/>
    </row>
    <row r="12" spans="1:6">
      <c r="A12" s="439"/>
      <c r="B12" s="429"/>
      <c r="C12" s="429"/>
      <c r="D12" s="253"/>
      <c r="E12" s="429"/>
      <c r="F12" s="429"/>
    </row>
    <row r="13" spans="1:6">
      <c r="A13" s="439"/>
      <c r="B13" s="429"/>
      <c r="C13" s="429"/>
      <c r="D13" s="253"/>
      <c r="E13" s="429"/>
      <c r="F13" s="429"/>
    </row>
    <row r="14" spans="1:6">
      <c r="A14" s="439"/>
      <c r="B14" s="429"/>
      <c r="C14" s="429"/>
      <c r="D14" s="253"/>
      <c r="E14" s="429"/>
      <c r="F14" s="429"/>
    </row>
    <row r="15" spans="1:6">
      <c r="A15" s="439"/>
      <c r="B15" s="429"/>
      <c r="C15" s="429"/>
      <c r="D15" s="253"/>
      <c r="E15" s="429"/>
      <c r="F15" s="429"/>
    </row>
    <row r="16" spans="1:6">
      <c r="A16" s="439"/>
      <c r="B16" s="429"/>
      <c r="C16" s="429"/>
      <c r="D16" s="253"/>
      <c r="E16" s="429"/>
      <c r="F16" s="429"/>
    </row>
    <row r="17" spans="1:6">
      <c r="A17" s="439"/>
      <c r="B17" s="429"/>
      <c r="C17" s="429"/>
      <c r="D17" s="253"/>
      <c r="E17" s="429"/>
      <c r="F17" s="429"/>
    </row>
    <row r="18" spans="1:6">
      <c r="A18" s="439"/>
      <c r="B18" s="429"/>
      <c r="C18" s="429"/>
      <c r="D18" s="253"/>
      <c r="E18" s="429"/>
      <c r="F18" s="429"/>
    </row>
    <row r="19" spans="1:6" ht="18" customHeight="1" thickBot="1">
      <c r="A19" s="372" t="s">
        <v>60</v>
      </c>
      <c r="B19" s="45">
        <f>SUM(B8:B18)</f>
        <v>0</v>
      </c>
      <c r="C19" s="45">
        <f>SUM(C8:C18)</f>
        <v>0</v>
      </c>
      <c r="D19" s="254"/>
      <c r="E19" s="45">
        <f>SUM(E8:E18)</f>
        <v>0</v>
      </c>
      <c r="F19" s="45">
        <f>SUM(F8:F18)</f>
        <v>0</v>
      </c>
    </row>
    <row r="20" spans="1:6" ht="20.25" customHeight="1">
      <c r="A20" s="371" t="s">
        <v>61</v>
      </c>
      <c r="B20" s="190"/>
      <c r="C20" s="190"/>
      <c r="D20" s="253"/>
      <c r="E20" s="190"/>
      <c r="F20" s="190"/>
    </row>
    <row r="21" spans="1:6">
      <c r="A21" s="439"/>
      <c r="B21" s="429"/>
      <c r="C21" s="429"/>
      <c r="D21" s="253"/>
      <c r="E21" s="429"/>
      <c r="F21" s="429"/>
    </row>
    <row r="22" spans="1:6">
      <c r="A22" s="439"/>
      <c r="B22" s="429"/>
      <c r="C22" s="429"/>
      <c r="D22" s="253"/>
      <c r="E22" s="429"/>
      <c r="F22" s="429"/>
    </row>
    <row r="23" spans="1:6">
      <c r="A23" s="439"/>
      <c r="B23" s="429"/>
      <c r="C23" s="429"/>
      <c r="D23" s="253"/>
      <c r="E23" s="429"/>
      <c r="F23" s="429"/>
    </row>
    <row r="24" spans="1:6">
      <c r="A24" s="439"/>
      <c r="B24" s="429"/>
      <c r="C24" s="429"/>
      <c r="D24" s="253"/>
      <c r="E24" s="429"/>
      <c r="F24" s="429"/>
    </row>
    <row r="25" spans="1:6">
      <c r="A25" s="439"/>
      <c r="B25" s="429"/>
      <c r="C25" s="429"/>
      <c r="D25" s="253"/>
      <c r="E25" s="429"/>
      <c r="F25" s="429"/>
    </row>
    <row r="26" spans="1:6">
      <c r="A26" s="439"/>
      <c r="B26" s="429"/>
      <c r="C26" s="429"/>
      <c r="D26" s="253"/>
      <c r="E26" s="429"/>
      <c r="F26" s="429"/>
    </row>
    <row r="27" spans="1:6">
      <c r="A27" s="439"/>
      <c r="B27" s="429"/>
      <c r="C27" s="429"/>
      <c r="D27" s="253"/>
      <c r="E27" s="429"/>
      <c r="F27" s="429"/>
    </row>
    <row r="28" spans="1:6">
      <c r="A28" s="439"/>
      <c r="B28" s="429"/>
      <c r="C28" s="429"/>
      <c r="D28" s="253"/>
      <c r="E28" s="429"/>
      <c r="F28" s="429"/>
    </row>
    <row r="29" spans="1:6">
      <c r="A29" s="439"/>
      <c r="B29" s="429"/>
      <c r="C29" s="429"/>
      <c r="D29" s="253"/>
      <c r="E29" s="429"/>
      <c r="F29" s="429"/>
    </row>
    <row r="30" spans="1:6">
      <c r="A30" s="439"/>
      <c r="B30" s="429"/>
      <c r="C30" s="429"/>
      <c r="D30" s="253"/>
      <c r="E30" s="429"/>
      <c r="F30" s="429"/>
    </row>
    <row r="31" spans="1:6">
      <c r="A31" s="439"/>
      <c r="B31" s="429"/>
      <c r="C31" s="429"/>
      <c r="D31" s="253"/>
      <c r="E31" s="429"/>
      <c r="F31" s="429"/>
    </row>
    <row r="32" spans="1:6" ht="18" customHeight="1" thickBot="1">
      <c r="A32" s="372" t="s">
        <v>60</v>
      </c>
      <c r="B32" s="45">
        <f>SUM(B21:B31)</f>
        <v>0</v>
      </c>
      <c r="C32" s="45">
        <f>SUM(C21:C31)</f>
        <v>0</v>
      </c>
      <c r="D32" s="254"/>
      <c r="E32" s="45">
        <f>SUM(E21:E31)</f>
        <v>0</v>
      </c>
      <c r="F32" s="45">
        <f>SUM(F21:F31)</f>
        <v>0</v>
      </c>
    </row>
    <row r="33" spans="1:6" ht="21.75" customHeight="1" thickBot="1">
      <c r="A33" s="373" t="s">
        <v>62</v>
      </c>
      <c r="B33" s="255">
        <f>B19+B32</f>
        <v>0</v>
      </c>
      <c r="C33" s="255">
        <f>C19+C32</f>
        <v>0</v>
      </c>
      <c r="D33" s="256"/>
      <c r="E33" s="255">
        <f>E19+E32</f>
        <v>0</v>
      </c>
      <c r="F33" s="255">
        <f>F19+F32</f>
        <v>0</v>
      </c>
    </row>
    <row r="34" spans="1:6" ht="15" thickTop="1"/>
    <row r="35" spans="1:6" ht="13.5" customHeight="1">
      <c r="A35" s="420" t="str">
        <f>'Form 1 Cover'!B20</f>
        <v>Discovery Charter School</v>
      </c>
      <c r="C35" s="49"/>
      <c r="E35" s="3" t="str">
        <f>"Budget Fiscal Year "&amp;TEXT('Form 1 Cover'!$D$137, "mm/dd/yy")</f>
        <v>Budget Fiscal Year 2022-2023</v>
      </c>
    </row>
    <row r="36" spans="1:6">
      <c r="F36" s="19"/>
    </row>
    <row r="37" spans="1:6">
      <c r="A37" s="29" t="s">
        <v>490</v>
      </c>
      <c r="F37" s="2">
        <f>'Form 1 Cover'!$D$146</f>
        <v>44607</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heetViews>
  <sheetFormatPr baseColWidth="10" defaultColWidth="9.1640625" defaultRowHeight="13"/>
  <cols>
    <col min="1" max="1" width="10.33203125" style="238" customWidth="1"/>
    <col min="2" max="2" width="9.1640625" style="238"/>
    <col min="3" max="3" width="10.5" style="238" customWidth="1"/>
    <col min="4" max="4" width="4.83203125" style="238" customWidth="1"/>
    <col min="5" max="5" width="3" style="238" customWidth="1"/>
    <col min="6" max="6" width="4.83203125" style="238" customWidth="1"/>
    <col min="7" max="7" width="16" style="238" customWidth="1"/>
    <col min="8" max="8" width="10.5" style="238" customWidth="1"/>
    <col min="9" max="9" width="2.6640625" style="238" customWidth="1"/>
    <col min="10" max="10" width="18.5" style="238" customWidth="1"/>
    <col min="11" max="14" width="9.1640625" style="238"/>
    <col min="15" max="19" width="8.6640625" customWidth="1"/>
    <col min="20" max="16384" width="9.1640625" style="238"/>
  </cols>
  <sheetData>
    <row r="1" spans="1:11" ht="24.75" customHeight="1" thickBot="1">
      <c r="B1" s="525"/>
      <c r="C1" s="525"/>
      <c r="D1" s="525" t="str">
        <f>"L O B B Y   E X P E N S E S   "&amp;TEXT('Form 1 Cover'!D137, "MM/DD/YY")</f>
        <v>L O B B Y   E X P E N S E S   2022-2023</v>
      </c>
      <c r="E1" s="525"/>
      <c r="F1" s="525"/>
      <c r="G1" s="525"/>
      <c r="H1" s="525"/>
      <c r="I1" s="525"/>
      <c r="J1" s="525"/>
    </row>
    <row r="2" spans="1:11" ht="18" customHeight="1" thickTop="1">
      <c r="A2" s="239"/>
    </row>
    <row r="3" spans="1:11" ht="18" customHeight="1">
      <c r="A3" s="238" t="s">
        <v>268</v>
      </c>
    </row>
    <row r="4" spans="1:11" ht="18" customHeight="1">
      <c r="A4" s="238" t="s">
        <v>259</v>
      </c>
    </row>
    <row r="5" spans="1:11" ht="18" customHeight="1">
      <c r="A5" s="238" t="s">
        <v>260</v>
      </c>
    </row>
    <row r="6" spans="1:11" ht="18" customHeight="1"/>
    <row r="7" spans="1:11" ht="18" customHeight="1">
      <c r="A7" s="526"/>
      <c r="B7" s="526"/>
      <c r="C7" s="526"/>
      <c r="D7" s="526"/>
      <c r="E7" s="526"/>
      <c r="F7" s="526"/>
      <c r="G7" s="526"/>
      <c r="H7" s="526"/>
      <c r="I7" s="526"/>
      <c r="J7" s="526"/>
    </row>
    <row r="8" spans="1:11" ht="18" customHeight="1"/>
    <row r="9" spans="1:11" ht="18" customHeight="1">
      <c r="A9" s="238" t="s">
        <v>261</v>
      </c>
      <c r="B9" s="440"/>
      <c r="C9" s="440"/>
      <c r="D9" s="440"/>
      <c r="E9" s="440"/>
      <c r="F9" s="440"/>
      <c r="G9" s="440"/>
      <c r="H9" s="440"/>
      <c r="I9" s="440"/>
      <c r="J9" s="440"/>
      <c r="K9" s="62"/>
    </row>
    <row r="10" spans="1:11" ht="18" customHeight="1">
      <c r="K10" s="62"/>
    </row>
    <row r="11" spans="1:11" ht="18" customHeight="1">
      <c r="A11" s="238" t="s">
        <v>262</v>
      </c>
      <c r="C11" s="440"/>
      <c r="D11" s="440"/>
      <c r="E11" s="440"/>
      <c r="F11" s="440"/>
      <c r="G11" s="440"/>
      <c r="H11" s="440"/>
      <c r="I11" s="440"/>
      <c r="J11" s="440"/>
      <c r="K11" s="62"/>
    </row>
    <row r="12" spans="1:11" ht="18" customHeight="1">
      <c r="K12" s="62"/>
    </row>
    <row r="13" spans="1:11" ht="18" customHeight="1">
      <c r="A13" s="238" t="s">
        <v>263</v>
      </c>
      <c r="I13" s="240" t="s">
        <v>40</v>
      </c>
      <c r="J13" s="441"/>
      <c r="K13" s="62"/>
    </row>
    <row r="14" spans="1:11" ht="18" customHeight="1">
      <c r="J14" s="241"/>
      <c r="K14" s="62"/>
    </row>
    <row r="15" spans="1:11" ht="18" customHeight="1">
      <c r="A15" s="238" t="s">
        <v>271</v>
      </c>
      <c r="I15" s="240" t="s">
        <v>40</v>
      </c>
      <c r="J15" s="441"/>
      <c r="K15" s="62"/>
    </row>
    <row r="16" spans="1:11" ht="18" customHeight="1">
      <c r="J16" s="241"/>
      <c r="K16" s="62"/>
    </row>
    <row r="17" spans="1:12" ht="18" customHeight="1">
      <c r="A17" s="238" t="s">
        <v>264</v>
      </c>
      <c r="I17" s="240" t="s">
        <v>40</v>
      </c>
      <c r="J17" s="441"/>
      <c r="K17" s="62"/>
    </row>
    <row r="18" spans="1:12" ht="18" customHeight="1">
      <c r="J18" s="241"/>
      <c r="K18" s="62"/>
    </row>
    <row r="19" spans="1:12" ht="18" customHeight="1">
      <c r="A19" s="238" t="s">
        <v>272</v>
      </c>
      <c r="I19" s="240" t="s">
        <v>40</v>
      </c>
      <c r="J19" s="441"/>
      <c r="K19" s="62"/>
    </row>
    <row r="20" spans="1:12" ht="18" customHeight="1">
      <c r="J20" s="241"/>
      <c r="K20" s="62"/>
    </row>
    <row r="21" spans="1:12" ht="18" customHeight="1">
      <c r="A21" s="238" t="s">
        <v>273</v>
      </c>
      <c r="I21" s="240" t="s">
        <v>40</v>
      </c>
      <c r="J21" s="441"/>
      <c r="K21" s="62"/>
    </row>
    <row r="22" spans="1:12" ht="18" customHeight="1">
      <c r="J22" s="241"/>
      <c r="K22" s="62"/>
    </row>
    <row r="23" spans="1:12" ht="18" customHeight="1">
      <c r="A23" s="238" t="s">
        <v>265</v>
      </c>
      <c r="I23" s="240" t="s">
        <v>40</v>
      </c>
      <c r="J23" s="441"/>
      <c r="K23" s="62"/>
      <c r="L23" s="62"/>
    </row>
    <row r="24" spans="1:12" ht="18" customHeight="1">
      <c r="A24" s="238" t="s">
        <v>266</v>
      </c>
      <c r="J24" s="241"/>
      <c r="K24" s="62"/>
    </row>
    <row r="25" spans="1:12" ht="18" customHeight="1">
      <c r="K25" s="62"/>
    </row>
    <row r="26" spans="1:12" ht="18" customHeight="1" thickBot="1">
      <c r="A26" s="242" t="s">
        <v>267</v>
      </c>
      <c r="I26" s="240" t="s">
        <v>40</v>
      </c>
      <c r="J26" s="243">
        <f>SUM(J13,J15,J17,J19,J21,J23)</f>
        <v>0</v>
      </c>
    </row>
    <row r="27" spans="1:12" ht="18" customHeight="1" thickTop="1"/>
    <row r="28" spans="1:12" ht="18" customHeight="1"/>
    <row r="29" spans="1:12" ht="18" customHeight="1"/>
    <row r="30" spans="1:12" ht="18" customHeight="1"/>
    <row r="31" spans="1:12" ht="18" customHeight="1">
      <c r="A31" s="238" t="s">
        <v>247</v>
      </c>
      <c r="B31" s="440"/>
      <c r="C31" s="440"/>
      <c r="D31" s="440"/>
      <c r="E31" s="440"/>
      <c r="F31" s="440"/>
      <c r="G31" s="440"/>
      <c r="J31" s="244"/>
    </row>
    <row r="32" spans="1:12" ht="18" customHeight="1"/>
    <row r="33" spans="1:10" ht="18" customHeight="1">
      <c r="A33" s="238" t="s">
        <v>431</v>
      </c>
    </row>
    <row r="35" spans="1:10">
      <c r="I35" s="1"/>
    </row>
    <row r="36" spans="1:10" ht="14">
      <c r="A36" s="109" t="str">
        <f>'Form 1 Cover'!B20</f>
        <v>Discovery Charter School</v>
      </c>
      <c r="B36" s="29"/>
      <c r="C36" s="29"/>
      <c r="D36" s="49"/>
      <c r="E36" s="29"/>
      <c r="H36" s="3" t="str">
        <f>"Budget Fiscal Year "&amp;TEXT('Form 1 Cover'!$D$137, "mm/dd/yy")</f>
        <v>Budget Fiscal Year 2022-2023</v>
      </c>
    </row>
    <row r="40" spans="1:10">
      <c r="A40" s="239" t="s">
        <v>491</v>
      </c>
      <c r="J40" s="21">
        <f>'Form 1 Cover'!$D$146</f>
        <v>44607</v>
      </c>
    </row>
  </sheetData>
  <sheetProtection sheet="1" objects="1" scenarios="1"/>
  <phoneticPr fontId="14"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zoomScale="90" zoomScaleNormal="90" workbookViewId="0">
      <selection activeCell="I46" sqref="I46"/>
    </sheetView>
  </sheetViews>
  <sheetFormatPr baseColWidth="10" defaultColWidth="9.1640625" defaultRowHeight="14"/>
  <cols>
    <col min="1" max="1" width="29.6640625" style="531" bestFit="1" customWidth="1"/>
    <col min="2" max="13" width="13.33203125" style="531" customWidth="1"/>
    <col min="14" max="14" width="15.1640625" style="531" customWidth="1"/>
    <col min="15" max="15" width="15.33203125" style="531" customWidth="1"/>
    <col min="16" max="16" width="10.5" style="531" bestFit="1" customWidth="1"/>
    <col min="17" max="16384" width="9.1640625" style="531"/>
  </cols>
  <sheetData>
    <row r="1" spans="1:27" s="530" customFormat="1" ht="15">
      <c r="A1" s="555" t="s">
        <v>615</v>
      </c>
      <c r="B1" s="245" t="str">
        <f>'Form 1 Cover'!B20</f>
        <v>Discovery Charter School</v>
      </c>
      <c r="C1" s="528"/>
      <c r="D1" s="529"/>
      <c r="F1" s="529"/>
      <c r="I1" s="529"/>
      <c r="J1" s="529"/>
      <c r="K1" s="529"/>
      <c r="L1" s="529"/>
      <c r="M1" s="529"/>
      <c r="N1" s="529"/>
      <c r="O1" s="529"/>
      <c r="P1" s="529"/>
    </row>
    <row r="2" spans="1:27" s="530" customFormat="1" ht="15">
      <c r="A2" s="555" t="s">
        <v>639</v>
      </c>
      <c r="B2" s="590" t="s">
        <v>635</v>
      </c>
      <c r="C2" s="559"/>
      <c r="D2" s="559" t="s">
        <v>640</v>
      </c>
      <c r="F2" s="529"/>
      <c r="I2" s="529"/>
      <c r="J2" s="529"/>
      <c r="K2" s="529"/>
      <c r="L2" s="529"/>
      <c r="M2" s="529"/>
      <c r="N2" s="529"/>
      <c r="O2" s="529"/>
      <c r="P2" s="529"/>
      <c r="AA2" s="556" t="s">
        <v>635</v>
      </c>
    </row>
    <row r="3" spans="1:27" s="530" customFormat="1" ht="15">
      <c r="A3" s="555"/>
      <c r="B3" s="527"/>
      <c r="C3" s="557"/>
      <c r="D3" s="529"/>
      <c r="F3" s="529"/>
      <c r="I3" s="529"/>
      <c r="J3" s="529"/>
      <c r="K3" s="529"/>
      <c r="L3" s="529"/>
      <c r="M3" s="529"/>
      <c r="N3" s="529"/>
      <c r="O3" s="529"/>
      <c r="P3" s="529"/>
      <c r="AA3" s="556" t="s">
        <v>636</v>
      </c>
    </row>
    <row r="4" spans="1:27" ht="15" customHeight="1">
      <c r="A4" s="588" t="s">
        <v>641</v>
      </c>
      <c r="B4" s="588"/>
      <c r="C4" s="588"/>
      <c r="D4" s="588"/>
      <c r="E4" s="588"/>
      <c r="F4" s="588" t="s">
        <v>641</v>
      </c>
      <c r="G4" s="588"/>
      <c r="H4" s="588"/>
      <c r="I4" s="588"/>
      <c r="J4" s="588"/>
      <c r="K4" s="588"/>
      <c r="L4" s="588"/>
      <c r="M4" s="588"/>
      <c r="N4" s="588"/>
      <c r="AA4" s="556" t="s">
        <v>637</v>
      </c>
    </row>
    <row r="5" spans="1:27" ht="15" customHeight="1">
      <c r="A5" s="532"/>
      <c r="B5" s="533"/>
      <c r="C5" s="533"/>
      <c r="D5" s="534"/>
      <c r="E5" s="533"/>
      <c r="F5" s="534"/>
      <c r="G5" s="534"/>
      <c r="H5" s="534"/>
      <c r="I5" s="534"/>
      <c r="J5" s="534"/>
      <c r="K5" s="534"/>
      <c r="L5" s="534"/>
      <c r="M5" s="534"/>
      <c r="N5" s="534"/>
      <c r="O5" s="534"/>
      <c r="P5" s="534"/>
    </row>
    <row r="6" spans="1:27" ht="15" customHeight="1" thickBot="1">
      <c r="A6" s="532"/>
      <c r="B6" s="533"/>
      <c r="C6" s="533"/>
      <c r="D6" s="534"/>
      <c r="E6" s="533"/>
      <c r="F6" s="534"/>
      <c r="G6" s="534"/>
      <c r="H6" s="534"/>
      <c r="I6" s="534"/>
      <c r="J6" s="534"/>
      <c r="K6" s="534"/>
      <c r="L6" s="534"/>
      <c r="M6" s="534"/>
      <c r="N6" s="534"/>
      <c r="O6" s="534"/>
      <c r="P6" s="534"/>
    </row>
    <row r="7" spans="1:27" ht="38.25" customHeight="1" thickBot="1">
      <c r="A7" s="532" t="str">
        <f>'Form 1 Cover'!D137</f>
        <v>2022-2023</v>
      </c>
      <c r="B7" s="560" t="s">
        <v>432</v>
      </c>
      <c r="C7" s="560" t="s">
        <v>432</v>
      </c>
      <c r="D7" s="560" t="s">
        <v>432</v>
      </c>
      <c r="E7" s="560" t="s">
        <v>432</v>
      </c>
      <c r="F7" s="560" t="s">
        <v>432</v>
      </c>
      <c r="G7" s="560" t="s">
        <v>432</v>
      </c>
      <c r="H7" s="560" t="s">
        <v>432</v>
      </c>
      <c r="I7" s="560" t="s">
        <v>432</v>
      </c>
      <c r="J7" s="560" t="s">
        <v>432</v>
      </c>
      <c r="K7" s="560" t="s">
        <v>432</v>
      </c>
      <c r="L7" s="560" t="s">
        <v>432</v>
      </c>
      <c r="M7" s="560" t="s">
        <v>432</v>
      </c>
      <c r="N7" s="586" t="s">
        <v>643</v>
      </c>
      <c r="O7" s="586" t="s">
        <v>646</v>
      </c>
      <c r="P7" s="534"/>
    </row>
    <row r="8" spans="1:27" ht="15" customHeight="1" thickBot="1">
      <c r="A8" s="532"/>
      <c r="B8" s="561" t="s">
        <v>433</v>
      </c>
      <c r="C8" s="561" t="s">
        <v>434</v>
      </c>
      <c r="D8" s="561" t="s">
        <v>435</v>
      </c>
      <c r="E8" s="561" t="s">
        <v>436</v>
      </c>
      <c r="F8" s="561" t="s">
        <v>437</v>
      </c>
      <c r="G8" s="561" t="s">
        <v>438</v>
      </c>
      <c r="H8" s="561" t="s">
        <v>439</v>
      </c>
      <c r="I8" s="561" t="s">
        <v>440</v>
      </c>
      <c r="J8" s="561" t="s">
        <v>441</v>
      </c>
      <c r="K8" s="561" t="s">
        <v>442</v>
      </c>
      <c r="L8" s="561" t="s">
        <v>443</v>
      </c>
      <c r="M8" s="561" t="s">
        <v>444</v>
      </c>
      <c r="N8" s="587" t="s">
        <v>644</v>
      </c>
      <c r="O8" s="587" t="s">
        <v>645</v>
      </c>
      <c r="P8" s="558" t="s">
        <v>634</v>
      </c>
    </row>
    <row r="9" spans="1:27" ht="15" customHeight="1">
      <c r="A9" s="535" t="s">
        <v>67</v>
      </c>
      <c r="B9" s="536"/>
      <c r="C9" s="537"/>
      <c r="D9" s="537"/>
      <c r="E9" s="537"/>
      <c r="F9" s="537"/>
      <c r="G9" s="537"/>
      <c r="H9" s="537"/>
      <c r="I9" s="537"/>
      <c r="J9" s="537"/>
      <c r="K9" s="537"/>
      <c r="L9" s="537"/>
      <c r="M9" s="537"/>
      <c r="N9" s="538"/>
      <c r="O9" s="538"/>
      <c r="P9" s="538"/>
    </row>
    <row r="10" spans="1:27" ht="15" customHeight="1">
      <c r="A10" s="573" t="s">
        <v>685</v>
      </c>
      <c r="B10" s="574">
        <f>'[1]DCS Detail'!AC$42</f>
        <v>269229.8208333333</v>
      </c>
      <c r="C10" s="574">
        <f>'[1]DCS Detail'!AD$42</f>
        <v>337794.67005658342</v>
      </c>
      <c r="D10" s="574">
        <f>'[1]DCS Detail'!AE$42</f>
        <v>334729.38266950002</v>
      </c>
      <c r="E10" s="574">
        <f>'[1]DCS Detail'!AF$42</f>
        <v>334116.32519208337</v>
      </c>
      <c r="F10" s="574">
        <f>'[1]DCS Detail'!AG$42</f>
        <v>332277.15275983338</v>
      </c>
      <c r="G10" s="574">
        <f>'[1]DCS Detail'!AH$42</f>
        <v>329824.92285016668</v>
      </c>
      <c r="H10" s="574">
        <f>'[1]DCS Detail'!AI$42</f>
        <v>332890.21023725002</v>
      </c>
      <c r="I10" s="574">
        <f>'[1]DCS Detail'!AJ$42</f>
        <v>332890.21023725002</v>
      </c>
      <c r="J10" s="574">
        <f>'[1]DCS Detail'!AK$42</f>
        <v>332277.15275983338</v>
      </c>
      <c r="K10" s="574">
        <f>'[1]DCS Detail'!AL$42</f>
        <v>331051.03780500003</v>
      </c>
      <c r="L10" s="574">
        <f>'[1]DCS Detail'!AM$42</f>
        <v>331051.03780500003</v>
      </c>
      <c r="M10" s="574">
        <f>'[1]DCS Detail'!AN$42</f>
        <v>331051.03780500003</v>
      </c>
      <c r="N10" s="575">
        <f t="shared" ref="N10:N20" si="0">SUM(B10:M10)</f>
        <v>3929182.9610108333</v>
      </c>
      <c r="O10" s="575"/>
      <c r="P10" s="575"/>
    </row>
    <row r="11" spans="1:27" ht="15" customHeight="1">
      <c r="A11" s="573" t="s">
        <v>686</v>
      </c>
      <c r="B11" s="574"/>
      <c r="C11" s="574"/>
      <c r="D11" s="574"/>
      <c r="E11" s="574"/>
      <c r="F11" s="574"/>
      <c r="G11" s="574"/>
      <c r="H11" s="574"/>
      <c r="I11" s="574"/>
      <c r="J11" s="574"/>
      <c r="K11" s="574"/>
      <c r="L11" s="574"/>
      <c r="M11" s="574"/>
      <c r="N11" s="575">
        <f t="shared" si="0"/>
        <v>0</v>
      </c>
      <c r="O11" s="575"/>
      <c r="P11" s="575"/>
    </row>
    <row r="12" spans="1:27" ht="15" customHeight="1">
      <c r="A12" s="573" t="s">
        <v>616</v>
      </c>
      <c r="B12" s="574">
        <f>'[1]DCS Detail'!AC43</f>
        <v>0</v>
      </c>
      <c r="C12" s="574">
        <f>'[1]DCS Detail'!AD43</f>
        <v>20940.249820000005</v>
      </c>
      <c r="D12" s="574">
        <f>'[1]DCS Detail'!AE43</f>
        <v>0</v>
      </c>
      <c r="E12" s="574">
        <f>'[1]DCS Detail'!AF43</f>
        <v>0</v>
      </c>
      <c r="F12" s="574">
        <f>'[1]DCS Detail'!AG43</f>
        <v>20940.249820000005</v>
      </c>
      <c r="G12" s="574">
        <f>'[1]DCS Detail'!AH43</f>
        <v>0</v>
      </c>
      <c r="H12" s="574">
        <f>'[1]DCS Detail'!AI43</f>
        <v>0</v>
      </c>
      <c r="I12" s="574">
        <f>'[1]DCS Detail'!AJ43</f>
        <v>20940.249820000005</v>
      </c>
      <c r="J12" s="574">
        <f>'[1]DCS Detail'!AK43</f>
        <v>0</v>
      </c>
      <c r="K12" s="574">
        <f>'[1]DCS Detail'!AL43</f>
        <v>0</v>
      </c>
      <c r="L12" s="574">
        <f>'[1]DCS Detail'!AM43</f>
        <v>0</v>
      </c>
      <c r="M12" s="574">
        <f>'[1]DCS Detail'!AN43</f>
        <v>30811.261105000005</v>
      </c>
      <c r="N12" s="575">
        <f t="shared" si="0"/>
        <v>93632.010565000019</v>
      </c>
      <c r="O12" s="575"/>
      <c r="P12" s="575"/>
    </row>
    <row r="13" spans="1:27" ht="15" customHeight="1">
      <c r="A13" s="573" t="s">
        <v>617</v>
      </c>
      <c r="B13" s="576"/>
      <c r="C13" s="574"/>
      <c r="D13" s="574"/>
      <c r="E13" s="574"/>
      <c r="F13" s="576"/>
      <c r="G13" s="574"/>
      <c r="H13" s="574"/>
      <c r="I13" s="574"/>
      <c r="J13" s="576"/>
      <c r="K13" s="574"/>
      <c r="L13" s="574"/>
      <c r="M13" s="574"/>
      <c r="N13" s="575">
        <f t="shared" si="0"/>
        <v>0</v>
      </c>
      <c r="O13" s="575"/>
      <c r="P13" s="575"/>
    </row>
    <row r="14" spans="1:27" ht="15" customHeight="1">
      <c r="A14" s="573" t="s">
        <v>618</v>
      </c>
      <c r="B14" s="576"/>
      <c r="C14" s="574"/>
      <c r="D14" s="574"/>
      <c r="E14" s="574"/>
      <c r="F14" s="576"/>
      <c r="G14" s="574"/>
      <c r="H14" s="574"/>
      <c r="I14" s="574"/>
      <c r="J14" s="576"/>
      <c r="K14" s="574"/>
      <c r="L14" s="574"/>
      <c r="M14" s="574"/>
      <c r="N14" s="575">
        <f t="shared" si="0"/>
        <v>0</v>
      </c>
      <c r="O14" s="575"/>
      <c r="P14" s="575"/>
    </row>
    <row r="15" spans="1:27" ht="15" customHeight="1">
      <c r="A15" s="573" t="s">
        <v>619</v>
      </c>
      <c r="B15" s="576"/>
      <c r="C15" s="574"/>
      <c r="D15" s="574"/>
      <c r="E15" s="574"/>
      <c r="F15" s="576"/>
      <c r="G15" s="574"/>
      <c r="H15" s="574"/>
      <c r="I15" s="574"/>
      <c r="J15" s="576"/>
      <c r="K15" s="574"/>
      <c r="L15" s="574"/>
      <c r="M15" s="574"/>
      <c r="N15" s="575">
        <f t="shared" si="0"/>
        <v>0</v>
      </c>
      <c r="O15" s="575"/>
      <c r="P15" s="575"/>
    </row>
    <row r="16" spans="1:27" ht="15" customHeight="1">
      <c r="A16" s="573" t="s">
        <v>620</v>
      </c>
      <c r="B16" s="576"/>
      <c r="C16" s="574"/>
      <c r="D16" s="574"/>
      <c r="E16" s="574"/>
      <c r="F16" s="576"/>
      <c r="G16" s="574"/>
      <c r="H16" s="574"/>
      <c r="I16" s="574"/>
      <c r="J16" s="576"/>
      <c r="K16" s="574"/>
      <c r="L16" s="574"/>
      <c r="M16" s="574"/>
      <c r="N16" s="575">
        <f t="shared" si="0"/>
        <v>0</v>
      </c>
      <c r="O16" s="575"/>
      <c r="P16" s="575"/>
    </row>
    <row r="17" spans="1:17" ht="15" customHeight="1">
      <c r="A17" s="573" t="s">
        <v>621</v>
      </c>
      <c r="B17" s="576"/>
      <c r="C17" s="574"/>
      <c r="D17" s="574"/>
      <c r="E17" s="574"/>
      <c r="F17" s="576"/>
      <c r="G17" s="574"/>
      <c r="H17" s="574"/>
      <c r="I17" s="574"/>
      <c r="J17" s="576"/>
      <c r="K17" s="574"/>
      <c r="L17" s="574"/>
      <c r="M17" s="574"/>
      <c r="N17" s="575">
        <f t="shared" si="0"/>
        <v>0</v>
      </c>
      <c r="O17" s="575"/>
      <c r="P17" s="575"/>
    </row>
    <row r="18" spans="1:17" ht="15" customHeight="1">
      <c r="A18" s="573" t="s">
        <v>687</v>
      </c>
      <c r="B18" s="576"/>
      <c r="C18" s="574"/>
      <c r="D18" s="574"/>
      <c r="E18" s="574"/>
      <c r="F18" s="576"/>
      <c r="G18" s="574"/>
      <c r="H18" s="574"/>
      <c r="I18" s="574"/>
      <c r="J18" s="576"/>
      <c r="K18" s="574"/>
      <c r="L18" s="574"/>
      <c r="M18" s="574"/>
      <c r="N18" s="575">
        <f t="shared" si="0"/>
        <v>0</v>
      </c>
      <c r="O18" s="575"/>
      <c r="P18" s="575"/>
    </row>
    <row r="19" spans="1:17" ht="15" customHeight="1">
      <c r="A19" s="573" t="s">
        <v>622</v>
      </c>
      <c r="B19" s="576"/>
      <c r="C19" s="574"/>
      <c r="D19" s="574"/>
      <c r="E19" s="574"/>
      <c r="F19" s="576"/>
      <c r="G19" s="574"/>
      <c r="H19" s="574"/>
      <c r="I19" s="574"/>
      <c r="J19" s="576"/>
      <c r="K19" s="574"/>
      <c r="L19" s="574"/>
      <c r="M19" s="574"/>
      <c r="N19" s="575">
        <f t="shared" si="0"/>
        <v>0</v>
      </c>
      <c r="O19" s="575"/>
      <c r="P19" s="575"/>
    </row>
    <row r="20" spans="1:17" ht="15" customHeight="1">
      <c r="A20" s="573" t="s">
        <v>338</v>
      </c>
      <c r="B20" s="574"/>
      <c r="C20" s="574"/>
      <c r="D20" s="574"/>
      <c r="E20" s="574"/>
      <c r="F20" s="574"/>
      <c r="G20" s="574"/>
      <c r="H20" s="574"/>
      <c r="I20" s="574"/>
      <c r="J20" s="574"/>
      <c r="K20" s="574"/>
      <c r="L20" s="574"/>
      <c r="M20" s="574"/>
      <c r="N20" s="575">
        <f t="shared" si="0"/>
        <v>0</v>
      </c>
      <c r="O20" s="575"/>
      <c r="P20" s="575"/>
    </row>
    <row r="21" spans="1:17" ht="15" customHeight="1">
      <c r="A21" s="573" t="s">
        <v>623</v>
      </c>
      <c r="B21" s="574">
        <f>'[1]DCS Detail'!AC46</f>
        <v>0</v>
      </c>
      <c r="C21" s="574">
        <f>'[1]DCS Detail'!AD46</f>
        <v>0</v>
      </c>
      <c r="D21" s="574">
        <f>'[1]DCS Detail'!AE46</f>
        <v>0</v>
      </c>
      <c r="E21" s="574">
        <f>'[1]DCS Detail'!AF46</f>
        <v>3384</v>
      </c>
      <c r="F21" s="574">
        <f>'[1]DCS Detail'!AG46</f>
        <v>3384</v>
      </c>
      <c r="G21" s="574">
        <f>'[1]DCS Detail'!AH46</f>
        <v>3384</v>
      </c>
      <c r="H21" s="574">
        <f>'[1]DCS Detail'!AI46</f>
        <v>3384</v>
      </c>
      <c r="I21" s="574">
        <f>'[1]DCS Detail'!AJ46</f>
        <v>3384</v>
      </c>
      <c r="J21" s="574">
        <f>'[1]DCS Detail'!AK46</f>
        <v>3384</v>
      </c>
      <c r="K21" s="574">
        <f>'[1]DCS Detail'!AL46</f>
        <v>3384</v>
      </c>
      <c r="L21" s="574">
        <f>'[1]DCS Detail'!AM46</f>
        <v>3384</v>
      </c>
      <c r="M21" s="574">
        <f>'[1]DCS Detail'!AN46</f>
        <v>3384</v>
      </c>
      <c r="N21" s="575">
        <f t="shared" ref="N21:N22" si="1">SUM(B21:M21)</f>
        <v>30456</v>
      </c>
      <c r="O21" s="575"/>
      <c r="P21" s="575"/>
    </row>
    <row r="22" spans="1:17" ht="15" customHeight="1">
      <c r="A22" s="573" t="s">
        <v>624</v>
      </c>
      <c r="B22" s="576"/>
      <c r="C22" s="574"/>
      <c r="D22" s="574"/>
      <c r="E22" s="574"/>
      <c r="F22" s="576"/>
      <c r="G22" s="574"/>
      <c r="H22" s="574"/>
      <c r="I22" s="574"/>
      <c r="J22" s="576"/>
      <c r="K22" s="574"/>
      <c r="L22" s="574"/>
      <c r="M22" s="574"/>
      <c r="N22" s="575">
        <f t="shared" si="1"/>
        <v>0</v>
      </c>
      <c r="O22" s="575"/>
      <c r="P22" s="575"/>
    </row>
    <row r="23" spans="1:17" ht="15" customHeight="1">
      <c r="A23" s="577" t="s">
        <v>713</v>
      </c>
      <c r="B23" s="574">
        <f>'[1]DCS Detail'!AC44</f>
        <v>0</v>
      </c>
      <c r="C23" s="574">
        <f>'[1]DCS Detail'!AD44</f>
        <v>0</v>
      </c>
      <c r="D23" s="574">
        <f>'[1]DCS Detail'!AE44</f>
        <v>500000</v>
      </c>
      <c r="E23" s="574">
        <f>'[1]DCS Detail'!AF44</f>
        <v>0</v>
      </c>
      <c r="F23" s="574">
        <f>'[1]DCS Detail'!AG44</f>
        <v>0</v>
      </c>
      <c r="G23" s="574">
        <f>'[1]DCS Detail'!AH44</f>
        <v>0</v>
      </c>
      <c r="H23" s="574">
        <f>'[1]DCS Detail'!AI44</f>
        <v>0</v>
      </c>
      <c r="I23" s="574">
        <f>'[1]DCS Detail'!AJ44</f>
        <v>0</v>
      </c>
      <c r="J23" s="574">
        <f>'[1]DCS Detail'!AK44</f>
        <v>0</v>
      </c>
      <c r="K23" s="574">
        <f>'[1]DCS Detail'!AL44</f>
        <v>0</v>
      </c>
      <c r="L23" s="574">
        <f>'[1]DCS Detail'!AM44</f>
        <v>0</v>
      </c>
      <c r="M23" s="574">
        <f>'[1]DCS Detail'!AN44</f>
        <v>0</v>
      </c>
      <c r="N23" s="575">
        <f>SUM(B23:M23)</f>
        <v>500000</v>
      </c>
      <c r="O23" s="575"/>
      <c r="P23" s="575"/>
    </row>
    <row r="24" spans="1:17" ht="15" customHeight="1">
      <c r="A24" s="577" t="s">
        <v>714</v>
      </c>
      <c r="B24" s="576">
        <f>'[1]DCS Detail'!AC$45</f>
        <v>0</v>
      </c>
      <c r="C24" s="576">
        <f>'[1]DCS Detail'!AD$45</f>
        <v>0</v>
      </c>
      <c r="D24" s="576">
        <f>'[1]DCS Detail'!AE$45</f>
        <v>0</v>
      </c>
      <c r="E24" s="576">
        <f>'[1]DCS Detail'!AF$45</f>
        <v>0</v>
      </c>
      <c r="F24" s="576">
        <f>'[1]DCS Detail'!AG$45</f>
        <v>0</v>
      </c>
      <c r="G24" s="576">
        <f>'[1]DCS Detail'!AH$45</f>
        <v>0</v>
      </c>
      <c r="H24" s="576">
        <f>'[1]DCS Detail'!AI$45</f>
        <v>0</v>
      </c>
      <c r="I24" s="576">
        <f>'[1]DCS Detail'!AJ$45</f>
        <v>62500</v>
      </c>
      <c r="J24" s="576">
        <f>'[1]DCS Detail'!AK$45</f>
        <v>62500</v>
      </c>
      <c r="K24" s="576">
        <f>'[1]DCS Detail'!AL$45</f>
        <v>62500</v>
      </c>
      <c r="L24" s="576">
        <f>'[1]DCS Detail'!AM$45</f>
        <v>62500</v>
      </c>
      <c r="M24" s="576">
        <f>'[1]DCS Detail'!AN$45</f>
        <v>0</v>
      </c>
      <c r="N24" s="575">
        <f t="shared" ref="N24:N27" si="2">SUM(B24:M24)</f>
        <v>250000</v>
      </c>
      <c r="O24" s="575"/>
      <c r="P24" s="575"/>
    </row>
    <row r="25" spans="1:17" ht="15" customHeight="1">
      <c r="A25" s="577" t="s">
        <v>86</v>
      </c>
      <c r="B25" s="576">
        <f>'[1]DCS Detail'!AC$48-SUM(B10:B24)</f>
        <v>2990.8533333333908</v>
      </c>
      <c r="C25" s="576">
        <f>'[1]DCS Detail'!AD$48-SUM(C10:C24)</f>
        <v>4811.7633333333069</v>
      </c>
      <c r="D25" s="576">
        <f>'[1]DCS Detail'!AE$48-SUM(D10:D24)</f>
        <v>8426.2199999999721</v>
      </c>
      <c r="E25" s="576">
        <f>'[1]DCS Detail'!AF$48-SUM(E10:E24)</f>
        <v>9803.3466666666209</v>
      </c>
      <c r="F25" s="576">
        <f>'[1]DCS Detail'!AG$48-SUM(F10:F24)</f>
        <v>5242.3399999999674</v>
      </c>
      <c r="G25" s="576">
        <f>'[1]DCS Detail'!AH$48-SUM(G10:G24)</f>
        <v>5189.960000000021</v>
      </c>
      <c r="H25" s="576">
        <f>'[1]DCS Detail'!AI$48-SUM(H10:H24)</f>
        <v>15719.826666666602</v>
      </c>
      <c r="I25" s="576">
        <f>'[1]DCS Detail'!AJ$48-SUM(I10:I24)</f>
        <v>14525.63333333336</v>
      </c>
      <c r="J25" s="576">
        <f>'[1]DCS Detail'!AK$48-SUM(J10:J24)</f>
        <v>8106.6533333333209</v>
      </c>
      <c r="K25" s="576">
        <f>'[1]DCS Detail'!AL$48-SUM(K10:K24)</f>
        <v>5363.8433333333232</v>
      </c>
      <c r="L25" s="576">
        <f>'[1]DCS Detail'!AM$48-SUM(L10:L24)</f>
        <v>9647.960000000021</v>
      </c>
      <c r="M25" s="576">
        <f>'[1]DCS Detail'!AN$48-SUM(M10:M24)</f>
        <v>2007.3933333333698</v>
      </c>
      <c r="N25" s="575">
        <f>SUM(B25:M25)</f>
        <v>91835.793333333277</v>
      </c>
      <c r="O25" s="575"/>
      <c r="P25" s="575"/>
    </row>
    <row r="26" spans="1:17" ht="15" customHeight="1">
      <c r="A26" s="577"/>
      <c r="B26" s="576"/>
      <c r="C26" s="574"/>
      <c r="D26" s="574"/>
      <c r="E26" s="574"/>
      <c r="F26" s="576"/>
      <c r="G26" s="574"/>
      <c r="H26" s="574"/>
      <c r="I26" s="574"/>
      <c r="J26" s="576"/>
      <c r="K26" s="574"/>
      <c r="L26" s="574"/>
      <c r="M26" s="574"/>
      <c r="N26" s="575">
        <f t="shared" si="2"/>
        <v>0</v>
      </c>
      <c r="O26" s="575"/>
      <c r="P26" s="575"/>
    </row>
    <row r="27" spans="1:17" ht="15" customHeight="1">
      <c r="A27" s="577"/>
      <c r="B27" s="576"/>
      <c r="C27" s="574"/>
      <c r="D27" s="574"/>
      <c r="E27" s="574"/>
      <c r="F27" s="576"/>
      <c r="G27" s="574"/>
      <c r="H27" s="574"/>
      <c r="I27" s="574"/>
      <c r="J27" s="576"/>
      <c r="K27" s="574"/>
      <c r="L27" s="574"/>
      <c r="M27" s="574"/>
      <c r="N27" s="575">
        <f t="shared" si="2"/>
        <v>0</v>
      </c>
      <c r="O27" s="575"/>
      <c r="P27" s="575"/>
    </row>
    <row r="28" spans="1:17" ht="15" customHeight="1" thickBot="1">
      <c r="A28" s="532" t="s">
        <v>445</v>
      </c>
      <c r="B28" s="570">
        <f t="shared" ref="B28:N28" si="3">SUM(B10:B27)</f>
        <v>272220.67416666669</v>
      </c>
      <c r="C28" s="570">
        <f t="shared" si="3"/>
        <v>363546.68320991675</v>
      </c>
      <c r="D28" s="570">
        <f t="shared" si="3"/>
        <v>843155.60266950005</v>
      </c>
      <c r="E28" s="570">
        <f t="shared" si="3"/>
        <v>347303.67185874999</v>
      </c>
      <c r="F28" s="570">
        <f t="shared" si="3"/>
        <v>361843.74257983337</v>
      </c>
      <c r="G28" s="570">
        <f t="shared" si="3"/>
        <v>338398.8828501667</v>
      </c>
      <c r="H28" s="570">
        <f t="shared" si="3"/>
        <v>351994.03690391663</v>
      </c>
      <c r="I28" s="570">
        <f t="shared" si="3"/>
        <v>434240.09339058341</v>
      </c>
      <c r="J28" s="570">
        <f t="shared" si="3"/>
        <v>406267.8060931667</v>
      </c>
      <c r="K28" s="570">
        <f t="shared" si="3"/>
        <v>402298.88113833335</v>
      </c>
      <c r="L28" s="570">
        <f t="shared" si="3"/>
        <v>406582.99780500005</v>
      </c>
      <c r="M28" s="570">
        <f t="shared" si="3"/>
        <v>367253.69224333338</v>
      </c>
      <c r="N28" s="571">
        <f t="shared" si="3"/>
        <v>4895106.7649091668</v>
      </c>
      <c r="O28" s="572">
        <f>IF(B2="Tentative",('Form 3 Revenues'!F101-'Form 3 Revenues'!F98),IF(B2="Final",('Form 3 Revenues'!G101-'Form 3 Revenues'!G98),('Form 3 Revenues'!H101-'Form 3 Revenues'!H98)))</f>
        <v>4895106.7649091668</v>
      </c>
      <c r="P28" s="571">
        <f>N28-O28</f>
        <v>0</v>
      </c>
    </row>
    <row r="29" spans="1:17" ht="15" customHeight="1" thickTop="1">
      <c r="A29" s="532" t="s">
        <v>446</v>
      </c>
      <c r="B29" s="540">
        <f>B28</f>
        <v>272220.67416666669</v>
      </c>
      <c r="C29" s="540">
        <f>B29+C28</f>
        <v>635767.35737658339</v>
      </c>
      <c r="D29" s="540">
        <f t="shared" ref="D29:M29" si="4">C29+D28</f>
        <v>1478922.9600460834</v>
      </c>
      <c r="E29" s="540">
        <f t="shared" si="4"/>
        <v>1826226.6319048335</v>
      </c>
      <c r="F29" s="540">
        <f t="shared" si="4"/>
        <v>2188070.3744846666</v>
      </c>
      <c r="G29" s="540">
        <f t="shared" si="4"/>
        <v>2526469.2573348335</v>
      </c>
      <c r="H29" s="540">
        <f t="shared" si="4"/>
        <v>2878463.2942387499</v>
      </c>
      <c r="I29" s="540">
        <f t="shared" si="4"/>
        <v>3312703.3876293334</v>
      </c>
      <c r="J29" s="540">
        <f t="shared" si="4"/>
        <v>3718971.1937225</v>
      </c>
      <c r="K29" s="540">
        <f t="shared" si="4"/>
        <v>4121270.0748608336</v>
      </c>
      <c r="L29" s="540">
        <f t="shared" si="4"/>
        <v>4527853.0726658339</v>
      </c>
      <c r="M29" s="540">
        <f t="shared" si="4"/>
        <v>4895106.7649091668</v>
      </c>
      <c r="N29" s="544"/>
      <c r="O29" s="544"/>
      <c r="P29" s="544"/>
    </row>
    <row r="30" spans="1:17" ht="15" customHeight="1">
      <c r="A30" s="541" t="s">
        <v>625</v>
      </c>
      <c r="B30" s="542">
        <f>IFERROR(B29/$N$28,"")</f>
        <v>5.56107736235898E-2</v>
      </c>
      <c r="C30" s="542">
        <f>IFERROR(C29/$N$28,"")</f>
        <v>0.12987813911110488</v>
      </c>
      <c r="D30" s="542">
        <f t="shared" ref="D30:M30" si="5">IFERROR(D29/$N$28,"")</f>
        <v>0.30212271786344302</v>
      </c>
      <c r="E30" s="542">
        <f t="shared" si="5"/>
        <v>0.3730718694424065</v>
      </c>
      <c r="F30" s="542">
        <f t="shared" si="5"/>
        <v>0.44699134861980244</v>
      </c>
      <c r="G30" s="542">
        <f t="shared" si="5"/>
        <v>0.51612137971044114</v>
      </c>
      <c r="H30" s="542">
        <f t="shared" si="5"/>
        <v>0.58802870549691932</v>
      </c>
      <c r="I30" s="542">
        <f t="shared" si="5"/>
        <v>0.67673771926214643</v>
      </c>
      <c r="J30" s="542">
        <f t="shared" si="5"/>
        <v>0.7597323965193451</v>
      </c>
      <c r="K30" s="542">
        <f t="shared" si="5"/>
        <v>0.84191627941690206</v>
      </c>
      <c r="L30" s="542">
        <f t="shared" si="5"/>
        <v>0.92497534581349472</v>
      </c>
      <c r="M30" s="542">
        <f t="shared" si="5"/>
        <v>1</v>
      </c>
      <c r="N30" s="544"/>
      <c r="O30" s="544"/>
      <c r="P30" s="544"/>
    </row>
    <row r="31" spans="1:17" ht="15" customHeight="1" thickBot="1">
      <c r="A31" s="541"/>
      <c r="B31" s="563"/>
      <c r="C31" s="564"/>
      <c r="D31" s="564"/>
      <c r="E31" s="564"/>
      <c r="F31" s="564"/>
      <c r="G31" s="564"/>
      <c r="H31" s="564"/>
      <c r="I31" s="564"/>
      <c r="J31" s="564"/>
      <c r="K31" s="564"/>
      <c r="L31" s="564"/>
      <c r="M31" s="564"/>
      <c r="N31" s="565"/>
      <c r="O31" s="565"/>
      <c r="P31" s="565"/>
      <c r="Q31" s="569"/>
    </row>
    <row r="32" spans="1:17" ht="24" customHeight="1" thickBot="1">
      <c r="A32" s="532"/>
      <c r="B32" s="560" t="s">
        <v>432</v>
      </c>
      <c r="C32" s="560" t="s">
        <v>432</v>
      </c>
      <c r="D32" s="560" t="s">
        <v>432</v>
      </c>
      <c r="E32" s="560" t="s">
        <v>432</v>
      </c>
      <c r="F32" s="560" t="s">
        <v>432</v>
      </c>
      <c r="G32" s="560" t="s">
        <v>432</v>
      </c>
      <c r="H32" s="560" t="s">
        <v>432</v>
      </c>
      <c r="I32" s="560" t="s">
        <v>432</v>
      </c>
      <c r="J32" s="560" t="s">
        <v>432</v>
      </c>
      <c r="K32" s="560" t="s">
        <v>432</v>
      </c>
      <c r="L32" s="560" t="s">
        <v>432</v>
      </c>
      <c r="M32" s="560" t="s">
        <v>432</v>
      </c>
      <c r="N32" s="586" t="s">
        <v>643</v>
      </c>
      <c r="O32" s="586" t="s">
        <v>500</v>
      </c>
      <c r="P32" s="568"/>
      <c r="Q32" s="569"/>
    </row>
    <row r="33" spans="1:16" ht="15" customHeight="1" thickBot="1">
      <c r="A33" s="534"/>
      <c r="B33" s="561" t="s">
        <v>433</v>
      </c>
      <c r="C33" s="561" t="s">
        <v>434</v>
      </c>
      <c r="D33" s="561" t="s">
        <v>435</v>
      </c>
      <c r="E33" s="561" t="s">
        <v>436</v>
      </c>
      <c r="F33" s="561" t="s">
        <v>437</v>
      </c>
      <c r="G33" s="561" t="s">
        <v>438</v>
      </c>
      <c r="H33" s="561" t="s">
        <v>439</v>
      </c>
      <c r="I33" s="561" t="s">
        <v>440</v>
      </c>
      <c r="J33" s="561" t="s">
        <v>441</v>
      </c>
      <c r="K33" s="561" t="s">
        <v>442</v>
      </c>
      <c r="L33" s="561" t="s">
        <v>443</v>
      </c>
      <c r="M33" s="561" t="s">
        <v>444</v>
      </c>
      <c r="N33" s="587" t="s">
        <v>644</v>
      </c>
      <c r="O33" s="587" t="s">
        <v>647</v>
      </c>
      <c r="P33" s="558" t="s">
        <v>634</v>
      </c>
    </row>
    <row r="34" spans="1:16" ht="15" customHeight="1">
      <c r="A34" s="535" t="s">
        <v>69</v>
      </c>
      <c r="B34" s="562"/>
      <c r="C34" s="567"/>
      <c r="D34" s="567"/>
      <c r="E34" s="567"/>
      <c r="F34" s="567"/>
      <c r="G34" s="567"/>
      <c r="H34" s="567"/>
      <c r="I34" s="567"/>
      <c r="J34" s="567"/>
      <c r="K34" s="567"/>
      <c r="L34" s="567"/>
      <c r="M34" s="567"/>
      <c r="N34" s="539">
        <f>SUM(B34:M34)</f>
        <v>0</v>
      </c>
      <c r="O34" s="539"/>
      <c r="P34" s="539"/>
    </row>
    <row r="35" spans="1:16" ht="15" customHeight="1">
      <c r="A35" s="579" t="s">
        <v>80</v>
      </c>
      <c r="B35" s="574">
        <f>'[1]DCS Detail'!AC187</f>
        <v>0</v>
      </c>
      <c r="C35" s="574">
        <f>SUM('[1]DCS Detail'!AD$53:AD$54,'[1]DCS Detail'!AD$83,'[1]DCS Detail'!AD$97,'[1]DCS Detail'!AD$111,'[1]DCS Detail'!AD$139:AD$140)</f>
        <v>160128.57055555558</v>
      </c>
      <c r="D35" s="574">
        <f>SUM('[1]DCS Detail'!AE$53:AE$54,'[1]DCS Detail'!AE$83,'[1]DCS Detail'!AE$97,'[1]DCS Detail'!AE$111,'[1]DCS Detail'!AE$139:AE$140)</f>
        <v>159819.57055555558</v>
      </c>
      <c r="E35" s="574">
        <f>SUM('[1]DCS Detail'!AF$53:AF$54,'[1]DCS Detail'!AF$83,'[1]DCS Detail'!AF$97,'[1]DCS Detail'!AF$111,'[1]DCS Detail'!AF$139:AF$140)</f>
        <v>159819.57055555558</v>
      </c>
      <c r="F35" s="574">
        <f>SUM('[1]DCS Detail'!AG$53:AG$54,'[1]DCS Detail'!AG$83,'[1]DCS Detail'!AG$97,'[1]DCS Detail'!AG$111,'[1]DCS Detail'!AG$139:AG$140)</f>
        <v>161210.07055555558</v>
      </c>
      <c r="G35" s="574">
        <f>SUM('[1]DCS Detail'!AH$53:AH$54,'[1]DCS Detail'!AH$83,'[1]DCS Detail'!AH$97,'[1]DCS Detail'!AH$111,'[1]DCS Detail'!AH$139:AH$140)</f>
        <v>159819.57055555558</v>
      </c>
      <c r="H35" s="574">
        <f>SUM('[1]DCS Detail'!AI$53:AI$54,'[1]DCS Detail'!AI$83,'[1]DCS Detail'!AI$97,'[1]DCS Detail'!AI$111,'[1]DCS Detail'!AI$139:AI$140)</f>
        <v>160746.57055555558</v>
      </c>
      <c r="I35" s="574">
        <f>SUM('[1]DCS Detail'!AJ$53:AJ$54,'[1]DCS Detail'!AJ$83,'[1]DCS Detail'!AJ$97,'[1]DCS Detail'!AJ$111,'[1]DCS Detail'!AJ$139:AJ$140)</f>
        <v>159819.57055555558</v>
      </c>
      <c r="J35" s="574">
        <f>SUM('[1]DCS Detail'!AK$53:AK$54,'[1]DCS Detail'!AK$83,'[1]DCS Detail'!AK$97,'[1]DCS Detail'!AK$111,'[1]DCS Detail'!AK$139:AK$140)</f>
        <v>159819.57055555558</v>
      </c>
      <c r="K35" s="574">
        <f>SUM('[1]DCS Detail'!AL$53:AL$54,'[1]DCS Detail'!AL$83,'[1]DCS Detail'!AL$97,'[1]DCS Detail'!AL$111,'[1]DCS Detail'!AL$139:AL$140)</f>
        <v>160774.38055555557</v>
      </c>
      <c r="L35" s="574">
        <f>SUM('[1]DCS Detail'!AM$53:AM$54,'[1]DCS Detail'!AM$83,'[1]DCS Detail'!AM$97,'[1]DCS Detail'!AM$111,'[1]DCS Detail'!AM$139:AM$140)</f>
        <v>160031.75055555557</v>
      </c>
      <c r="M35" s="574">
        <f>SUM('[1]DCS Detail'!AN$53:AN$54,'[1]DCS Detail'!AN$83,'[1]DCS Detail'!AN$97,'[1]DCS Detail'!AN$111,'[1]DCS Detail'!AN$139:AN$140)</f>
        <v>319639.14111111115</v>
      </c>
      <c r="N35" s="575">
        <f>SUM(B35:M35)</f>
        <v>1921628.3366666669</v>
      </c>
      <c r="O35" s="575"/>
      <c r="P35" s="575"/>
    </row>
    <row r="36" spans="1:16" ht="15" customHeight="1">
      <c r="A36" s="579" t="s">
        <v>82</v>
      </c>
      <c r="B36" s="574">
        <f>'[1]DCS Detail'!AC188</f>
        <v>427.2749</v>
      </c>
      <c r="C36" s="574">
        <f>SUM('[1]DCS Detail'!AD$55:AD$63,'[1]DCS Detail'!AD$84:AD$88,'[1]DCS Detail'!AD$98:AD$99,'[1]DCS Detail'!AD$112:AD$116,'[1]DCS Detail'!AD$118,'[1]DCS Detail'!AD$141:AD$149)</f>
        <v>48266.702025763472</v>
      </c>
      <c r="D36" s="574">
        <f>SUM('[1]DCS Detail'!AE$55:AE$63,'[1]DCS Detail'!AE$84:AE$88,'[1]DCS Detail'!AE$98:AE$99,'[1]DCS Detail'!AE$112:AE$116,'[1]DCS Detail'!AE$118,'[1]DCS Detail'!AE$141:AE$149)</f>
        <v>47808.13022872177</v>
      </c>
      <c r="E36" s="574">
        <f>SUM('[1]DCS Detail'!AF$55:AF$63,'[1]DCS Detail'!AF$84:AF$88,'[1]DCS Detail'!AF$98:AF$99,'[1]DCS Detail'!AF$112:AF$116,'[1]DCS Detail'!AF$118,'[1]DCS Detail'!AF$141:AF$149)</f>
        <v>43172.192139069877</v>
      </c>
      <c r="F36" s="574">
        <f>SUM('[1]DCS Detail'!AG$55:AG$63,'[1]DCS Detail'!AG$84:AG$88,'[1]DCS Detail'!AG$98:AG$99,'[1]DCS Detail'!AG$112:AG$116,'[1]DCS Detail'!AG$118,'[1]DCS Detail'!AG$141:AG$149)</f>
        <v>44788.826082874402</v>
      </c>
      <c r="G36" s="574">
        <f>SUM('[1]DCS Detail'!AH$55:AH$63,'[1]DCS Detail'!AH$84:AH$88,'[1]DCS Detail'!AH$98:AH$99,'[1]DCS Detail'!AH$112:AH$116,'[1]DCS Detail'!AH$118,'[1]DCS Detail'!AH$141:AH$149)</f>
        <v>44053.510593885709</v>
      </c>
      <c r="H36" s="574">
        <f>SUM('[1]DCS Detail'!AI$55:AI$63,'[1]DCS Detail'!AI$84:AI$88,'[1]DCS Detail'!AI$98:AI$99,'[1]DCS Detail'!AI$112:AI$116,'[1]DCS Detail'!AI$118,'[1]DCS Detail'!AI$141:AI$149)</f>
        <v>44067.326040217464</v>
      </c>
      <c r="I36" s="574">
        <f>SUM('[1]DCS Detail'!AJ$55:AJ$63,'[1]DCS Detail'!AJ$84:AJ$88,'[1]DCS Detail'!AJ$98:AJ$99,'[1]DCS Detail'!AJ$112:AJ$116,'[1]DCS Detail'!AJ$118,'[1]DCS Detail'!AJ$141:AJ$149)</f>
        <v>44653.412035088782</v>
      </c>
      <c r="J36" s="574">
        <f>SUM('[1]DCS Detail'!AK$55:AK$63,'[1]DCS Detail'!AK$84:AK$88,'[1]DCS Detail'!AK$98:AK$99,'[1]DCS Detail'!AK$112:AK$116,'[1]DCS Detail'!AK$118,'[1]DCS Detail'!AK$141:AK$149)</f>
        <v>44491.279735088785</v>
      </c>
      <c r="K36" s="574">
        <f>SUM('[1]DCS Detail'!AL$55:AL$63,'[1]DCS Detail'!AL$84:AL$88,'[1]DCS Detail'!AL$98:AL$99,'[1]DCS Detail'!AL$112:AL$116,'[1]DCS Detail'!AL$118,'[1]DCS Detail'!AL$141:AL$149)</f>
        <v>44426.473454278115</v>
      </c>
      <c r="L36" s="574">
        <f>SUM('[1]DCS Detail'!AM$55:AM$63,'[1]DCS Detail'!AM$84:AM$88,'[1]DCS Detail'!AM$98:AM$99,'[1]DCS Detail'!AM$112:AM$116,'[1]DCS Detail'!AM$118,'[1]DCS Detail'!AM$141:AM$149)</f>
        <v>44151.498545357572</v>
      </c>
      <c r="M36" s="574">
        <f>SUM('[1]DCS Detail'!AN$55:AN$63,'[1]DCS Detail'!AN$84:AN$88,'[1]DCS Detail'!AN$98:AN$99,'[1]DCS Detail'!AN$112:AN$116,'[1]DCS Detail'!AN$118,'[1]DCS Detail'!AN$141:AN$149)</f>
        <v>88527.0849997974</v>
      </c>
      <c r="N36" s="575">
        <f>SUM(B36:M36)</f>
        <v>538833.71078014339</v>
      </c>
      <c r="O36" s="575"/>
      <c r="P36" s="575"/>
    </row>
    <row r="37" spans="1:16" ht="15" customHeight="1">
      <c r="A37" s="579" t="s">
        <v>638</v>
      </c>
      <c r="B37" s="574">
        <f>'[1]DCS Detail'!AC$196+'[1]DCS Detail'!AC$197+'[1]DCS Detail'!AC$194</f>
        <v>27133.660799999998</v>
      </c>
      <c r="C37" s="574">
        <f>'[1]DCS Detail'!AD$196+'[1]DCS Detail'!AD$197+'[1]DCS Detail'!AD$194</f>
        <v>30922.6273</v>
      </c>
      <c r="D37" s="574">
        <f>'[1]DCS Detail'!AE$196+'[1]DCS Detail'!AE$197+'[1]DCS Detail'!AE$194</f>
        <v>57067.510299999994</v>
      </c>
      <c r="E37" s="574">
        <f>'[1]DCS Detail'!AF$196+'[1]DCS Detail'!AF$197+'[1]DCS Detail'!AF$194</f>
        <v>46377.053100000005</v>
      </c>
      <c r="F37" s="574">
        <f>'[1]DCS Detail'!AG$196+'[1]DCS Detail'!AG$197+'[1]DCS Detail'!AG$194</f>
        <v>83288.781999999992</v>
      </c>
      <c r="G37" s="574">
        <f>'[1]DCS Detail'!AH$196+'[1]DCS Detail'!AH$197+'[1]DCS Detail'!AH$194</f>
        <v>36913.608800000002</v>
      </c>
      <c r="H37" s="574">
        <f>'[1]DCS Detail'!AI$196+'[1]DCS Detail'!AI$197+'[1]DCS Detail'!AI$194</f>
        <v>47425.768199999999</v>
      </c>
      <c r="I37" s="574">
        <f>'[1]DCS Detail'!AJ$196+'[1]DCS Detail'!AJ$197+'[1]DCS Detail'!AJ$194</f>
        <v>39395.847000000002</v>
      </c>
      <c r="J37" s="574">
        <f>'[1]DCS Detail'!AK$196+'[1]DCS Detail'!AK$197+'[1]DCS Detail'!AK$194</f>
        <v>28071.396640000017</v>
      </c>
      <c r="K37" s="574">
        <f>'[1]DCS Detail'!AL$196+'[1]DCS Detail'!AL$197+'[1]DCS Detail'!AL$194</f>
        <v>34284.037648999998</v>
      </c>
      <c r="L37" s="574">
        <f>'[1]DCS Detail'!AM$196+'[1]DCS Detail'!AM$197+'[1]DCS Detail'!AM$194</f>
        <v>41214.865522</v>
      </c>
      <c r="M37" s="574">
        <f>'[1]DCS Detail'!AN$196+'[1]DCS Detail'!AN$197+'[1]DCS Detail'!AN$194</f>
        <v>32404.186503000004</v>
      </c>
      <c r="N37" s="575">
        <f>SUM(B37:M37)</f>
        <v>504499.34381400002</v>
      </c>
      <c r="O37" s="575"/>
      <c r="P37" s="575"/>
    </row>
    <row r="38" spans="1:16" ht="15" customHeight="1">
      <c r="A38" s="579" t="s">
        <v>84</v>
      </c>
      <c r="B38" s="574">
        <f>'[1]DCS Detail'!AC$192+'[1]DCS Detail'!AC$193</f>
        <v>4617.49</v>
      </c>
      <c r="C38" s="574">
        <f>'[1]DCS Detail'!AD$192+'[1]DCS Detail'!AD$193</f>
        <v>17849.302600000003</v>
      </c>
      <c r="D38" s="574">
        <f>'[1]DCS Detail'!AE$192+'[1]DCS Detail'!AE$193</f>
        <v>78048.023400000005</v>
      </c>
      <c r="E38" s="574">
        <f>'[1]DCS Detail'!AF$192+'[1]DCS Detail'!AF$193</f>
        <v>18524.343999999997</v>
      </c>
      <c r="F38" s="574">
        <f>'[1]DCS Detail'!AG$192+'[1]DCS Detail'!AG$193</f>
        <v>7546.7790999999997</v>
      </c>
      <c r="G38" s="574">
        <f>'[1]DCS Detail'!AH$192+'[1]DCS Detail'!AH$193</f>
        <v>698.19580000000008</v>
      </c>
      <c r="H38" s="574">
        <f>'[1]DCS Detail'!AI$192+'[1]DCS Detail'!AI$193</f>
        <v>15178.7804</v>
      </c>
      <c r="I38" s="574">
        <f>'[1]DCS Detail'!AJ$192+'[1]DCS Detail'!AJ$193</f>
        <v>6995.3686000000016</v>
      </c>
      <c r="J38" s="574">
        <f>'[1]DCS Detail'!AK$192+'[1]DCS Detail'!AK$193</f>
        <v>3537.7726210000001</v>
      </c>
      <c r="K38" s="574">
        <f>'[1]DCS Detail'!AL$192+'[1]DCS Detail'!AL$193</f>
        <v>6629.3200930000003</v>
      </c>
      <c r="L38" s="574">
        <f>'[1]DCS Detail'!AM$192+'[1]DCS Detail'!AM$193</f>
        <v>7400.9550989999998</v>
      </c>
      <c r="M38" s="574">
        <f>'[1]DCS Detail'!AN$192+'[1]DCS Detail'!AN$193</f>
        <v>4387.4792580000003</v>
      </c>
      <c r="N38" s="575">
        <f t="shared" ref="N38:N48" si="6">SUM(B38:M38)</f>
        <v>171413.810971</v>
      </c>
      <c r="O38" s="575"/>
      <c r="P38" s="575"/>
    </row>
    <row r="39" spans="1:16" ht="15" customHeight="1">
      <c r="A39" s="579" t="s">
        <v>86</v>
      </c>
      <c r="B39" s="574">
        <f>'[1]DCS Detail'!AC$203-SUM(B35:B38,B40:B42)</f>
        <v>10041.840166666661</v>
      </c>
      <c r="C39" s="574">
        <f>'[1]DCS Detail'!AD$203-SUM(C35:C38,C40:C42)</f>
        <v>21957.456966666621</v>
      </c>
      <c r="D39" s="574">
        <f>'[1]DCS Detail'!AE$203-SUM(D35:D38,D40:D42)</f>
        <v>51578.867966666643</v>
      </c>
      <c r="E39" s="574">
        <f>'[1]DCS Detail'!AF$203-SUM(E35:E38,E40:E42)</f>
        <v>20667.587966666673</v>
      </c>
      <c r="F39" s="574">
        <f>'[1]DCS Detail'!AG$203-SUM(F35:F38,F40:F42)</f>
        <v>15125.714166666672</v>
      </c>
      <c r="G39" s="574">
        <f>'[1]DCS Detail'!AH$203-SUM(G35:G38,G40:G42)</f>
        <v>13415.831766666553</v>
      </c>
      <c r="H39" s="574">
        <f>'[1]DCS Detail'!AI$203-SUM(H35:H38,H40:H42)</f>
        <v>21925.938966666639</v>
      </c>
      <c r="I39" s="574">
        <f>'[1]DCS Detail'!AJ$203-SUM(I35:I38,I40:I42)</f>
        <v>12456.953266666678</v>
      </c>
      <c r="J39" s="574">
        <f>'[1]DCS Detail'!AK$203-SUM(J35:J38,J40:J42)</f>
        <v>25104.95269966661</v>
      </c>
      <c r="K39" s="574">
        <f>'[1]DCS Detail'!AL$203-SUM(K35:K38,K40:K42)</f>
        <v>16616.108304666704</v>
      </c>
      <c r="L39" s="574">
        <f>'[1]DCS Detail'!AM$203-SUM(L35:L38,L40:L42)</f>
        <v>7888.8054166666116</v>
      </c>
      <c r="M39" s="574">
        <f>'[1]DCS Detail'!AN$203-SUM(M35:M38,M40:M42)</f>
        <v>16191.663432666683</v>
      </c>
      <c r="N39" s="575">
        <f t="shared" si="6"/>
        <v>232971.72108699975</v>
      </c>
      <c r="O39" s="575"/>
      <c r="P39" s="575"/>
    </row>
    <row r="40" spans="1:16" ht="15" customHeight="1">
      <c r="A40" s="577" t="s">
        <v>720</v>
      </c>
      <c r="B40" s="574">
        <f>'[1]DCS Detail'!AC$189</f>
        <v>18109.84</v>
      </c>
      <c r="C40" s="574">
        <f>'[1]DCS Detail'!AD$189</f>
        <v>18109.84</v>
      </c>
      <c r="D40" s="574">
        <f>'[1]DCS Detail'!AE$189</f>
        <v>18109.84</v>
      </c>
      <c r="E40" s="574">
        <f>'[1]DCS Detail'!AF$189</f>
        <v>18109.84</v>
      </c>
      <c r="F40" s="574">
        <f>'[1]DCS Detail'!AG$189</f>
        <v>18109.84</v>
      </c>
      <c r="G40" s="574">
        <f>'[1]DCS Detail'!AH$189</f>
        <v>18109.84</v>
      </c>
      <c r="H40" s="574">
        <f>'[1]DCS Detail'!AI$189</f>
        <v>18109.84</v>
      </c>
      <c r="I40" s="574">
        <f>'[1]DCS Detail'!AJ$189</f>
        <v>18109.84</v>
      </c>
      <c r="J40" s="574">
        <f>'[1]DCS Detail'!AK$189</f>
        <v>18109.84</v>
      </c>
      <c r="K40" s="574">
        <f>'[1]DCS Detail'!AL$189</f>
        <v>18109.84</v>
      </c>
      <c r="L40" s="574">
        <f>'[1]DCS Detail'!AM$189</f>
        <v>18109.84</v>
      </c>
      <c r="M40" s="574">
        <f>'[1]DCS Detail'!AN$189</f>
        <v>18109.84</v>
      </c>
      <c r="N40" s="575">
        <f t="shared" si="6"/>
        <v>217318.08</v>
      </c>
      <c r="O40" s="575"/>
      <c r="P40" s="575"/>
    </row>
    <row r="41" spans="1:16" ht="15" customHeight="1">
      <c r="A41" s="577" t="s">
        <v>721</v>
      </c>
      <c r="B41" s="574">
        <f>'[1]DCS Detail'!AC200</f>
        <v>55594.63</v>
      </c>
      <c r="C41" s="574">
        <f>'[1]DCS Detail'!AD200</f>
        <v>55718.87</v>
      </c>
      <c r="D41" s="574">
        <f>'[1]DCS Detail'!AE200</f>
        <v>55844.18</v>
      </c>
      <c r="E41" s="574">
        <f>'[1]DCS Detail'!AF200</f>
        <v>55970.559999999998</v>
      </c>
      <c r="F41" s="574">
        <f>'[1]DCS Detail'!AG200</f>
        <v>56098.03</v>
      </c>
      <c r="G41" s="574">
        <f>'[1]DCS Detail'!AH200</f>
        <v>56226.6</v>
      </c>
      <c r="H41" s="574">
        <f>'[1]DCS Detail'!AI200</f>
        <v>56356.26</v>
      </c>
      <c r="I41" s="574">
        <f>'[1]DCS Detail'!AJ200</f>
        <v>56440.08</v>
      </c>
      <c r="J41" s="574">
        <f>'[1]DCS Detail'!AK200</f>
        <v>56524.61</v>
      </c>
      <c r="K41" s="574">
        <f>'[1]DCS Detail'!AL200</f>
        <v>56609.87</v>
      </c>
      <c r="L41" s="574">
        <f>'[1]DCS Detail'!AM200</f>
        <v>56695.86</v>
      </c>
      <c r="M41" s="574">
        <f>'[1]DCS Detail'!AN200</f>
        <v>56782.59</v>
      </c>
      <c r="N41" s="575">
        <f t="shared" si="6"/>
        <v>674862.14</v>
      </c>
      <c r="O41" s="575"/>
      <c r="P41" s="575"/>
    </row>
    <row r="42" spans="1:16" ht="15" customHeight="1">
      <c r="A42" s="577" t="s">
        <v>716</v>
      </c>
      <c r="B42" s="574">
        <f>'[1]DCS Detail'!AC$199</f>
        <v>23847.310000000005</v>
      </c>
      <c r="C42" s="574">
        <f>'[1]DCS Detail'!AD$199</f>
        <v>25013.976666666673</v>
      </c>
      <c r="D42" s="574">
        <f>'[1]DCS Detail'!AE$199</f>
        <v>25013.976666666673</v>
      </c>
      <c r="E42" s="574">
        <f>'[1]DCS Detail'!AF$199</f>
        <v>25041.75444444445</v>
      </c>
      <c r="F42" s="574">
        <f>'[1]DCS Detail'!AG$199</f>
        <v>25069.532222222231</v>
      </c>
      <c r="G42" s="574">
        <f>'[1]DCS Detail'!AH$199</f>
        <v>25180.643333333341</v>
      </c>
      <c r="H42" s="574">
        <f>'[1]DCS Detail'!AI$199</f>
        <v>25208.421111111122</v>
      </c>
      <c r="I42" s="574">
        <f>'[1]DCS Detail'!AJ$199</f>
        <v>25236.198888888899</v>
      </c>
      <c r="J42" s="574">
        <f>'[1]DCS Detail'!AK$199</f>
        <v>25263.97666666668</v>
      </c>
      <c r="K42" s="574">
        <f>'[1]DCS Detail'!AL$199</f>
        <v>25291.754444444457</v>
      </c>
      <c r="L42" s="574">
        <f>'[1]DCS Detail'!AM$199</f>
        <v>25319.532222222238</v>
      </c>
      <c r="M42" s="574">
        <f>'[1]DCS Detail'!AN$199</f>
        <v>25347.310000000016</v>
      </c>
      <c r="N42" s="575">
        <f t="shared" si="6"/>
        <v>300834.38666666677</v>
      </c>
      <c r="O42" s="575"/>
      <c r="P42" s="575"/>
    </row>
    <row r="43" spans="1:16" ht="15" customHeight="1">
      <c r="A43" s="577" t="s">
        <v>722</v>
      </c>
      <c r="B43" s="574"/>
      <c r="C43" s="574"/>
      <c r="D43" s="574"/>
      <c r="E43" s="574"/>
      <c r="F43" s="574"/>
      <c r="G43" s="574"/>
      <c r="H43" s="574"/>
      <c r="I43" s="574"/>
      <c r="J43" s="574"/>
      <c r="K43" s="574"/>
      <c r="L43" s="574"/>
      <c r="M43" s="574"/>
      <c r="N43" s="575">
        <f t="shared" si="6"/>
        <v>0</v>
      </c>
      <c r="O43" s="575"/>
      <c r="P43" s="575"/>
    </row>
    <row r="44" spans="1:16" ht="15" customHeight="1">
      <c r="A44" s="577" t="s">
        <v>719</v>
      </c>
      <c r="B44" s="574">
        <f>-'[1]Cash Flow Detail'!AB9</f>
        <v>340778.35931977432</v>
      </c>
      <c r="C44" s="574">
        <f>-'[1]Cash Flow Detail'!AC9</f>
        <v>-76797.116209027634</v>
      </c>
      <c r="D44" s="574">
        <f>-'[1]Cash Flow Detail'!AD9</f>
        <v>-41864.185045229708</v>
      </c>
      <c r="E44" s="574">
        <f>-'[1]Cash Flow Detail'!AE9</f>
        <v>38811.325015847688</v>
      </c>
      <c r="F44" s="574">
        <f>-'[1]Cash Flow Detail'!AF9</f>
        <v>-11375.866685750399</v>
      </c>
      <c r="G44" s="574">
        <f>-'[1]Cash Flow Detail'!AG9</f>
        <v>22189.138091006971</v>
      </c>
      <c r="H44" s="574">
        <f>-'[1]Cash Flow Detail'!AH9</f>
        <v>-11119.820781970848</v>
      </c>
      <c r="I44" s="574">
        <f>-'[1]Cash Flow Detail'!AI9</f>
        <v>-2213.4658188107423</v>
      </c>
      <c r="J44" s="574">
        <f>-'[1]Cash Flow Detail'!AJ9</f>
        <v>11330.838836737559</v>
      </c>
      <c r="K44" s="574">
        <f>-'[1]Cash Flow Detail'!AK9</f>
        <v>-3850.8137848382466</v>
      </c>
      <c r="L44" s="574">
        <f>-'[1]Cash Flow Detail'!AL9</f>
        <v>3941.6336419917061</v>
      </c>
      <c r="M44" s="574">
        <f>-'[1]Cash Flow Detail'!AM9</f>
        <v>-274059.90576819732</v>
      </c>
      <c r="N44" s="575">
        <f t="shared" si="6"/>
        <v>-4229.8791884667007</v>
      </c>
      <c r="O44" s="575"/>
      <c r="P44" s="575"/>
    </row>
    <row r="45" spans="1:16" ht="15" customHeight="1">
      <c r="A45" s="577" t="s">
        <v>715</v>
      </c>
      <c r="B45" s="574">
        <f>-'[1]Cash Flow Detail'!AB$21</f>
        <v>-14469.63</v>
      </c>
      <c r="C45" s="574">
        <f>-'[1]Cash Flow Detail'!AC$21</f>
        <v>-14593.87</v>
      </c>
      <c r="D45" s="574">
        <f>-'[1]Cash Flow Detail'!AD$21</f>
        <v>-14719.18</v>
      </c>
      <c r="E45" s="574">
        <f>-'[1]Cash Flow Detail'!AE$21</f>
        <v>-14845.56</v>
      </c>
      <c r="F45" s="574">
        <f>-'[1]Cash Flow Detail'!AF$21</f>
        <v>-14973.03</v>
      </c>
      <c r="G45" s="574">
        <f>-'[1]Cash Flow Detail'!AG$21</f>
        <v>-15101.6</v>
      </c>
      <c r="H45" s="574">
        <f>-'[1]Cash Flow Detail'!AH$21</f>
        <v>-9761.26</v>
      </c>
      <c r="I45" s="574">
        <f>-'[1]Cash Flow Detail'!AI$21</f>
        <v>-9845.08</v>
      </c>
      <c r="J45" s="574">
        <f>-'[1]Cash Flow Detail'!AJ$21</f>
        <v>-9929.61</v>
      </c>
      <c r="K45" s="574">
        <f>-'[1]Cash Flow Detail'!AK$21</f>
        <v>-10014.870000000001</v>
      </c>
      <c r="L45" s="574">
        <f>-'[1]Cash Flow Detail'!AL$21</f>
        <v>-10100.86</v>
      </c>
      <c r="M45" s="574">
        <f>-'[1]Cash Flow Detail'!AM$21</f>
        <v>-10187.59</v>
      </c>
      <c r="N45" s="575">
        <f t="shared" si="6"/>
        <v>-148542.13999999998</v>
      </c>
      <c r="O45" s="575"/>
      <c r="P45" s="575"/>
    </row>
    <row r="46" spans="1:16" ht="15" customHeight="1">
      <c r="A46" s="577" t="s">
        <v>717</v>
      </c>
      <c r="B46" s="574">
        <f>-'[1]Cash Flow Detail'!AB8</f>
        <v>-23847.310000000005</v>
      </c>
      <c r="C46" s="574">
        <f>-'[1]Cash Flow Detail'!AC8</f>
        <v>-25013.976666666673</v>
      </c>
      <c r="D46" s="574">
        <f>-'[1]Cash Flow Detail'!AD8</f>
        <v>-25013.976666666673</v>
      </c>
      <c r="E46" s="574">
        <f>-'[1]Cash Flow Detail'!AE8</f>
        <v>-25041.75444444445</v>
      </c>
      <c r="F46" s="574">
        <f>-'[1]Cash Flow Detail'!AF8</f>
        <v>-25069.532222222231</v>
      </c>
      <c r="G46" s="574">
        <f>-'[1]Cash Flow Detail'!AG8</f>
        <v>-25180.643333333341</v>
      </c>
      <c r="H46" s="574">
        <f>-'[1]Cash Flow Detail'!AH8</f>
        <v>-25208.421111111122</v>
      </c>
      <c r="I46" s="574">
        <f>-'[1]Cash Flow Detail'!AI8</f>
        <v>-25236.198888888899</v>
      </c>
      <c r="J46" s="574">
        <f>-'[1]Cash Flow Detail'!AJ8</f>
        <v>-25263.97666666668</v>
      </c>
      <c r="K46" s="574">
        <f>-'[1]Cash Flow Detail'!AK8</f>
        <v>-25291.754444444457</v>
      </c>
      <c r="L46" s="574">
        <f>-'[1]Cash Flow Detail'!AL8</f>
        <v>-25319.532222222238</v>
      </c>
      <c r="M46" s="574">
        <f>-'[1]Cash Flow Detail'!AM8</f>
        <v>-25347.310000000016</v>
      </c>
      <c r="N46" s="575">
        <f t="shared" si="6"/>
        <v>-300834.38666666677</v>
      </c>
      <c r="O46" s="575"/>
      <c r="P46" s="575"/>
    </row>
    <row r="47" spans="1:16" ht="15" customHeight="1">
      <c r="A47" s="577" t="s">
        <v>718</v>
      </c>
      <c r="B47" s="574">
        <f>-'[1]Cash Flow Detail'!AB15</f>
        <v>168000</v>
      </c>
      <c r="C47" s="574">
        <f>-'[1]Cash Flow Detail'!AC15</f>
        <v>0</v>
      </c>
      <c r="D47" s="574">
        <f>-'[1]Cash Flow Detail'!AD15</f>
        <v>4000</v>
      </c>
      <c r="E47" s="574">
        <f>-'[1]Cash Flow Detail'!AE15</f>
        <v>4000</v>
      </c>
      <c r="F47" s="574">
        <f>-'[1]Cash Flow Detail'!AF15</f>
        <v>16000</v>
      </c>
      <c r="G47" s="574">
        <f>-'[1]Cash Flow Detail'!AG15</f>
        <v>4000</v>
      </c>
      <c r="H47" s="574">
        <f>-'[1]Cash Flow Detail'!AH15</f>
        <v>4000</v>
      </c>
      <c r="I47" s="574">
        <f>-'[1]Cash Flow Detail'!AI15</f>
        <v>4000</v>
      </c>
      <c r="J47" s="574">
        <f>-'[1]Cash Flow Detail'!AJ15</f>
        <v>4000</v>
      </c>
      <c r="K47" s="574">
        <f>-'[1]Cash Flow Detail'!AK15</f>
        <v>4000</v>
      </c>
      <c r="L47" s="574">
        <f>-'[1]Cash Flow Detail'!AL15</f>
        <v>4000</v>
      </c>
      <c r="M47" s="574">
        <f>-'[1]Cash Flow Detail'!AM15</f>
        <v>4000</v>
      </c>
      <c r="N47" s="575">
        <f t="shared" si="6"/>
        <v>220000</v>
      </c>
      <c r="O47" s="575"/>
      <c r="P47" s="575"/>
    </row>
    <row r="48" spans="1:16" ht="15" customHeight="1">
      <c r="A48" s="577" t="s">
        <v>242</v>
      </c>
      <c r="B48" s="574">
        <f>'Form 4 Expenses'!$G$544/12</f>
        <v>11405.903824963692</v>
      </c>
      <c r="C48" s="574">
        <f>'Form 4 Expenses'!$G$544/12</f>
        <v>11405.903824963692</v>
      </c>
      <c r="D48" s="574">
        <f>'Form 4 Expenses'!$G$544/12</f>
        <v>11405.903824963692</v>
      </c>
      <c r="E48" s="574">
        <f>'Form 4 Expenses'!$G$544/12</f>
        <v>11405.903824963692</v>
      </c>
      <c r="F48" s="574">
        <f>'Form 4 Expenses'!$G$544/12</f>
        <v>11405.903824963692</v>
      </c>
      <c r="G48" s="574">
        <f>'Form 4 Expenses'!$G$544/12</f>
        <v>11405.903824963692</v>
      </c>
      <c r="H48" s="574">
        <f>'Form 4 Expenses'!$G$544/12</f>
        <v>11405.903824963692</v>
      </c>
      <c r="I48" s="574">
        <f>'Form 4 Expenses'!$G$544/12</f>
        <v>11405.903824963692</v>
      </c>
      <c r="J48" s="574">
        <f>'Form 4 Expenses'!$G$544/12</f>
        <v>11405.903824963692</v>
      </c>
      <c r="K48" s="574">
        <f>'Form 4 Expenses'!$G$544/12</f>
        <v>11405.903824963692</v>
      </c>
      <c r="L48" s="574">
        <f>'Form 4 Expenses'!$G$544/12</f>
        <v>11405.903824963692</v>
      </c>
      <c r="M48" s="574">
        <f>'Form 4 Expenses'!$G$544/12</f>
        <v>11405.903824963692</v>
      </c>
      <c r="N48" s="575">
        <f t="shared" si="6"/>
        <v>136870.8458995643</v>
      </c>
      <c r="O48" s="575"/>
      <c r="P48" s="575"/>
    </row>
    <row r="49" spans="1:16" ht="15" customHeight="1" thickBot="1">
      <c r="A49" s="532" t="s">
        <v>626</v>
      </c>
      <c r="B49" s="540">
        <f t="shared" ref="B49:N49" si="7">SUM(B34:B48)</f>
        <v>621639.36901140469</v>
      </c>
      <c r="C49" s="540">
        <f t="shared" si="7"/>
        <v>272968.28706392169</v>
      </c>
      <c r="D49" s="540">
        <f t="shared" si="7"/>
        <v>427098.66123067797</v>
      </c>
      <c r="E49" s="540">
        <f t="shared" si="7"/>
        <v>402012.81660210347</v>
      </c>
      <c r="F49" s="540">
        <f t="shared" si="7"/>
        <v>387225.04904430988</v>
      </c>
      <c r="G49" s="540">
        <f t="shared" si="7"/>
        <v>351730.59943207848</v>
      </c>
      <c r="H49" s="540">
        <f t="shared" si="7"/>
        <v>358335.3072054325</v>
      </c>
      <c r="I49" s="540">
        <f t="shared" si="7"/>
        <v>341218.42946346401</v>
      </c>
      <c r="J49" s="540">
        <f t="shared" si="7"/>
        <v>352466.55491301225</v>
      </c>
      <c r="K49" s="540">
        <f t="shared" si="7"/>
        <v>338990.25009662582</v>
      </c>
      <c r="L49" s="540">
        <f t="shared" si="7"/>
        <v>344740.25260553515</v>
      </c>
      <c r="M49" s="540">
        <f t="shared" si="7"/>
        <v>267200.39336134156</v>
      </c>
      <c r="N49" s="578">
        <f t="shared" si="7"/>
        <v>4465625.9700299082</v>
      </c>
      <c r="O49" s="572">
        <f>IF(B2="Tentative",SUM('Form 5 Exp Summary'!C22:E22),IF(B2="Final",SUM('Form 5 Exp Summary'!C45:E45),SUM('Form 5 Exp Summary'!C72:E72)))</f>
        <v>4562361.5299854772</v>
      </c>
      <c r="P49" s="571">
        <f>N49-O49</f>
        <v>-96735.559955568984</v>
      </c>
    </row>
    <row r="50" spans="1:16" ht="15" customHeight="1" thickTop="1">
      <c r="A50" s="532" t="s">
        <v>627</v>
      </c>
      <c r="B50" s="580">
        <f>B49</f>
        <v>621639.36901140469</v>
      </c>
      <c r="C50" s="580">
        <f>B50+C49</f>
        <v>894607.65607532638</v>
      </c>
      <c r="D50" s="580">
        <f t="shared" ref="D50:M50" si="8">C50+D49</f>
        <v>1321706.3173060045</v>
      </c>
      <c r="E50" s="580">
        <f t="shared" si="8"/>
        <v>1723719.1339081079</v>
      </c>
      <c r="F50" s="580">
        <f t="shared" si="8"/>
        <v>2110944.182952418</v>
      </c>
      <c r="G50" s="580">
        <f t="shared" si="8"/>
        <v>2462674.7823844966</v>
      </c>
      <c r="H50" s="580">
        <f t="shared" si="8"/>
        <v>2821010.0895899292</v>
      </c>
      <c r="I50" s="580">
        <f t="shared" si="8"/>
        <v>3162228.519053393</v>
      </c>
      <c r="J50" s="580">
        <f t="shared" si="8"/>
        <v>3514695.0739664054</v>
      </c>
      <c r="K50" s="580">
        <f t="shared" si="8"/>
        <v>3853685.324063031</v>
      </c>
      <c r="L50" s="580">
        <f t="shared" si="8"/>
        <v>4198425.5766685661</v>
      </c>
      <c r="M50" s="580">
        <f t="shared" si="8"/>
        <v>4465625.9700299073</v>
      </c>
      <c r="N50" s="544"/>
      <c r="O50" s="544"/>
      <c r="P50" s="544"/>
    </row>
    <row r="51" spans="1:16" ht="15" customHeight="1">
      <c r="A51" s="541" t="s">
        <v>628</v>
      </c>
      <c r="B51" s="542">
        <f>IFERROR(B50/$N$49,"")</f>
        <v>0.13920542678303202</v>
      </c>
      <c r="C51" s="542">
        <f>IFERROR(C50/$N$49,"")</f>
        <v>0.20033197183984819</v>
      </c>
      <c r="D51" s="542">
        <f t="shared" ref="D51:M51" si="9">IFERROR(D50/$N$49,"")</f>
        <v>0.29597335875784342</v>
      </c>
      <c r="E51" s="542">
        <f t="shared" si="9"/>
        <v>0.3859972029624692</v>
      </c>
      <c r="F51" s="542">
        <f t="shared" si="9"/>
        <v>0.47270958139341884</v>
      </c>
      <c r="G51" s="542">
        <f t="shared" si="9"/>
        <v>0.55147358934944635</v>
      </c>
      <c r="H51" s="542">
        <f t="shared" si="9"/>
        <v>0.63171660782218075</v>
      </c>
      <c r="I51" s="542">
        <f t="shared" si="9"/>
        <v>0.70812659642254239</v>
      </c>
      <c r="J51" s="542">
        <f t="shared" si="9"/>
        <v>0.78705540892912396</v>
      </c>
      <c r="K51" s="542">
        <f t="shared" si="9"/>
        <v>0.86296643514844595</v>
      </c>
      <c r="L51" s="542">
        <f t="shared" si="9"/>
        <v>0.94016507536578287</v>
      </c>
      <c r="M51" s="542">
        <f t="shared" si="9"/>
        <v>0.99999999999999978</v>
      </c>
      <c r="N51" s="544"/>
      <c r="O51" s="544"/>
      <c r="P51" s="544"/>
    </row>
    <row r="52" spans="1:16" ht="15" customHeight="1">
      <c r="A52" s="534"/>
      <c r="B52" s="534"/>
      <c r="C52" s="534"/>
      <c r="D52" s="534"/>
      <c r="E52" s="534"/>
      <c r="F52" s="545"/>
      <c r="G52" s="545"/>
      <c r="H52" s="545"/>
      <c r="I52" s="545"/>
      <c r="J52" s="545"/>
      <c r="K52" s="545"/>
      <c r="L52" s="545"/>
      <c r="M52" s="545"/>
      <c r="N52" s="544"/>
      <c r="O52" s="544"/>
      <c r="P52" s="544"/>
    </row>
    <row r="53" spans="1:16" ht="15" customHeight="1" thickBot="1">
      <c r="A53" s="532" t="s">
        <v>631</v>
      </c>
      <c r="B53" s="581">
        <f t="shared" ref="B53:P53" si="10">B28-B49</f>
        <v>-349418.694844738</v>
      </c>
      <c r="C53" s="581">
        <f t="shared" si="10"/>
        <v>90578.396145995066</v>
      </c>
      <c r="D53" s="581">
        <f t="shared" si="10"/>
        <v>416056.94143882208</v>
      </c>
      <c r="E53" s="581">
        <f t="shared" si="10"/>
        <v>-54709.144743353478</v>
      </c>
      <c r="F53" s="581">
        <f t="shared" si="10"/>
        <v>-25381.306464476511</v>
      </c>
      <c r="G53" s="581">
        <f t="shared" si="10"/>
        <v>-13331.71658191178</v>
      </c>
      <c r="H53" s="581">
        <f t="shared" si="10"/>
        <v>-6341.2703015158768</v>
      </c>
      <c r="I53" s="581">
        <f t="shared" si="10"/>
        <v>93021.6639271194</v>
      </c>
      <c r="J53" s="581">
        <f t="shared" si="10"/>
        <v>53801.251180154446</v>
      </c>
      <c r="K53" s="581">
        <f t="shared" si="10"/>
        <v>63308.631041707529</v>
      </c>
      <c r="L53" s="581">
        <f t="shared" si="10"/>
        <v>61842.745199464902</v>
      </c>
      <c r="M53" s="581">
        <f t="shared" si="10"/>
        <v>100053.29888199182</v>
      </c>
      <c r="N53" s="546">
        <f t="shared" si="10"/>
        <v>429480.79487925861</v>
      </c>
      <c r="O53" s="546">
        <f t="shared" si="10"/>
        <v>332745.23492368963</v>
      </c>
      <c r="P53" s="546">
        <f t="shared" si="10"/>
        <v>96735.559955568984</v>
      </c>
    </row>
    <row r="54" spans="1:16" ht="15" customHeight="1" thickTop="1">
      <c r="A54" s="532" t="s">
        <v>632</v>
      </c>
      <c r="B54" s="580">
        <f>B53</f>
        <v>-349418.694844738</v>
      </c>
      <c r="C54" s="580">
        <f>C53+B54</f>
        <v>-258840.29869874293</v>
      </c>
      <c r="D54" s="580">
        <f t="shared" ref="D54:M54" si="11">D53+C54</f>
        <v>157216.64274007914</v>
      </c>
      <c r="E54" s="580">
        <f t="shared" si="11"/>
        <v>102507.49799672567</v>
      </c>
      <c r="F54" s="580">
        <f t="shared" si="11"/>
        <v>77126.191532249155</v>
      </c>
      <c r="G54" s="580">
        <f t="shared" si="11"/>
        <v>63794.474950337375</v>
      </c>
      <c r="H54" s="580">
        <f t="shared" si="11"/>
        <v>57453.204648821498</v>
      </c>
      <c r="I54" s="580">
        <f t="shared" si="11"/>
        <v>150474.8685759409</v>
      </c>
      <c r="J54" s="580">
        <f t="shared" si="11"/>
        <v>204276.11975609534</v>
      </c>
      <c r="K54" s="580">
        <f t="shared" si="11"/>
        <v>267584.75079780287</v>
      </c>
      <c r="L54" s="580">
        <f t="shared" si="11"/>
        <v>329427.49599726778</v>
      </c>
      <c r="M54" s="580">
        <f t="shared" si="11"/>
        <v>429480.7948792596</v>
      </c>
      <c r="N54" s="544"/>
      <c r="O54" s="544"/>
      <c r="P54" s="544"/>
    </row>
    <row r="55" spans="1:16" ht="15" customHeight="1">
      <c r="A55" s="541" t="s">
        <v>633</v>
      </c>
      <c r="B55" s="582">
        <f>IFERROR(B54/$N$53,"")</f>
        <v>-0.81358398096234141</v>
      </c>
      <c r="C55" s="582">
        <f t="shared" ref="C55:M55" si="12">IFERROR(C54/$N$53,"")</f>
        <v>-0.60268189354430057</v>
      </c>
      <c r="D55" s="582">
        <f t="shared" si="12"/>
        <v>0.36606210246089815</v>
      </c>
      <c r="E55" s="582">
        <f t="shared" si="12"/>
        <v>0.23867772254064107</v>
      </c>
      <c r="F55" s="582">
        <f t="shared" si="12"/>
        <v>0.17958007075480967</v>
      </c>
      <c r="G55" s="582">
        <f t="shared" si="12"/>
        <v>0.14853859756004253</v>
      </c>
      <c r="H55" s="582">
        <f t="shared" si="12"/>
        <v>0.13377362930739084</v>
      </c>
      <c r="I55" s="582">
        <f t="shared" si="12"/>
        <v>0.35036460388931806</v>
      </c>
      <c r="J55" s="582">
        <f t="shared" si="12"/>
        <v>0.47563505095384806</v>
      </c>
      <c r="K55" s="582">
        <f t="shared" si="12"/>
        <v>0.623042413044406</v>
      </c>
      <c r="L55" s="582">
        <f t="shared" si="12"/>
        <v>0.76703661706195925</v>
      </c>
      <c r="M55" s="582">
        <f t="shared" si="12"/>
        <v>1.0000000000000022</v>
      </c>
      <c r="N55" s="544"/>
      <c r="O55" s="544"/>
      <c r="P55" s="544"/>
    </row>
    <row r="56" spans="1:16" ht="15" customHeight="1">
      <c r="A56" s="541"/>
      <c r="B56" s="534"/>
      <c r="C56" s="534"/>
      <c r="D56" s="534"/>
      <c r="E56" s="534"/>
      <c r="F56" s="545"/>
      <c r="G56" s="545"/>
      <c r="H56" s="545"/>
      <c r="I56" s="545"/>
      <c r="J56" s="545"/>
      <c r="K56" s="545"/>
      <c r="L56" s="545"/>
      <c r="M56" s="545"/>
      <c r="N56" s="544"/>
      <c r="O56" s="544"/>
      <c r="P56" s="544"/>
    </row>
    <row r="57" spans="1:16" ht="15" customHeight="1">
      <c r="A57" s="541"/>
      <c r="B57" s="534"/>
      <c r="C57" s="534"/>
      <c r="D57" s="534"/>
      <c r="E57" s="534"/>
      <c r="F57" s="545"/>
      <c r="G57" s="545"/>
      <c r="H57" s="545"/>
      <c r="I57" s="545"/>
      <c r="J57" s="545"/>
      <c r="K57" s="545"/>
      <c r="L57" s="545"/>
      <c r="M57" s="545"/>
      <c r="N57" s="544"/>
      <c r="O57" s="544"/>
      <c r="P57" s="544"/>
    </row>
    <row r="58" spans="1:16" ht="15" customHeight="1">
      <c r="A58" s="589" t="s">
        <v>629</v>
      </c>
      <c r="B58" s="589"/>
      <c r="C58" s="589"/>
      <c r="D58" s="589"/>
      <c r="E58" s="589"/>
      <c r="F58" s="589" t="s">
        <v>629</v>
      </c>
      <c r="G58" s="589"/>
      <c r="H58" s="589"/>
      <c r="I58" s="589"/>
      <c r="J58" s="589"/>
      <c r="K58" s="589"/>
      <c r="L58" s="589"/>
      <c r="M58" s="589"/>
      <c r="N58" s="589"/>
    </row>
    <row r="59" spans="1:16" ht="15" customHeight="1" thickBot="1">
      <c r="A59" s="534"/>
      <c r="B59" s="547"/>
      <c r="C59" s="547"/>
      <c r="D59" s="547"/>
      <c r="E59" s="547"/>
      <c r="F59" s="547"/>
      <c r="G59" s="547"/>
      <c r="H59" s="547"/>
      <c r="I59" s="547"/>
      <c r="J59" s="547"/>
      <c r="K59" s="547"/>
      <c r="L59" s="547"/>
      <c r="M59" s="547"/>
      <c r="N59" s="548"/>
      <c r="O59" s="548"/>
      <c r="P59" s="548"/>
    </row>
    <row r="60" spans="1:16" ht="30.75" customHeight="1">
      <c r="A60" s="534"/>
      <c r="B60" s="566" t="s">
        <v>432</v>
      </c>
      <c r="C60" s="566" t="s">
        <v>432</v>
      </c>
      <c r="D60" s="566" t="s">
        <v>432</v>
      </c>
      <c r="E60" s="566" t="s">
        <v>432</v>
      </c>
      <c r="F60" s="566" t="s">
        <v>432</v>
      </c>
      <c r="G60" s="566" t="s">
        <v>432</v>
      </c>
      <c r="H60" s="566" t="s">
        <v>432</v>
      </c>
      <c r="I60" s="566" t="s">
        <v>432</v>
      </c>
      <c r="J60" s="566" t="s">
        <v>432</v>
      </c>
      <c r="K60" s="566" t="s">
        <v>432</v>
      </c>
      <c r="L60" s="566" t="s">
        <v>432</v>
      </c>
      <c r="M60" s="566" t="s">
        <v>432</v>
      </c>
      <c r="N60" s="586" t="s">
        <v>643</v>
      </c>
      <c r="O60" s="554"/>
      <c r="P60" s="554"/>
    </row>
    <row r="61" spans="1:16" ht="24" customHeight="1" thickBot="1">
      <c r="A61" s="534"/>
      <c r="B61" s="583" t="s">
        <v>433</v>
      </c>
      <c r="C61" s="583" t="s">
        <v>434</v>
      </c>
      <c r="D61" s="583" t="s">
        <v>435</v>
      </c>
      <c r="E61" s="583" t="s">
        <v>436</v>
      </c>
      <c r="F61" s="583" t="s">
        <v>437</v>
      </c>
      <c r="G61" s="583" t="s">
        <v>438</v>
      </c>
      <c r="H61" s="583" t="s">
        <v>439</v>
      </c>
      <c r="I61" s="583" t="s">
        <v>440</v>
      </c>
      <c r="J61" s="583" t="s">
        <v>441</v>
      </c>
      <c r="K61" s="583" t="s">
        <v>442</v>
      </c>
      <c r="L61" s="583" t="s">
        <v>443</v>
      </c>
      <c r="M61" s="583" t="s">
        <v>444</v>
      </c>
      <c r="N61" s="587" t="s">
        <v>644</v>
      </c>
      <c r="O61" s="554"/>
      <c r="P61" s="554"/>
    </row>
    <row r="62" spans="1:16" ht="15" customHeight="1">
      <c r="A62" s="534" t="s">
        <v>630</v>
      </c>
      <c r="B62" s="584">
        <f>B53</f>
        <v>-349418.694844738</v>
      </c>
      <c r="C62" s="584">
        <f t="shared" ref="C62:N62" si="13">C53</f>
        <v>90578.396145995066</v>
      </c>
      <c r="D62" s="584">
        <f t="shared" si="13"/>
        <v>416056.94143882208</v>
      </c>
      <c r="E62" s="584">
        <f t="shared" si="13"/>
        <v>-54709.144743353478</v>
      </c>
      <c r="F62" s="584">
        <f t="shared" si="13"/>
        <v>-25381.306464476511</v>
      </c>
      <c r="G62" s="584">
        <f t="shared" si="13"/>
        <v>-13331.71658191178</v>
      </c>
      <c r="H62" s="584">
        <f t="shared" si="13"/>
        <v>-6341.2703015158768</v>
      </c>
      <c r="I62" s="584">
        <f t="shared" si="13"/>
        <v>93021.6639271194</v>
      </c>
      <c r="J62" s="584">
        <f t="shared" si="13"/>
        <v>53801.251180154446</v>
      </c>
      <c r="K62" s="584">
        <f t="shared" si="13"/>
        <v>63308.631041707529</v>
      </c>
      <c r="L62" s="584">
        <f t="shared" si="13"/>
        <v>61842.745199464902</v>
      </c>
      <c r="M62" s="584">
        <f t="shared" si="13"/>
        <v>100053.29888199182</v>
      </c>
      <c r="N62" s="549">
        <f t="shared" si="13"/>
        <v>429480.79487925861</v>
      </c>
      <c r="O62" s="554"/>
      <c r="P62" s="554"/>
    </row>
    <row r="63" spans="1:16" ht="15" customHeight="1">
      <c r="A63" s="534"/>
      <c r="B63" s="584"/>
      <c r="C63" s="584"/>
      <c r="D63" s="584"/>
      <c r="E63" s="584"/>
      <c r="F63" s="584"/>
      <c r="G63" s="584"/>
      <c r="H63" s="584"/>
      <c r="I63" s="584"/>
      <c r="J63" s="584"/>
      <c r="K63" s="584"/>
      <c r="L63" s="584"/>
      <c r="M63" s="584"/>
      <c r="N63" s="539"/>
      <c r="O63" s="554"/>
      <c r="P63" s="554"/>
    </row>
    <row r="64" spans="1:16" ht="15" customHeight="1">
      <c r="A64" s="534" t="s">
        <v>447</v>
      </c>
      <c r="B64" s="585">
        <f>IF(B2="Tentative",'Form 3 Revenues'!F98,IF(B2="Final",'Form 3 Revenues'!G98,'Form 3 Revenues'!H98))</f>
        <v>619157.44387911167</v>
      </c>
      <c r="C64" s="584">
        <f>B66</f>
        <v>269738.74903437367</v>
      </c>
      <c r="D64" s="584">
        <f t="shared" ref="D64:M64" si="14">C66</f>
        <v>360317.14518036874</v>
      </c>
      <c r="E64" s="584">
        <f t="shared" si="14"/>
        <v>776374.08661919087</v>
      </c>
      <c r="F64" s="584">
        <f t="shared" si="14"/>
        <v>721664.94187583739</v>
      </c>
      <c r="G64" s="584">
        <f t="shared" si="14"/>
        <v>696283.63541136088</v>
      </c>
      <c r="H64" s="584">
        <f t="shared" si="14"/>
        <v>682951.9188294491</v>
      </c>
      <c r="I64" s="584">
        <f t="shared" si="14"/>
        <v>676610.64852793328</v>
      </c>
      <c r="J64" s="584">
        <f t="shared" si="14"/>
        <v>769632.31245505274</v>
      </c>
      <c r="K64" s="584">
        <f t="shared" si="14"/>
        <v>823433.56363520725</v>
      </c>
      <c r="L64" s="584">
        <f t="shared" si="14"/>
        <v>886742.19467691472</v>
      </c>
      <c r="M64" s="584">
        <f t="shared" si="14"/>
        <v>948584.93987637968</v>
      </c>
      <c r="N64" s="550"/>
      <c r="O64" s="554"/>
      <c r="P64" s="554"/>
    </row>
    <row r="65" spans="1:16" ht="15" customHeight="1">
      <c r="A65" s="534"/>
      <c r="B65" s="584"/>
      <c r="C65" s="584"/>
      <c r="D65" s="584"/>
      <c r="E65" s="584"/>
      <c r="F65" s="584"/>
      <c r="G65" s="584"/>
      <c r="H65" s="584"/>
      <c r="I65" s="584"/>
      <c r="J65" s="584"/>
      <c r="K65" s="584"/>
      <c r="L65" s="584"/>
      <c r="M65" s="584"/>
      <c r="N65" s="551"/>
      <c r="O65" s="554"/>
      <c r="P65" s="554"/>
    </row>
    <row r="66" spans="1:16" ht="15" customHeight="1" thickBot="1">
      <c r="A66" s="532" t="s">
        <v>448</v>
      </c>
      <c r="B66" s="543">
        <f>SUM(B64,B62)</f>
        <v>269738.74903437367</v>
      </c>
      <c r="C66" s="543">
        <f>SUM(C64,C62)</f>
        <v>360317.14518036874</v>
      </c>
      <c r="D66" s="543">
        <f t="shared" ref="D66:N66" si="15">SUM(D64,D62)</f>
        <v>776374.08661919087</v>
      </c>
      <c r="E66" s="543">
        <f t="shared" si="15"/>
        <v>721664.94187583739</v>
      </c>
      <c r="F66" s="543">
        <f t="shared" si="15"/>
        <v>696283.63541136088</v>
      </c>
      <c r="G66" s="543">
        <f t="shared" si="15"/>
        <v>682951.9188294491</v>
      </c>
      <c r="H66" s="543">
        <f t="shared" si="15"/>
        <v>676610.64852793328</v>
      </c>
      <c r="I66" s="543">
        <f t="shared" si="15"/>
        <v>769632.31245505274</v>
      </c>
      <c r="J66" s="543">
        <f t="shared" si="15"/>
        <v>823433.56363520725</v>
      </c>
      <c r="K66" s="543">
        <f t="shared" si="15"/>
        <v>886742.19467691472</v>
      </c>
      <c r="L66" s="543">
        <f t="shared" si="15"/>
        <v>948584.93987637968</v>
      </c>
      <c r="M66" s="543">
        <f t="shared" si="15"/>
        <v>1048638.2387583714</v>
      </c>
      <c r="N66" s="546">
        <f t="shared" si="15"/>
        <v>429480.79487925861</v>
      </c>
      <c r="O66" s="554"/>
      <c r="P66" s="554"/>
    </row>
    <row r="67" spans="1:16" s="553" customFormat="1" ht="15" customHeight="1" thickTop="1">
      <c r="A67" s="532"/>
      <c r="B67" s="552"/>
      <c r="C67" s="552"/>
      <c r="D67" s="552"/>
      <c r="E67" s="552"/>
      <c r="F67" s="552"/>
      <c r="G67" s="552"/>
      <c r="H67" s="552"/>
      <c r="I67" s="552"/>
      <c r="J67" s="552"/>
      <c r="K67" s="552"/>
      <c r="L67" s="552"/>
      <c r="M67" s="552"/>
      <c r="N67" s="552"/>
      <c r="O67" s="554"/>
      <c r="P67" s="554"/>
    </row>
    <row r="68" spans="1:16" s="553" customFormat="1" ht="15" customHeight="1">
      <c r="N68" s="554"/>
      <c r="O68" s="554"/>
      <c r="P68" s="554"/>
    </row>
    <row r="69" spans="1:16" s="553" customFormat="1" ht="13"/>
    <row r="70" spans="1:16" s="553" customFormat="1" ht="13"/>
    <row r="71" spans="1:16" s="553" customFormat="1" ht="13"/>
    <row r="72" spans="1:16" s="553" customFormat="1" ht="13"/>
    <row r="73" spans="1:16" s="553" customFormat="1" ht="13"/>
  </sheetData>
  <sheetProtection sheet="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tabSelected="1" topLeftCell="A9" zoomScale="150" zoomScaleNormal="150" workbookViewId="0"/>
  </sheetViews>
  <sheetFormatPr baseColWidth="10" defaultColWidth="9.1640625" defaultRowHeight="12"/>
  <cols>
    <col min="1" max="1" width="2.1640625" style="52" customWidth="1"/>
    <col min="2" max="2" width="9.6640625" style="52" customWidth="1"/>
    <col min="3" max="3" width="8.6640625" style="52" customWidth="1"/>
    <col min="4" max="4" width="12.5" style="52" customWidth="1"/>
    <col min="5" max="5" width="8.6640625" style="52" customWidth="1"/>
    <col min="6" max="6" width="7.33203125" style="52" customWidth="1"/>
    <col min="7" max="7" width="9.1640625" style="52"/>
    <col min="8" max="8" width="8" style="52" customWidth="1"/>
    <col min="9" max="9" width="5.6640625" style="52" customWidth="1"/>
    <col min="10" max="10" width="16.33203125" style="52" customWidth="1"/>
    <col min="11" max="11" width="12" style="52" customWidth="1"/>
    <col min="12" max="16384" width="9.1640625" style="52"/>
  </cols>
  <sheetData>
    <row r="3" spans="2:3">
      <c r="B3" s="391"/>
      <c r="C3" s="392"/>
    </row>
    <row r="17" spans="2:12" ht="21" customHeight="1">
      <c r="B17" s="485" t="s">
        <v>402</v>
      </c>
      <c r="C17" s="485"/>
      <c r="D17" s="485"/>
      <c r="E17" s="485"/>
      <c r="F17" s="485"/>
      <c r="G17" s="485"/>
      <c r="H17" s="485"/>
      <c r="I17" s="485"/>
      <c r="J17" s="485"/>
      <c r="K17" s="485"/>
    </row>
    <row r="18" spans="2:12" ht="12" customHeight="1">
      <c r="B18" s="485"/>
      <c r="C18" s="485"/>
      <c r="D18" s="485"/>
      <c r="E18" s="485"/>
      <c r="F18" s="485"/>
      <c r="G18" s="485"/>
      <c r="H18" s="485"/>
      <c r="I18" s="485"/>
      <c r="J18" s="485"/>
      <c r="K18" s="485"/>
    </row>
    <row r="20" spans="2:12">
      <c r="B20" s="592" t="s">
        <v>711</v>
      </c>
      <c r="C20" s="486"/>
      <c r="D20" s="486"/>
      <c r="E20" s="486"/>
      <c r="F20" s="486"/>
      <c r="G20" s="1" t="s">
        <v>561</v>
      </c>
      <c r="I20" s="614"/>
      <c r="J20" s="492" t="s">
        <v>669</v>
      </c>
      <c r="K20" s="614"/>
    </row>
    <row r="21" spans="2:12">
      <c r="B21" s="374" t="s">
        <v>554</v>
      </c>
      <c r="C21" s="375"/>
      <c r="E21" s="54" t="str">
        <f>D138</f>
        <v>June 30, 2023</v>
      </c>
    </row>
    <row r="23" spans="2:12">
      <c r="B23" s="52" t="s">
        <v>248</v>
      </c>
      <c r="D23" s="399">
        <v>2</v>
      </c>
      <c r="E23" s="52" t="s">
        <v>269</v>
      </c>
      <c r="J23" s="493"/>
      <c r="K23" s="493">
        <v>3867059</v>
      </c>
      <c r="L23" s="55"/>
    </row>
    <row r="24" spans="2:12">
      <c r="B24" s="399">
        <v>0</v>
      </c>
      <c r="C24" s="52" t="s">
        <v>270</v>
      </c>
      <c r="G24" s="493">
        <v>0</v>
      </c>
      <c r="H24" s="493"/>
      <c r="I24" s="52" t="s">
        <v>401</v>
      </c>
      <c r="L24" s="55"/>
    </row>
    <row r="25" spans="2:12">
      <c r="D25" s="55"/>
      <c r="E25" s="55"/>
      <c r="F25" s="55"/>
      <c r="G25" s="55"/>
      <c r="H25" s="55"/>
      <c r="I25" s="55"/>
      <c r="J25" s="55"/>
      <c r="K25" s="55"/>
      <c r="L25" s="55"/>
    </row>
    <row r="26" spans="2:12">
      <c r="B26" s="276" t="s">
        <v>652</v>
      </c>
      <c r="D26" s="55"/>
      <c r="E26" s="55"/>
      <c r="F26" s="55"/>
      <c r="G26" s="55"/>
      <c r="H26" s="55"/>
      <c r="I26" s="55"/>
      <c r="J26" s="55"/>
      <c r="K26" s="55"/>
      <c r="L26" s="55"/>
    </row>
    <row r="27" spans="2:12">
      <c r="D27" s="55"/>
      <c r="E27" s="55"/>
      <c r="F27" s="55"/>
      <c r="G27" s="55"/>
      <c r="H27" s="55"/>
      <c r="I27" s="55"/>
      <c r="J27" s="55"/>
      <c r="K27" s="55"/>
      <c r="L27" s="55"/>
    </row>
    <row r="28" spans="2:12">
      <c r="C28" s="275" t="s">
        <v>486</v>
      </c>
      <c r="D28" s="55"/>
      <c r="E28" s="55"/>
      <c r="F28" s="55"/>
      <c r="G28" s="55"/>
      <c r="H28" s="55"/>
      <c r="I28" s="55"/>
      <c r="J28" s="55"/>
      <c r="K28" s="55"/>
      <c r="L28" s="55"/>
    </row>
    <row r="29" spans="2:12">
      <c r="C29" s="275"/>
      <c r="D29" s="55" t="s">
        <v>487</v>
      </c>
      <c r="E29" s="55"/>
      <c r="F29" s="55"/>
      <c r="G29" s="55"/>
      <c r="H29" s="55"/>
      <c r="I29" s="55"/>
      <c r="J29" s="55"/>
      <c r="K29" s="55"/>
      <c r="L29" s="55"/>
    </row>
    <row r="30" spans="2:12">
      <c r="D30" s="55"/>
      <c r="E30" s="55"/>
      <c r="F30" s="55"/>
      <c r="G30" s="56"/>
      <c r="H30" s="55"/>
      <c r="I30" s="55"/>
      <c r="J30" s="55"/>
      <c r="K30" s="55"/>
      <c r="L30" s="55"/>
    </row>
    <row r="31" spans="2:12">
      <c r="C31" s="275" t="s">
        <v>512</v>
      </c>
    </row>
    <row r="32" spans="2:12">
      <c r="D32" s="275" t="s">
        <v>485</v>
      </c>
    </row>
    <row r="33" spans="2:11">
      <c r="D33" s="52" t="s">
        <v>484</v>
      </c>
    </row>
    <row r="36" spans="2:11">
      <c r="B36" s="52" t="s">
        <v>249</v>
      </c>
      <c r="H36" s="52" t="s">
        <v>250</v>
      </c>
    </row>
    <row r="38" spans="2:11" ht="13" thickBot="1">
      <c r="B38" s="57" t="s">
        <v>400</v>
      </c>
      <c r="C38" s="486"/>
      <c r="D38" s="486"/>
      <c r="E38" s="486"/>
      <c r="F38" s="486"/>
      <c r="H38" s="393"/>
      <c r="I38" s="393"/>
      <c r="J38" s="393"/>
      <c r="K38" s="393"/>
    </row>
    <row r="39" spans="2:11">
      <c r="C39" s="374" t="s">
        <v>559</v>
      </c>
      <c r="D39" s="374"/>
      <c r="E39" s="374"/>
      <c r="F39" s="374"/>
      <c r="H39" s="394"/>
      <c r="I39" s="394"/>
      <c r="J39" s="394"/>
      <c r="K39" s="394"/>
    </row>
    <row r="40" spans="2:11" ht="13" thickBot="1">
      <c r="C40" s="486"/>
      <c r="D40" s="486"/>
      <c r="E40" s="486"/>
      <c r="F40" s="442"/>
      <c r="H40" s="393"/>
      <c r="I40" s="393"/>
      <c r="J40" s="393"/>
      <c r="K40" s="393"/>
    </row>
    <row r="41" spans="2:11">
      <c r="C41" s="487" t="s">
        <v>560</v>
      </c>
      <c r="D41" s="488"/>
      <c r="E41" s="488"/>
      <c r="F41" s="488"/>
      <c r="H41" s="394"/>
      <c r="I41" s="394"/>
      <c r="J41" s="394"/>
      <c r="K41" s="394"/>
    </row>
    <row r="42" spans="2:11" ht="13" thickBot="1">
      <c r="H42" s="393"/>
      <c r="I42" s="393"/>
      <c r="J42" s="393"/>
      <c r="K42" s="393"/>
    </row>
    <row r="43" spans="2:11">
      <c r="C43" s="52" t="s">
        <v>251</v>
      </c>
      <c r="H43" s="394"/>
      <c r="I43" s="394"/>
      <c r="J43" s="394"/>
      <c r="K43" s="394"/>
    </row>
    <row r="44" spans="2:11" ht="13" thickBot="1">
      <c r="C44" s="52" t="s">
        <v>252</v>
      </c>
      <c r="H44" s="393"/>
      <c r="I44" s="393"/>
      <c r="J44" s="393"/>
      <c r="K44" s="393"/>
    </row>
    <row r="45" spans="2:11">
      <c r="C45" s="52" t="s">
        <v>253</v>
      </c>
      <c r="H45" s="394"/>
      <c r="I45" s="394"/>
      <c r="J45" s="394"/>
      <c r="K45" s="394"/>
    </row>
    <row r="46" spans="2:11" ht="13" thickBot="1">
      <c r="H46" s="393"/>
      <c r="I46" s="393"/>
      <c r="J46" s="393"/>
      <c r="K46" s="393"/>
    </row>
    <row r="47" spans="2:11" ht="13" thickBot="1">
      <c r="C47" s="52" t="s">
        <v>254</v>
      </c>
      <c r="D47" s="396"/>
      <c r="E47" s="396"/>
      <c r="F47" s="396"/>
      <c r="H47" s="395"/>
      <c r="I47" s="395"/>
      <c r="J47" s="395"/>
      <c r="K47" s="395"/>
    </row>
    <row r="48" spans="2:11" ht="13" thickBot="1">
      <c r="H48" s="396"/>
      <c r="I48" s="396"/>
      <c r="J48" s="396"/>
      <c r="K48" s="396"/>
    </row>
    <row r="49" spans="2:11">
      <c r="D49" s="55"/>
      <c r="E49" s="55"/>
      <c r="H49" s="395"/>
      <c r="I49" s="395"/>
      <c r="J49" s="395"/>
      <c r="K49" s="395"/>
    </row>
    <row r="50" spans="2:11" ht="13" thickBot="1">
      <c r="C50" s="52" t="s">
        <v>255</v>
      </c>
      <c r="D50" s="486"/>
      <c r="E50" s="486"/>
      <c r="F50" s="486"/>
      <c r="H50" s="396"/>
      <c r="I50" s="396"/>
      <c r="J50" s="396"/>
      <c r="K50" s="396"/>
    </row>
    <row r="51" spans="2:11">
      <c r="H51" s="395"/>
      <c r="I51" s="395"/>
      <c r="J51" s="395"/>
      <c r="K51" s="395"/>
    </row>
    <row r="52" spans="2:11" ht="13" thickBot="1">
      <c r="H52" s="396"/>
      <c r="I52" s="396"/>
      <c r="J52" s="396"/>
      <c r="K52" s="396"/>
    </row>
    <row r="54" spans="2:11" ht="13" thickBot="1">
      <c r="B54" s="58"/>
      <c r="C54" s="58"/>
      <c r="D54" s="58"/>
      <c r="E54" s="58"/>
      <c r="F54" s="58"/>
      <c r="G54" s="58"/>
      <c r="H54" s="58"/>
      <c r="I54" s="58"/>
      <c r="J54" s="58"/>
      <c r="K54" s="58"/>
    </row>
    <row r="55" spans="2:11">
      <c r="B55" s="55"/>
      <c r="C55" s="55"/>
      <c r="D55" s="55"/>
      <c r="E55" s="55"/>
      <c r="F55" s="55"/>
      <c r="G55" s="55"/>
      <c r="H55" s="55"/>
      <c r="I55" s="55"/>
      <c r="J55" s="55"/>
      <c r="K55" s="55"/>
    </row>
    <row r="56" spans="2:11">
      <c r="B56" s="52" t="s">
        <v>256</v>
      </c>
    </row>
    <row r="58" spans="2:11" ht="12.75" customHeight="1">
      <c r="B58" s="392" t="s">
        <v>403</v>
      </c>
      <c r="C58" s="392"/>
      <c r="D58" s="489"/>
      <c r="E58" s="489"/>
      <c r="F58" s="489"/>
      <c r="G58" s="489"/>
      <c r="I58" s="458" t="s">
        <v>257</v>
      </c>
      <c r="J58" s="486"/>
      <c r="K58" s="486"/>
    </row>
    <row r="59" spans="2:11" ht="12.75" customHeight="1">
      <c r="B59" s="59"/>
      <c r="C59" s="59"/>
      <c r="D59" s="60"/>
      <c r="E59" s="60"/>
      <c r="F59" s="60"/>
      <c r="H59" s="57"/>
      <c r="I59" s="57"/>
      <c r="J59" s="61"/>
      <c r="K59" s="61"/>
    </row>
    <row r="60" spans="2:11" ht="16.5" customHeight="1">
      <c r="B60" s="53" t="s">
        <v>258</v>
      </c>
      <c r="C60" s="486"/>
      <c r="D60" s="486"/>
      <c r="E60" s="486"/>
      <c r="F60" s="486"/>
      <c r="G60" s="486"/>
      <c r="H60" s="57"/>
      <c r="I60" s="57"/>
      <c r="J60" s="61"/>
      <c r="K60" s="61"/>
    </row>
    <row r="61" spans="2:11" ht="17.25" customHeight="1">
      <c r="C61" s="490"/>
      <c r="D61" s="490"/>
      <c r="E61" s="490"/>
      <c r="F61" s="490"/>
      <c r="G61" s="490"/>
      <c r="H61" s="55"/>
      <c r="J61" s="57"/>
      <c r="K61" s="61" t="s">
        <v>404</v>
      </c>
    </row>
    <row r="62" spans="2:11">
      <c r="H62" s="55"/>
      <c r="I62" s="55"/>
      <c r="J62" s="55"/>
      <c r="K62" s="397">
        <v>44607</v>
      </c>
    </row>
    <row r="63" spans="2:11">
      <c r="H63" s="55"/>
      <c r="I63" s="55"/>
      <c r="J63" s="55"/>
      <c r="K63" s="55"/>
    </row>
    <row r="122" spans="2:11">
      <c r="B122" s="55"/>
      <c r="C122" s="55"/>
      <c r="D122" s="55"/>
      <c r="E122" s="55"/>
      <c r="F122" s="55"/>
      <c r="G122" s="55"/>
      <c r="H122" s="55"/>
      <c r="I122" s="55"/>
      <c r="J122" s="55"/>
      <c r="K122" s="55"/>
    </row>
    <row r="123" spans="2:11" ht="13">
      <c r="B123" s="494"/>
      <c r="C123" s="55"/>
      <c r="D123" s="55"/>
      <c r="E123" s="55"/>
      <c r="F123" s="55"/>
      <c r="G123" s="55"/>
      <c r="H123" s="55"/>
      <c r="I123" s="55"/>
      <c r="J123" s="55"/>
      <c r="K123" s="55"/>
    </row>
    <row r="124" spans="2:11" ht="13">
      <c r="B124" s="62"/>
      <c r="C124" s="62"/>
      <c r="D124" s="62"/>
      <c r="E124" s="55"/>
      <c r="F124" s="55"/>
      <c r="G124" s="55"/>
      <c r="H124" s="55"/>
      <c r="I124" s="55"/>
      <c r="J124" s="55"/>
      <c r="K124" s="55"/>
    </row>
    <row r="125" spans="2:11" ht="13">
      <c r="B125" s="62"/>
      <c r="C125" s="62"/>
      <c r="D125" s="62"/>
      <c r="E125" s="55"/>
      <c r="F125" s="55"/>
      <c r="G125" s="55"/>
      <c r="H125" s="55"/>
      <c r="I125" s="55"/>
      <c r="J125" s="55"/>
      <c r="K125" s="55"/>
    </row>
    <row r="126" spans="2:11" ht="14">
      <c r="B126" s="495" t="s">
        <v>274</v>
      </c>
      <c r="C126" s="496"/>
      <c r="D126" s="496"/>
      <c r="E126" s="496"/>
      <c r="F126" s="496"/>
      <c r="G126" s="496"/>
      <c r="H126" s="55"/>
      <c r="I126" s="55"/>
      <c r="J126" s="55"/>
      <c r="K126" s="55"/>
    </row>
    <row r="127" spans="2:11">
      <c r="B127" s="55"/>
      <c r="C127" s="55"/>
      <c r="D127" s="55"/>
      <c r="E127" s="55"/>
      <c r="F127" s="55"/>
      <c r="G127" s="55"/>
      <c r="H127" s="55"/>
      <c r="I127" s="55"/>
      <c r="J127" s="55"/>
      <c r="K127" s="55"/>
    </row>
    <row r="128" spans="2:11">
      <c r="B128" s="55"/>
      <c r="C128" s="55"/>
      <c r="D128" s="55"/>
      <c r="E128" s="55"/>
      <c r="F128" s="55"/>
      <c r="G128" s="55"/>
      <c r="H128" s="55"/>
      <c r="I128" s="55"/>
      <c r="J128" s="55"/>
      <c r="K128" s="55"/>
    </row>
    <row r="129" spans="2:11">
      <c r="B129" s="55"/>
      <c r="C129" s="55"/>
      <c r="D129" s="55"/>
      <c r="E129" s="55"/>
      <c r="F129" s="55"/>
      <c r="G129" s="55"/>
      <c r="H129" s="55"/>
      <c r="I129" s="55"/>
      <c r="J129" s="55"/>
      <c r="K129" s="55"/>
    </row>
    <row r="130" spans="2:11" ht="13">
      <c r="B130" s="62" t="s">
        <v>563</v>
      </c>
      <c r="C130" s="62"/>
      <c r="D130" s="63">
        <v>44377</v>
      </c>
      <c r="E130" s="12" t="s">
        <v>564</v>
      </c>
      <c r="F130" s="55"/>
      <c r="G130" s="385" t="s">
        <v>562</v>
      </c>
      <c r="H130" s="55"/>
      <c r="I130" s="55"/>
      <c r="J130" s="12" t="s">
        <v>669</v>
      </c>
      <c r="K130" s="55"/>
    </row>
    <row r="131" spans="2:11" ht="13">
      <c r="B131" s="62"/>
      <c r="C131" s="62"/>
      <c r="D131" s="62"/>
      <c r="E131" s="55"/>
      <c r="F131" s="55"/>
      <c r="G131" s="55"/>
      <c r="H131" s="55"/>
      <c r="I131" s="55"/>
      <c r="J131" s="12" t="s">
        <v>667</v>
      </c>
      <c r="K131" s="55"/>
    </row>
    <row r="132" spans="2:11">
      <c r="B132" s="55"/>
      <c r="C132" s="55"/>
      <c r="D132" s="55"/>
      <c r="E132" s="55"/>
      <c r="F132" s="55"/>
      <c r="G132" s="55"/>
      <c r="H132" s="55"/>
      <c r="I132" s="55"/>
      <c r="J132" s="12" t="s">
        <v>668</v>
      </c>
      <c r="K132" s="55"/>
    </row>
    <row r="133" spans="2:11" ht="13">
      <c r="B133" s="62" t="s">
        <v>275</v>
      </c>
      <c r="C133" s="62"/>
      <c r="D133" s="12" t="s">
        <v>655</v>
      </c>
      <c r="E133" s="55"/>
      <c r="F133" s="55"/>
      <c r="G133" s="55"/>
      <c r="H133" s="55"/>
      <c r="I133" s="55"/>
      <c r="J133" s="55"/>
      <c r="K133" s="55"/>
    </row>
    <row r="134" spans="2:11" ht="13">
      <c r="B134" s="497" t="s">
        <v>557</v>
      </c>
      <c r="C134" s="62"/>
      <c r="D134" s="64">
        <v>44742</v>
      </c>
      <c r="E134" s="55"/>
      <c r="F134" s="55"/>
      <c r="G134" s="55"/>
      <c r="H134" s="55"/>
      <c r="I134" s="55"/>
      <c r="J134" s="55"/>
      <c r="K134" s="55"/>
    </row>
    <row r="135" spans="2:11" ht="13">
      <c r="B135" s="62"/>
      <c r="C135" s="62"/>
      <c r="D135" s="62"/>
      <c r="E135" s="55"/>
      <c r="F135" s="55"/>
      <c r="G135" s="55"/>
      <c r="H135" s="55"/>
      <c r="I135" s="55"/>
      <c r="J135" s="55"/>
      <c r="K135" s="55"/>
    </row>
    <row r="136" spans="2:11" ht="13">
      <c r="B136" s="55"/>
      <c r="C136" s="62"/>
      <c r="D136" s="62"/>
      <c r="E136" s="55"/>
      <c r="F136" s="55"/>
      <c r="G136" s="55"/>
      <c r="H136" s="55"/>
      <c r="I136" s="55"/>
      <c r="J136" s="55"/>
      <c r="K136" s="55"/>
    </row>
    <row r="137" spans="2:11" ht="13">
      <c r="B137" s="62" t="s">
        <v>276</v>
      </c>
      <c r="C137" s="62"/>
      <c r="D137" s="498" t="s">
        <v>653</v>
      </c>
      <c r="E137" s="55"/>
      <c r="F137" s="55"/>
      <c r="G137" s="55"/>
      <c r="H137" s="55"/>
      <c r="I137" s="55"/>
      <c r="J137" s="55"/>
      <c r="K137" s="55"/>
    </row>
    <row r="138" spans="2:11" ht="13">
      <c r="B138" s="497" t="s">
        <v>558</v>
      </c>
      <c r="C138" s="62"/>
      <c r="D138" s="389" t="s">
        <v>654</v>
      </c>
      <c r="E138" s="55"/>
      <c r="F138" s="55"/>
      <c r="G138" s="55"/>
      <c r="H138" s="55"/>
      <c r="I138" s="55"/>
      <c r="J138" s="55"/>
      <c r="K138" s="55"/>
    </row>
    <row r="139" spans="2:11" ht="13">
      <c r="B139" s="497" t="s">
        <v>558</v>
      </c>
      <c r="C139" s="62"/>
      <c r="D139" s="64">
        <v>45107</v>
      </c>
      <c r="E139" s="55"/>
      <c r="F139" s="55"/>
      <c r="G139" s="55"/>
      <c r="H139" s="55"/>
      <c r="I139" s="55"/>
      <c r="J139" s="55"/>
      <c r="K139" s="55"/>
    </row>
    <row r="140" spans="2:11" ht="13">
      <c r="B140" s="62"/>
      <c r="C140" s="62"/>
      <c r="D140" s="62"/>
      <c r="E140" s="55"/>
      <c r="F140" s="55"/>
      <c r="G140" s="55"/>
      <c r="H140" s="55"/>
      <c r="I140" s="55"/>
      <c r="J140" s="55"/>
      <c r="K140" s="55"/>
    </row>
    <row r="141" spans="2:11" ht="13">
      <c r="B141" s="62"/>
      <c r="C141" s="62"/>
      <c r="D141" s="62"/>
      <c r="E141" s="55"/>
      <c r="F141" s="55"/>
      <c r="G141" s="55"/>
      <c r="H141" s="55"/>
      <c r="I141" s="55"/>
      <c r="J141" s="55"/>
      <c r="K141" s="55"/>
    </row>
    <row r="142" spans="2:11" ht="13">
      <c r="B142" s="62" t="s">
        <v>455</v>
      </c>
      <c r="C142" s="62"/>
      <c r="D142" s="389" t="s">
        <v>656</v>
      </c>
      <c r="E142" s="55"/>
      <c r="F142" s="491" t="s">
        <v>282</v>
      </c>
      <c r="G142" s="491"/>
      <c r="H142" s="491"/>
      <c r="I142" s="55"/>
      <c r="J142" s="55"/>
      <c r="K142" s="55"/>
    </row>
    <row r="143" spans="2:11">
      <c r="B143" s="55"/>
      <c r="C143" s="55"/>
      <c r="D143" s="65">
        <v>44743</v>
      </c>
      <c r="E143" s="55"/>
      <c r="F143" s="491"/>
      <c r="G143" s="491"/>
      <c r="H143" s="491"/>
      <c r="I143" s="55"/>
      <c r="J143" s="55"/>
      <c r="K143" s="55"/>
    </row>
    <row r="144" spans="2:11">
      <c r="B144" s="55"/>
      <c r="C144" s="55"/>
      <c r="D144" s="55"/>
      <c r="E144" s="55"/>
      <c r="F144" s="55"/>
      <c r="G144" s="55"/>
      <c r="H144" s="55"/>
      <c r="I144" s="55"/>
      <c r="J144" s="55"/>
      <c r="K144" s="55"/>
    </row>
    <row r="145" spans="2:11">
      <c r="B145" s="55"/>
      <c r="C145" s="55"/>
      <c r="D145" s="55"/>
      <c r="E145" s="55"/>
      <c r="F145" s="55"/>
      <c r="G145" s="55"/>
      <c r="H145" s="55"/>
      <c r="I145" s="55"/>
      <c r="J145" s="55"/>
      <c r="K145" s="55"/>
    </row>
    <row r="146" spans="2:11">
      <c r="B146" s="66" t="s">
        <v>286</v>
      </c>
      <c r="C146" s="66"/>
      <c r="D146" s="67">
        <v>44607</v>
      </c>
      <c r="E146" s="379">
        <f>D146</f>
        <v>44607</v>
      </c>
      <c r="F146" s="55"/>
      <c r="G146" s="55"/>
      <c r="H146" s="55"/>
      <c r="I146" s="55"/>
      <c r="J146" s="55"/>
      <c r="K146" s="55"/>
    </row>
    <row r="147" spans="2:11">
      <c r="B147" s="55"/>
      <c r="C147" s="55"/>
      <c r="D147" s="55"/>
      <c r="E147" s="55"/>
      <c r="F147" s="55"/>
      <c r="G147" s="55"/>
      <c r="H147" s="55"/>
      <c r="I147" s="55"/>
      <c r="J147" s="55"/>
      <c r="K147" s="55"/>
    </row>
    <row r="148" spans="2:11">
      <c r="B148" s="12" t="s">
        <v>642</v>
      </c>
      <c r="C148" s="55"/>
      <c r="D148" s="12" t="s">
        <v>657</v>
      </c>
      <c r="E148" s="55"/>
      <c r="F148" s="55"/>
      <c r="G148" s="55"/>
      <c r="H148" s="55"/>
      <c r="I148" s="55"/>
      <c r="J148" s="55"/>
      <c r="K148" s="55"/>
    </row>
    <row r="149" spans="2:11">
      <c r="B149" s="55"/>
      <c r="C149" s="55"/>
      <c r="D149" s="55"/>
      <c r="E149" s="55"/>
      <c r="F149" s="55"/>
      <c r="G149" s="55"/>
      <c r="H149" s="55"/>
      <c r="I149" s="55"/>
      <c r="J149" s="55"/>
      <c r="K149" s="55"/>
    </row>
    <row r="150" spans="2:11">
      <c r="B150" s="55"/>
      <c r="C150" s="55"/>
      <c r="D150" s="55"/>
      <c r="E150" s="55"/>
      <c r="F150" s="55"/>
      <c r="G150" s="55"/>
      <c r="H150" s="55"/>
      <c r="I150" s="55"/>
      <c r="J150" s="55"/>
      <c r="K150" s="55"/>
    </row>
  </sheetData>
  <sheetProtection algorithmName="SHA-512" hashValue="RTdUDsprK+S1WXGtcXYffnLBrA3U+vE8kzkj5EkbXbH82njmTVRZ330wDlI7HnSbIhKwpThR0nnXu+Ws0Vl2YQ==" saltValue="yjvjrFDZxRKFPk9d3HHkcA==" spinCount="100000" sheet="1" objects="1" scenarios="1"/>
  <phoneticPr fontId="14" type="noConversion"/>
  <dataValidations count="5">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 type="list" allowBlank="1" showInputMessage="1" showErrorMessage="1" sqref="J20" xr:uid="{77FB0502-62AD-4302-A6AB-78E8405F0658}">
      <formula1>$J$130:$J$132</formula1>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zoomScale="110" zoomScaleNormal="110" workbookViewId="0"/>
  </sheetViews>
  <sheetFormatPr baseColWidth="10" defaultColWidth="9.1640625" defaultRowHeight="12"/>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3.33203125" style="1" customWidth="1"/>
    <col min="13" max="13" width="4.33203125" style="1" customWidth="1"/>
    <col min="14" max="14" width="16.5" style="1" customWidth="1"/>
    <col min="15" max="16384" width="9.1640625" style="1"/>
  </cols>
  <sheetData>
    <row r="1" spans="1:14">
      <c r="A1" s="468" t="s">
        <v>689</v>
      </c>
      <c r="B1" s="468"/>
      <c r="C1" s="468"/>
      <c r="D1" s="468"/>
      <c r="E1" s="468"/>
      <c r="F1" s="468"/>
      <c r="G1" s="468"/>
      <c r="H1" s="468"/>
      <c r="I1" s="468"/>
      <c r="J1" s="468"/>
      <c r="K1" s="468"/>
      <c r="L1" s="468"/>
      <c r="M1" s="468"/>
      <c r="N1" s="468"/>
    </row>
    <row r="2" spans="1:14">
      <c r="A2" s="468"/>
      <c r="B2" s="468"/>
      <c r="C2" s="468"/>
      <c r="D2" s="468"/>
      <c r="E2" s="468"/>
      <c r="F2" s="468"/>
      <c r="G2" s="468"/>
      <c r="H2" s="468"/>
      <c r="I2" s="468"/>
      <c r="J2" s="468"/>
      <c r="K2" s="468"/>
      <c r="L2" s="468"/>
      <c r="M2" s="468"/>
      <c r="N2" s="468"/>
    </row>
    <row r="3" spans="1:14">
      <c r="A3" s="468"/>
      <c r="B3" s="468"/>
      <c r="C3" s="468"/>
      <c r="D3" s="468"/>
      <c r="E3" s="468"/>
      <c r="F3" s="468"/>
      <c r="G3" s="468"/>
      <c r="H3" s="468"/>
      <c r="I3" s="468"/>
      <c r="J3" s="468"/>
      <c r="K3" s="468"/>
      <c r="L3" s="468"/>
      <c r="M3" s="468"/>
      <c r="N3" s="468"/>
    </row>
    <row r="4" spans="1:14">
      <c r="N4" s="8" t="s">
        <v>542</v>
      </c>
    </row>
    <row r="5" spans="1:14">
      <c r="F5" s="8" t="s">
        <v>542</v>
      </c>
      <c r="H5" s="376"/>
      <c r="J5" s="8" t="s">
        <v>542</v>
      </c>
      <c r="L5" s="376"/>
      <c r="N5" s="8" t="s">
        <v>31</v>
      </c>
    </row>
    <row r="6" spans="1:14">
      <c r="F6" s="459" t="s">
        <v>670</v>
      </c>
      <c r="H6" s="376"/>
      <c r="J6" s="459" t="s">
        <v>671</v>
      </c>
      <c r="L6" s="376"/>
      <c r="N6" s="459" t="s">
        <v>566</v>
      </c>
    </row>
    <row r="7" spans="1:14">
      <c r="F7" s="9" t="str">
        <f>"ENDING "&amp;TEXT('Form 1 Cover'!D130,"MM/DD/YY")</f>
        <v>ENDING 06/30/21</v>
      </c>
      <c r="H7" s="376"/>
      <c r="J7" s="9" t="str">
        <f>"ADE ENDING "&amp;TEXT('Form 1 Cover'!D134, "MM/DD/YY")</f>
        <v>ADE ENDING 06/30/22</v>
      </c>
      <c r="L7" s="376"/>
      <c r="N7" s="460" t="str">
        <f>"ENDING "&amp;TEXT('Form 1 Cover'!D139, "MM/DD/YY")</f>
        <v>ENDING 06/30/23</v>
      </c>
    </row>
    <row r="8" spans="1:14">
      <c r="H8" s="376"/>
      <c r="L8" s="376"/>
    </row>
    <row r="9" spans="1:14">
      <c r="A9" s="7" t="s">
        <v>41</v>
      </c>
      <c r="B9" s="1" t="s">
        <v>32</v>
      </c>
      <c r="H9" s="376"/>
      <c r="J9" s="10"/>
      <c r="L9" s="376"/>
    </row>
    <row r="10" spans="1:14">
      <c r="B10" s="1" t="s">
        <v>609</v>
      </c>
      <c r="D10" s="398"/>
      <c r="E10" s="267" t="s">
        <v>33</v>
      </c>
      <c r="F10" s="272">
        <f>D10*0.6</f>
        <v>0</v>
      </c>
      <c r="G10" s="268"/>
      <c r="H10" s="400"/>
      <c r="I10" s="267" t="s">
        <v>33</v>
      </c>
      <c r="J10" s="272">
        <f>H10*0.6</f>
        <v>0</v>
      </c>
      <c r="K10" s="269"/>
      <c r="L10" s="400"/>
      <c r="M10" s="267" t="s">
        <v>33</v>
      </c>
      <c r="N10" s="272">
        <f>L10*0.6</f>
        <v>0</v>
      </c>
    </row>
    <row r="11" spans="1:14">
      <c r="D11" s="269"/>
      <c r="E11" s="269"/>
      <c r="F11" s="273"/>
      <c r="G11" s="268"/>
      <c r="H11" s="377"/>
      <c r="I11" s="269"/>
      <c r="J11" s="274"/>
      <c r="K11" s="269"/>
      <c r="L11" s="377"/>
      <c r="M11" s="269"/>
      <c r="N11" s="274"/>
    </row>
    <row r="12" spans="1:14">
      <c r="A12" s="7" t="s">
        <v>295</v>
      </c>
      <c r="B12" s="1" t="s">
        <v>34</v>
      </c>
      <c r="D12" s="398"/>
      <c r="E12" s="267" t="s">
        <v>33</v>
      </c>
      <c r="F12" s="272">
        <f>D12*0.6</f>
        <v>0</v>
      </c>
      <c r="G12" s="268"/>
      <c r="H12" s="400"/>
      <c r="I12" s="267" t="s">
        <v>33</v>
      </c>
      <c r="J12" s="272">
        <f>H12*0.6</f>
        <v>0</v>
      </c>
      <c r="K12" s="269"/>
      <c r="L12" s="400"/>
      <c r="M12" s="267" t="s">
        <v>33</v>
      </c>
      <c r="N12" s="272">
        <f>L12*0.6</f>
        <v>0</v>
      </c>
    </row>
    <row r="13" spans="1:14">
      <c r="B13" s="1" t="s">
        <v>34</v>
      </c>
      <c r="D13" s="398">
        <v>60</v>
      </c>
      <c r="E13" s="267" t="s">
        <v>649</v>
      </c>
      <c r="F13" s="272">
        <f>D13*1</f>
        <v>60</v>
      </c>
      <c r="G13" s="268"/>
      <c r="H13" s="400">
        <v>62</v>
      </c>
      <c r="I13" s="267" t="s">
        <v>650</v>
      </c>
      <c r="J13" s="272">
        <f>H13*1</f>
        <v>62</v>
      </c>
      <c r="K13" s="269"/>
      <c r="L13" s="400">
        <v>74</v>
      </c>
      <c r="M13" s="267" t="s">
        <v>650</v>
      </c>
      <c r="N13" s="272">
        <f>L13*1</f>
        <v>74</v>
      </c>
    </row>
    <row r="14" spans="1:14">
      <c r="A14" s="7" t="s">
        <v>42</v>
      </c>
      <c r="B14" s="1" t="s">
        <v>35</v>
      </c>
      <c r="D14" s="269"/>
      <c r="E14" s="269"/>
      <c r="F14" s="401">
        <v>279</v>
      </c>
      <c r="G14" s="268"/>
      <c r="H14" s="377"/>
      <c r="I14" s="269"/>
      <c r="J14" s="401">
        <v>261</v>
      </c>
      <c r="K14" s="269"/>
      <c r="L14" s="377"/>
      <c r="M14" s="269"/>
      <c r="N14" s="401">
        <v>324</v>
      </c>
    </row>
    <row r="15" spans="1:14">
      <c r="D15" s="269"/>
      <c r="E15" s="269"/>
      <c r="F15" s="268"/>
      <c r="G15" s="268"/>
      <c r="H15" s="377"/>
      <c r="I15" s="269"/>
      <c r="J15" s="269"/>
      <c r="K15" s="269"/>
      <c r="L15" s="377"/>
      <c r="M15" s="269"/>
      <c r="N15" s="269"/>
    </row>
    <row r="16" spans="1:14">
      <c r="A16" s="7" t="s">
        <v>43</v>
      </c>
      <c r="B16" s="1" t="s">
        <v>36</v>
      </c>
      <c r="D16" s="269"/>
      <c r="E16" s="269"/>
      <c r="F16" s="401">
        <v>110</v>
      </c>
      <c r="G16" s="268"/>
      <c r="H16" s="377"/>
      <c r="I16" s="269"/>
      <c r="J16" s="401">
        <v>122</v>
      </c>
      <c r="K16" s="269"/>
      <c r="L16" s="377"/>
      <c r="M16" s="269"/>
      <c r="N16" s="401">
        <v>142</v>
      </c>
    </row>
    <row r="17" spans="1:14">
      <c r="D17" s="269"/>
      <c r="E17" s="269"/>
      <c r="F17" s="268"/>
      <c r="G17" s="268"/>
      <c r="H17" s="377"/>
      <c r="I17" s="269"/>
      <c r="J17" s="269"/>
      <c r="K17" s="269"/>
      <c r="L17" s="377"/>
      <c r="M17" s="269"/>
      <c r="N17" s="269"/>
    </row>
    <row r="18" spans="1:14">
      <c r="A18" s="7" t="s">
        <v>44</v>
      </c>
      <c r="B18" s="1" t="s">
        <v>37</v>
      </c>
      <c r="D18" s="269"/>
      <c r="E18" s="269"/>
      <c r="F18" s="401"/>
      <c r="G18" s="268"/>
      <c r="H18" s="377"/>
      <c r="I18" s="269"/>
      <c r="J18" s="401"/>
      <c r="K18" s="269"/>
      <c r="L18" s="377"/>
      <c r="M18" s="269"/>
      <c r="N18" s="401"/>
    </row>
    <row r="19" spans="1:14">
      <c r="D19" s="269"/>
      <c r="E19" s="269"/>
      <c r="F19" s="270"/>
      <c r="G19" s="268"/>
      <c r="H19" s="377"/>
      <c r="I19" s="269"/>
      <c r="J19" s="269"/>
      <c r="K19" s="269"/>
      <c r="L19" s="377"/>
      <c r="M19" s="269"/>
      <c r="N19" s="269"/>
    </row>
    <row r="20" spans="1:14">
      <c r="A20" s="11" t="s">
        <v>405</v>
      </c>
      <c r="B20" s="1" t="s">
        <v>406</v>
      </c>
      <c r="D20" s="269"/>
      <c r="E20" s="269"/>
      <c r="F20" s="272">
        <f>F10+F12+F14+F16+F18+F13</f>
        <v>449</v>
      </c>
      <c r="G20" s="270"/>
      <c r="H20" s="378"/>
      <c r="I20" s="270"/>
      <c r="J20" s="272">
        <f>J10+J12+J14+J16+J18+J13</f>
        <v>445</v>
      </c>
      <c r="K20" s="270"/>
      <c r="L20" s="378"/>
      <c r="M20" s="270"/>
      <c r="N20" s="272">
        <f>N10+N12+N14+N16+N18+N13</f>
        <v>540</v>
      </c>
    </row>
    <row r="21" spans="1:14">
      <c r="D21" s="269"/>
      <c r="E21" s="269"/>
      <c r="F21" s="268"/>
      <c r="G21" s="268"/>
      <c r="H21" s="377"/>
      <c r="I21" s="269"/>
      <c r="J21" s="269"/>
      <c r="K21" s="269"/>
      <c r="L21" s="377"/>
      <c r="M21" s="269"/>
      <c r="N21" s="269"/>
    </row>
    <row r="22" spans="1:14">
      <c r="A22" s="7" t="s">
        <v>283</v>
      </c>
      <c r="B22" s="1" t="s">
        <v>552</v>
      </c>
      <c r="D22" s="269"/>
      <c r="E22" s="269"/>
      <c r="F22" s="268"/>
      <c r="G22" s="268"/>
      <c r="H22" s="377"/>
      <c r="I22" s="269"/>
      <c r="J22" s="269"/>
      <c r="K22" s="269"/>
      <c r="L22" s="377"/>
      <c r="M22" s="269"/>
      <c r="N22" s="269"/>
    </row>
    <row r="23" spans="1:14">
      <c r="B23" s="1" t="s">
        <v>38</v>
      </c>
      <c r="D23" s="269"/>
      <c r="E23" s="269"/>
      <c r="F23" s="401"/>
      <c r="G23" s="268"/>
      <c r="H23" s="377"/>
      <c r="I23" s="269"/>
      <c r="J23" s="398"/>
      <c r="K23" s="269"/>
      <c r="L23" s="377"/>
      <c r="M23" s="269"/>
      <c r="N23" s="398"/>
    </row>
    <row r="24" spans="1:14">
      <c r="D24" s="269"/>
      <c r="E24" s="269"/>
      <c r="F24" s="268"/>
      <c r="G24" s="268"/>
      <c r="H24" s="377"/>
      <c r="I24" s="269"/>
      <c r="J24" s="269"/>
      <c r="K24" s="269"/>
      <c r="L24" s="377"/>
      <c r="M24" s="269"/>
      <c r="N24" s="269"/>
    </row>
    <row r="25" spans="1:14">
      <c r="A25" s="7" t="s">
        <v>296</v>
      </c>
      <c r="B25" s="1" t="s">
        <v>553</v>
      </c>
      <c r="D25" s="269"/>
      <c r="E25" s="269"/>
      <c r="F25" s="268"/>
      <c r="G25" s="268"/>
      <c r="H25" s="377"/>
      <c r="I25" s="269"/>
      <c r="J25" s="269"/>
      <c r="K25" s="269"/>
      <c r="L25" s="377"/>
      <c r="M25" s="269"/>
      <c r="N25" s="269"/>
    </row>
    <row r="26" spans="1:14">
      <c r="B26" s="1" t="s">
        <v>39</v>
      </c>
      <c r="D26" s="269"/>
      <c r="E26" s="269"/>
      <c r="F26" s="401"/>
      <c r="G26" s="268"/>
      <c r="H26" s="377"/>
      <c r="I26" s="269"/>
      <c r="J26" s="398"/>
      <c r="K26" s="269"/>
      <c r="L26" s="377"/>
      <c r="M26" s="269"/>
      <c r="N26" s="398"/>
    </row>
    <row r="27" spans="1:14">
      <c r="D27" s="269"/>
      <c r="E27" s="269"/>
      <c r="F27" s="268"/>
      <c r="G27" s="268"/>
      <c r="H27" s="377"/>
      <c r="I27" s="269"/>
      <c r="J27" s="269"/>
      <c r="K27" s="269"/>
      <c r="L27" s="377"/>
      <c r="M27" s="269"/>
      <c r="N27" s="269"/>
    </row>
    <row r="28" spans="1:14">
      <c r="A28" s="7" t="s">
        <v>284</v>
      </c>
      <c r="B28" s="1" t="s">
        <v>407</v>
      </c>
      <c r="D28" s="269"/>
      <c r="E28" s="269"/>
      <c r="F28" s="272">
        <f>F20+F23-F26</f>
        <v>449</v>
      </c>
      <c r="G28" s="268"/>
      <c r="H28" s="377"/>
      <c r="I28" s="269"/>
      <c r="J28" s="272">
        <f>J20+J23-J26</f>
        <v>445</v>
      </c>
      <c r="K28" s="269"/>
      <c r="L28" s="377"/>
      <c r="M28" s="269"/>
      <c r="N28" s="272">
        <f>N20+N23-N26</f>
        <v>540</v>
      </c>
    </row>
    <row r="29" spans="1:14">
      <c r="D29" s="269"/>
      <c r="E29" s="269"/>
      <c r="F29" s="270"/>
      <c r="G29" s="268"/>
      <c r="H29" s="377"/>
      <c r="I29" s="269"/>
      <c r="J29" s="271"/>
      <c r="K29" s="269"/>
      <c r="L29" s="377"/>
      <c r="M29" s="269"/>
      <c r="N29" s="271"/>
    </row>
    <row r="30" spans="1:14">
      <c r="A30" s="7" t="s">
        <v>294</v>
      </c>
      <c r="B30" s="1" t="s">
        <v>408</v>
      </c>
      <c r="D30" s="269"/>
      <c r="E30" s="269"/>
      <c r="F30" s="270"/>
      <c r="G30" s="268"/>
      <c r="H30" s="377"/>
      <c r="I30" s="269"/>
      <c r="J30" s="271"/>
      <c r="K30" s="269"/>
      <c r="L30" s="377"/>
      <c r="M30" s="269"/>
      <c r="N30" s="402"/>
    </row>
    <row r="31" spans="1:14" ht="13" thickBot="1">
      <c r="A31" s="13"/>
      <c r="B31" s="14"/>
      <c r="C31" s="14"/>
      <c r="D31" s="14"/>
      <c r="E31" s="14"/>
      <c r="F31" s="14"/>
      <c r="G31" s="14"/>
      <c r="H31" s="14"/>
      <c r="I31" s="14"/>
      <c r="J31" s="14"/>
      <c r="K31" s="14"/>
      <c r="L31" s="14"/>
      <c r="M31" s="14"/>
      <c r="N31" s="15"/>
    </row>
    <row r="32" spans="1:14" ht="13" thickTop="1"/>
    <row r="33" spans="1:17">
      <c r="A33" s="7" t="s">
        <v>287</v>
      </c>
      <c r="B33" s="16" t="s">
        <v>658</v>
      </c>
      <c r="C33" s="8"/>
      <c r="D33" s="8"/>
      <c r="E33" s="8"/>
      <c r="F33" s="8"/>
      <c r="G33" s="16"/>
      <c r="H33" s="8"/>
      <c r="I33" s="8"/>
      <c r="J33" s="604">
        <v>3843180</v>
      </c>
      <c r="N33" s="12"/>
    </row>
    <row r="34" spans="1:17" ht="13">
      <c r="B34" s="593" t="s">
        <v>659</v>
      </c>
      <c r="C34" s="8"/>
      <c r="D34" s="8"/>
      <c r="E34" s="8"/>
      <c r="F34" s="8"/>
      <c r="G34" s="16"/>
      <c r="H34" s="8"/>
      <c r="I34" s="8"/>
      <c r="J34" s="17"/>
      <c r="N34"/>
    </row>
    <row r="35" spans="1:17">
      <c r="B35" s="593"/>
      <c r="C35" s="8"/>
      <c r="D35" s="8"/>
      <c r="E35" s="8"/>
      <c r="F35" s="8"/>
      <c r="G35" s="16"/>
      <c r="H35" s="8"/>
      <c r="I35" s="8"/>
      <c r="J35" s="17"/>
      <c r="L35" s="19" t="s">
        <v>672</v>
      </c>
      <c r="N35" s="403">
        <f>SUM('[1]DCS Detail'!$AC$42:$AN$42)</f>
        <v>3929182.9610108333</v>
      </c>
    </row>
    <row r="36" spans="1:17" ht="13">
      <c r="B36" s="16"/>
      <c r="C36" s="8"/>
      <c r="D36" s="8"/>
      <c r="E36" s="8"/>
      <c r="G36" s="16"/>
      <c r="H36" s="8"/>
      <c r="I36" s="8"/>
      <c r="J36" s="17"/>
      <c r="N36" s="18"/>
      <c r="Q36"/>
    </row>
    <row r="37" spans="1:17" ht="13">
      <c r="A37" s="7" t="s">
        <v>285</v>
      </c>
      <c r="B37" s="1" t="s">
        <v>660</v>
      </c>
      <c r="J37"/>
      <c r="L37" s="403">
        <f>SUM('[1]DCS Detail'!$AC$43:$AN$43)</f>
        <v>93632.010565000019</v>
      </c>
      <c r="Q37"/>
    </row>
    <row r="38" spans="1:17" ht="13">
      <c r="J38"/>
      <c r="L38"/>
      <c r="Q38"/>
    </row>
    <row r="39" spans="1:17" ht="13">
      <c r="A39" s="7" t="s">
        <v>288</v>
      </c>
      <c r="B39" s="1" t="s">
        <v>661</v>
      </c>
      <c r="J39"/>
      <c r="L39" s="403">
        <v>115220</v>
      </c>
      <c r="Q39"/>
    </row>
    <row r="40" spans="1:17" ht="13">
      <c r="J40"/>
      <c r="Q40" s="407"/>
    </row>
    <row r="41" spans="1:17" ht="13">
      <c r="A41" s="7" t="s">
        <v>289</v>
      </c>
      <c r="B41" s="1" t="s">
        <v>662</v>
      </c>
      <c r="J41"/>
      <c r="L41" s="403"/>
    </row>
    <row r="42" spans="1:17" ht="13">
      <c r="J42"/>
      <c r="K42" s="12"/>
      <c r="M42"/>
      <c r="N42"/>
    </row>
    <row r="43" spans="1:17" ht="13">
      <c r="A43" s="7" t="s">
        <v>663</v>
      </c>
      <c r="B43" s="1" t="s">
        <v>664</v>
      </c>
      <c r="H43"/>
      <c r="J43"/>
      <c r="K43" s="12"/>
      <c r="L43" s="403">
        <f>SUM('[1]DCS Detail'!$AC$46:$AN$46)</f>
        <v>30456</v>
      </c>
      <c r="M43"/>
      <c r="N43"/>
    </row>
    <row r="44" spans="1:17" ht="12.75" customHeight="1">
      <c r="H44"/>
      <c r="J44"/>
    </row>
    <row r="45" spans="1:17" ht="13">
      <c r="A45" s="7" t="s">
        <v>665</v>
      </c>
      <c r="B45" s="1" t="s">
        <v>688</v>
      </c>
      <c r="H45" s="50"/>
      <c r="L45"/>
      <c r="N45" s="605">
        <f>N35+L37+L39+L41+L43</f>
        <v>4168490.9715758334</v>
      </c>
    </row>
    <row r="46" spans="1:17">
      <c r="H46" s="50"/>
      <c r="L46" s="51"/>
      <c r="N46" s="12"/>
    </row>
    <row r="47" spans="1:17" ht="13">
      <c r="L47"/>
      <c r="M47"/>
      <c r="N47"/>
    </row>
    <row r="48" spans="1:17" ht="13">
      <c r="L48"/>
      <c r="M48"/>
      <c r="N48"/>
    </row>
    <row r="49" spans="1:14" ht="13" thickBot="1">
      <c r="A49" s="13"/>
      <c r="B49" s="14"/>
      <c r="C49" s="14"/>
      <c r="D49" s="14"/>
      <c r="E49" s="14"/>
      <c r="F49" s="14"/>
      <c r="G49" s="14"/>
      <c r="H49" s="14"/>
      <c r="I49" s="14"/>
      <c r="J49" s="14"/>
      <c r="K49" s="14"/>
      <c r="L49" s="14"/>
      <c r="M49" s="14"/>
      <c r="N49" s="14"/>
    </row>
    <row r="50" spans="1:14" ht="13" thickTop="1"/>
    <row r="52" spans="1:14" ht="12.75" customHeight="1">
      <c r="A52" s="7" t="str">
        <f>"Fiscal Year "&amp;TEXT('Form 1 Cover'!D137, "yy")</f>
        <v>Fiscal Year 2022-2023</v>
      </c>
      <c r="E52" s="19" t="s">
        <v>409</v>
      </c>
      <c r="F52" s="499" t="str">
        <f>'Form 1 Cover'!B20</f>
        <v>Discovery Charter School</v>
      </c>
      <c r="G52" s="499"/>
      <c r="H52" s="499"/>
      <c r="I52" s="499"/>
      <c r="J52" s="499"/>
    </row>
    <row r="54" spans="1:14" ht="13">
      <c r="A54" s="20" t="s">
        <v>666</v>
      </c>
      <c r="N54" s="21">
        <f>'Form 1 Cover'!$D$146</f>
        <v>44607</v>
      </c>
    </row>
  </sheetData>
  <sheetProtection algorithmName="SHA-512" hashValue="htS1PsLLUcJo3iZEWbbvBWcuwxBBp/P41x9qIyHwqmRyQg/a12Bs1wxbTQ1vlxzTi7H9TqOVtpiW4o1xSpN+Pg==" saltValue="YT5ZkT9jvpJ81OqzUSY75g==" spinCount="100000" sheet="1" objects="1" scenarios="1"/>
  <phoneticPr fontId="0" type="noConversion"/>
  <pageMargins left="0.55000000000000004" right="0" top="0.75" bottom="0.25" header="0.5"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7"/>
  <sheetViews>
    <sheetView zoomScaleNormal="100" workbookViewId="0">
      <pane xSplit="3" ySplit="6" topLeftCell="D44" activePane="bottomRight" state="frozen"/>
      <selection pane="topRight" activeCell="D1" sqref="D1"/>
      <selection pane="bottomLeft" activeCell="A7" sqref="A7"/>
      <selection pane="bottomRight" activeCell="G48" sqref="G48"/>
    </sheetView>
  </sheetViews>
  <sheetFormatPr baseColWidth="10" defaultColWidth="9.1640625" defaultRowHeight="14"/>
  <cols>
    <col min="1" max="1" width="1.5" style="94" customWidth="1"/>
    <col min="2" max="2" width="6.5" style="94" customWidth="1"/>
    <col min="3" max="3" width="47.5" style="29" customWidth="1"/>
    <col min="4" max="5" width="15.6640625" style="29" customWidth="1"/>
    <col min="6" max="6" width="15.1640625" style="29" customWidth="1"/>
    <col min="7" max="8" width="16.5" style="29" customWidth="1"/>
    <col min="9" max="10" width="9.1640625" style="29"/>
    <col min="11" max="11" width="5.5" style="29" customWidth="1"/>
    <col min="12" max="16384" width="9.1640625" style="29"/>
  </cols>
  <sheetData>
    <row r="1" spans="1:8">
      <c r="A1" s="308" t="s">
        <v>410</v>
      </c>
      <c r="B1" s="70"/>
      <c r="C1" s="71"/>
      <c r="D1" s="72">
        <v>-1</v>
      </c>
      <c r="E1" s="73">
        <v>-2</v>
      </c>
      <c r="F1" s="74">
        <v>-3</v>
      </c>
      <c r="G1" s="73">
        <v>-4</v>
      </c>
      <c r="H1" s="73">
        <v>-4</v>
      </c>
    </row>
    <row r="2" spans="1:8" ht="15" thickBot="1">
      <c r="A2" s="324"/>
      <c r="B2" s="75" t="s">
        <v>245</v>
      </c>
      <c r="C2" s="38"/>
      <c r="D2" s="134"/>
      <c r="E2" s="39" t="s">
        <v>31</v>
      </c>
      <c r="F2" s="500" t="str">
        <f>"BUDGET YEAR ENDING "&amp;TEXT('Form 1 Cover'!D139, "MM/DD/YY")</f>
        <v>BUDGET YEAR ENDING 06/30/23</v>
      </c>
      <c r="G2" s="501"/>
      <c r="H2" s="502"/>
    </row>
    <row r="3" spans="1:8" s="80" customFormat="1" ht="15.75" customHeight="1" thickBot="1">
      <c r="B3" s="404" t="str">
        <f>'Form 1 Cover'!B20</f>
        <v>Discovery Charter School</v>
      </c>
      <c r="C3" s="405"/>
      <c r="D3" s="78" t="s">
        <v>277</v>
      </c>
      <c r="E3" s="78" t="s">
        <v>279</v>
      </c>
      <c r="F3" s="79"/>
      <c r="G3" s="111"/>
      <c r="H3" s="78" t="s">
        <v>556</v>
      </c>
    </row>
    <row r="4" spans="1:8" s="80" customFormat="1" ht="15.75" customHeight="1">
      <c r="A4" s="321"/>
      <c r="B4" s="461"/>
      <c r="C4" s="462" t="s">
        <v>194</v>
      </c>
      <c r="D4" s="81" t="s">
        <v>278</v>
      </c>
      <c r="E4" s="78" t="s">
        <v>278</v>
      </c>
      <c r="F4" s="81" t="s">
        <v>280</v>
      </c>
      <c r="G4" s="78" t="s">
        <v>109</v>
      </c>
      <c r="H4" s="78" t="s">
        <v>109</v>
      </c>
    </row>
    <row r="5" spans="1:8" s="80" customFormat="1" ht="15" customHeight="1">
      <c r="A5" s="322"/>
      <c r="B5" s="463"/>
      <c r="C5" s="464"/>
      <c r="D5" s="317">
        <f>'Form 1 Cover'!D130</f>
        <v>44377</v>
      </c>
      <c r="E5" s="83">
        <f>'Form 1 Cover'!D134</f>
        <v>44742</v>
      </c>
      <c r="F5" s="84" t="s">
        <v>281</v>
      </c>
      <c r="G5" s="152" t="s">
        <v>281</v>
      </c>
      <c r="H5" s="152" t="s">
        <v>281</v>
      </c>
    </row>
    <row r="6" spans="1:8" ht="21" customHeight="1">
      <c r="A6" s="296" t="s">
        <v>175</v>
      </c>
      <c r="B6" s="85"/>
      <c r="C6" s="86" t="s">
        <v>200</v>
      </c>
      <c r="D6" s="318"/>
      <c r="E6" s="87"/>
      <c r="F6" s="87"/>
      <c r="G6" s="87"/>
      <c r="H6" s="87"/>
    </row>
    <row r="7" spans="1:8">
      <c r="A7" s="104" t="s">
        <v>201</v>
      </c>
      <c r="B7" s="89"/>
      <c r="C7" s="42" t="s">
        <v>202</v>
      </c>
      <c r="D7" s="408"/>
      <c r="E7" s="411"/>
      <c r="F7" s="411"/>
      <c r="G7" s="411"/>
      <c r="H7" s="411"/>
    </row>
    <row r="8" spans="1:8">
      <c r="A8" s="298"/>
      <c r="B8" s="89" t="s">
        <v>127</v>
      </c>
      <c r="C8" s="42" t="s">
        <v>300</v>
      </c>
      <c r="D8" s="412"/>
      <c r="E8" s="413"/>
      <c r="F8" s="413"/>
      <c r="G8" s="413"/>
      <c r="H8" s="413"/>
    </row>
    <row r="9" spans="1:8">
      <c r="A9" s="298"/>
      <c r="B9" s="89" t="s">
        <v>203</v>
      </c>
      <c r="C9" s="42" t="s">
        <v>204</v>
      </c>
      <c r="D9" s="412"/>
      <c r="E9" s="413"/>
      <c r="F9" s="413"/>
      <c r="G9" s="413"/>
      <c r="H9" s="413"/>
    </row>
    <row r="10" spans="1:8">
      <c r="A10" s="298"/>
      <c r="B10" s="89" t="s">
        <v>205</v>
      </c>
      <c r="C10" s="42" t="s">
        <v>301</v>
      </c>
      <c r="D10" s="412"/>
      <c r="E10" s="413"/>
      <c r="F10" s="413"/>
      <c r="G10" s="413"/>
      <c r="H10" s="413"/>
    </row>
    <row r="11" spans="1:8">
      <c r="A11" s="298"/>
      <c r="B11" s="89" t="s">
        <v>206</v>
      </c>
      <c r="C11" s="42" t="s">
        <v>302</v>
      </c>
      <c r="D11" s="412"/>
      <c r="E11" s="413"/>
      <c r="F11" s="413"/>
      <c r="G11" s="413"/>
      <c r="H11" s="413"/>
    </row>
    <row r="12" spans="1:8">
      <c r="A12" s="298"/>
      <c r="B12" s="89" t="s">
        <v>303</v>
      </c>
      <c r="C12" s="42" t="s">
        <v>304</v>
      </c>
      <c r="D12" s="412"/>
      <c r="E12" s="413"/>
      <c r="F12" s="413"/>
      <c r="G12" s="413"/>
      <c r="H12" s="413"/>
    </row>
    <row r="13" spans="1:8">
      <c r="A13" s="298"/>
      <c r="B13" s="89" t="s">
        <v>128</v>
      </c>
      <c r="C13" s="42" t="s">
        <v>86</v>
      </c>
      <c r="D13" s="412"/>
      <c r="E13" s="413"/>
      <c r="F13" s="413"/>
      <c r="G13" s="413"/>
      <c r="H13" s="413"/>
    </row>
    <row r="14" spans="1:8" ht="25.5" customHeight="1">
      <c r="A14" s="298" t="s">
        <v>207</v>
      </c>
      <c r="B14" s="88"/>
      <c r="C14" s="92" t="s">
        <v>305</v>
      </c>
      <c r="D14" s="412"/>
      <c r="E14" s="413"/>
      <c r="F14" s="413"/>
      <c r="G14" s="413"/>
      <c r="H14" s="413"/>
    </row>
    <row r="15" spans="1:8">
      <c r="A15" s="298" t="s">
        <v>208</v>
      </c>
      <c r="B15" s="89"/>
      <c r="C15" s="42" t="s">
        <v>209</v>
      </c>
      <c r="D15" s="412"/>
      <c r="E15" s="413"/>
      <c r="F15" s="413"/>
      <c r="G15" s="413"/>
      <c r="H15" s="413"/>
    </row>
    <row r="16" spans="1:8">
      <c r="A16" s="298" t="s">
        <v>210</v>
      </c>
      <c r="B16" s="89"/>
      <c r="C16" s="42" t="s">
        <v>211</v>
      </c>
      <c r="D16" s="412"/>
      <c r="E16" s="413"/>
      <c r="F16" s="413"/>
      <c r="G16" s="413"/>
      <c r="H16" s="413"/>
    </row>
    <row r="17" spans="1:8">
      <c r="A17" s="298" t="s">
        <v>88</v>
      </c>
      <c r="B17" s="89"/>
      <c r="C17" s="42" t="s">
        <v>306</v>
      </c>
      <c r="D17" s="412"/>
      <c r="E17" s="413"/>
      <c r="F17" s="413"/>
      <c r="G17" s="413"/>
      <c r="H17" s="413"/>
    </row>
    <row r="18" spans="1:8">
      <c r="A18" s="298" t="s">
        <v>78</v>
      </c>
      <c r="B18" s="89"/>
      <c r="C18" s="42" t="s">
        <v>307</v>
      </c>
      <c r="D18" s="412"/>
      <c r="E18" s="413"/>
      <c r="F18" s="413"/>
      <c r="G18" s="413"/>
      <c r="H18" s="413"/>
    </row>
    <row r="19" spans="1:8">
      <c r="A19" s="298"/>
      <c r="B19" s="89" t="s">
        <v>212</v>
      </c>
      <c r="C19" s="42" t="s">
        <v>308</v>
      </c>
      <c r="D19" s="412"/>
      <c r="E19" s="413"/>
      <c r="F19" s="413"/>
      <c r="G19" s="413"/>
      <c r="H19" s="413"/>
    </row>
    <row r="20" spans="1:8">
      <c r="A20" s="298"/>
      <c r="B20" s="89" t="s">
        <v>213</v>
      </c>
      <c r="C20" s="42" t="s">
        <v>309</v>
      </c>
      <c r="D20" s="412"/>
      <c r="E20" s="413"/>
      <c r="F20" s="413"/>
      <c r="G20" s="413"/>
      <c r="H20" s="413"/>
    </row>
    <row r="21" spans="1:8">
      <c r="A21" s="298"/>
      <c r="B21" s="89" t="s">
        <v>214</v>
      </c>
      <c r="C21" s="42" t="s">
        <v>310</v>
      </c>
      <c r="D21" s="412"/>
      <c r="E21" s="413"/>
      <c r="F21" s="413"/>
      <c r="G21" s="413"/>
      <c r="H21" s="413"/>
    </row>
    <row r="22" spans="1:8">
      <c r="A22" s="298"/>
      <c r="B22" s="89" t="s">
        <v>311</v>
      </c>
      <c r="C22" s="42" t="s">
        <v>312</v>
      </c>
      <c r="D22" s="412"/>
      <c r="E22" s="413"/>
      <c r="F22" s="413"/>
      <c r="G22" s="413"/>
      <c r="H22" s="413"/>
    </row>
    <row r="23" spans="1:8">
      <c r="A23" s="104" t="s">
        <v>215</v>
      </c>
      <c r="B23" s="89"/>
      <c r="C23" s="42" t="s">
        <v>673</v>
      </c>
      <c r="D23" s="412"/>
      <c r="E23" s="413"/>
      <c r="F23" s="413"/>
      <c r="G23" s="413"/>
      <c r="H23" s="413"/>
    </row>
    <row r="24" spans="1:8">
      <c r="A24" s="104" t="s">
        <v>216</v>
      </c>
      <c r="B24" s="89"/>
      <c r="C24" s="42" t="s">
        <v>217</v>
      </c>
      <c r="D24" s="412"/>
      <c r="E24" s="413"/>
      <c r="F24" s="413"/>
      <c r="G24" s="413"/>
      <c r="H24" s="413"/>
    </row>
    <row r="25" spans="1:8">
      <c r="A25" s="104" t="s">
        <v>218</v>
      </c>
      <c r="B25" s="89"/>
      <c r="C25" s="42" t="s">
        <v>219</v>
      </c>
      <c r="D25" s="412"/>
      <c r="E25" s="413"/>
      <c r="F25" s="413"/>
      <c r="G25" s="413"/>
      <c r="H25" s="413"/>
    </row>
    <row r="26" spans="1:8">
      <c r="A26" s="298"/>
      <c r="B26" s="89" t="s">
        <v>220</v>
      </c>
      <c r="C26" s="42" t="s">
        <v>221</v>
      </c>
      <c r="D26" s="412"/>
      <c r="E26" s="413"/>
      <c r="F26" s="413"/>
      <c r="G26" s="413"/>
      <c r="H26" s="413"/>
    </row>
    <row r="27" spans="1:8">
      <c r="A27" s="104"/>
      <c r="B27" s="88" t="s">
        <v>222</v>
      </c>
      <c r="C27" s="93" t="s">
        <v>223</v>
      </c>
      <c r="D27" s="408"/>
      <c r="E27" s="411"/>
      <c r="F27" s="411"/>
      <c r="G27" s="411"/>
      <c r="H27" s="411"/>
    </row>
    <row r="28" spans="1:8">
      <c r="A28" s="104"/>
      <c r="B28" s="89" t="s">
        <v>314</v>
      </c>
      <c r="C28" s="42" t="s">
        <v>315</v>
      </c>
      <c r="D28" s="412"/>
      <c r="E28" s="413"/>
      <c r="F28" s="413"/>
      <c r="G28" s="413"/>
      <c r="H28" s="413"/>
    </row>
    <row r="29" spans="1:8">
      <c r="A29" s="104"/>
      <c r="B29" s="89" t="s">
        <v>316</v>
      </c>
      <c r="C29" s="42" t="s">
        <v>317</v>
      </c>
      <c r="D29" s="412"/>
      <c r="E29" s="413"/>
      <c r="F29" s="413"/>
      <c r="G29" s="413"/>
      <c r="H29" s="413"/>
    </row>
    <row r="30" spans="1:8">
      <c r="A30" s="104"/>
      <c r="B30" s="89" t="s">
        <v>318</v>
      </c>
      <c r="C30" s="42" t="s">
        <v>319</v>
      </c>
      <c r="D30" s="412"/>
      <c r="E30" s="413"/>
      <c r="F30" s="413"/>
      <c r="G30" s="413"/>
      <c r="H30" s="413"/>
    </row>
    <row r="31" spans="1:8">
      <c r="A31" s="406"/>
      <c r="B31" s="410">
        <v>1951</v>
      </c>
      <c r="C31" s="409" t="s">
        <v>674</v>
      </c>
      <c r="D31" s="412"/>
      <c r="E31" s="413"/>
      <c r="F31" s="413"/>
      <c r="G31" s="413"/>
      <c r="H31" s="413"/>
    </row>
    <row r="32" spans="1:8">
      <c r="A32" s="104"/>
      <c r="B32" s="89" t="s">
        <v>320</v>
      </c>
      <c r="C32" s="42" t="s">
        <v>323</v>
      </c>
      <c r="D32" s="412"/>
      <c r="E32" s="413"/>
      <c r="F32" s="413"/>
      <c r="G32" s="413"/>
      <c r="H32" s="413"/>
    </row>
    <row r="33" spans="1:11">
      <c r="A33" s="104"/>
      <c r="B33" s="89" t="s">
        <v>321</v>
      </c>
      <c r="C33" s="42" t="s">
        <v>324</v>
      </c>
      <c r="D33" s="412"/>
      <c r="E33" s="413"/>
      <c r="F33" s="413"/>
      <c r="G33" s="413"/>
      <c r="H33" s="413"/>
    </row>
    <row r="34" spans="1:11">
      <c r="A34" s="104"/>
      <c r="B34" s="89" t="s">
        <v>322</v>
      </c>
      <c r="C34" s="42" t="s">
        <v>325</v>
      </c>
      <c r="D34" s="412"/>
      <c r="E34" s="413"/>
      <c r="F34" s="413"/>
      <c r="G34" s="413"/>
      <c r="H34" s="413"/>
    </row>
    <row r="35" spans="1:11">
      <c r="A35" s="298"/>
      <c r="B35" s="88" t="s">
        <v>224</v>
      </c>
      <c r="C35" s="42" t="s">
        <v>313</v>
      </c>
      <c r="D35" s="413">
        <f>SUM('[1]DCS Detail'!$E$48:$P$48)-SUM(D38:D53)-SUM(D66:D73)</f>
        <v>542463.13000000012</v>
      </c>
      <c r="E35" s="413">
        <f>SUM('[1]DCS Detail'!$Q$48:$AB$48)-SUM(E38:E53)-SUM(E66:E73)</f>
        <v>564906.96000000066</v>
      </c>
      <c r="F35" s="413">
        <f>SUM('[1]DCS Detail'!$AC$48:$AN$48)-SUM(F38:F53)-SUM(F66:F73)</f>
        <v>476615.79333333345</v>
      </c>
      <c r="G35" s="413"/>
      <c r="H35" s="413"/>
    </row>
    <row r="36" spans="1:11" ht="32.25" customHeight="1" thickBot="1">
      <c r="A36" s="309" t="s">
        <v>225</v>
      </c>
      <c r="B36" s="96"/>
      <c r="C36" s="97"/>
      <c r="D36" s="98">
        <f>SUM(D7:D35)</f>
        <v>542463.13000000012</v>
      </c>
      <c r="E36" s="98">
        <f>SUM(E7:E35)</f>
        <v>564906.96000000066</v>
      </c>
      <c r="F36" s="98">
        <f>SUM(F7:F35)</f>
        <v>476615.79333333345</v>
      </c>
      <c r="G36" s="98">
        <f>SUM(G7:G35)</f>
        <v>0</v>
      </c>
      <c r="H36" s="98">
        <f>SUM(H7:H35)</f>
        <v>0</v>
      </c>
    </row>
    <row r="37" spans="1:11" ht="21.75" customHeight="1" thickTop="1">
      <c r="A37" s="300" t="s">
        <v>226</v>
      </c>
      <c r="B37" s="100"/>
      <c r="C37" s="101" t="s">
        <v>227</v>
      </c>
      <c r="D37" s="319"/>
      <c r="E37" s="319"/>
      <c r="F37" s="319"/>
      <c r="G37" s="319"/>
      <c r="H37" s="319"/>
    </row>
    <row r="38" spans="1:11">
      <c r="A38" s="103" t="s">
        <v>177</v>
      </c>
      <c r="B38" s="104"/>
      <c r="C38" s="105" t="s">
        <v>326</v>
      </c>
      <c r="D38" s="408"/>
      <c r="E38" s="411"/>
      <c r="F38" s="411"/>
      <c r="G38" s="411"/>
      <c r="H38" s="411"/>
    </row>
    <row r="39" spans="1:11">
      <c r="A39" s="104"/>
      <c r="B39" s="88" t="s">
        <v>328</v>
      </c>
      <c r="C39" s="595" t="s">
        <v>675</v>
      </c>
      <c r="D39" s="413">
        <f>SUM('[1]DCS Detail'!$E$42:$P$42)</f>
        <v>3331411.5900000003</v>
      </c>
      <c r="E39" s="413">
        <f>SUM('[1]DCS Detail'!$Q$42:$AB$42)</f>
        <v>3206649.3649999998</v>
      </c>
      <c r="F39" s="413">
        <f>SUM('[1]DCS Detail'!$AC$42:$AN$42)</f>
        <v>3929182.9610108333</v>
      </c>
      <c r="G39" s="413"/>
      <c r="H39" s="413"/>
    </row>
    <row r="40" spans="1:11">
      <c r="A40" s="104"/>
      <c r="B40" s="88" t="s">
        <v>676</v>
      </c>
      <c r="C40" s="595" t="s">
        <v>677</v>
      </c>
      <c r="D40" s="413"/>
      <c r="E40" s="413"/>
      <c r="F40" s="413"/>
      <c r="G40" s="413"/>
      <c r="H40" s="413"/>
    </row>
    <row r="41" spans="1:11">
      <c r="A41" s="104"/>
      <c r="B41" s="88" t="s">
        <v>678</v>
      </c>
      <c r="C41" s="595" t="s">
        <v>679</v>
      </c>
      <c r="D41" s="413"/>
      <c r="E41" s="413"/>
      <c r="F41" s="413"/>
      <c r="G41" s="413"/>
      <c r="H41" s="413"/>
    </row>
    <row r="42" spans="1:11">
      <c r="A42" s="104"/>
      <c r="B42" s="88" t="s">
        <v>329</v>
      </c>
      <c r="C42" s="595" t="s">
        <v>680</v>
      </c>
      <c r="D42" s="413">
        <f>SUM('[1]DCS Detail'!$E$43:$P$43)</f>
        <v>88008.25</v>
      </c>
      <c r="E42" s="413">
        <f>SUM('[1]DCS Detail'!$Q$43:$AB$43)</f>
        <v>92403.05</v>
      </c>
      <c r="F42" s="413">
        <f>SUM('[1]DCS Detail'!$AC$43:$AN$43)</f>
        <v>93632.010565000019</v>
      </c>
      <c r="G42" s="413"/>
      <c r="H42" s="413"/>
    </row>
    <row r="43" spans="1:11">
      <c r="A43" s="103" t="s">
        <v>228</v>
      </c>
      <c r="B43" s="104"/>
      <c r="C43" s="106" t="s">
        <v>327</v>
      </c>
      <c r="D43" s="413"/>
      <c r="E43" s="413"/>
      <c r="F43" s="413"/>
      <c r="G43" s="413"/>
      <c r="H43" s="413"/>
    </row>
    <row r="44" spans="1:11">
      <c r="A44" s="104"/>
      <c r="B44" s="88" t="s">
        <v>330</v>
      </c>
      <c r="C44" s="106" t="s">
        <v>333</v>
      </c>
      <c r="D44" s="413"/>
      <c r="E44" s="413"/>
      <c r="F44" s="413"/>
      <c r="G44" s="413"/>
      <c r="H44" s="413"/>
    </row>
    <row r="45" spans="1:11">
      <c r="A45" s="104"/>
      <c r="B45" s="88" t="s">
        <v>331</v>
      </c>
      <c r="C45" s="106" t="s">
        <v>334</v>
      </c>
      <c r="D45" s="413"/>
      <c r="E45" s="413"/>
      <c r="F45" s="413"/>
      <c r="G45" s="413"/>
      <c r="H45" s="413"/>
    </row>
    <row r="46" spans="1:11">
      <c r="A46" s="104"/>
      <c r="B46" s="88" t="s">
        <v>332</v>
      </c>
      <c r="C46" s="106" t="s">
        <v>335</v>
      </c>
      <c r="D46" s="413"/>
      <c r="E46" s="413"/>
      <c r="F46" s="413"/>
      <c r="G46" s="413"/>
      <c r="H46" s="413"/>
      <c r="K46" s="107"/>
    </row>
    <row r="47" spans="1:11">
      <c r="A47" s="104"/>
      <c r="B47" s="88" t="s">
        <v>690</v>
      </c>
      <c r="C47" s="595" t="s">
        <v>698</v>
      </c>
      <c r="D47" s="413"/>
      <c r="E47" s="413"/>
      <c r="F47" s="413"/>
      <c r="G47" s="413"/>
      <c r="H47" s="413"/>
      <c r="K47" s="107"/>
    </row>
    <row r="48" spans="1:11">
      <c r="A48" s="104"/>
      <c r="B48" s="88" t="s">
        <v>691</v>
      </c>
      <c r="C48" s="595" t="s">
        <v>696</v>
      </c>
      <c r="D48" s="413"/>
      <c r="E48" s="413"/>
      <c r="F48" s="413">
        <v>115220</v>
      </c>
      <c r="G48" s="413"/>
      <c r="H48" s="413"/>
      <c r="K48" s="107"/>
    </row>
    <row r="49" spans="1:11">
      <c r="A49" s="104"/>
      <c r="B49" s="88" t="s">
        <v>692</v>
      </c>
      <c r="C49" s="595" t="s">
        <v>697</v>
      </c>
      <c r="D49" s="413"/>
      <c r="E49" s="413"/>
      <c r="F49" s="413"/>
      <c r="G49" s="413"/>
      <c r="H49" s="413"/>
      <c r="K49" s="107"/>
    </row>
    <row r="50" spans="1:11">
      <c r="A50" s="104"/>
      <c r="B50" s="88" t="s">
        <v>693</v>
      </c>
      <c r="C50" s="595" t="s">
        <v>699</v>
      </c>
      <c r="D50" s="413">
        <f>SUM('[1]DCS Detail'!$E$46:$P$46)</f>
        <v>0</v>
      </c>
      <c r="E50" s="413">
        <f>SUM('[1]DCS Detail'!$Q$46:$AB$46)</f>
        <v>0</v>
      </c>
      <c r="F50" s="413">
        <f>SUM('[1]DCS Detail'!$AC$46:$AN$46)</f>
        <v>30456</v>
      </c>
      <c r="G50" s="413"/>
      <c r="H50" s="413"/>
      <c r="K50" s="107"/>
    </row>
    <row r="51" spans="1:11">
      <c r="A51" s="104"/>
      <c r="B51" s="88" t="s">
        <v>694</v>
      </c>
      <c r="C51" s="595" t="s">
        <v>695</v>
      </c>
      <c r="D51" s="413"/>
      <c r="E51" s="413"/>
      <c r="F51" s="413"/>
      <c r="G51" s="413"/>
      <c r="H51" s="413"/>
      <c r="K51" s="107"/>
    </row>
    <row r="52" spans="1:11">
      <c r="A52" s="103" t="s">
        <v>229</v>
      </c>
      <c r="B52" s="104"/>
      <c r="C52" s="106" t="s">
        <v>198</v>
      </c>
      <c r="D52" s="594"/>
      <c r="E52" s="594"/>
      <c r="F52" s="594"/>
      <c r="G52" s="594"/>
      <c r="H52" s="594"/>
      <c r="K52" s="107"/>
    </row>
    <row r="53" spans="1:11">
      <c r="A53" s="103" t="s">
        <v>230</v>
      </c>
      <c r="B53" s="104"/>
      <c r="C53" s="106" t="s">
        <v>336</v>
      </c>
      <c r="D53" s="413"/>
      <c r="E53" s="413"/>
      <c r="F53" s="413"/>
      <c r="G53" s="413"/>
      <c r="H53" s="413"/>
    </row>
    <row r="54" spans="1:11" ht="38.25" customHeight="1" thickBot="1">
      <c r="A54" s="299" t="s">
        <v>231</v>
      </c>
      <c r="B54" s="108"/>
      <c r="C54" s="97"/>
      <c r="D54" s="98">
        <f>SUM(D38:D53)</f>
        <v>3419419.8400000003</v>
      </c>
      <c r="E54" s="98">
        <f>SUM(E38:E53)</f>
        <v>3299052.4149999996</v>
      </c>
      <c r="F54" s="98">
        <f>SUM(F38:F53)</f>
        <v>4168490.9715758334</v>
      </c>
      <c r="G54" s="98">
        <f>SUM(G38:G53)</f>
        <v>0</v>
      </c>
      <c r="H54" s="98">
        <f>SUM(H38:H53)</f>
        <v>0</v>
      </c>
    </row>
    <row r="55" spans="1:11" ht="15" thickTop="1">
      <c r="A55" s="109" t="str">
        <f>B3</f>
        <v>Discovery Charter School</v>
      </c>
      <c r="B55" s="380"/>
      <c r="C55" s="381"/>
      <c r="E55" s="49"/>
      <c r="G55" s="29" t="str">
        <f>"Budget Fiscal Year "&amp;TEXT('Form 1 Cover'!$D$137, "mm/dd/yy")</f>
        <v>Budget Fiscal Year 2022-2023</v>
      </c>
    </row>
    <row r="56" spans="1:11" ht="14.25" customHeight="1">
      <c r="A56" s="75"/>
      <c r="B56" s="75"/>
      <c r="C56" s="49"/>
      <c r="D56" s="94"/>
    </row>
    <row r="57" spans="1:11" ht="17.25" customHeight="1">
      <c r="A57" s="94" t="s">
        <v>417</v>
      </c>
      <c r="D57" s="29" t="s">
        <v>412</v>
      </c>
      <c r="G57" s="21"/>
      <c r="H57" s="21">
        <f>'Form 1 Cover'!D146</f>
        <v>44607</v>
      </c>
    </row>
    <row r="58" spans="1:11" ht="17.25" customHeight="1">
      <c r="G58" s="21"/>
      <c r="H58" s="21"/>
    </row>
    <row r="59" spans="1:11" ht="17.25" customHeight="1">
      <c r="G59" s="21"/>
      <c r="H59" s="21"/>
    </row>
    <row r="60" spans="1:11">
      <c r="A60" s="308"/>
      <c r="B60" s="70"/>
      <c r="C60" s="110"/>
      <c r="D60" s="72">
        <v>-1</v>
      </c>
      <c r="E60" s="73">
        <v>-2</v>
      </c>
      <c r="F60" s="74">
        <v>-3</v>
      </c>
      <c r="G60" s="73">
        <v>-4</v>
      </c>
      <c r="H60" s="73">
        <v>-4</v>
      </c>
    </row>
    <row r="61" spans="1:11" ht="16">
      <c r="A61" s="321"/>
      <c r="B61" s="461"/>
      <c r="C61" s="462"/>
      <c r="D61" s="79"/>
      <c r="E61" s="82" t="s">
        <v>31</v>
      </c>
      <c r="F61" s="500" t="str">
        <f>"BUDGET YEAR ENDING "&amp;TEXT('Form 1 Cover'!D139, "MM/DD/YY")</f>
        <v>BUDGET YEAR ENDING 06/30/23</v>
      </c>
      <c r="G61" s="501"/>
      <c r="H61" s="502"/>
    </row>
    <row r="62" spans="1:11" ht="16">
      <c r="A62" s="321"/>
      <c r="B62" s="461"/>
      <c r="C62" s="111"/>
      <c r="D62" s="81" t="s">
        <v>277</v>
      </c>
      <c r="E62" s="78" t="s">
        <v>279</v>
      </c>
      <c r="F62" s="79"/>
      <c r="G62" s="111"/>
      <c r="H62" s="78" t="s">
        <v>556</v>
      </c>
    </row>
    <row r="63" spans="1:11" ht="17">
      <c r="A63" s="321"/>
      <c r="B63" s="461"/>
      <c r="C63" s="462" t="s">
        <v>194</v>
      </c>
      <c r="D63" s="81" t="s">
        <v>278</v>
      </c>
      <c r="E63" s="78" t="s">
        <v>278</v>
      </c>
      <c r="F63" s="81" t="s">
        <v>280</v>
      </c>
      <c r="G63" s="78" t="s">
        <v>109</v>
      </c>
      <c r="H63" s="78" t="s">
        <v>109</v>
      </c>
    </row>
    <row r="64" spans="1:11" ht="16">
      <c r="A64" s="322"/>
      <c r="B64" s="463"/>
      <c r="C64" s="464"/>
      <c r="D64" s="317">
        <f>'Form 1 Cover'!D130</f>
        <v>44377</v>
      </c>
      <c r="E64" s="83">
        <f>'Form 1 Cover'!D134</f>
        <v>44742</v>
      </c>
      <c r="F64" s="84" t="s">
        <v>281</v>
      </c>
      <c r="G64" s="152" t="s">
        <v>281</v>
      </c>
      <c r="H64" s="152" t="s">
        <v>281</v>
      </c>
    </row>
    <row r="65" spans="1:8" ht="15">
      <c r="A65" s="301" t="s">
        <v>89</v>
      </c>
      <c r="B65" s="112"/>
      <c r="C65" s="113" t="s">
        <v>195</v>
      </c>
      <c r="D65" s="134"/>
      <c r="E65" s="38"/>
      <c r="F65" s="38"/>
      <c r="G65" s="38"/>
      <c r="H65" s="38"/>
    </row>
    <row r="66" spans="1:8" ht="15">
      <c r="A66" s="302" t="s">
        <v>163</v>
      </c>
      <c r="B66" s="114"/>
      <c r="C66" s="92" t="s">
        <v>341</v>
      </c>
      <c r="D66" s="415">
        <f>SUM('[1]DCS Detail'!$E$45:$P$45)</f>
        <v>30388.259999999995</v>
      </c>
      <c r="E66" s="415">
        <f>SUM('[1]DCS Detail'!$Q$45:$AB$45)</f>
        <v>513786.74</v>
      </c>
      <c r="F66" s="415">
        <f>SUM('[1]DCS Detail'!$AC$45:$AN$45)</f>
        <v>250000</v>
      </c>
      <c r="G66" s="415"/>
      <c r="H66" s="415"/>
    </row>
    <row r="67" spans="1:8" ht="15">
      <c r="A67" s="303"/>
      <c r="B67" s="114" t="s">
        <v>337</v>
      </c>
      <c r="C67" s="92" t="s">
        <v>338</v>
      </c>
      <c r="D67" s="416"/>
      <c r="E67" s="417"/>
      <c r="F67" s="417"/>
      <c r="G67" s="417"/>
      <c r="H67" s="417"/>
    </row>
    <row r="68" spans="1:8" ht="30">
      <c r="A68" s="303" t="s">
        <v>145</v>
      </c>
      <c r="B68" s="114"/>
      <c r="C68" s="92" t="s">
        <v>428</v>
      </c>
      <c r="D68" s="416"/>
      <c r="E68" s="417"/>
      <c r="F68" s="417"/>
      <c r="G68" s="417"/>
      <c r="H68" s="417"/>
    </row>
    <row r="69" spans="1:8" ht="15">
      <c r="A69" s="303" t="s">
        <v>148</v>
      </c>
      <c r="B69" s="114"/>
      <c r="C69" s="92" t="s">
        <v>427</v>
      </c>
      <c r="D69" s="416"/>
      <c r="E69" s="417"/>
      <c r="F69" s="417"/>
      <c r="G69" s="417"/>
      <c r="H69" s="417"/>
    </row>
    <row r="70" spans="1:8" ht="15">
      <c r="A70" s="303" t="s">
        <v>151</v>
      </c>
      <c r="B70" s="114"/>
      <c r="C70" s="92" t="s">
        <v>429</v>
      </c>
      <c r="D70" s="416"/>
      <c r="E70" s="417"/>
      <c r="F70" s="417"/>
      <c r="G70" s="417"/>
      <c r="H70" s="417"/>
    </row>
    <row r="71" spans="1:8" ht="30">
      <c r="A71" s="303" t="s">
        <v>339</v>
      </c>
      <c r="B71" s="114"/>
      <c r="C71" s="92" t="s">
        <v>340</v>
      </c>
      <c r="D71" s="416"/>
      <c r="E71" s="417"/>
      <c r="F71" s="417"/>
      <c r="G71" s="417"/>
      <c r="H71" s="417"/>
    </row>
    <row r="72" spans="1:8" ht="15">
      <c r="A72" s="302" t="s">
        <v>197</v>
      </c>
      <c r="B72" s="114"/>
      <c r="C72" s="92" t="s">
        <v>198</v>
      </c>
      <c r="D72" s="596"/>
      <c r="E72" s="597"/>
      <c r="F72" s="597"/>
      <c r="G72" s="597"/>
      <c r="H72" s="597"/>
    </row>
    <row r="73" spans="1:8" ht="15">
      <c r="A73" s="303" t="s">
        <v>129</v>
      </c>
      <c r="B73" s="114"/>
      <c r="C73" s="92" t="s">
        <v>342</v>
      </c>
      <c r="D73" s="416"/>
      <c r="E73" s="417"/>
      <c r="F73" s="417"/>
      <c r="G73" s="417"/>
      <c r="H73" s="417"/>
    </row>
    <row r="74" spans="1:8" ht="21.75" customHeight="1" thickBot="1">
      <c r="A74" s="304" t="s">
        <v>199</v>
      </c>
      <c r="B74" s="118"/>
      <c r="C74" s="119"/>
      <c r="D74" s="145">
        <f>SUM(D66:D73)</f>
        <v>30388.259999999995</v>
      </c>
      <c r="E74" s="120">
        <f>SUM(E66:E73)</f>
        <v>513786.74</v>
      </c>
      <c r="F74" s="120">
        <f>SUM(F66:F73)</f>
        <v>250000</v>
      </c>
      <c r="G74" s="120">
        <f>SUM(G66:G73)</f>
        <v>0</v>
      </c>
      <c r="H74" s="120">
        <f>SUM(H66:H73)</f>
        <v>0</v>
      </c>
    </row>
    <row r="75" spans="1:8" ht="15" thickTop="1">
      <c r="A75" s="323"/>
      <c r="B75" s="70"/>
      <c r="C75" s="71"/>
      <c r="D75" s="72">
        <v>-1</v>
      </c>
      <c r="E75" s="73">
        <v>-2</v>
      </c>
      <c r="F75" s="74">
        <v>-3</v>
      </c>
      <c r="G75" s="73">
        <v>-4</v>
      </c>
      <c r="H75" s="73">
        <v>-4</v>
      </c>
    </row>
    <row r="76" spans="1:8" ht="15">
      <c r="A76" s="321"/>
      <c r="B76" s="80"/>
      <c r="C76" s="111"/>
      <c r="D76" s="79"/>
      <c r="E76" s="82" t="s">
        <v>31</v>
      </c>
      <c r="F76" s="500" t="str">
        <f>"BUDGET YEAR ENDING "&amp;TEXT('Form 1 Cover'!D139, "MM/DD/YY")</f>
        <v>BUDGET YEAR ENDING 06/30/23</v>
      </c>
      <c r="G76" s="501"/>
      <c r="H76" s="502"/>
    </row>
    <row r="77" spans="1:8" ht="28.5" customHeight="1">
      <c r="A77" s="321"/>
      <c r="B77" s="598" t="s">
        <v>681</v>
      </c>
      <c r="C77"/>
      <c r="D77" s="81" t="s">
        <v>277</v>
      </c>
      <c r="E77" s="78" t="s">
        <v>279</v>
      </c>
      <c r="F77" s="79"/>
      <c r="G77" s="111"/>
      <c r="H77" s="78" t="s">
        <v>556</v>
      </c>
    </row>
    <row r="78" spans="1:8" ht="15" customHeight="1">
      <c r="A78" s="321"/>
      <c r="B78" s="503"/>
      <c r="C78" s="504"/>
      <c r="D78" s="81" t="s">
        <v>278</v>
      </c>
      <c r="E78" s="78" t="s">
        <v>278</v>
      </c>
      <c r="F78" s="81" t="s">
        <v>280</v>
      </c>
      <c r="G78" s="78" t="s">
        <v>109</v>
      </c>
      <c r="H78" s="78" t="s">
        <v>109</v>
      </c>
    </row>
    <row r="79" spans="1:8" ht="16">
      <c r="A79" s="322"/>
      <c r="B79" s="463"/>
      <c r="C79" s="464"/>
      <c r="D79" s="317">
        <f>D64</f>
        <v>44377</v>
      </c>
      <c r="E79" s="83">
        <f>E64</f>
        <v>44742</v>
      </c>
      <c r="F79" s="84" t="s">
        <v>281</v>
      </c>
      <c r="G79" s="152" t="s">
        <v>281</v>
      </c>
      <c r="H79" s="152" t="s">
        <v>281</v>
      </c>
    </row>
    <row r="80" spans="1:8" ht="15">
      <c r="A80" s="301" t="s">
        <v>184</v>
      </c>
      <c r="B80" s="112"/>
      <c r="C80" s="113" t="s">
        <v>343</v>
      </c>
      <c r="D80" s="320"/>
      <c r="E80" s="121"/>
      <c r="F80" s="121"/>
      <c r="G80" s="121"/>
      <c r="H80" s="121"/>
    </row>
    <row r="81" spans="1:8" ht="15">
      <c r="A81" s="302" t="s">
        <v>185</v>
      </c>
      <c r="B81" s="114"/>
      <c r="C81" s="92" t="s">
        <v>344</v>
      </c>
      <c r="D81" s="408"/>
      <c r="E81" s="411"/>
      <c r="F81" s="411"/>
      <c r="G81" s="411"/>
      <c r="H81" s="411"/>
    </row>
    <row r="82" spans="1:8" ht="15">
      <c r="A82" s="303"/>
      <c r="B82" s="114" t="s">
        <v>345</v>
      </c>
      <c r="C82" s="92" t="s">
        <v>346</v>
      </c>
      <c r="D82" s="412"/>
      <c r="E82" s="413"/>
      <c r="F82" s="413"/>
      <c r="G82" s="413"/>
      <c r="H82" s="413"/>
    </row>
    <row r="83" spans="1:8" ht="15">
      <c r="A83" s="303"/>
      <c r="B83" s="114" t="s">
        <v>347</v>
      </c>
      <c r="C83" s="92" t="s">
        <v>348</v>
      </c>
      <c r="D83" s="412"/>
      <c r="E83" s="413"/>
      <c r="F83" s="413"/>
      <c r="G83" s="413"/>
      <c r="H83" s="413"/>
    </row>
    <row r="84" spans="1:8" ht="15">
      <c r="A84" s="303" t="s">
        <v>134</v>
      </c>
      <c r="B84" s="114"/>
      <c r="C84" s="92" t="s">
        <v>349</v>
      </c>
      <c r="D84" s="412"/>
      <c r="E84" s="413"/>
      <c r="F84" s="413"/>
      <c r="G84" s="413"/>
      <c r="H84" s="413"/>
    </row>
    <row r="85" spans="1:8" ht="15">
      <c r="A85" s="303" t="s">
        <v>90</v>
      </c>
      <c r="B85" s="114"/>
      <c r="C85" s="92" t="s">
        <v>682</v>
      </c>
      <c r="D85" s="412"/>
      <c r="E85" s="413"/>
      <c r="F85" s="413"/>
      <c r="G85" s="413"/>
      <c r="H85" s="413"/>
    </row>
    <row r="86" spans="1:8" ht="15">
      <c r="A86" s="303" t="s">
        <v>186</v>
      </c>
      <c r="B86" s="114"/>
      <c r="C86" s="92" t="s">
        <v>353</v>
      </c>
      <c r="D86" s="412"/>
      <c r="E86" s="413"/>
      <c r="F86" s="413"/>
      <c r="G86" s="413"/>
      <c r="H86" s="413"/>
    </row>
    <row r="87" spans="1:8" ht="15">
      <c r="A87" s="303" t="s">
        <v>351</v>
      </c>
      <c r="B87" s="114"/>
      <c r="C87" s="92" t="s">
        <v>354</v>
      </c>
      <c r="D87" s="412"/>
      <c r="E87" s="413"/>
      <c r="F87" s="413"/>
      <c r="G87" s="413"/>
      <c r="H87" s="413"/>
    </row>
    <row r="88" spans="1:8" ht="15">
      <c r="A88" s="303" t="s">
        <v>352</v>
      </c>
      <c r="B88" s="114"/>
      <c r="C88" s="92" t="s">
        <v>355</v>
      </c>
      <c r="D88" s="412"/>
      <c r="E88" s="413"/>
      <c r="F88" s="413"/>
      <c r="G88" s="413"/>
      <c r="H88" s="413"/>
    </row>
    <row r="89" spans="1:8" ht="15">
      <c r="A89" s="305" t="s">
        <v>138</v>
      </c>
      <c r="B89" s="114"/>
      <c r="C89" s="123" t="s">
        <v>356</v>
      </c>
      <c r="D89" s="412"/>
      <c r="E89" s="413"/>
      <c r="F89" s="413"/>
      <c r="G89" s="413"/>
      <c r="H89" s="413"/>
    </row>
    <row r="90" spans="1:8" ht="15">
      <c r="A90" s="303" t="s">
        <v>357</v>
      </c>
      <c r="B90" s="114"/>
      <c r="C90" s="92" t="s">
        <v>361</v>
      </c>
      <c r="D90" s="412"/>
      <c r="E90" s="413"/>
      <c r="F90" s="413"/>
      <c r="G90" s="413"/>
      <c r="H90" s="413"/>
    </row>
    <row r="91" spans="1:8" ht="15">
      <c r="A91" s="303" t="s">
        <v>358</v>
      </c>
      <c r="B91" s="114"/>
      <c r="C91" s="92" t="s">
        <v>362</v>
      </c>
      <c r="D91" s="412"/>
      <c r="E91" s="413"/>
      <c r="F91" s="413"/>
      <c r="G91" s="413"/>
      <c r="H91" s="413"/>
    </row>
    <row r="92" spans="1:8" ht="15">
      <c r="A92" s="303" t="s">
        <v>359</v>
      </c>
      <c r="B92" s="114"/>
      <c r="C92" s="92" t="s">
        <v>519</v>
      </c>
      <c r="D92" s="412"/>
      <c r="E92" s="413"/>
      <c r="F92" s="413"/>
      <c r="G92" s="413"/>
      <c r="H92" s="413"/>
    </row>
    <row r="93" spans="1:8" ht="15">
      <c r="A93" s="303" t="s">
        <v>360</v>
      </c>
      <c r="B93" s="114"/>
      <c r="C93" s="92" t="s">
        <v>363</v>
      </c>
      <c r="D93" s="412"/>
      <c r="E93" s="413"/>
      <c r="F93" s="413"/>
      <c r="G93" s="413"/>
      <c r="H93" s="413"/>
    </row>
    <row r="94" spans="1:8" ht="15" thickBot="1">
      <c r="A94" s="306" t="s">
        <v>187</v>
      </c>
      <c r="B94" s="124"/>
      <c r="C94" s="44"/>
      <c r="D94" s="162">
        <f>SUM(D81:D93)</f>
        <v>0</v>
      </c>
      <c r="E94" s="125">
        <f>SUM(E81:E93)</f>
        <v>0</v>
      </c>
      <c r="F94" s="125">
        <f>SUM(F81:F93)</f>
        <v>0</v>
      </c>
      <c r="G94" s="125">
        <f>SUM(G81:G93)</f>
        <v>0</v>
      </c>
      <c r="H94" s="125">
        <f>SUM(H81:H93)</f>
        <v>0</v>
      </c>
    </row>
    <row r="95" spans="1:8">
      <c r="A95" s="305" t="s">
        <v>364</v>
      </c>
      <c r="B95" s="114"/>
      <c r="C95" s="42"/>
      <c r="D95" s="164"/>
      <c r="E95" s="91"/>
      <c r="F95" s="91"/>
      <c r="G95" s="91"/>
      <c r="H95" s="91"/>
    </row>
    <row r="96" spans="1:8">
      <c r="A96" s="302"/>
      <c r="B96" s="114" t="s">
        <v>188</v>
      </c>
      <c r="C96" s="42"/>
      <c r="D96" s="412"/>
      <c r="E96" s="413"/>
      <c r="F96" s="413"/>
      <c r="G96" s="413"/>
      <c r="H96" s="413"/>
    </row>
    <row r="97" spans="1:8">
      <c r="A97" s="303"/>
      <c r="B97" s="114" t="s">
        <v>189</v>
      </c>
      <c r="C97" s="42"/>
      <c r="D97" s="412">
        <v>130780.68</v>
      </c>
      <c r="E97" s="413">
        <v>630926.43000000005</v>
      </c>
      <c r="F97" s="413">
        <v>619157.44387911167</v>
      </c>
      <c r="G97" s="413"/>
      <c r="H97" s="413"/>
    </row>
    <row r="98" spans="1:8" ht="15" thickBot="1">
      <c r="A98" s="306" t="s">
        <v>190</v>
      </c>
      <c r="B98" s="124"/>
      <c r="C98" s="44"/>
      <c r="D98" s="162">
        <f>SUM(D96:D97)</f>
        <v>130780.68</v>
      </c>
      <c r="E98" s="125">
        <f>SUM(E96:E97)</f>
        <v>630926.43000000005</v>
      </c>
      <c r="F98" s="125">
        <f>SUM(F96:F97)</f>
        <v>619157.44387911167</v>
      </c>
      <c r="G98" s="125">
        <f>SUM(G96:G97)</f>
        <v>0</v>
      </c>
      <c r="H98" s="125">
        <f>SUM(H96:H97)</f>
        <v>0</v>
      </c>
    </row>
    <row r="99" spans="1:8">
      <c r="A99" s="303"/>
      <c r="B99" s="114" t="s">
        <v>191</v>
      </c>
      <c r="C99" s="42"/>
      <c r="D99" s="412"/>
      <c r="E99" s="413"/>
      <c r="F99" s="413"/>
      <c r="G99" s="413"/>
      <c r="H99" s="413"/>
    </row>
    <row r="100" spans="1:8">
      <c r="A100" s="302"/>
      <c r="B100" s="114" t="s">
        <v>192</v>
      </c>
      <c r="C100" s="42"/>
      <c r="D100" s="412"/>
      <c r="E100" s="413"/>
      <c r="F100" s="413"/>
      <c r="G100" s="413"/>
      <c r="H100" s="413"/>
    </row>
    <row r="101" spans="1:8" ht="15" thickBot="1">
      <c r="A101" s="304" t="s">
        <v>193</v>
      </c>
      <c r="B101" s="118"/>
      <c r="C101" s="97"/>
      <c r="D101" s="98">
        <f>D36+D54+D74+D94+D98</f>
        <v>4123051.9100000006</v>
      </c>
      <c r="E101" s="98">
        <f>E36+E54+E74+E94+E98</f>
        <v>5008672.5449999999</v>
      </c>
      <c r="F101" s="98">
        <f>F36+F54+F74+F94+F98</f>
        <v>5514264.2087882785</v>
      </c>
      <c r="G101" s="98">
        <f>G36+G54+G74+G94+G98</f>
        <v>0</v>
      </c>
      <c r="H101" s="98">
        <f>H36+H54+H74+H94+H98</f>
        <v>0</v>
      </c>
    </row>
    <row r="102" spans="1:8" ht="15" thickTop="1">
      <c r="A102" s="129"/>
      <c r="B102" s="127"/>
      <c r="C102" s="49"/>
      <c r="D102" s="130"/>
      <c r="E102" s="130"/>
      <c r="F102" s="130"/>
      <c r="G102" s="130"/>
      <c r="H102" s="130"/>
    </row>
    <row r="103" spans="1:8">
      <c r="A103" s="129"/>
      <c r="B103" s="127"/>
      <c r="C103" s="49"/>
      <c r="D103" s="130"/>
      <c r="E103" s="130"/>
      <c r="F103" s="130"/>
      <c r="G103" s="130"/>
      <c r="H103" s="130"/>
    </row>
    <row r="104" spans="1:8">
      <c r="A104" s="292" t="e">
        <f>'Form 1 Cover'!B20:F20</f>
        <v>#VALUE!</v>
      </c>
      <c r="B104" s="114"/>
      <c r="C104" s="34"/>
      <c r="G104" s="29" t="str">
        <f>"Budget Fiscal Year "&amp;TEXT('Form 1 Cover'!$D$137, "mm/dd/yy")</f>
        <v>Budget Fiscal Year 2022-2023</v>
      </c>
    </row>
    <row r="105" spans="1:8">
      <c r="A105" s="127"/>
      <c r="B105" s="127"/>
      <c r="C105" s="49"/>
    </row>
    <row r="106" spans="1:8">
      <c r="A106" s="127"/>
      <c r="B106" s="75"/>
      <c r="C106" s="49"/>
      <c r="D106" s="75"/>
      <c r="E106" s="49"/>
      <c r="F106" s="49"/>
      <c r="G106" s="49"/>
      <c r="H106" s="49"/>
    </row>
    <row r="107" spans="1:8">
      <c r="A107" s="94" t="s">
        <v>417</v>
      </c>
      <c r="E107" s="29" t="s">
        <v>411</v>
      </c>
      <c r="G107" s="128"/>
      <c r="H107" s="128">
        <f>'Form 1 Cover'!D146</f>
        <v>44607</v>
      </c>
    </row>
  </sheetData>
  <sheetProtection algorithmName="SHA-512" hashValue="cB2E8okC1KWAf5p9iHED0XzkEaYfkbg4LSMe+jE7dKnFU6DFxQ8yMVYrPfpJe2tThHnglfvjhhYzGFwehQ+hlg==" saltValue="hQ/ny96mrhyrWrMQL7qRYQ==" spinCount="100000" sheet="1" objects="1" scenarios="1"/>
  <phoneticPr fontId="0" type="noConversion"/>
  <pageMargins left="0.55000000000000004" right="0" top="0.75" bottom="0.75" header="0.5" footer="0"/>
  <pageSetup scale="75" fitToHeight="2" orientation="portrait" r:id="rId1"/>
  <headerFooter alignWithMargins="0"/>
  <rowBreaks count="1" manualBreakCount="1">
    <brk id="58"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view="pageBreakPreview" zoomScaleNormal="75" zoomScaleSheetLayoutView="100" workbookViewId="0"/>
  </sheetViews>
  <sheetFormatPr baseColWidth="10" defaultColWidth="9.1640625" defaultRowHeight="14"/>
  <cols>
    <col min="1" max="1" width="2.83203125" style="94" customWidth="1"/>
    <col min="2" max="2" width="3.6640625" style="94" customWidth="1"/>
    <col min="3" max="3" width="5.5" style="94" customWidth="1"/>
    <col min="4" max="4" width="32.6640625" style="29" customWidth="1"/>
    <col min="5" max="6" width="17.6640625" style="29" customWidth="1"/>
    <col min="7" max="7" width="16.6640625" style="29" customWidth="1"/>
    <col min="8" max="9" width="17.6640625" style="29" customWidth="1"/>
    <col min="10" max="16384" width="9.1640625" style="29"/>
  </cols>
  <sheetData>
    <row r="1" spans="1:9">
      <c r="A1" s="419" t="str">
        <f>'Form 1 Cover'!B20</f>
        <v>Discovery Charter School</v>
      </c>
      <c r="B1" s="70"/>
      <c r="C1" s="70"/>
      <c r="D1" s="71"/>
      <c r="E1" s="174">
        <v>-1</v>
      </c>
      <c r="F1" s="175">
        <v>-2</v>
      </c>
      <c r="G1" s="282">
        <v>-3</v>
      </c>
      <c r="H1" s="175">
        <v>-4</v>
      </c>
      <c r="I1" s="175">
        <v>-5</v>
      </c>
    </row>
    <row r="2" spans="1:9">
      <c r="A2" s="324"/>
      <c r="B2" s="75" t="s">
        <v>454</v>
      </c>
      <c r="C2" s="75"/>
      <c r="D2" s="38"/>
      <c r="E2" s="176"/>
      <c r="F2" s="325" t="s">
        <v>31</v>
      </c>
      <c r="G2" s="505" t="str">
        <f>"BUDGET YEAR ENDING "&amp;TEXT('Form 1 Cover'!D139, "MM/DD/YY")</f>
        <v>BUDGET YEAR ENDING 06/30/23</v>
      </c>
      <c r="H2" s="26"/>
      <c r="I2" s="506"/>
    </row>
    <row r="3" spans="1:9" ht="15">
      <c r="A3" s="324"/>
      <c r="B3" s="75"/>
      <c r="C3" s="75"/>
      <c r="D3" s="38"/>
      <c r="E3" s="177" t="s">
        <v>277</v>
      </c>
      <c r="F3" s="177" t="s">
        <v>279</v>
      </c>
      <c r="G3" s="178"/>
      <c r="H3" s="326"/>
      <c r="I3" s="177" t="s">
        <v>556</v>
      </c>
    </row>
    <row r="4" spans="1:9" ht="12.75" customHeight="1">
      <c r="A4" s="324"/>
      <c r="B4" s="135" t="s">
        <v>77</v>
      </c>
      <c r="C4" s="49"/>
      <c r="D4" s="38"/>
      <c r="E4" s="177" t="s">
        <v>278</v>
      </c>
      <c r="F4" s="177" t="s">
        <v>278</v>
      </c>
      <c r="G4" s="179" t="s">
        <v>280</v>
      </c>
      <c r="H4" s="177" t="s">
        <v>109</v>
      </c>
      <c r="I4" s="177" t="s">
        <v>109</v>
      </c>
    </row>
    <row r="5" spans="1:9" s="80" customFormat="1" ht="15.75" customHeight="1">
      <c r="A5" s="322"/>
      <c r="B5" s="507"/>
      <c r="C5" s="507"/>
      <c r="D5" s="508"/>
      <c r="E5" s="4">
        <f>'Form 1 Cover'!D130</f>
        <v>44377</v>
      </c>
      <c r="F5" s="4">
        <f>'Form 1 Cover'!D134</f>
        <v>44742</v>
      </c>
      <c r="G5" s="180" t="s">
        <v>281</v>
      </c>
      <c r="H5" s="327" t="s">
        <v>281</v>
      </c>
      <c r="I5" s="327" t="s">
        <v>281</v>
      </c>
    </row>
    <row r="6" spans="1:9" ht="18.75" customHeight="1">
      <c r="A6" s="296" t="s">
        <v>79</v>
      </c>
      <c r="B6" s="85"/>
      <c r="C6" s="86" t="s">
        <v>181</v>
      </c>
      <c r="D6" s="136"/>
      <c r="E6" s="102"/>
      <c r="F6" s="102"/>
      <c r="G6" s="102"/>
      <c r="H6" s="102"/>
      <c r="I6" s="102"/>
    </row>
    <row r="7" spans="1:9">
      <c r="A7" s="298"/>
      <c r="B7" s="89" t="s">
        <v>175</v>
      </c>
      <c r="C7" s="89"/>
      <c r="D7" s="42" t="s">
        <v>176</v>
      </c>
      <c r="E7" s="46"/>
      <c r="F7" s="46"/>
      <c r="G7" s="46"/>
      <c r="H7" s="46"/>
      <c r="I7" s="46"/>
    </row>
    <row r="8" spans="1:9">
      <c r="A8" s="298"/>
      <c r="B8" s="89"/>
      <c r="C8" s="89" t="s">
        <v>79</v>
      </c>
      <c r="D8" s="42" t="s">
        <v>80</v>
      </c>
      <c r="E8" s="417">
        <f>SUM('[1]DCS Detail'!$E$53:$P$54)</f>
        <v>1084410.29</v>
      </c>
      <c r="F8" s="417">
        <f>SUM('[1]DCS Detail'!$Q$53:$AB$54)</f>
        <v>1214346.0366666671</v>
      </c>
      <c r="G8" s="417">
        <f>SUM('[1]DCS Detail'!$AC$53:$AN$54)</f>
        <v>1234092.7600000012</v>
      </c>
      <c r="H8" s="417"/>
      <c r="I8" s="417"/>
    </row>
    <row r="9" spans="1:9">
      <c r="A9" s="298"/>
      <c r="B9" s="89"/>
      <c r="C9" s="89" t="s">
        <v>81</v>
      </c>
      <c r="D9" s="42" t="s">
        <v>82</v>
      </c>
      <c r="E9" s="417">
        <f>SUM('[1]DCS Detail'!$E$55:$P$63)</f>
        <v>344577.25</v>
      </c>
      <c r="F9" s="417">
        <f>SUM('[1]DCS Detail'!$Q$55:$AB$63)</f>
        <v>379909.95261100144</v>
      </c>
      <c r="G9" s="417">
        <f>SUM('[1]DCS Detail'!$AC$55:$AN$63)</f>
        <v>409512.3533496788</v>
      </c>
      <c r="H9" s="417"/>
      <c r="I9" s="417"/>
    </row>
    <row r="10" spans="1:9">
      <c r="A10" s="298"/>
      <c r="B10" s="89"/>
      <c r="C10" s="89" t="s">
        <v>131</v>
      </c>
      <c r="D10" s="42"/>
      <c r="E10" s="417">
        <f>SUM('[1]DCS Detail'!$E$64:$P$64)</f>
        <v>3249.2</v>
      </c>
      <c r="F10" s="417">
        <f>SUM('[1]DCS Detail'!$Q$64:$AB$64)</f>
        <v>5690.0507999999991</v>
      </c>
      <c r="G10" s="417">
        <f>SUM('[1]DCS Detail'!$AC$64:$AN$64)</f>
        <v>5860.752324</v>
      </c>
      <c r="H10" s="417"/>
      <c r="I10" s="417"/>
    </row>
    <row r="11" spans="1:9">
      <c r="A11" s="298"/>
      <c r="B11" s="89"/>
      <c r="C11" s="89" t="s">
        <v>83</v>
      </c>
      <c r="D11" s="42" t="s">
        <v>84</v>
      </c>
      <c r="E11" s="417">
        <f>SUM('[1]DCS Detail'!$E$65:$P$68)</f>
        <v>79310.01999999999</v>
      </c>
      <c r="F11" s="417">
        <f>SUM('[1]DCS Detail'!$Q$65:$AB$68)</f>
        <v>173249.57000000004</v>
      </c>
      <c r="G11" s="417">
        <f>SUM('[1]DCS Detail'!$AC$65:$AN$68)</f>
        <v>118526.99250000001</v>
      </c>
      <c r="H11" s="417"/>
      <c r="I11" s="417"/>
    </row>
    <row r="12" spans="1:9">
      <c r="A12" s="298"/>
      <c r="B12" s="89"/>
      <c r="C12" s="89" t="s">
        <v>87</v>
      </c>
      <c r="D12" s="42" t="s">
        <v>132</v>
      </c>
      <c r="E12" s="417">
        <f>SUM('[1]DCS Detail'!$E$69:$P$69)</f>
        <v>41513.870000000003</v>
      </c>
      <c r="F12" s="417">
        <f>SUM('[1]DCS Detail'!$Q$69:$AB$69)</f>
        <v>13696.959700000001</v>
      </c>
      <c r="G12" s="417">
        <f>SUM('[1]DCS Detail'!$AC$69:$AN$69)</f>
        <v>51656.592091000006</v>
      </c>
      <c r="H12" s="417"/>
      <c r="I12" s="417"/>
    </row>
    <row r="13" spans="1:9">
      <c r="A13" s="298"/>
      <c r="B13" s="89"/>
      <c r="C13" s="89" t="s">
        <v>85</v>
      </c>
      <c r="D13" s="42" t="s">
        <v>86</v>
      </c>
      <c r="E13" s="417"/>
      <c r="F13" s="417"/>
      <c r="G13" s="417"/>
      <c r="H13" s="417"/>
      <c r="I13" s="417"/>
    </row>
    <row r="14" spans="1:9">
      <c r="A14" s="298"/>
      <c r="B14" s="89" t="s">
        <v>380</v>
      </c>
      <c r="C14" s="89"/>
      <c r="D14" s="42"/>
      <c r="E14" s="117"/>
      <c r="F14" s="117"/>
      <c r="G14" s="117"/>
      <c r="H14" s="117"/>
      <c r="I14" s="117"/>
    </row>
    <row r="15" spans="1:9">
      <c r="A15" s="298"/>
      <c r="B15" s="89"/>
      <c r="C15" s="89" t="s">
        <v>79</v>
      </c>
      <c r="D15" s="42" t="s">
        <v>80</v>
      </c>
      <c r="E15" s="417">
        <f>[1]Activity!$H$24-E8</f>
        <v>453693.47</v>
      </c>
      <c r="F15" s="417">
        <f>[1]Activity!$J$24-F8</f>
        <v>665334.66666666605</v>
      </c>
      <c r="G15" s="417">
        <f>[1]Activity!$L$24-G8</f>
        <v>687535.57666666573</v>
      </c>
      <c r="H15" s="417"/>
      <c r="I15" s="417"/>
    </row>
    <row r="16" spans="1:9">
      <c r="A16" s="298"/>
      <c r="B16" s="89"/>
      <c r="C16" s="89" t="s">
        <v>81</v>
      </c>
      <c r="D16" s="42" t="s">
        <v>82</v>
      </c>
      <c r="E16" s="417">
        <f>[1]Activity!$H$25-E9</f>
        <v>114501.42999999993</v>
      </c>
      <c r="F16" s="417">
        <f>[1]Activity!$J$25-F9</f>
        <v>118546.84054793883</v>
      </c>
      <c r="G16" s="417">
        <f>[1]Activity!$L$25-G9</f>
        <v>129321.35743046459</v>
      </c>
      <c r="H16" s="417"/>
      <c r="I16" s="417"/>
    </row>
    <row r="17" spans="1:9">
      <c r="A17" s="298"/>
      <c r="B17" s="89"/>
      <c r="C17" s="89" t="s">
        <v>131</v>
      </c>
      <c r="D17" s="42"/>
      <c r="E17" s="417">
        <f>SUM('[1]DCS Detail'!$E$72:$P$73,'[1]DCS Detail'!$E$89:$P$90,'[1]DCS Detail'!$E$100:$P$104,'[1]DCS Detail'!$E$117:$P$118,'[1]DCS Detail'!$E$121:$P$128,'[1]DCS Detail'!$E$150:$P$150)-SUM('[1]DCS Detail'!$E$125:$P$125)</f>
        <v>477820.47999999992</v>
      </c>
      <c r="F17" s="417">
        <f>SUM('[1]DCS Detail'!$Q$72:$AB$73,'[1]DCS Detail'!$Q$89:$AB$90,'[1]DCS Detail'!$Q$100:$AB$104,'[1]DCS Detail'!$Q$117:$AB$118,'[1]DCS Detail'!$Q$121:$AB$128,'[1]DCS Detail'!$Q$150:$AB$150)-SUM('[1]DCS Detail'!$Q$125:$AB$125)</f>
        <v>669642.87846666668</v>
      </c>
      <c r="G17" s="417">
        <f>SUM('[1]DCS Detail'!$AC$72:$AN$73,'[1]DCS Detail'!$AC$89:$AN$90,'[1]DCS Detail'!$AC$100:$AN$104,'[1]DCS Detail'!$AC$117:$AN$118,'[1]DCS Detail'!$AC$121:$AN$128,'[1]DCS Detail'!$AC$150:$AN$150)-SUM('[1]DCS Detail'!$AC$125:$AN$125)</f>
        <v>584872.43835400045</v>
      </c>
      <c r="H17" s="417"/>
      <c r="I17" s="417"/>
    </row>
    <row r="18" spans="1:9">
      <c r="A18" s="298"/>
      <c r="B18" s="89"/>
      <c r="C18" s="89" t="s">
        <v>83</v>
      </c>
      <c r="D18" s="42" t="s">
        <v>84</v>
      </c>
      <c r="E18" s="417">
        <f>SUM('[1]DCS Detail'!$E$74:$P$76,'[1]DCS Detail'!$E$94:$P$94,'[1]DCS Detail'!$E$105:$P$105,'[1]DCS Detail'!$E$129:$P$133)</f>
        <v>97132.200000000012</v>
      </c>
      <c r="F18" s="417">
        <f>SUM('[1]DCS Detail'!$Q$74:$AB$76,'[1]DCS Detail'!$Q$94:$AB$94,'[1]DCS Detail'!$Q$105:$AB$105,'[1]DCS Detail'!$Q$129:$AB$133)</f>
        <v>113908.81390000002</v>
      </c>
      <c r="G18" s="417">
        <f>SUM('[1]DCS Detail'!$AC$74:$AN$76,'[1]DCS Detail'!$AC$94:$AN$94,'[1]DCS Detail'!$AC$105:$AN$105,'[1]DCS Detail'!$AC$129:$AN$133)</f>
        <v>117326.07831699998</v>
      </c>
      <c r="H18" s="417"/>
      <c r="I18" s="417"/>
    </row>
    <row r="19" spans="1:9">
      <c r="A19" s="298"/>
      <c r="B19" s="89"/>
      <c r="C19" s="89" t="s">
        <v>87</v>
      </c>
      <c r="D19" s="42" t="s">
        <v>132</v>
      </c>
      <c r="E19" s="417">
        <f>SUM('[1]DCS Detail'!$E$134:$P$134)+SUM('[1]DCS Detail'!$E$163:$P$163)+SUM('[1]DCS Detail'!$E$125:$P$125)</f>
        <v>668422.3899999999</v>
      </c>
      <c r="F19" s="417">
        <f>SUM('[1]DCS Detail'!$Q$134:$AB$134)+SUM('[1]DCS Detail'!$Q$163:$AB$163)+SUM('[1]DCS Detail'!$Q$125:$AB$125)</f>
        <v>1214007.5</v>
      </c>
      <c r="G19" s="417">
        <f>SUM('[1]DCS Detail'!$AC$134:$AN$134)+SUM('[1]DCS Detail'!$AC$163:$AN$163)+SUM('[1]DCS Detail'!$AC$125:$AN$125)</f>
        <v>1193014.6066666669</v>
      </c>
      <c r="H19" s="417"/>
      <c r="I19" s="417"/>
    </row>
    <row r="20" spans="1:9">
      <c r="A20" s="298"/>
      <c r="B20" s="89"/>
      <c r="C20" s="89" t="s">
        <v>85</v>
      </c>
      <c r="D20" s="42" t="s">
        <v>86</v>
      </c>
      <c r="E20" s="417">
        <f>[1]Activity!$H$39-SUM(E15:E19,E8:E13)</f>
        <v>62942.689999999944</v>
      </c>
      <c r="F20" s="417">
        <f>[1]Activity!$J$39-SUM(F15:F19,F8:F13)</f>
        <v>31187.706199998967</v>
      </c>
      <c r="G20" s="417">
        <f>[1]Activity!$L$39-SUM(G15:G19,G8:G13)</f>
        <v>30642.02228599973</v>
      </c>
      <c r="H20" s="417"/>
      <c r="I20" s="417"/>
    </row>
    <row r="21" spans="1:9">
      <c r="A21" s="298"/>
      <c r="B21" s="89" t="s">
        <v>381</v>
      </c>
      <c r="C21" s="89"/>
      <c r="D21" s="42"/>
      <c r="E21" s="117"/>
      <c r="F21" s="117"/>
      <c r="G21" s="117"/>
      <c r="H21" s="117"/>
      <c r="I21" s="117"/>
    </row>
    <row r="22" spans="1:9">
      <c r="A22" s="298"/>
      <c r="B22" s="89"/>
      <c r="C22" s="89" t="s">
        <v>79</v>
      </c>
      <c r="D22" s="42" t="s">
        <v>80</v>
      </c>
      <c r="E22" s="417"/>
      <c r="F22" s="417"/>
      <c r="G22" s="417"/>
      <c r="H22" s="417"/>
      <c r="I22" s="417"/>
    </row>
    <row r="23" spans="1:9">
      <c r="A23" s="298"/>
      <c r="B23" s="89"/>
      <c r="C23" s="89" t="s">
        <v>81</v>
      </c>
      <c r="D23" s="42" t="s">
        <v>82</v>
      </c>
      <c r="E23" s="417"/>
      <c r="F23" s="417"/>
      <c r="G23" s="417"/>
      <c r="H23" s="417"/>
      <c r="I23" s="417"/>
    </row>
    <row r="24" spans="1:9">
      <c r="A24" s="298"/>
      <c r="B24" s="89"/>
      <c r="C24" s="89" t="s">
        <v>131</v>
      </c>
      <c r="D24" s="42"/>
      <c r="E24" s="417"/>
      <c r="F24" s="417"/>
      <c r="G24" s="417"/>
      <c r="H24" s="417"/>
      <c r="I24" s="417"/>
    </row>
    <row r="25" spans="1:9">
      <c r="A25" s="298"/>
      <c r="B25" s="89"/>
      <c r="C25" s="89" t="s">
        <v>83</v>
      </c>
      <c r="D25" s="42" t="s">
        <v>84</v>
      </c>
      <c r="E25" s="417"/>
      <c r="F25" s="417"/>
      <c r="G25" s="417"/>
      <c r="H25" s="417"/>
      <c r="I25" s="417"/>
    </row>
    <row r="26" spans="1:9">
      <c r="A26" s="298"/>
      <c r="B26" s="89"/>
      <c r="C26" s="89" t="s">
        <v>87</v>
      </c>
      <c r="D26" s="42" t="s">
        <v>132</v>
      </c>
      <c r="E26" s="417"/>
      <c r="F26" s="417"/>
      <c r="G26" s="417"/>
      <c r="H26" s="417"/>
      <c r="I26" s="417"/>
    </row>
    <row r="27" spans="1:9">
      <c r="A27" s="298"/>
      <c r="B27" s="89"/>
      <c r="C27" s="89" t="s">
        <v>85</v>
      </c>
      <c r="D27" s="42" t="s">
        <v>86</v>
      </c>
      <c r="E27" s="417"/>
      <c r="F27" s="417"/>
      <c r="G27" s="417"/>
      <c r="H27" s="417"/>
      <c r="I27" s="417"/>
    </row>
    <row r="28" spans="1:9" ht="18.75" customHeight="1" thickBot="1">
      <c r="A28" s="309" t="s">
        <v>182</v>
      </c>
      <c r="B28" s="108"/>
      <c r="C28" s="108"/>
      <c r="D28" s="48"/>
      <c r="E28" s="137">
        <f>SUM(E8:E27)</f>
        <v>3427573.2900000005</v>
      </c>
      <c r="F28" s="137">
        <f>SUM(F8:F27)</f>
        <v>4599520.9755589394</v>
      </c>
      <c r="G28" s="137">
        <f>SUM(G8:G27)</f>
        <v>4562361.5299854772</v>
      </c>
      <c r="H28" s="137">
        <f>SUM(H8:H27)</f>
        <v>0</v>
      </c>
      <c r="I28" s="137">
        <f>SUM(I8:I27)</f>
        <v>0</v>
      </c>
    </row>
    <row r="29" spans="1:9" ht="18.75" customHeight="1" thickTop="1">
      <c r="A29" s="300" t="s">
        <v>365</v>
      </c>
      <c r="B29" s="99"/>
      <c r="C29" s="138" t="s">
        <v>366</v>
      </c>
      <c r="D29" s="139"/>
      <c r="E29" s="140"/>
      <c r="F29" s="140"/>
      <c r="G29" s="140"/>
      <c r="H29" s="140"/>
      <c r="I29" s="140"/>
    </row>
    <row r="30" spans="1:9">
      <c r="A30" s="298"/>
      <c r="B30" s="89" t="s">
        <v>175</v>
      </c>
      <c r="C30" s="89"/>
      <c r="D30" s="42" t="s">
        <v>176</v>
      </c>
      <c r="E30" s="142"/>
      <c r="F30" s="117"/>
      <c r="G30" s="117"/>
      <c r="H30" s="117"/>
      <c r="I30" s="117"/>
    </row>
    <row r="31" spans="1:9">
      <c r="A31" s="298"/>
      <c r="B31" s="89"/>
      <c r="C31" s="89" t="s">
        <v>79</v>
      </c>
      <c r="D31" s="42" t="s">
        <v>80</v>
      </c>
      <c r="E31" s="417"/>
      <c r="F31" s="417"/>
      <c r="G31" s="417"/>
      <c r="H31" s="417"/>
      <c r="I31" s="417"/>
    </row>
    <row r="32" spans="1:9">
      <c r="A32" s="298"/>
      <c r="B32" s="89"/>
      <c r="C32" s="89" t="s">
        <v>81</v>
      </c>
      <c r="D32" s="42" t="s">
        <v>82</v>
      </c>
      <c r="E32" s="414"/>
      <c r="F32" s="415"/>
      <c r="G32" s="415"/>
      <c r="H32" s="415"/>
      <c r="I32" s="415"/>
    </row>
    <row r="33" spans="1:12">
      <c r="A33" s="298"/>
      <c r="B33" s="89"/>
      <c r="C33" s="89" t="s">
        <v>131</v>
      </c>
      <c r="D33" s="42"/>
      <c r="E33" s="417"/>
      <c r="F33" s="417"/>
      <c r="G33" s="417"/>
      <c r="H33" s="417"/>
      <c r="I33" s="417"/>
    </row>
    <row r="34" spans="1:12">
      <c r="A34" s="298"/>
      <c r="B34" s="89"/>
      <c r="C34" s="89" t="s">
        <v>83</v>
      </c>
      <c r="D34" s="42" t="s">
        <v>84</v>
      </c>
      <c r="E34" s="417"/>
      <c r="F34" s="417"/>
      <c r="G34" s="417"/>
      <c r="H34" s="417"/>
      <c r="I34" s="417"/>
    </row>
    <row r="35" spans="1:12">
      <c r="A35" s="298"/>
      <c r="B35" s="89"/>
      <c r="C35" s="89" t="s">
        <v>87</v>
      </c>
      <c r="D35" s="42" t="s">
        <v>132</v>
      </c>
      <c r="E35" s="417"/>
      <c r="F35" s="417"/>
      <c r="G35" s="417"/>
      <c r="H35" s="417"/>
      <c r="I35" s="417"/>
    </row>
    <row r="36" spans="1:12">
      <c r="A36" s="298"/>
      <c r="B36" s="89"/>
      <c r="C36" s="89" t="s">
        <v>85</v>
      </c>
      <c r="D36" s="42" t="s">
        <v>86</v>
      </c>
      <c r="E36" s="414"/>
      <c r="F36" s="415"/>
      <c r="G36" s="415"/>
      <c r="H36" s="415"/>
      <c r="I36" s="415"/>
    </row>
    <row r="37" spans="1:12">
      <c r="A37" s="298"/>
      <c r="B37" s="89" t="s">
        <v>380</v>
      </c>
      <c r="C37" s="89"/>
      <c r="D37" s="42"/>
      <c r="E37" s="115"/>
      <c r="F37" s="116"/>
      <c r="G37" s="116"/>
      <c r="H37" s="116"/>
      <c r="I37" s="116"/>
    </row>
    <row r="38" spans="1:12">
      <c r="A38" s="298"/>
      <c r="B38" s="89"/>
      <c r="C38" s="89" t="s">
        <v>79</v>
      </c>
      <c r="D38" s="42" t="s">
        <v>80</v>
      </c>
      <c r="E38" s="417"/>
      <c r="F38" s="417"/>
      <c r="G38" s="417"/>
      <c r="H38" s="417"/>
      <c r="I38" s="417"/>
    </row>
    <row r="39" spans="1:12">
      <c r="A39" s="298"/>
      <c r="B39" s="89"/>
      <c r="C39" s="89" t="s">
        <v>81</v>
      </c>
      <c r="D39" s="42" t="s">
        <v>82</v>
      </c>
      <c r="E39" s="417"/>
      <c r="F39" s="417"/>
      <c r="G39" s="417"/>
      <c r="H39" s="417"/>
      <c r="I39" s="417"/>
    </row>
    <row r="40" spans="1:12">
      <c r="A40" s="298"/>
      <c r="B40" s="89"/>
      <c r="C40" s="89" t="s">
        <v>131</v>
      </c>
      <c r="D40" s="42"/>
      <c r="E40" s="417"/>
      <c r="F40" s="417"/>
      <c r="G40" s="417"/>
      <c r="H40" s="417"/>
      <c r="I40" s="417"/>
    </row>
    <row r="41" spans="1:12">
      <c r="A41" s="298"/>
      <c r="B41" s="89"/>
      <c r="C41" s="89" t="s">
        <v>83</v>
      </c>
      <c r="D41" s="42" t="s">
        <v>84</v>
      </c>
      <c r="E41" s="417"/>
      <c r="F41" s="417"/>
      <c r="G41" s="417"/>
      <c r="H41" s="417"/>
      <c r="I41" s="417"/>
    </row>
    <row r="42" spans="1:12">
      <c r="A42" s="298"/>
      <c r="B42" s="89"/>
      <c r="C42" s="89" t="s">
        <v>87</v>
      </c>
      <c r="D42" s="42" t="s">
        <v>132</v>
      </c>
      <c r="E42" s="417"/>
      <c r="F42" s="417"/>
      <c r="G42" s="417"/>
      <c r="H42" s="417"/>
      <c r="I42" s="417"/>
    </row>
    <row r="43" spans="1:12">
      <c r="A43" s="298"/>
      <c r="B43" s="89"/>
      <c r="C43" s="89" t="s">
        <v>85</v>
      </c>
      <c r="D43" s="42" t="s">
        <v>86</v>
      </c>
      <c r="E43" s="417"/>
      <c r="F43" s="417"/>
      <c r="G43" s="417"/>
      <c r="H43" s="417"/>
      <c r="I43" s="417"/>
    </row>
    <row r="44" spans="1:12">
      <c r="A44" s="298"/>
      <c r="B44" s="89" t="s">
        <v>381</v>
      </c>
      <c r="C44" s="89"/>
      <c r="D44" s="42"/>
      <c r="E44" s="117"/>
      <c r="F44" s="117"/>
      <c r="G44" s="117"/>
      <c r="H44" s="117"/>
      <c r="I44" s="117"/>
      <c r="L44" s="107"/>
    </row>
    <row r="45" spans="1:12">
      <c r="A45" s="298"/>
      <c r="B45" s="89"/>
      <c r="C45" s="89" t="s">
        <v>79</v>
      </c>
      <c r="D45" s="42" t="s">
        <v>80</v>
      </c>
      <c r="E45" s="417"/>
      <c r="F45" s="417"/>
      <c r="G45" s="417"/>
      <c r="H45" s="417"/>
      <c r="I45" s="417"/>
    </row>
    <row r="46" spans="1:12" ht="13.5" customHeight="1">
      <c r="A46" s="298"/>
      <c r="B46" s="89"/>
      <c r="C46" s="89" t="s">
        <v>81</v>
      </c>
      <c r="D46" s="42" t="s">
        <v>82</v>
      </c>
      <c r="E46" s="416"/>
      <c r="F46" s="417"/>
      <c r="G46" s="417"/>
      <c r="H46" s="417"/>
      <c r="I46" s="417"/>
    </row>
    <row r="47" spans="1:12">
      <c r="A47" s="298"/>
      <c r="B47" s="89"/>
      <c r="C47" s="89" t="s">
        <v>131</v>
      </c>
      <c r="D47" s="42"/>
      <c r="E47" s="414"/>
      <c r="F47" s="415"/>
      <c r="G47" s="415"/>
      <c r="H47" s="415"/>
      <c r="I47" s="415"/>
    </row>
    <row r="48" spans="1:12">
      <c r="A48" s="298"/>
      <c r="B48" s="89"/>
      <c r="C48" s="89" t="s">
        <v>83</v>
      </c>
      <c r="D48" s="42" t="s">
        <v>84</v>
      </c>
      <c r="E48" s="416"/>
      <c r="F48" s="417"/>
      <c r="G48" s="417"/>
      <c r="H48" s="417"/>
      <c r="I48" s="417"/>
    </row>
    <row r="49" spans="1:9">
      <c r="A49" s="298"/>
      <c r="B49" s="89"/>
      <c r="C49" s="89" t="s">
        <v>87</v>
      </c>
      <c r="D49" s="42" t="s">
        <v>132</v>
      </c>
      <c r="E49" s="416"/>
      <c r="F49" s="417"/>
      <c r="G49" s="417"/>
      <c r="H49" s="417"/>
      <c r="I49" s="417"/>
    </row>
    <row r="50" spans="1:9" ht="15" customHeight="1">
      <c r="A50" s="298"/>
      <c r="B50" s="89"/>
      <c r="C50" s="89" t="s">
        <v>85</v>
      </c>
      <c r="D50" s="42" t="s">
        <v>86</v>
      </c>
      <c r="E50" s="416"/>
      <c r="F50" s="417"/>
      <c r="G50" s="417"/>
      <c r="H50" s="417"/>
      <c r="I50" s="417"/>
    </row>
    <row r="51" spans="1:9" ht="21" customHeight="1" thickBot="1">
      <c r="A51" s="309" t="s">
        <v>367</v>
      </c>
      <c r="B51" s="108"/>
      <c r="C51" s="108"/>
      <c r="D51" s="48"/>
      <c r="E51" s="143">
        <f>SUM(E31:E50)</f>
        <v>0</v>
      </c>
      <c r="F51" s="143">
        <f>SUM(F31:F50)</f>
        <v>0</v>
      </c>
      <c r="G51" s="143">
        <f>SUM(G31:G50)</f>
        <v>0</v>
      </c>
      <c r="H51" s="143">
        <f>SUM(H31:H50)</f>
        <v>0</v>
      </c>
      <c r="I51" s="143">
        <f>SUM(I31:I50)</f>
        <v>0</v>
      </c>
    </row>
    <row r="52" spans="1:9" ht="21" customHeight="1" thickTop="1">
      <c r="A52" s="132"/>
      <c r="B52" s="133"/>
      <c r="C52" s="133"/>
      <c r="D52" s="291"/>
      <c r="E52" s="334"/>
      <c r="F52" s="334"/>
      <c r="G52" s="334"/>
      <c r="H52" s="334"/>
      <c r="I52" s="334"/>
    </row>
    <row r="53" spans="1:9">
      <c r="A53" s="308"/>
      <c r="B53" s="336" t="str">
        <f>'Form 1 Cover'!B20</f>
        <v>Discovery Charter School</v>
      </c>
      <c r="C53" s="70"/>
      <c r="D53" s="71"/>
      <c r="E53" s="174">
        <v>-1</v>
      </c>
      <c r="F53" s="175">
        <v>-2</v>
      </c>
      <c r="G53" s="282">
        <v>-3</v>
      </c>
      <c r="H53" s="175">
        <v>-4</v>
      </c>
      <c r="I53" s="175">
        <v>-5</v>
      </c>
    </row>
    <row r="54" spans="1:9">
      <c r="A54" s="324"/>
      <c r="B54" s="75"/>
      <c r="C54" s="75"/>
      <c r="D54" s="38"/>
      <c r="E54" s="181"/>
      <c r="F54" s="23" t="s">
        <v>31</v>
      </c>
      <c r="G54" s="505" t="str">
        <f>"BUDGET YEAR ENDING "&amp;TEXT('Form 1 Cover'!D139, "MM/DD/YY")</f>
        <v>BUDGET YEAR ENDING 06/30/23</v>
      </c>
      <c r="H54" s="26"/>
      <c r="I54" s="506"/>
    </row>
    <row r="55" spans="1:9" ht="15">
      <c r="A55" s="324"/>
      <c r="B55" s="75"/>
      <c r="C55" s="75"/>
      <c r="D55" s="38"/>
      <c r="E55" s="177" t="s">
        <v>277</v>
      </c>
      <c r="F55" s="177" t="s">
        <v>279</v>
      </c>
      <c r="G55" s="178"/>
      <c r="H55" s="326"/>
      <c r="I55" s="177" t="s">
        <v>556</v>
      </c>
    </row>
    <row r="56" spans="1:9" ht="16">
      <c r="A56" s="324"/>
      <c r="B56" s="135" t="s">
        <v>77</v>
      </c>
      <c r="C56" s="49"/>
      <c r="D56" s="38"/>
      <c r="E56" s="177" t="s">
        <v>278</v>
      </c>
      <c r="F56" s="177" t="s">
        <v>278</v>
      </c>
      <c r="G56" s="179" t="s">
        <v>280</v>
      </c>
      <c r="H56" s="177" t="s">
        <v>109</v>
      </c>
      <c r="I56" s="177" t="s">
        <v>109</v>
      </c>
    </row>
    <row r="57" spans="1:9" ht="16">
      <c r="A57" s="322"/>
      <c r="B57" s="507"/>
      <c r="C57" s="507"/>
      <c r="D57" s="508"/>
      <c r="E57" s="4">
        <f>'Form 1 Cover'!D130</f>
        <v>44377</v>
      </c>
      <c r="F57" s="4">
        <f>'Form 1 Cover'!D134</f>
        <v>44742</v>
      </c>
      <c r="G57" s="180" t="s">
        <v>281</v>
      </c>
      <c r="H57" s="327" t="s">
        <v>281</v>
      </c>
      <c r="I57" s="327" t="s">
        <v>281</v>
      </c>
    </row>
    <row r="58" spans="1:9">
      <c r="A58" s="296" t="s">
        <v>81</v>
      </c>
      <c r="B58" s="85"/>
      <c r="C58" s="86" t="s">
        <v>183</v>
      </c>
      <c r="D58" s="136"/>
      <c r="E58" s="102"/>
      <c r="F58" s="102"/>
      <c r="G58" s="102"/>
      <c r="H58" s="102"/>
      <c r="I58" s="102"/>
    </row>
    <row r="59" spans="1:9">
      <c r="A59" s="298"/>
      <c r="B59" s="89" t="s">
        <v>175</v>
      </c>
      <c r="C59" s="89"/>
      <c r="D59" s="42" t="s">
        <v>176</v>
      </c>
      <c r="E59" s="117"/>
      <c r="F59" s="117"/>
      <c r="G59" s="117"/>
      <c r="H59" s="117"/>
      <c r="I59" s="117"/>
    </row>
    <row r="60" spans="1:9">
      <c r="A60" s="298"/>
      <c r="B60" s="89"/>
      <c r="C60" s="89" t="s">
        <v>79</v>
      </c>
      <c r="D60" s="42" t="s">
        <v>80</v>
      </c>
      <c r="E60" s="417"/>
      <c r="F60" s="417"/>
      <c r="G60" s="417"/>
      <c r="H60" s="417"/>
      <c r="I60" s="417"/>
    </row>
    <row r="61" spans="1:9">
      <c r="A61" s="298"/>
      <c r="B61" s="89"/>
      <c r="C61" s="89" t="s">
        <v>81</v>
      </c>
      <c r="D61" s="42" t="s">
        <v>82</v>
      </c>
      <c r="E61" s="417"/>
      <c r="F61" s="417"/>
      <c r="G61" s="417"/>
      <c r="H61" s="417"/>
      <c r="I61" s="417"/>
    </row>
    <row r="62" spans="1:9">
      <c r="A62" s="298"/>
      <c r="B62" s="89"/>
      <c r="C62" s="89" t="s">
        <v>131</v>
      </c>
      <c r="D62" s="42"/>
      <c r="E62" s="417"/>
      <c r="F62" s="417"/>
      <c r="G62" s="417"/>
      <c r="H62" s="417"/>
      <c r="I62" s="417"/>
    </row>
    <row r="63" spans="1:9">
      <c r="A63" s="298"/>
      <c r="B63" s="89"/>
      <c r="C63" s="89" t="s">
        <v>83</v>
      </c>
      <c r="D63" s="42" t="s">
        <v>84</v>
      </c>
      <c r="E63" s="417"/>
      <c r="F63" s="417"/>
      <c r="G63" s="417"/>
      <c r="H63" s="417"/>
      <c r="I63" s="417"/>
    </row>
    <row r="64" spans="1:9">
      <c r="A64" s="298"/>
      <c r="B64" s="89"/>
      <c r="C64" s="89" t="s">
        <v>87</v>
      </c>
      <c r="D64" s="42" t="s">
        <v>132</v>
      </c>
      <c r="E64" s="417"/>
      <c r="F64" s="417"/>
      <c r="G64" s="417"/>
      <c r="H64" s="417"/>
      <c r="I64" s="417"/>
    </row>
    <row r="65" spans="1:9">
      <c r="A65" s="298"/>
      <c r="B65" s="89"/>
      <c r="C65" s="89" t="s">
        <v>85</v>
      </c>
      <c r="D65" s="42" t="s">
        <v>86</v>
      </c>
      <c r="E65" s="417"/>
      <c r="F65" s="417"/>
      <c r="G65" s="417"/>
      <c r="H65" s="417"/>
      <c r="I65" s="417"/>
    </row>
    <row r="66" spans="1:9">
      <c r="A66" s="298"/>
      <c r="B66" s="89" t="s">
        <v>380</v>
      </c>
      <c r="C66" s="89"/>
      <c r="D66" s="42"/>
      <c r="E66" s="117"/>
      <c r="F66" s="117"/>
      <c r="G66" s="117"/>
      <c r="H66" s="117"/>
      <c r="I66" s="117"/>
    </row>
    <row r="67" spans="1:9">
      <c r="A67" s="298"/>
      <c r="B67" s="89"/>
      <c r="C67" s="89" t="s">
        <v>79</v>
      </c>
      <c r="D67" s="42" t="s">
        <v>80</v>
      </c>
      <c r="E67" s="417"/>
      <c r="F67" s="417"/>
      <c r="G67" s="417"/>
      <c r="H67" s="417"/>
      <c r="I67" s="417"/>
    </row>
    <row r="68" spans="1:9">
      <c r="A68" s="298"/>
      <c r="B68" s="89"/>
      <c r="C68" s="89" t="s">
        <v>81</v>
      </c>
      <c r="D68" s="42" t="s">
        <v>82</v>
      </c>
      <c r="E68" s="417"/>
      <c r="F68" s="417"/>
      <c r="G68" s="417"/>
      <c r="H68" s="417"/>
      <c r="I68" s="417"/>
    </row>
    <row r="69" spans="1:9">
      <c r="A69" s="298"/>
      <c r="B69" s="89"/>
      <c r="C69" s="89" t="s">
        <v>131</v>
      </c>
      <c r="D69" s="42"/>
      <c r="E69" s="417"/>
      <c r="F69" s="417"/>
      <c r="G69" s="417"/>
      <c r="H69" s="417"/>
      <c r="I69" s="417"/>
    </row>
    <row r="70" spans="1:9">
      <c r="A70" s="298"/>
      <c r="B70" s="89"/>
      <c r="C70" s="89" t="s">
        <v>83</v>
      </c>
      <c r="D70" s="42" t="s">
        <v>84</v>
      </c>
      <c r="E70" s="417"/>
      <c r="F70" s="417"/>
      <c r="G70" s="417"/>
      <c r="H70" s="417"/>
      <c r="I70" s="417"/>
    </row>
    <row r="71" spans="1:9">
      <c r="A71" s="298"/>
      <c r="B71" s="89"/>
      <c r="C71" s="89" t="s">
        <v>87</v>
      </c>
      <c r="D71" s="42" t="s">
        <v>132</v>
      </c>
      <c r="E71" s="417"/>
      <c r="F71" s="417"/>
      <c r="G71" s="417"/>
      <c r="H71" s="417"/>
      <c r="I71" s="417"/>
    </row>
    <row r="72" spans="1:9">
      <c r="A72" s="298"/>
      <c r="B72" s="89"/>
      <c r="C72" s="89" t="s">
        <v>85</v>
      </c>
      <c r="D72" s="42" t="s">
        <v>86</v>
      </c>
      <c r="E72" s="417"/>
      <c r="F72" s="417"/>
      <c r="G72" s="417"/>
      <c r="H72" s="417"/>
      <c r="I72" s="417"/>
    </row>
    <row r="73" spans="1:9">
      <c r="A73" s="298"/>
      <c r="B73" s="89" t="s">
        <v>381</v>
      </c>
      <c r="C73" s="89"/>
      <c r="D73" s="42"/>
      <c r="E73" s="117"/>
      <c r="F73" s="117"/>
      <c r="G73" s="117"/>
      <c r="H73" s="117"/>
      <c r="I73" s="117"/>
    </row>
    <row r="74" spans="1:9">
      <c r="A74" s="298"/>
      <c r="B74" s="89"/>
      <c r="C74" s="89" t="s">
        <v>79</v>
      </c>
      <c r="D74" s="42" t="s">
        <v>80</v>
      </c>
      <c r="E74" s="417"/>
      <c r="F74" s="417"/>
      <c r="G74" s="417"/>
      <c r="H74" s="417"/>
      <c r="I74" s="417"/>
    </row>
    <row r="75" spans="1:9">
      <c r="A75" s="298"/>
      <c r="B75" s="89"/>
      <c r="C75" s="89" t="s">
        <v>81</v>
      </c>
      <c r="D75" s="42" t="s">
        <v>82</v>
      </c>
      <c r="E75" s="417"/>
      <c r="F75" s="417"/>
      <c r="G75" s="417"/>
      <c r="H75" s="417"/>
      <c r="I75" s="417"/>
    </row>
    <row r="76" spans="1:9">
      <c r="A76" s="298"/>
      <c r="B76" s="89"/>
      <c r="C76" s="89" t="s">
        <v>131</v>
      </c>
      <c r="D76" s="42"/>
      <c r="E76" s="417"/>
      <c r="F76" s="417"/>
      <c r="G76" s="417"/>
      <c r="H76" s="417"/>
      <c r="I76" s="417"/>
    </row>
    <row r="77" spans="1:9">
      <c r="A77" s="298"/>
      <c r="B77" s="89"/>
      <c r="C77" s="89" t="s">
        <v>83</v>
      </c>
      <c r="D77" s="42" t="s">
        <v>84</v>
      </c>
      <c r="E77" s="417"/>
      <c r="F77" s="417"/>
      <c r="G77" s="417"/>
      <c r="H77" s="417"/>
      <c r="I77" s="417"/>
    </row>
    <row r="78" spans="1:9">
      <c r="A78" s="298"/>
      <c r="B78" s="89"/>
      <c r="C78" s="89" t="s">
        <v>87</v>
      </c>
      <c r="D78" s="42" t="s">
        <v>132</v>
      </c>
      <c r="E78" s="417"/>
      <c r="F78" s="417"/>
      <c r="G78" s="417"/>
      <c r="H78" s="417"/>
      <c r="I78" s="417"/>
    </row>
    <row r="79" spans="1:9">
      <c r="A79" s="298"/>
      <c r="B79" s="89"/>
      <c r="C79" s="89" t="s">
        <v>85</v>
      </c>
      <c r="D79" s="42" t="s">
        <v>86</v>
      </c>
      <c r="E79" s="417"/>
      <c r="F79" s="417"/>
      <c r="G79" s="417"/>
      <c r="H79" s="417"/>
      <c r="I79" s="417"/>
    </row>
    <row r="80" spans="1:9" ht="15" thickBot="1">
      <c r="A80" s="309" t="s">
        <v>369</v>
      </c>
      <c r="B80" s="108"/>
      <c r="C80" s="108"/>
      <c r="D80" s="48"/>
      <c r="E80" s="137">
        <f>SUM(E60:E79)</f>
        <v>0</v>
      </c>
      <c r="F80" s="137">
        <f>SUM(F60:F79)</f>
        <v>0</v>
      </c>
      <c r="G80" s="137">
        <f>SUM(G60:G79)</f>
        <v>0</v>
      </c>
      <c r="H80" s="137">
        <f>SUM(H60:H79)</f>
        <v>0</v>
      </c>
      <c r="I80" s="137">
        <f>SUM(I60:I79)</f>
        <v>0</v>
      </c>
    </row>
    <row r="81" spans="1:9" ht="15" thickTop="1">
      <c r="A81" s="300" t="s">
        <v>368</v>
      </c>
      <c r="B81" s="99"/>
      <c r="C81" s="138" t="s">
        <v>370</v>
      </c>
      <c r="D81" s="139"/>
      <c r="E81" s="140"/>
      <c r="F81" s="140"/>
      <c r="G81" s="140"/>
      <c r="H81" s="140"/>
      <c r="I81" s="140"/>
    </row>
    <row r="82" spans="1:9">
      <c r="A82" s="298"/>
      <c r="B82" s="89" t="s">
        <v>175</v>
      </c>
      <c r="C82" s="89"/>
      <c r="D82" s="42" t="s">
        <v>176</v>
      </c>
      <c r="E82" s="142"/>
      <c r="F82" s="117"/>
      <c r="G82" s="117"/>
      <c r="H82" s="117"/>
      <c r="I82" s="117"/>
    </row>
    <row r="83" spans="1:9">
      <c r="A83" s="298"/>
      <c r="B83" s="89"/>
      <c r="C83" s="89" t="s">
        <v>79</v>
      </c>
      <c r="D83" s="42" t="s">
        <v>80</v>
      </c>
      <c r="E83" s="417"/>
      <c r="F83" s="417"/>
      <c r="G83" s="417"/>
      <c r="H83" s="417"/>
      <c r="I83" s="417"/>
    </row>
    <row r="84" spans="1:9">
      <c r="A84" s="298"/>
      <c r="B84" s="89"/>
      <c r="C84" s="89" t="s">
        <v>81</v>
      </c>
      <c r="D84" s="42" t="s">
        <v>82</v>
      </c>
      <c r="E84" s="414"/>
      <c r="F84" s="415"/>
      <c r="G84" s="415"/>
      <c r="H84" s="415"/>
      <c r="I84" s="415"/>
    </row>
    <row r="85" spans="1:9">
      <c r="A85" s="298"/>
      <c r="B85" s="89"/>
      <c r="C85" s="89" t="s">
        <v>131</v>
      </c>
      <c r="D85" s="42"/>
      <c r="E85" s="417"/>
      <c r="F85" s="417"/>
      <c r="G85" s="417"/>
      <c r="H85" s="417"/>
      <c r="I85" s="417"/>
    </row>
    <row r="86" spans="1:9">
      <c r="A86" s="298"/>
      <c r="B86" s="89"/>
      <c r="C86" s="89" t="s">
        <v>83</v>
      </c>
      <c r="D86" s="42" t="s">
        <v>84</v>
      </c>
      <c r="E86" s="417"/>
      <c r="F86" s="417"/>
      <c r="G86" s="417"/>
      <c r="H86" s="417"/>
      <c r="I86" s="417"/>
    </row>
    <row r="87" spans="1:9">
      <c r="A87" s="298"/>
      <c r="B87" s="89"/>
      <c r="C87" s="89" t="s">
        <v>87</v>
      </c>
      <c r="D87" s="42" t="s">
        <v>132</v>
      </c>
      <c r="E87" s="417"/>
      <c r="F87" s="417"/>
      <c r="G87" s="417"/>
      <c r="H87" s="417"/>
      <c r="I87" s="417"/>
    </row>
    <row r="88" spans="1:9">
      <c r="A88" s="298"/>
      <c r="B88" s="89"/>
      <c r="C88" s="89" t="s">
        <v>85</v>
      </c>
      <c r="D88" s="42" t="s">
        <v>86</v>
      </c>
      <c r="E88" s="414"/>
      <c r="F88" s="415"/>
      <c r="G88" s="415"/>
      <c r="H88" s="415"/>
      <c r="I88" s="415"/>
    </row>
    <row r="89" spans="1:9">
      <c r="A89" s="298"/>
      <c r="B89" s="89" t="s">
        <v>380</v>
      </c>
      <c r="C89" s="89"/>
      <c r="D89" s="42"/>
      <c r="E89" s="115"/>
      <c r="F89" s="116"/>
      <c r="G89" s="116"/>
      <c r="H89" s="116"/>
      <c r="I89" s="116"/>
    </row>
    <row r="90" spans="1:9">
      <c r="A90" s="298"/>
      <c r="B90" s="89"/>
      <c r="C90" s="89" t="s">
        <v>79</v>
      </c>
      <c r="D90" s="42" t="s">
        <v>80</v>
      </c>
      <c r="E90" s="417"/>
      <c r="F90" s="417"/>
      <c r="G90" s="417"/>
      <c r="H90" s="417"/>
      <c r="I90" s="417"/>
    </row>
    <row r="91" spans="1:9">
      <c r="A91" s="298"/>
      <c r="B91" s="89"/>
      <c r="C91" s="89" t="s">
        <v>81</v>
      </c>
      <c r="D91" s="42" t="s">
        <v>82</v>
      </c>
      <c r="E91" s="417"/>
      <c r="F91" s="417"/>
      <c r="G91" s="417"/>
      <c r="H91" s="417"/>
      <c r="I91" s="417"/>
    </row>
    <row r="92" spans="1:9">
      <c r="A92" s="298"/>
      <c r="B92" s="89"/>
      <c r="C92" s="89" t="s">
        <v>131</v>
      </c>
      <c r="D92" s="42"/>
      <c r="E92" s="417"/>
      <c r="F92" s="417"/>
      <c r="G92" s="417"/>
      <c r="H92" s="417"/>
      <c r="I92" s="417"/>
    </row>
    <row r="93" spans="1:9">
      <c r="A93" s="298"/>
      <c r="B93" s="89"/>
      <c r="C93" s="89" t="s">
        <v>83</v>
      </c>
      <c r="D93" s="42" t="s">
        <v>84</v>
      </c>
      <c r="E93" s="417"/>
      <c r="F93" s="417"/>
      <c r="G93" s="417"/>
      <c r="H93" s="417"/>
      <c r="I93" s="417"/>
    </row>
    <row r="94" spans="1:9">
      <c r="A94" s="298"/>
      <c r="B94" s="89"/>
      <c r="C94" s="89" t="s">
        <v>87</v>
      </c>
      <c r="D94" s="42" t="s">
        <v>132</v>
      </c>
      <c r="E94" s="417"/>
      <c r="F94" s="417"/>
      <c r="G94" s="417"/>
      <c r="H94" s="417"/>
      <c r="I94" s="417"/>
    </row>
    <row r="95" spans="1:9">
      <c r="A95" s="298"/>
      <c r="B95" s="89"/>
      <c r="C95" s="89" t="s">
        <v>85</v>
      </c>
      <c r="D95" s="42" t="s">
        <v>86</v>
      </c>
      <c r="E95" s="417"/>
      <c r="F95" s="417"/>
      <c r="G95" s="417"/>
      <c r="H95" s="417"/>
      <c r="I95" s="417"/>
    </row>
    <row r="96" spans="1:9">
      <c r="A96" s="298"/>
      <c r="B96" s="89" t="s">
        <v>381</v>
      </c>
      <c r="C96" s="89"/>
      <c r="D96" s="42"/>
      <c r="E96" s="117"/>
      <c r="F96" s="117"/>
      <c r="G96" s="117"/>
      <c r="H96" s="117"/>
      <c r="I96" s="117"/>
    </row>
    <row r="97" spans="1:9">
      <c r="A97" s="298"/>
      <c r="B97" s="89"/>
      <c r="C97" s="89" t="s">
        <v>79</v>
      </c>
      <c r="D97" s="42" t="s">
        <v>80</v>
      </c>
      <c r="E97" s="417"/>
      <c r="F97" s="417"/>
      <c r="G97" s="417"/>
      <c r="H97" s="417"/>
      <c r="I97" s="417"/>
    </row>
    <row r="98" spans="1:9">
      <c r="A98" s="298"/>
      <c r="B98" s="89"/>
      <c r="C98" s="89" t="s">
        <v>81</v>
      </c>
      <c r="D98" s="42" t="s">
        <v>82</v>
      </c>
      <c r="E98" s="416"/>
      <c r="F98" s="417"/>
      <c r="G98" s="417"/>
      <c r="H98" s="417"/>
      <c r="I98" s="417"/>
    </row>
    <row r="99" spans="1:9">
      <c r="A99" s="298"/>
      <c r="B99" s="89"/>
      <c r="C99" s="89" t="s">
        <v>131</v>
      </c>
      <c r="D99" s="42"/>
      <c r="E99" s="414"/>
      <c r="F99" s="415"/>
      <c r="G99" s="415"/>
      <c r="H99" s="415"/>
      <c r="I99" s="415"/>
    </row>
    <row r="100" spans="1:9">
      <c r="A100" s="298"/>
      <c r="B100" s="89"/>
      <c r="C100" s="89" t="s">
        <v>83</v>
      </c>
      <c r="D100" s="42" t="s">
        <v>84</v>
      </c>
      <c r="E100" s="416"/>
      <c r="F100" s="417"/>
      <c r="G100" s="417"/>
      <c r="H100" s="417"/>
      <c r="I100" s="417"/>
    </row>
    <row r="101" spans="1:9">
      <c r="A101" s="298"/>
      <c r="B101" s="89"/>
      <c r="C101" s="89" t="s">
        <v>87</v>
      </c>
      <c r="D101" s="42" t="s">
        <v>132</v>
      </c>
      <c r="E101" s="416"/>
      <c r="F101" s="417"/>
      <c r="G101" s="417"/>
      <c r="H101" s="417"/>
      <c r="I101" s="417"/>
    </row>
    <row r="102" spans="1:9">
      <c r="A102" s="298"/>
      <c r="B102" s="89"/>
      <c r="C102" s="89" t="s">
        <v>85</v>
      </c>
      <c r="D102" s="42" t="s">
        <v>86</v>
      </c>
      <c r="E102" s="416"/>
      <c r="F102" s="417"/>
      <c r="G102" s="417"/>
      <c r="H102" s="417"/>
      <c r="I102" s="417"/>
    </row>
    <row r="103" spans="1:9" ht="15" thickBot="1">
      <c r="A103" s="309" t="s">
        <v>371</v>
      </c>
      <c r="B103" s="108"/>
      <c r="C103" s="108"/>
      <c r="D103" s="48"/>
      <c r="E103" s="143">
        <f>SUM(E83:E102)</f>
        <v>0</v>
      </c>
      <c r="F103" s="143">
        <f>SUM(F83:F102)</f>
        <v>0</v>
      </c>
      <c r="G103" s="143">
        <f>SUM(G83:G102)</f>
        <v>0</v>
      </c>
      <c r="H103" s="143">
        <f>SUM(H83:H102)</f>
        <v>0</v>
      </c>
      <c r="I103" s="143">
        <f>SUM(I83:I102)</f>
        <v>0</v>
      </c>
    </row>
    <row r="104" spans="1:9" ht="15" thickTop="1">
      <c r="A104" s="132"/>
      <c r="B104" s="133"/>
      <c r="C104" s="133"/>
      <c r="D104" s="291"/>
      <c r="E104" s="334"/>
      <c r="F104" s="334"/>
      <c r="G104" s="334"/>
      <c r="H104" s="334"/>
      <c r="I104" s="334"/>
    </row>
    <row r="105" spans="1:9">
      <c r="A105" s="75"/>
      <c r="B105" s="418" t="str">
        <f>'Form 1 Cover'!B20</f>
        <v>Discovery Charter School</v>
      </c>
      <c r="C105" s="383"/>
      <c r="D105" s="34"/>
      <c r="E105" s="49"/>
      <c r="F105" s="49"/>
      <c r="H105" s="49"/>
      <c r="I105" s="384" t="str">
        <f>"Budget Fiscal Year "&amp;TEXT('Form 1 Cover'!$D$137, "mm/dd/yy")</f>
        <v>Budget Fiscal Year 2022-2023</v>
      </c>
    </row>
    <row r="106" spans="1:9">
      <c r="A106" s="75"/>
      <c r="B106" s="75"/>
      <c r="C106" s="75"/>
      <c r="D106" s="49"/>
      <c r="E106" s="75"/>
      <c r="F106" s="49"/>
      <c r="G106" s="49"/>
      <c r="H106" s="49"/>
      <c r="I106" s="49"/>
    </row>
    <row r="107" spans="1:9">
      <c r="A107" s="75"/>
      <c r="B107" s="75" t="s">
        <v>416</v>
      </c>
      <c r="C107" s="75"/>
      <c r="D107" s="49"/>
      <c r="E107" s="49"/>
      <c r="F107" s="49"/>
      <c r="G107" s="49"/>
      <c r="H107" s="335"/>
      <c r="I107" s="335">
        <f>'Form 1 Cover'!$D$146</f>
        <v>44607</v>
      </c>
    </row>
    <row r="108" spans="1:9">
      <c r="A108" s="75"/>
      <c r="B108" s="75"/>
      <c r="C108" s="75"/>
      <c r="D108" s="49"/>
      <c r="E108" s="49"/>
      <c r="F108" s="49"/>
      <c r="G108" s="49"/>
      <c r="H108" s="335"/>
      <c r="I108" s="335"/>
    </row>
    <row r="109" spans="1:9">
      <c r="A109" s="75"/>
      <c r="B109" s="75"/>
      <c r="C109" s="75"/>
      <c r="D109" s="49"/>
      <c r="E109" s="49"/>
      <c r="F109" s="49"/>
      <c r="G109" s="49"/>
      <c r="H109" s="335"/>
      <c r="I109" s="335"/>
    </row>
    <row r="110" spans="1:9">
      <c r="A110" s="308"/>
      <c r="B110" s="70"/>
      <c r="C110" s="70"/>
      <c r="D110" s="71"/>
      <c r="E110" s="174">
        <v>-1</v>
      </c>
      <c r="F110" s="175">
        <v>-2</v>
      </c>
      <c r="G110" s="282">
        <v>-3</v>
      </c>
      <c r="H110" s="175">
        <v>-4</v>
      </c>
      <c r="I110" s="175">
        <v>-5</v>
      </c>
    </row>
    <row r="111" spans="1:9">
      <c r="A111" s="324"/>
      <c r="B111" s="75"/>
      <c r="C111" s="75"/>
      <c r="D111" s="38"/>
      <c r="E111" s="181"/>
      <c r="F111" s="23" t="s">
        <v>31</v>
      </c>
      <c r="G111" s="505" t="str">
        <f>"BUDGET YEAR ENDING "&amp;TEXT('Form 1 Cover'!D139, "MM/DD/YY")</f>
        <v>BUDGET YEAR ENDING 06/30/23</v>
      </c>
      <c r="H111" s="26"/>
      <c r="I111" s="506"/>
    </row>
    <row r="112" spans="1:9" ht="15">
      <c r="A112" s="324"/>
      <c r="B112" s="75"/>
      <c r="C112" s="75"/>
      <c r="D112" s="38"/>
      <c r="E112" s="177" t="s">
        <v>277</v>
      </c>
      <c r="F112" s="177" t="s">
        <v>279</v>
      </c>
      <c r="G112" s="178"/>
      <c r="H112" s="326"/>
      <c r="I112" s="177" t="s">
        <v>556</v>
      </c>
    </row>
    <row r="113" spans="1:9" ht="16">
      <c r="A113" s="324"/>
      <c r="B113" s="135" t="s">
        <v>77</v>
      </c>
      <c r="C113" s="49"/>
      <c r="D113" s="38"/>
      <c r="E113" s="177" t="s">
        <v>278</v>
      </c>
      <c r="F113" s="177" t="s">
        <v>278</v>
      </c>
      <c r="G113" s="179" t="s">
        <v>280</v>
      </c>
      <c r="H113" s="177" t="s">
        <v>109</v>
      </c>
      <c r="I113" s="177" t="s">
        <v>109</v>
      </c>
    </row>
    <row r="114" spans="1:9" ht="17" thickBot="1">
      <c r="A114" s="322"/>
      <c r="B114" s="507"/>
      <c r="C114" s="507"/>
      <c r="D114" s="508"/>
      <c r="E114" s="4">
        <f>'Form 1 Cover'!D130</f>
        <v>44377</v>
      </c>
      <c r="F114" s="4">
        <f>'Form 1 Cover'!D134</f>
        <v>44742</v>
      </c>
      <c r="G114" s="180" t="s">
        <v>281</v>
      </c>
      <c r="H114" s="327" t="s">
        <v>281</v>
      </c>
      <c r="I114" s="327" t="s">
        <v>281</v>
      </c>
    </row>
    <row r="115" spans="1:9" ht="15" thickTop="1">
      <c r="A115" s="300" t="s">
        <v>180</v>
      </c>
      <c r="B115" s="99"/>
      <c r="C115" s="138" t="s">
        <v>373</v>
      </c>
      <c r="D115" s="139"/>
      <c r="E115" s="140"/>
      <c r="F115" s="140"/>
      <c r="G115" s="140"/>
      <c r="H115" s="140"/>
      <c r="I115" s="140"/>
    </row>
    <row r="116" spans="1:9">
      <c r="A116" s="298"/>
      <c r="B116" s="89" t="s">
        <v>175</v>
      </c>
      <c r="C116" s="89"/>
      <c r="D116" s="42" t="s">
        <v>176</v>
      </c>
      <c r="E116" s="142"/>
      <c r="F116" s="117"/>
      <c r="G116" s="117"/>
      <c r="H116" s="117"/>
      <c r="I116" s="117"/>
    </row>
    <row r="117" spans="1:9">
      <c r="A117" s="298"/>
      <c r="B117" s="89"/>
      <c r="C117" s="89" t="s">
        <v>79</v>
      </c>
      <c r="D117" s="42" t="s">
        <v>80</v>
      </c>
      <c r="E117" s="417"/>
      <c r="F117" s="417"/>
      <c r="G117" s="417"/>
      <c r="H117" s="417"/>
      <c r="I117" s="417"/>
    </row>
    <row r="118" spans="1:9">
      <c r="A118" s="298"/>
      <c r="B118" s="89"/>
      <c r="C118" s="89" t="s">
        <v>81</v>
      </c>
      <c r="D118" s="42" t="s">
        <v>82</v>
      </c>
      <c r="E118" s="414"/>
      <c r="F118" s="415"/>
      <c r="G118" s="415"/>
      <c r="H118" s="415"/>
      <c r="I118" s="415"/>
    </row>
    <row r="119" spans="1:9">
      <c r="A119" s="298"/>
      <c r="B119" s="89"/>
      <c r="C119" s="89" t="s">
        <v>131</v>
      </c>
      <c r="D119" s="42"/>
      <c r="E119" s="417"/>
      <c r="F119" s="417"/>
      <c r="G119" s="417"/>
      <c r="H119" s="417"/>
      <c r="I119" s="417"/>
    </row>
    <row r="120" spans="1:9">
      <c r="A120" s="298"/>
      <c r="B120" s="89"/>
      <c r="C120" s="89" t="s">
        <v>83</v>
      </c>
      <c r="D120" s="42" t="s">
        <v>84</v>
      </c>
      <c r="E120" s="417"/>
      <c r="F120" s="417"/>
      <c r="G120" s="417"/>
      <c r="H120" s="417"/>
      <c r="I120" s="417"/>
    </row>
    <row r="121" spans="1:9">
      <c r="A121" s="298"/>
      <c r="B121" s="89"/>
      <c r="C121" s="89" t="s">
        <v>87</v>
      </c>
      <c r="D121" s="42" t="s">
        <v>132</v>
      </c>
      <c r="E121" s="417"/>
      <c r="F121" s="417"/>
      <c r="G121" s="417"/>
      <c r="H121" s="417"/>
      <c r="I121" s="417"/>
    </row>
    <row r="122" spans="1:9">
      <c r="A122" s="298"/>
      <c r="B122" s="89"/>
      <c r="C122" s="89" t="s">
        <v>85</v>
      </c>
      <c r="D122" s="42" t="s">
        <v>86</v>
      </c>
      <c r="E122" s="414"/>
      <c r="F122" s="415"/>
      <c r="G122" s="415"/>
      <c r="H122" s="415"/>
      <c r="I122" s="415"/>
    </row>
    <row r="123" spans="1:9">
      <c r="A123" s="298"/>
      <c r="B123" s="89" t="s">
        <v>380</v>
      </c>
      <c r="C123" s="89"/>
      <c r="D123" s="42"/>
      <c r="E123" s="115"/>
      <c r="F123" s="116"/>
      <c r="G123" s="116"/>
      <c r="H123" s="116"/>
      <c r="I123" s="116"/>
    </row>
    <row r="124" spans="1:9">
      <c r="A124" s="298"/>
      <c r="B124" s="89"/>
      <c r="C124" s="89" t="s">
        <v>79</v>
      </c>
      <c r="D124" s="42" t="s">
        <v>80</v>
      </c>
      <c r="E124" s="417"/>
      <c r="F124" s="417"/>
      <c r="G124" s="417"/>
      <c r="H124" s="417"/>
      <c r="I124" s="417"/>
    </row>
    <row r="125" spans="1:9">
      <c r="A125" s="298"/>
      <c r="B125" s="89"/>
      <c r="C125" s="89" t="s">
        <v>81</v>
      </c>
      <c r="D125" s="42" t="s">
        <v>82</v>
      </c>
      <c r="E125" s="417"/>
      <c r="F125" s="417"/>
      <c r="G125" s="417"/>
      <c r="H125" s="417"/>
      <c r="I125" s="417"/>
    </row>
    <row r="126" spans="1:9">
      <c r="A126" s="298"/>
      <c r="B126" s="89"/>
      <c r="C126" s="89" t="s">
        <v>131</v>
      </c>
      <c r="D126" s="42"/>
      <c r="E126" s="417"/>
      <c r="F126" s="417"/>
      <c r="G126" s="417"/>
      <c r="H126" s="417"/>
      <c r="I126" s="417"/>
    </row>
    <row r="127" spans="1:9">
      <c r="A127" s="298"/>
      <c r="B127" s="89"/>
      <c r="C127" s="89" t="s">
        <v>83</v>
      </c>
      <c r="D127" s="42" t="s">
        <v>84</v>
      </c>
      <c r="E127" s="417"/>
      <c r="F127" s="417"/>
      <c r="G127" s="417"/>
      <c r="H127" s="417"/>
      <c r="I127" s="417"/>
    </row>
    <row r="128" spans="1:9">
      <c r="A128" s="298"/>
      <c r="B128" s="89"/>
      <c r="C128" s="89" t="s">
        <v>87</v>
      </c>
      <c r="D128" s="42" t="s">
        <v>132</v>
      </c>
      <c r="E128" s="417"/>
      <c r="F128" s="417"/>
      <c r="G128" s="417"/>
      <c r="H128" s="417"/>
      <c r="I128" s="417"/>
    </row>
    <row r="129" spans="1:9">
      <c r="A129" s="298"/>
      <c r="B129" s="89"/>
      <c r="C129" s="89" t="s">
        <v>85</v>
      </c>
      <c r="D129" s="42" t="s">
        <v>86</v>
      </c>
      <c r="E129" s="417"/>
      <c r="F129" s="417"/>
      <c r="G129" s="417"/>
      <c r="H129" s="417"/>
      <c r="I129" s="417"/>
    </row>
    <row r="130" spans="1:9">
      <c r="A130" s="298"/>
      <c r="B130" s="89" t="s">
        <v>381</v>
      </c>
      <c r="C130" s="89"/>
      <c r="D130" s="42"/>
      <c r="E130" s="117"/>
      <c r="F130" s="117"/>
      <c r="G130" s="117"/>
      <c r="H130" s="117"/>
      <c r="I130" s="117"/>
    </row>
    <row r="131" spans="1:9">
      <c r="A131" s="298"/>
      <c r="B131" s="89"/>
      <c r="C131" s="89" t="s">
        <v>79</v>
      </c>
      <c r="D131" s="42" t="s">
        <v>80</v>
      </c>
      <c r="E131" s="417"/>
      <c r="F131" s="417"/>
      <c r="G131" s="417"/>
      <c r="H131" s="417"/>
      <c r="I131" s="417"/>
    </row>
    <row r="132" spans="1:9">
      <c r="A132" s="298"/>
      <c r="B132" s="89"/>
      <c r="C132" s="89" t="s">
        <v>81</v>
      </c>
      <c r="D132" s="42" t="s">
        <v>82</v>
      </c>
      <c r="E132" s="416"/>
      <c r="F132" s="417"/>
      <c r="G132" s="417"/>
      <c r="H132" s="417"/>
      <c r="I132" s="417"/>
    </row>
    <row r="133" spans="1:9">
      <c r="A133" s="298"/>
      <c r="B133" s="89"/>
      <c r="C133" s="89" t="s">
        <v>131</v>
      </c>
      <c r="D133" s="42"/>
      <c r="E133" s="414"/>
      <c r="F133" s="415"/>
      <c r="G133" s="415"/>
      <c r="H133" s="415"/>
      <c r="I133" s="415"/>
    </row>
    <row r="134" spans="1:9">
      <c r="A134" s="298"/>
      <c r="B134" s="89"/>
      <c r="C134" s="89" t="s">
        <v>83</v>
      </c>
      <c r="D134" s="42" t="s">
        <v>84</v>
      </c>
      <c r="E134" s="416"/>
      <c r="F134" s="417"/>
      <c r="G134" s="417"/>
      <c r="H134" s="417"/>
      <c r="I134" s="417"/>
    </row>
    <row r="135" spans="1:9">
      <c r="A135" s="298"/>
      <c r="B135" s="89"/>
      <c r="C135" s="89" t="s">
        <v>87</v>
      </c>
      <c r="D135" s="42" t="s">
        <v>132</v>
      </c>
      <c r="E135" s="416"/>
      <c r="F135" s="417"/>
      <c r="G135" s="417"/>
      <c r="H135" s="417"/>
      <c r="I135" s="417"/>
    </row>
    <row r="136" spans="1:9">
      <c r="A136" s="298"/>
      <c r="B136" s="89"/>
      <c r="C136" s="88" t="s">
        <v>85</v>
      </c>
      <c r="D136" s="42" t="s">
        <v>86</v>
      </c>
      <c r="E136" s="416"/>
      <c r="F136" s="417"/>
      <c r="G136" s="417"/>
      <c r="H136" s="417"/>
      <c r="I136" s="417"/>
    </row>
    <row r="137" spans="1:9" ht="15" thickBot="1">
      <c r="A137" s="309" t="s">
        <v>180</v>
      </c>
      <c r="B137" s="108"/>
      <c r="C137" s="144" t="s">
        <v>374</v>
      </c>
      <c r="D137" s="48"/>
      <c r="E137" s="143">
        <f>SUM(E117:E136)</f>
        <v>0</v>
      </c>
      <c r="F137" s="143">
        <f>SUM(F117:F136)</f>
        <v>0</v>
      </c>
      <c r="G137" s="143">
        <f>SUM(G117:G136)</f>
        <v>0</v>
      </c>
      <c r="H137" s="143">
        <f>SUM(H117:H136)</f>
        <v>0</v>
      </c>
      <c r="I137" s="143">
        <f>SUM(I117:I136)</f>
        <v>0</v>
      </c>
    </row>
    <row r="138" spans="1:9" ht="15" thickTop="1">
      <c r="A138" s="132"/>
      <c r="B138" s="133"/>
      <c r="C138" s="187"/>
      <c r="D138" s="291"/>
      <c r="E138" s="334"/>
      <c r="F138" s="334"/>
      <c r="G138" s="334"/>
      <c r="H138" s="334"/>
      <c r="I138" s="334"/>
    </row>
    <row r="139" spans="1:9">
      <c r="A139" s="75"/>
      <c r="B139" s="418" t="str">
        <f>'Form 1 Cover'!B20</f>
        <v>Discovery Charter School</v>
      </c>
      <c r="C139" s="383"/>
      <c r="D139" s="34"/>
      <c r="E139" s="49"/>
      <c r="F139" s="49"/>
      <c r="H139" s="49"/>
      <c r="I139" s="384" t="str">
        <f>"Budget Fiscal Year "&amp;TEXT('Form 1 Cover'!$D$137, "mm/dd/yy")</f>
        <v>Budget Fiscal Year 2022-2023</v>
      </c>
    </row>
    <row r="140" spans="1:9">
      <c r="A140" s="75"/>
      <c r="B140" s="75"/>
      <c r="C140" s="75"/>
      <c r="D140" s="49"/>
      <c r="E140" s="75"/>
      <c r="F140" s="49"/>
      <c r="G140" s="49"/>
      <c r="H140" s="49"/>
      <c r="I140" s="49"/>
    </row>
    <row r="141" spans="1:9">
      <c r="A141" s="75"/>
      <c r="B141" s="75" t="s">
        <v>416</v>
      </c>
      <c r="C141" s="75"/>
      <c r="D141" s="49"/>
      <c r="E141" s="49"/>
      <c r="F141" s="49"/>
      <c r="G141" s="49"/>
      <c r="H141" s="335"/>
      <c r="I141" s="335">
        <f>'Form 1 Cover'!$D$146</f>
        <v>44607</v>
      </c>
    </row>
    <row r="142" spans="1:9">
      <c r="A142" s="75"/>
      <c r="B142" s="75"/>
      <c r="C142" s="75"/>
      <c r="D142" s="49"/>
      <c r="E142" s="49"/>
      <c r="F142" s="49"/>
      <c r="G142" s="49"/>
      <c r="H142" s="335"/>
      <c r="I142" s="335"/>
    </row>
    <row r="143" spans="1:9">
      <c r="A143" s="308"/>
      <c r="B143" s="70"/>
      <c r="C143" s="70"/>
      <c r="D143" s="71"/>
      <c r="E143" s="174">
        <v>-1</v>
      </c>
      <c r="F143" s="175">
        <v>-2</v>
      </c>
      <c r="G143" s="282">
        <v>-3</v>
      </c>
      <c r="H143" s="175">
        <v>-4</v>
      </c>
      <c r="I143" s="175">
        <v>-5</v>
      </c>
    </row>
    <row r="144" spans="1:9">
      <c r="A144" s="324"/>
      <c r="B144" s="75"/>
      <c r="C144" s="75"/>
      <c r="D144" s="38"/>
      <c r="E144" s="181"/>
      <c r="F144" s="23" t="s">
        <v>31</v>
      </c>
      <c r="G144" s="505" t="str">
        <f>"BUDGET YEAR ENDING "&amp;TEXT('Form 1 Cover'!D139, "MM/DD/YY")</f>
        <v>BUDGET YEAR ENDING 06/30/23</v>
      </c>
      <c r="H144" s="26"/>
      <c r="I144" s="506"/>
    </row>
    <row r="145" spans="1:9" ht="15">
      <c r="A145" s="324"/>
      <c r="B145" s="75"/>
      <c r="C145" s="75"/>
      <c r="D145" s="38"/>
      <c r="E145" s="177" t="s">
        <v>277</v>
      </c>
      <c r="F145" s="177" t="s">
        <v>279</v>
      </c>
      <c r="G145" s="178"/>
      <c r="H145" s="326"/>
      <c r="I145" s="177" t="s">
        <v>556</v>
      </c>
    </row>
    <row r="146" spans="1:9" ht="16">
      <c r="A146" s="324"/>
      <c r="B146" s="135" t="s">
        <v>77</v>
      </c>
      <c r="C146" s="49"/>
      <c r="D146" s="38"/>
      <c r="E146" s="177" t="s">
        <v>278</v>
      </c>
      <c r="F146" s="177" t="s">
        <v>278</v>
      </c>
      <c r="G146" s="179" t="s">
        <v>280</v>
      </c>
      <c r="H146" s="177" t="s">
        <v>109</v>
      </c>
      <c r="I146" s="177" t="s">
        <v>109</v>
      </c>
    </row>
    <row r="147" spans="1:9" ht="16">
      <c r="A147" s="322"/>
      <c r="B147" s="507"/>
      <c r="C147" s="507"/>
      <c r="D147" s="508"/>
      <c r="E147" s="4">
        <f>'Form 1 Cover'!D130</f>
        <v>44377</v>
      </c>
      <c r="F147" s="4">
        <f>'Form 1 Cover'!D134</f>
        <v>44742</v>
      </c>
      <c r="G147" s="180" t="s">
        <v>281</v>
      </c>
      <c r="H147" s="327" t="s">
        <v>281</v>
      </c>
      <c r="I147" s="327" t="s">
        <v>281</v>
      </c>
    </row>
    <row r="148" spans="1:9">
      <c r="A148" s="296" t="s">
        <v>375</v>
      </c>
      <c r="B148" s="85"/>
      <c r="C148" s="86" t="s">
        <v>376</v>
      </c>
      <c r="D148" s="136"/>
      <c r="E148" s="102"/>
      <c r="F148" s="102"/>
      <c r="G148" s="102"/>
      <c r="H148" s="102"/>
      <c r="I148" s="102"/>
    </row>
    <row r="149" spans="1:9">
      <c r="A149" s="298"/>
      <c r="B149" s="89" t="s">
        <v>175</v>
      </c>
      <c r="C149" s="89"/>
      <c r="D149" s="42" t="s">
        <v>176</v>
      </c>
      <c r="E149" s="46"/>
      <c r="F149" s="46"/>
      <c r="G149" s="46"/>
      <c r="H149" s="46"/>
      <c r="I149" s="46"/>
    </row>
    <row r="150" spans="1:9">
      <c r="A150" s="298"/>
      <c r="B150" s="89"/>
      <c r="C150" s="89" t="s">
        <v>79</v>
      </c>
      <c r="D150" s="42" t="s">
        <v>80</v>
      </c>
      <c r="E150" s="417"/>
      <c r="F150" s="417"/>
      <c r="G150" s="417"/>
      <c r="H150" s="417"/>
      <c r="I150" s="417"/>
    </row>
    <row r="151" spans="1:9">
      <c r="A151" s="298"/>
      <c r="B151" s="89"/>
      <c r="C151" s="89" t="s">
        <v>81</v>
      </c>
      <c r="D151" s="42" t="s">
        <v>82</v>
      </c>
      <c r="E151" s="417"/>
      <c r="F151" s="417"/>
      <c r="G151" s="417"/>
      <c r="H151" s="417"/>
      <c r="I151" s="417"/>
    </row>
    <row r="152" spans="1:9">
      <c r="A152" s="298"/>
      <c r="B152" s="89"/>
      <c r="C152" s="89" t="s">
        <v>131</v>
      </c>
      <c r="D152" s="42"/>
      <c r="E152" s="417"/>
      <c r="F152" s="417"/>
      <c r="G152" s="417"/>
      <c r="H152" s="417"/>
      <c r="I152" s="417"/>
    </row>
    <row r="153" spans="1:9">
      <c r="A153" s="298"/>
      <c r="B153" s="89"/>
      <c r="C153" s="89" t="s">
        <v>83</v>
      </c>
      <c r="D153" s="42" t="s">
        <v>84</v>
      </c>
      <c r="E153" s="417"/>
      <c r="F153" s="417"/>
      <c r="G153" s="417"/>
      <c r="H153" s="417"/>
      <c r="I153" s="417"/>
    </row>
    <row r="154" spans="1:9">
      <c r="A154" s="298"/>
      <c r="B154" s="89"/>
      <c r="C154" s="89" t="s">
        <v>87</v>
      </c>
      <c r="D154" s="42" t="s">
        <v>132</v>
      </c>
      <c r="E154" s="417"/>
      <c r="F154" s="417"/>
      <c r="G154" s="417"/>
      <c r="H154" s="417"/>
      <c r="I154" s="417"/>
    </row>
    <row r="155" spans="1:9">
      <c r="A155" s="298"/>
      <c r="B155" s="89"/>
      <c r="C155" s="89" t="s">
        <v>85</v>
      </c>
      <c r="D155" s="42" t="s">
        <v>86</v>
      </c>
      <c r="E155" s="417"/>
      <c r="F155" s="417"/>
      <c r="G155" s="417"/>
      <c r="H155" s="417"/>
      <c r="I155" s="417"/>
    </row>
    <row r="156" spans="1:9">
      <c r="A156" s="298"/>
      <c r="B156" s="89" t="s">
        <v>380</v>
      </c>
      <c r="C156" s="89"/>
      <c r="D156" s="42"/>
      <c r="E156" s="117"/>
      <c r="F156" s="117"/>
      <c r="G156" s="117"/>
      <c r="H156" s="117"/>
      <c r="I156" s="117"/>
    </row>
    <row r="157" spans="1:9">
      <c r="A157" s="298"/>
      <c r="B157" s="89"/>
      <c r="C157" s="89" t="s">
        <v>79</v>
      </c>
      <c r="D157" s="42" t="s">
        <v>80</v>
      </c>
      <c r="E157" s="417"/>
      <c r="F157" s="417"/>
      <c r="G157" s="417"/>
      <c r="H157" s="417"/>
      <c r="I157" s="417"/>
    </row>
    <row r="158" spans="1:9">
      <c r="A158" s="298"/>
      <c r="B158" s="89"/>
      <c r="C158" s="89" t="s">
        <v>81</v>
      </c>
      <c r="D158" s="42" t="s">
        <v>82</v>
      </c>
      <c r="E158" s="417"/>
      <c r="F158" s="417"/>
      <c r="G158" s="417"/>
      <c r="H158" s="417"/>
      <c r="I158" s="417"/>
    </row>
    <row r="159" spans="1:9">
      <c r="A159" s="298"/>
      <c r="B159" s="89"/>
      <c r="C159" s="89" t="s">
        <v>131</v>
      </c>
      <c r="D159" s="42"/>
      <c r="E159" s="417"/>
      <c r="F159" s="417"/>
      <c r="G159" s="417"/>
      <c r="H159" s="417"/>
      <c r="I159" s="417"/>
    </row>
    <row r="160" spans="1:9">
      <c r="A160" s="298"/>
      <c r="B160" s="89"/>
      <c r="C160" s="89" t="s">
        <v>83</v>
      </c>
      <c r="D160" s="42" t="s">
        <v>84</v>
      </c>
      <c r="E160" s="417"/>
      <c r="F160" s="417"/>
      <c r="G160" s="417"/>
      <c r="H160" s="417"/>
      <c r="I160" s="417"/>
    </row>
    <row r="161" spans="1:9">
      <c r="A161" s="298"/>
      <c r="B161" s="89"/>
      <c r="C161" s="89" t="s">
        <v>87</v>
      </c>
      <c r="D161" s="42" t="s">
        <v>132</v>
      </c>
      <c r="E161" s="417"/>
      <c r="F161" s="417"/>
      <c r="G161" s="417"/>
      <c r="H161" s="417"/>
      <c r="I161" s="417"/>
    </row>
    <row r="162" spans="1:9">
      <c r="A162" s="298"/>
      <c r="B162" s="89"/>
      <c r="C162" s="89" t="s">
        <v>85</v>
      </c>
      <c r="D162" s="42" t="s">
        <v>86</v>
      </c>
      <c r="E162" s="417"/>
      <c r="F162" s="417"/>
      <c r="G162" s="417"/>
      <c r="H162" s="417"/>
      <c r="I162" s="417"/>
    </row>
    <row r="163" spans="1:9">
      <c r="A163" s="298"/>
      <c r="B163" s="89" t="s">
        <v>381</v>
      </c>
      <c r="C163" s="89"/>
      <c r="D163" s="42"/>
      <c r="E163" s="117"/>
      <c r="F163" s="117"/>
      <c r="G163" s="117"/>
      <c r="H163" s="117"/>
      <c r="I163" s="117"/>
    </row>
    <row r="164" spans="1:9">
      <c r="A164" s="298"/>
      <c r="B164" s="89"/>
      <c r="C164" s="89" t="s">
        <v>79</v>
      </c>
      <c r="D164" s="42" t="s">
        <v>80</v>
      </c>
      <c r="E164" s="417"/>
      <c r="F164" s="417"/>
      <c r="G164" s="417"/>
      <c r="H164" s="417"/>
      <c r="I164" s="417"/>
    </row>
    <row r="165" spans="1:9">
      <c r="A165" s="298"/>
      <c r="B165" s="89"/>
      <c r="C165" s="89" t="s">
        <v>81</v>
      </c>
      <c r="D165" s="42" t="s">
        <v>82</v>
      </c>
      <c r="E165" s="417"/>
      <c r="F165" s="417"/>
      <c r="G165" s="417"/>
      <c r="H165" s="417"/>
      <c r="I165" s="417"/>
    </row>
    <row r="166" spans="1:9">
      <c r="A166" s="298"/>
      <c r="B166" s="89"/>
      <c r="C166" s="89" t="s">
        <v>131</v>
      </c>
      <c r="D166" s="42"/>
      <c r="E166" s="417"/>
      <c r="F166" s="417"/>
      <c r="G166" s="417"/>
      <c r="H166" s="417"/>
      <c r="I166" s="417"/>
    </row>
    <row r="167" spans="1:9">
      <c r="A167" s="298"/>
      <c r="B167" s="89"/>
      <c r="C167" s="89" t="s">
        <v>83</v>
      </c>
      <c r="D167" s="42" t="s">
        <v>84</v>
      </c>
      <c r="E167" s="417"/>
      <c r="F167" s="417"/>
      <c r="G167" s="417"/>
      <c r="H167" s="417"/>
      <c r="I167" s="417"/>
    </row>
    <row r="168" spans="1:9">
      <c r="A168" s="298"/>
      <c r="B168" s="89"/>
      <c r="C168" s="89" t="s">
        <v>87</v>
      </c>
      <c r="D168" s="42" t="s">
        <v>132</v>
      </c>
      <c r="E168" s="417"/>
      <c r="F168" s="417"/>
      <c r="G168" s="417"/>
      <c r="H168" s="417"/>
      <c r="I168" s="417"/>
    </row>
    <row r="169" spans="1:9">
      <c r="A169" s="298"/>
      <c r="B169" s="89"/>
      <c r="C169" s="89" t="s">
        <v>85</v>
      </c>
      <c r="D169" s="42" t="s">
        <v>86</v>
      </c>
      <c r="E169" s="417"/>
      <c r="F169" s="417"/>
      <c r="G169" s="417"/>
      <c r="H169" s="417"/>
      <c r="I169" s="417"/>
    </row>
    <row r="170" spans="1:9" ht="15" thickBot="1">
      <c r="A170" s="309" t="s">
        <v>375</v>
      </c>
      <c r="B170" s="108"/>
      <c r="C170" s="47" t="s">
        <v>377</v>
      </c>
      <c r="D170" s="48"/>
      <c r="E170" s="137">
        <f>SUM(E150:E169)</f>
        <v>0</v>
      </c>
      <c r="F170" s="137">
        <f>SUM(F150:F169)</f>
        <v>0</v>
      </c>
      <c r="G170" s="137">
        <f>SUM(G150:G169)</f>
        <v>0</v>
      </c>
      <c r="H170" s="137">
        <f>SUM(H150:H169)</f>
        <v>0</v>
      </c>
      <c r="I170" s="137">
        <f>SUM(I150:I169)</f>
        <v>0</v>
      </c>
    </row>
    <row r="171" spans="1:9" ht="15" thickTop="1">
      <c r="A171" s="296" t="s">
        <v>178</v>
      </c>
      <c r="B171" s="85"/>
      <c r="C171" s="159" t="s">
        <v>378</v>
      </c>
      <c r="D171" s="136"/>
      <c r="E171" s="140"/>
      <c r="F171" s="140"/>
      <c r="G171" s="140"/>
      <c r="H171" s="140"/>
      <c r="I171" s="140"/>
    </row>
    <row r="172" spans="1:9">
      <c r="A172" s="298"/>
      <c r="B172" s="89" t="s">
        <v>175</v>
      </c>
      <c r="C172" s="89"/>
      <c r="D172" s="42" t="s">
        <v>176</v>
      </c>
      <c r="E172" s="142"/>
      <c r="F172" s="117"/>
      <c r="G172" s="117"/>
      <c r="H172" s="117"/>
      <c r="I172" s="117"/>
    </row>
    <row r="173" spans="1:9">
      <c r="A173" s="298"/>
      <c r="B173" s="89"/>
      <c r="C173" s="89" t="s">
        <v>79</v>
      </c>
      <c r="D173" s="42" t="s">
        <v>80</v>
      </c>
      <c r="E173" s="417"/>
      <c r="F173" s="417"/>
      <c r="G173" s="417"/>
      <c r="H173" s="417"/>
      <c r="I173" s="417"/>
    </row>
    <row r="174" spans="1:9">
      <c r="A174" s="298"/>
      <c r="B174" s="89"/>
      <c r="C174" s="89" t="s">
        <v>81</v>
      </c>
      <c r="D174" s="42" t="s">
        <v>82</v>
      </c>
      <c r="E174" s="414"/>
      <c r="F174" s="415"/>
      <c r="G174" s="415"/>
      <c r="H174" s="415"/>
      <c r="I174" s="415"/>
    </row>
    <row r="175" spans="1:9">
      <c r="A175" s="298"/>
      <c r="B175" s="89"/>
      <c r="C175" s="89" t="s">
        <v>131</v>
      </c>
      <c r="D175" s="42"/>
      <c r="E175" s="417"/>
      <c r="F175" s="417"/>
      <c r="G175" s="417"/>
      <c r="H175" s="417"/>
      <c r="I175" s="417"/>
    </row>
    <row r="176" spans="1:9">
      <c r="A176" s="298"/>
      <c r="B176" s="89"/>
      <c r="C176" s="89" t="s">
        <v>83</v>
      </c>
      <c r="D176" s="42" t="s">
        <v>84</v>
      </c>
      <c r="E176" s="417"/>
      <c r="F176" s="417"/>
      <c r="G176" s="417"/>
      <c r="H176" s="417"/>
      <c r="I176" s="417"/>
    </row>
    <row r="177" spans="1:9">
      <c r="A177" s="298"/>
      <c r="B177" s="89"/>
      <c r="C177" s="89" t="s">
        <v>87</v>
      </c>
      <c r="D177" s="42" t="s">
        <v>132</v>
      </c>
      <c r="E177" s="417"/>
      <c r="F177" s="417"/>
      <c r="G177" s="417"/>
      <c r="H177" s="417"/>
      <c r="I177" s="417"/>
    </row>
    <row r="178" spans="1:9">
      <c r="A178" s="298"/>
      <c r="B178" s="89"/>
      <c r="C178" s="89" t="s">
        <v>85</v>
      </c>
      <c r="D178" s="42" t="s">
        <v>86</v>
      </c>
      <c r="E178" s="414"/>
      <c r="F178" s="415"/>
      <c r="G178" s="415"/>
      <c r="H178" s="415"/>
      <c r="I178" s="415"/>
    </row>
    <row r="179" spans="1:9">
      <c r="A179" s="298"/>
      <c r="B179" s="89" t="s">
        <v>380</v>
      </c>
      <c r="C179" s="89"/>
      <c r="D179" s="42"/>
      <c r="E179" s="115"/>
      <c r="F179" s="116"/>
      <c r="G179" s="116"/>
      <c r="H179" s="116"/>
      <c r="I179" s="116"/>
    </row>
    <row r="180" spans="1:9">
      <c r="A180" s="298"/>
      <c r="B180" s="89"/>
      <c r="C180" s="89" t="s">
        <v>79</v>
      </c>
      <c r="D180" s="42" t="s">
        <v>80</v>
      </c>
      <c r="E180" s="417"/>
      <c r="F180" s="417"/>
      <c r="G180" s="417"/>
      <c r="H180" s="417"/>
      <c r="I180" s="417"/>
    </row>
    <row r="181" spans="1:9">
      <c r="A181" s="298"/>
      <c r="B181" s="89"/>
      <c r="C181" s="89" t="s">
        <v>81</v>
      </c>
      <c r="D181" s="42" t="s">
        <v>82</v>
      </c>
      <c r="E181" s="417"/>
      <c r="F181" s="417"/>
      <c r="G181" s="417"/>
      <c r="H181" s="417"/>
      <c r="I181" s="417"/>
    </row>
    <row r="182" spans="1:9">
      <c r="A182" s="298"/>
      <c r="B182" s="89"/>
      <c r="C182" s="89" t="s">
        <v>131</v>
      </c>
      <c r="D182" s="42"/>
      <c r="E182" s="417"/>
      <c r="F182" s="417"/>
      <c r="G182" s="417"/>
      <c r="H182" s="417"/>
      <c r="I182" s="417"/>
    </row>
    <row r="183" spans="1:9">
      <c r="A183" s="298"/>
      <c r="B183" s="89"/>
      <c r="C183" s="89" t="s">
        <v>83</v>
      </c>
      <c r="D183" s="42" t="s">
        <v>84</v>
      </c>
      <c r="E183" s="417"/>
      <c r="F183" s="417"/>
      <c r="G183" s="417"/>
      <c r="H183" s="417"/>
      <c r="I183" s="417"/>
    </row>
    <row r="184" spans="1:9">
      <c r="A184" s="298"/>
      <c r="B184" s="89"/>
      <c r="C184" s="89" t="s">
        <v>87</v>
      </c>
      <c r="D184" s="42" t="s">
        <v>132</v>
      </c>
      <c r="E184" s="417"/>
      <c r="F184" s="417"/>
      <c r="G184" s="417"/>
      <c r="H184" s="417"/>
      <c r="I184" s="417"/>
    </row>
    <row r="185" spans="1:9">
      <c r="A185" s="298"/>
      <c r="B185" s="89"/>
      <c r="C185" s="89" t="s">
        <v>85</v>
      </c>
      <c r="D185" s="42" t="s">
        <v>86</v>
      </c>
      <c r="E185" s="417"/>
      <c r="F185" s="417"/>
      <c r="G185" s="417"/>
      <c r="H185" s="417"/>
      <c r="I185" s="417"/>
    </row>
    <row r="186" spans="1:9">
      <c r="A186" s="298"/>
      <c r="B186" s="89" t="s">
        <v>381</v>
      </c>
      <c r="C186" s="89"/>
      <c r="D186" s="42"/>
      <c r="E186" s="117"/>
      <c r="F186" s="117"/>
      <c r="G186" s="117"/>
      <c r="H186" s="117"/>
      <c r="I186" s="117"/>
    </row>
    <row r="187" spans="1:9">
      <c r="A187" s="298"/>
      <c r="B187" s="89"/>
      <c r="C187" s="89" t="s">
        <v>79</v>
      </c>
      <c r="D187" s="42" t="s">
        <v>80</v>
      </c>
      <c r="E187" s="417"/>
      <c r="F187" s="417"/>
      <c r="G187" s="417"/>
      <c r="H187" s="417"/>
      <c r="I187" s="417"/>
    </row>
    <row r="188" spans="1:9">
      <c r="A188" s="298"/>
      <c r="B188" s="89"/>
      <c r="C188" s="89" t="s">
        <v>81</v>
      </c>
      <c r="D188" s="42" t="s">
        <v>82</v>
      </c>
      <c r="E188" s="416"/>
      <c r="F188" s="417"/>
      <c r="G188" s="417"/>
      <c r="H188" s="417"/>
      <c r="I188" s="417"/>
    </row>
    <row r="189" spans="1:9">
      <c r="A189" s="298"/>
      <c r="B189" s="89"/>
      <c r="C189" s="89" t="s">
        <v>131</v>
      </c>
      <c r="D189" s="42"/>
      <c r="E189" s="414"/>
      <c r="F189" s="415"/>
      <c r="G189" s="415"/>
      <c r="H189" s="415"/>
      <c r="I189" s="415"/>
    </row>
    <row r="190" spans="1:9">
      <c r="A190" s="298"/>
      <c r="B190" s="89"/>
      <c r="C190" s="89" t="s">
        <v>83</v>
      </c>
      <c r="D190" s="42" t="s">
        <v>84</v>
      </c>
      <c r="E190" s="416"/>
      <c r="F190" s="417"/>
      <c r="G190" s="417"/>
      <c r="H190" s="417"/>
      <c r="I190" s="417"/>
    </row>
    <row r="191" spans="1:9">
      <c r="A191" s="298"/>
      <c r="B191" s="89"/>
      <c r="C191" s="89" t="s">
        <v>87</v>
      </c>
      <c r="D191" s="42" t="s">
        <v>132</v>
      </c>
      <c r="E191" s="416"/>
      <c r="F191" s="417"/>
      <c r="G191" s="417"/>
      <c r="H191" s="417"/>
      <c r="I191" s="417"/>
    </row>
    <row r="192" spans="1:9">
      <c r="A192" s="298"/>
      <c r="B192" s="89"/>
      <c r="C192" s="89" t="s">
        <v>85</v>
      </c>
      <c r="D192" s="42" t="s">
        <v>86</v>
      </c>
      <c r="E192" s="414"/>
      <c r="F192" s="415"/>
      <c r="G192" s="415"/>
      <c r="H192" s="415"/>
      <c r="I192" s="415"/>
    </row>
    <row r="193" spans="1:11" ht="15" thickBot="1">
      <c r="A193" s="299" t="s">
        <v>419</v>
      </c>
      <c r="B193" s="95"/>
      <c r="C193" s="95"/>
      <c r="D193" s="144"/>
      <c r="E193" s="145">
        <f>SUM(E173:E192)</f>
        <v>0</v>
      </c>
      <c r="F193" s="145">
        <f>SUM(F173:F192)</f>
        <v>0</v>
      </c>
      <c r="G193" s="145">
        <f>SUM(G173:G192)</f>
        <v>0</v>
      </c>
      <c r="H193" s="145">
        <f>SUM(H173:H192)</f>
        <v>0</v>
      </c>
      <c r="I193" s="145">
        <f>SUM(I173:I192)</f>
        <v>0</v>
      </c>
    </row>
    <row r="194" spans="1:11" ht="15" thickTop="1">
      <c r="A194" s="132"/>
      <c r="B194" s="132"/>
      <c r="C194" s="132"/>
      <c r="D194" s="187"/>
      <c r="E194" s="334"/>
      <c r="F194" s="334"/>
      <c r="G194" s="334"/>
      <c r="H194" s="334"/>
      <c r="I194" s="334"/>
    </row>
    <row r="195" spans="1:11">
      <c r="A195" s="75"/>
      <c r="B195" s="418" t="str">
        <f>'Form 1 Cover'!B20</f>
        <v>Discovery Charter School</v>
      </c>
      <c r="C195" s="383"/>
      <c r="D195" s="34"/>
      <c r="E195" s="49"/>
      <c r="F195" s="49"/>
      <c r="H195" s="49"/>
      <c r="I195" s="384" t="str">
        <f>"Budget Fiscal Year "&amp;TEXT('Form 1 Cover'!$D$137, "mm/dd/yy")</f>
        <v>Budget Fiscal Year 2022-2023</v>
      </c>
    </row>
    <row r="196" spans="1:11">
      <c r="A196" s="75"/>
      <c r="B196" s="75"/>
      <c r="C196" s="75"/>
      <c r="D196" s="49"/>
      <c r="E196" s="75"/>
      <c r="F196" s="49"/>
      <c r="G196" s="49"/>
      <c r="H196" s="49"/>
      <c r="I196" s="49"/>
    </row>
    <row r="197" spans="1:11">
      <c r="A197" s="75"/>
      <c r="B197" s="75" t="s">
        <v>416</v>
      </c>
      <c r="C197" s="75"/>
      <c r="D197" s="49"/>
      <c r="E197" s="49"/>
      <c r="F197" s="49"/>
      <c r="G197" s="49"/>
      <c r="H197" s="335"/>
      <c r="I197" s="335">
        <f>'Form 1 Cover'!$D$146</f>
        <v>44607</v>
      </c>
    </row>
    <row r="198" spans="1:11">
      <c r="A198" s="75"/>
      <c r="B198" s="75"/>
      <c r="C198" s="75"/>
      <c r="D198" s="49"/>
      <c r="E198" s="49"/>
      <c r="F198" s="49"/>
      <c r="G198" s="49"/>
      <c r="H198" s="335"/>
      <c r="I198" s="335"/>
    </row>
    <row r="199" spans="1:11">
      <c r="A199" s="308"/>
      <c r="B199" s="70"/>
      <c r="C199" s="70"/>
      <c r="D199" s="71"/>
      <c r="E199" s="174">
        <v>-1</v>
      </c>
      <c r="F199" s="175">
        <v>-2</v>
      </c>
      <c r="G199" s="282">
        <v>-3</v>
      </c>
      <c r="H199" s="175">
        <v>-4</v>
      </c>
      <c r="I199" s="175">
        <v>-5</v>
      </c>
    </row>
    <row r="200" spans="1:11">
      <c r="A200" s="324"/>
      <c r="B200" s="75"/>
      <c r="C200" s="75"/>
      <c r="D200" s="38"/>
      <c r="E200" s="181"/>
      <c r="F200" s="23" t="s">
        <v>31</v>
      </c>
      <c r="G200" s="505" t="str">
        <f>"BUDGET YEAR ENDING "&amp;TEXT('Form 1 Cover'!D139, "MM/DD/YY")</f>
        <v>BUDGET YEAR ENDING 06/30/23</v>
      </c>
      <c r="H200" s="26"/>
      <c r="I200" s="506"/>
    </row>
    <row r="201" spans="1:11" ht="15">
      <c r="A201" s="324"/>
      <c r="B201" s="75"/>
      <c r="C201" s="75"/>
      <c r="D201" s="38"/>
      <c r="E201" s="177" t="s">
        <v>277</v>
      </c>
      <c r="F201" s="177" t="s">
        <v>279</v>
      </c>
      <c r="G201" s="178"/>
      <c r="H201" s="326"/>
      <c r="I201" s="177" t="s">
        <v>556</v>
      </c>
    </row>
    <row r="202" spans="1:11" ht="16">
      <c r="A202" s="324"/>
      <c r="B202" s="135" t="s">
        <v>77</v>
      </c>
      <c r="C202" s="49"/>
      <c r="D202" s="38"/>
      <c r="E202" s="177" t="s">
        <v>278</v>
      </c>
      <c r="F202" s="177" t="s">
        <v>278</v>
      </c>
      <c r="G202" s="179" t="s">
        <v>280</v>
      </c>
      <c r="H202" s="177" t="s">
        <v>109</v>
      </c>
      <c r="I202" s="177" t="s">
        <v>109</v>
      </c>
    </row>
    <row r="203" spans="1:11" ht="16">
      <c r="A203" s="322"/>
      <c r="B203" s="507"/>
      <c r="C203" s="507"/>
      <c r="D203" s="508"/>
      <c r="E203" s="4">
        <f>'Form 1 Cover'!D130</f>
        <v>44377</v>
      </c>
      <c r="F203" s="4">
        <f>'Form 1 Cover'!D134</f>
        <v>44742</v>
      </c>
      <c r="G203" s="180" t="s">
        <v>281</v>
      </c>
      <c r="H203" s="327" t="s">
        <v>281</v>
      </c>
      <c r="I203" s="327" t="s">
        <v>281</v>
      </c>
    </row>
    <row r="204" spans="1:11">
      <c r="A204" s="328" t="s">
        <v>567</v>
      </c>
      <c r="B204" s="148"/>
      <c r="C204" s="159" t="s">
        <v>570</v>
      </c>
      <c r="D204" s="190"/>
      <c r="E204" s="102"/>
      <c r="F204" s="102"/>
      <c r="G204" s="102"/>
      <c r="H204" s="102"/>
      <c r="I204" s="102"/>
      <c r="K204" s="424"/>
    </row>
    <row r="205" spans="1:11">
      <c r="A205" s="298"/>
      <c r="B205" s="89" t="s">
        <v>175</v>
      </c>
      <c r="C205" s="89"/>
      <c r="D205" s="42" t="s">
        <v>176</v>
      </c>
      <c r="E205" s="46"/>
      <c r="F205" s="46"/>
      <c r="G205" s="46"/>
      <c r="H205" s="46"/>
      <c r="I205" s="46"/>
    </row>
    <row r="206" spans="1:11">
      <c r="A206" s="298"/>
      <c r="B206" s="89"/>
      <c r="C206" s="89" t="s">
        <v>79</v>
      </c>
      <c r="D206" s="42" t="s">
        <v>80</v>
      </c>
      <c r="E206" s="417"/>
      <c r="F206" s="417"/>
      <c r="G206" s="417"/>
      <c r="H206" s="417"/>
      <c r="I206" s="417"/>
    </row>
    <row r="207" spans="1:11">
      <c r="A207" s="298"/>
      <c r="B207" s="89"/>
      <c r="C207" s="89" t="s">
        <v>81</v>
      </c>
      <c r="D207" s="42" t="s">
        <v>82</v>
      </c>
      <c r="E207" s="417"/>
      <c r="F207" s="417"/>
      <c r="G207" s="417"/>
      <c r="H207" s="417"/>
      <c r="I207" s="417"/>
    </row>
    <row r="208" spans="1:11">
      <c r="A208" s="298"/>
      <c r="B208" s="89"/>
      <c r="C208" s="89" t="s">
        <v>131</v>
      </c>
      <c r="D208" s="42"/>
      <c r="E208" s="417"/>
      <c r="F208" s="417"/>
      <c r="G208" s="417"/>
      <c r="H208" s="417"/>
      <c r="I208" s="417"/>
    </row>
    <row r="209" spans="1:9">
      <c r="A209" s="298"/>
      <c r="B209" s="89"/>
      <c r="C209" s="89" t="s">
        <v>83</v>
      </c>
      <c r="D209" s="42" t="s">
        <v>84</v>
      </c>
      <c r="E209" s="417"/>
      <c r="F209" s="417"/>
      <c r="G209" s="417"/>
      <c r="H209" s="417"/>
      <c r="I209" s="417"/>
    </row>
    <row r="210" spans="1:9">
      <c r="A210" s="298"/>
      <c r="B210" s="89"/>
      <c r="C210" s="89" t="s">
        <v>87</v>
      </c>
      <c r="D210" s="42" t="s">
        <v>132</v>
      </c>
      <c r="E210" s="417"/>
      <c r="F210" s="417"/>
      <c r="G210" s="417"/>
      <c r="H210" s="417"/>
      <c r="I210" s="417"/>
    </row>
    <row r="211" spans="1:9">
      <c r="A211" s="298"/>
      <c r="B211" s="89"/>
      <c r="C211" s="89" t="s">
        <v>85</v>
      </c>
      <c r="D211" s="42" t="s">
        <v>86</v>
      </c>
      <c r="E211" s="417"/>
      <c r="F211" s="417"/>
      <c r="G211" s="417"/>
      <c r="H211" s="417"/>
      <c r="I211" s="417"/>
    </row>
    <row r="212" spans="1:9">
      <c r="A212" s="298"/>
      <c r="B212" s="89" t="s">
        <v>380</v>
      </c>
      <c r="C212" s="89"/>
      <c r="D212" s="42"/>
      <c r="E212" s="117"/>
      <c r="F212" s="117"/>
      <c r="G212" s="117"/>
      <c r="H212" s="117"/>
      <c r="I212" s="117"/>
    </row>
    <row r="213" spans="1:9">
      <c r="A213" s="298"/>
      <c r="B213" s="89"/>
      <c r="C213" s="89" t="s">
        <v>79</v>
      </c>
      <c r="D213" s="42" t="s">
        <v>80</v>
      </c>
      <c r="E213" s="417"/>
      <c r="F213" s="417"/>
      <c r="G213" s="417"/>
      <c r="H213" s="417"/>
      <c r="I213" s="417"/>
    </row>
    <row r="214" spans="1:9">
      <c r="A214" s="298"/>
      <c r="B214" s="89"/>
      <c r="C214" s="89" t="s">
        <v>81</v>
      </c>
      <c r="D214" s="42" t="s">
        <v>82</v>
      </c>
      <c r="E214" s="417"/>
      <c r="F214" s="417"/>
      <c r="G214" s="417"/>
      <c r="H214" s="417"/>
      <c r="I214" s="417"/>
    </row>
    <row r="215" spans="1:9">
      <c r="A215" s="298"/>
      <c r="B215" s="89"/>
      <c r="C215" s="89" t="s">
        <v>131</v>
      </c>
      <c r="D215" s="42"/>
      <c r="E215" s="417"/>
      <c r="F215" s="417"/>
      <c r="G215" s="417"/>
      <c r="H215" s="417"/>
      <c r="I215" s="417"/>
    </row>
    <row r="216" spans="1:9">
      <c r="A216" s="298"/>
      <c r="B216" s="89"/>
      <c r="C216" s="89" t="s">
        <v>83</v>
      </c>
      <c r="D216" s="42" t="s">
        <v>84</v>
      </c>
      <c r="E216" s="417"/>
      <c r="F216" s="417"/>
      <c r="G216" s="417"/>
      <c r="H216" s="417"/>
      <c r="I216" s="417"/>
    </row>
    <row r="217" spans="1:9">
      <c r="A217" s="298"/>
      <c r="B217" s="89"/>
      <c r="C217" s="89" t="s">
        <v>87</v>
      </c>
      <c r="D217" s="42" t="s">
        <v>132</v>
      </c>
      <c r="E217" s="417"/>
      <c r="F217" s="417"/>
      <c r="G217" s="417"/>
      <c r="H217" s="417"/>
      <c r="I217" s="417"/>
    </row>
    <row r="218" spans="1:9">
      <c r="A218" s="298"/>
      <c r="B218" s="89"/>
      <c r="C218" s="89" t="s">
        <v>85</v>
      </c>
      <c r="D218" s="42" t="s">
        <v>86</v>
      </c>
      <c r="E218" s="417"/>
      <c r="F218" s="417"/>
      <c r="G218" s="417"/>
      <c r="H218" s="417"/>
      <c r="I218" s="417"/>
    </row>
    <row r="219" spans="1:9">
      <c r="A219" s="298"/>
      <c r="B219" s="89" t="s">
        <v>381</v>
      </c>
      <c r="C219" s="89"/>
      <c r="D219" s="42"/>
      <c r="E219" s="117"/>
      <c r="F219" s="117"/>
      <c r="G219" s="117"/>
      <c r="H219" s="117"/>
      <c r="I219" s="117"/>
    </row>
    <row r="220" spans="1:9">
      <c r="A220" s="298"/>
      <c r="B220" s="89"/>
      <c r="C220" s="89" t="s">
        <v>79</v>
      </c>
      <c r="D220" s="42" t="s">
        <v>80</v>
      </c>
      <c r="E220" s="417"/>
      <c r="F220" s="417"/>
      <c r="G220" s="417"/>
      <c r="H220" s="417"/>
      <c r="I220" s="417"/>
    </row>
    <row r="221" spans="1:9">
      <c r="A221" s="298"/>
      <c r="B221" s="89"/>
      <c r="C221" s="89" t="s">
        <v>81</v>
      </c>
      <c r="D221" s="42" t="s">
        <v>82</v>
      </c>
      <c r="E221" s="417"/>
      <c r="F221" s="417"/>
      <c r="G221" s="417"/>
      <c r="H221" s="417"/>
      <c r="I221" s="417"/>
    </row>
    <row r="222" spans="1:9">
      <c r="A222" s="298"/>
      <c r="B222" s="89"/>
      <c r="C222" s="89" t="s">
        <v>131</v>
      </c>
      <c r="D222" s="42"/>
      <c r="E222" s="417"/>
      <c r="F222" s="417"/>
      <c r="G222" s="417"/>
      <c r="H222" s="417"/>
      <c r="I222" s="417"/>
    </row>
    <row r="223" spans="1:9">
      <c r="A223" s="298"/>
      <c r="B223" s="89"/>
      <c r="C223" s="89" t="s">
        <v>83</v>
      </c>
      <c r="D223" s="42" t="s">
        <v>84</v>
      </c>
      <c r="E223" s="417"/>
      <c r="F223" s="417"/>
      <c r="G223" s="417"/>
      <c r="H223" s="417"/>
      <c r="I223" s="417"/>
    </row>
    <row r="224" spans="1:9">
      <c r="A224" s="298"/>
      <c r="B224" s="89"/>
      <c r="C224" s="89" t="s">
        <v>87</v>
      </c>
      <c r="D224" s="42" t="s">
        <v>132</v>
      </c>
      <c r="E224" s="417"/>
      <c r="F224" s="417"/>
      <c r="G224" s="417"/>
      <c r="H224" s="417"/>
      <c r="I224" s="417"/>
    </row>
    <row r="225" spans="1:12">
      <c r="A225" s="298"/>
      <c r="B225" s="89"/>
      <c r="C225" s="89" t="s">
        <v>85</v>
      </c>
      <c r="D225" s="42" t="s">
        <v>86</v>
      </c>
      <c r="E225" s="417"/>
      <c r="F225" s="417"/>
      <c r="G225" s="417"/>
      <c r="H225" s="417"/>
      <c r="I225" s="417"/>
    </row>
    <row r="226" spans="1:12" ht="15" thickBot="1">
      <c r="A226" s="309" t="s">
        <v>567</v>
      </c>
      <c r="B226" s="108"/>
      <c r="C226" s="146" t="s">
        <v>569</v>
      </c>
      <c r="D226" s="48"/>
      <c r="E226" s="137">
        <f>SUM(E206:E225)</f>
        <v>0</v>
      </c>
      <c r="F226" s="137">
        <f>SUM(F206:F225)</f>
        <v>0</v>
      </c>
      <c r="G226" s="137">
        <f>SUM(G206:G225)</f>
        <v>0</v>
      </c>
      <c r="H226" s="137">
        <f>SUM(H206:H225)</f>
        <v>0</v>
      </c>
      <c r="I226" s="137">
        <f>SUM(I206:I225)</f>
        <v>0</v>
      </c>
    </row>
    <row r="227" spans="1:12" ht="15" thickTop="1">
      <c r="A227" s="328" t="s">
        <v>179</v>
      </c>
      <c r="B227" s="148"/>
      <c r="C227" s="159" t="s">
        <v>379</v>
      </c>
      <c r="D227" s="190"/>
      <c r="E227" s="102"/>
      <c r="F227" s="102"/>
      <c r="G227" s="102"/>
      <c r="H227" s="102"/>
      <c r="I227" s="102"/>
    </row>
    <row r="228" spans="1:12">
      <c r="A228" s="298"/>
      <c r="B228" s="89" t="s">
        <v>175</v>
      </c>
      <c r="C228" s="89"/>
      <c r="D228" s="42" t="s">
        <v>176</v>
      </c>
      <c r="E228" s="46"/>
      <c r="F228" s="46"/>
      <c r="G228" s="46"/>
      <c r="H228" s="46"/>
      <c r="I228" s="46"/>
    </row>
    <row r="229" spans="1:12">
      <c r="A229" s="298"/>
      <c r="B229" s="89"/>
      <c r="C229" s="89" t="s">
        <v>79</v>
      </c>
      <c r="D229" s="42" t="s">
        <v>80</v>
      </c>
      <c r="E229" s="417"/>
      <c r="F229" s="417"/>
      <c r="G229" s="417"/>
      <c r="H229" s="417"/>
      <c r="I229" s="417"/>
      <c r="K229" s="390"/>
      <c r="L229" s="390"/>
    </row>
    <row r="230" spans="1:12">
      <c r="A230" s="298"/>
      <c r="B230" s="89"/>
      <c r="C230" s="89" t="s">
        <v>81</v>
      </c>
      <c r="D230" s="42" t="s">
        <v>82</v>
      </c>
      <c r="E230" s="417"/>
      <c r="F230" s="417"/>
      <c r="G230" s="417"/>
      <c r="H230" s="417"/>
      <c r="I230" s="417"/>
    </row>
    <row r="231" spans="1:12">
      <c r="A231" s="298"/>
      <c r="B231" s="89"/>
      <c r="C231" s="89" t="s">
        <v>131</v>
      </c>
      <c r="D231" s="42"/>
      <c r="E231" s="417"/>
      <c r="F231" s="417"/>
      <c r="G231" s="417"/>
      <c r="H231" s="417"/>
      <c r="I231" s="417"/>
    </row>
    <row r="232" spans="1:12">
      <c r="A232" s="298"/>
      <c r="B232" s="89"/>
      <c r="C232" s="89" t="s">
        <v>83</v>
      </c>
      <c r="D232" s="42" t="s">
        <v>84</v>
      </c>
      <c r="E232" s="417"/>
      <c r="F232" s="417"/>
      <c r="G232" s="417"/>
      <c r="H232" s="417"/>
      <c r="I232" s="417"/>
    </row>
    <row r="233" spans="1:12">
      <c r="A233" s="298"/>
      <c r="B233" s="89"/>
      <c r="C233" s="89" t="s">
        <v>87</v>
      </c>
      <c r="D233" s="42" t="s">
        <v>132</v>
      </c>
      <c r="E233" s="417"/>
      <c r="F233" s="417"/>
      <c r="G233" s="417"/>
      <c r="H233" s="417"/>
      <c r="I233" s="417"/>
    </row>
    <row r="234" spans="1:12">
      <c r="A234" s="298"/>
      <c r="B234" s="89"/>
      <c r="C234" s="89" t="s">
        <v>85</v>
      </c>
      <c r="D234" s="42" t="s">
        <v>86</v>
      </c>
      <c r="E234" s="417"/>
      <c r="F234" s="417"/>
      <c r="G234" s="417"/>
      <c r="H234" s="417"/>
      <c r="I234" s="417"/>
    </row>
    <row r="235" spans="1:12">
      <c r="A235" s="298"/>
      <c r="B235" s="89" t="s">
        <v>380</v>
      </c>
      <c r="C235" s="89"/>
      <c r="D235" s="42"/>
      <c r="E235" s="117"/>
      <c r="F235" s="117"/>
      <c r="G235" s="117"/>
      <c r="H235" s="117"/>
      <c r="I235" s="117"/>
    </row>
    <row r="236" spans="1:12">
      <c r="A236" s="298"/>
      <c r="B236" s="89"/>
      <c r="C236" s="89" t="s">
        <v>79</v>
      </c>
      <c r="D236" s="42" t="s">
        <v>80</v>
      </c>
      <c r="E236" s="417"/>
      <c r="F236" s="417"/>
      <c r="G236" s="417"/>
      <c r="H236" s="417"/>
      <c r="I236" s="417"/>
    </row>
    <row r="237" spans="1:12">
      <c r="A237" s="298"/>
      <c r="B237" s="89"/>
      <c r="C237" s="89" t="s">
        <v>81</v>
      </c>
      <c r="D237" s="42" t="s">
        <v>82</v>
      </c>
      <c r="E237" s="417"/>
      <c r="F237" s="417"/>
      <c r="G237" s="417"/>
      <c r="H237" s="417"/>
      <c r="I237" s="417"/>
    </row>
    <row r="238" spans="1:12">
      <c r="A238" s="298"/>
      <c r="B238" s="89"/>
      <c r="C238" s="89" t="s">
        <v>131</v>
      </c>
      <c r="D238" s="42"/>
      <c r="E238" s="417"/>
      <c r="F238" s="417"/>
      <c r="G238" s="417"/>
      <c r="H238" s="417"/>
      <c r="I238" s="417"/>
    </row>
    <row r="239" spans="1:12">
      <c r="A239" s="298"/>
      <c r="B239" s="89"/>
      <c r="C239" s="89" t="s">
        <v>83</v>
      </c>
      <c r="D239" s="42" t="s">
        <v>84</v>
      </c>
      <c r="E239" s="417"/>
      <c r="F239" s="417"/>
      <c r="G239" s="417"/>
      <c r="H239" s="417"/>
      <c r="I239" s="417"/>
    </row>
    <row r="240" spans="1:12">
      <c r="A240" s="298"/>
      <c r="B240" s="89"/>
      <c r="C240" s="89" t="s">
        <v>87</v>
      </c>
      <c r="D240" s="42" t="s">
        <v>132</v>
      </c>
      <c r="E240" s="417"/>
      <c r="F240" s="417"/>
      <c r="G240" s="417"/>
      <c r="H240" s="417"/>
      <c r="I240" s="417"/>
    </row>
    <row r="241" spans="1:9">
      <c r="A241" s="298"/>
      <c r="B241" s="89"/>
      <c r="C241" s="89" t="s">
        <v>85</v>
      </c>
      <c r="D241" s="42" t="s">
        <v>86</v>
      </c>
      <c r="E241" s="417"/>
      <c r="F241" s="417"/>
      <c r="G241" s="417"/>
      <c r="H241" s="417"/>
      <c r="I241" s="417"/>
    </row>
    <row r="242" spans="1:9">
      <c r="A242" s="298"/>
      <c r="B242" s="89" t="s">
        <v>381</v>
      </c>
      <c r="C242" s="89"/>
      <c r="D242" s="42"/>
      <c r="E242" s="117"/>
      <c r="F242" s="117"/>
      <c r="G242" s="117"/>
      <c r="H242" s="117"/>
      <c r="I242" s="117"/>
    </row>
    <row r="243" spans="1:9">
      <c r="A243" s="298"/>
      <c r="B243" s="89"/>
      <c r="C243" s="89" t="s">
        <v>79</v>
      </c>
      <c r="D243" s="42" t="s">
        <v>80</v>
      </c>
      <c r="E243" s="417"/>
      <c r="F243" s="417"/>
      <c r="G243" s="417"/>
      <c r="H243" s="417"/>
      <c r="I243" s="417"/>
    </row>
    <row r="244" spans="1:9">
      <c r="A244" s="298"/>
      <c r="B244" s="89"/>
      <c r="C244" s="89" t="s">
        <v>81</v>
      </c>
      <c r="D244" s="42" t="s">
        <v>82</v>
      </c>
      <c r="E244" s="417"/>
      <c r="F244" s="417"/>
      <c r="G244" s="417"/>
      <c r="H244" s="417"/>
      <c r="I244" s="417"/>
    </row>
    <row r="245" spans="1:9">
      <c r="A245" s="298"/>
      <c r="B245" s="89"/>
      <c r="C245" s="89" t="s">
        <v>131</v>
      </c>
      <c r="D245" s="42"/>
      <c r="E245" s="417"/>
      <c r="F245" s="417"/>
      <c r="G245" s="417"/>
      <c r="H245" s="417"/>
      <c r="I245" s="417"/>
    </row>
    <row r="246" spans="1:9">
      <c r="A246" s="298"/>
      <c r="B246" s="89"/>
      <c r="C246" s="89" t="s">
        <v>83</v>
      </c>
      <c r="D246" s="42" t="s">
        <v>84</v>
      </c>
      <c r="E246" s="417"/>
      <c r="F246" s="417"/>
      <c r="G246" s="417"/>
      <c r="H246" s="417"/>
      <c r="I246" s="417"/>
    </row>
    <row r="247" spans="1:9">
      <c r="A247" s="298"/>
      <c r="B247" s="89"/>
      <c r="C247" s="89" t="s">
        <v>87</v>
      </c>
      <c r="D247" s="42" t="s">
        <v>132</v>
      </c>
      <c r="E247" s="417"/>
      <c r="F247" s="417"/>
      <c r="G247" s="417"/>
      <c r="H247" s="417"/>
      <c r="I247" s="417"/>
    </row>
    <row r="248" spans="1:9">
      <c r="A248" s="298"/>
      <c r="B248" s="89"/>
      <c r="C248" s="89" t="s">
        <v>85</v>
      </c>
      <c r="D248" s="42" t="s">
        <v>86</v>
      </c>
      <c r="E248" s="417"/>
      <c r="F248" s="417"/>
      <c r="G248" s="417"/>
      <c r="H248" s="417"/>
      <c r="I248" s="417"/>
    </row>
    <row r="249" spans="1:9" ht="15" thickBot="1">
      <c r="A249" s="309" t="s">
        <v>179</v>
      </c>
      <c r="B249" s="108"/>
      <c r="C249" s="146" t="s">
        <v>568</v>
      </c>
      <c r="D249" s="48"/>
      <c r="E249" s="137">
        <f>SUM(E229:E248)</f>
        <v>0</v>
      </c>
      <c r="F249" s="137">
        <f>SUM(F229:F248)</f>
        <v>0</v>
      </c>
      <c r="G249" s="137">
        <f>SUM(G229:G248)</f>
        <v>0</v>
      </c>
      <c r="H249" s="137">
        <f>SUM(H229:H248)</f>
        <v>0</v>
      </c>
      <c r="I249" s="137">
        <f>SUM(I229:I248)</f>
        <v>0</v>
      </c>
    </row>
    <row r="250" spans="1:9" ht="16" thickTop="1" thickBot="1">
      <c r="A250" s="29"/>
      <c r="B250" s="29"/>
      <c r="C250" s="29"/>
    </row>
    <row r="251" spans="1:9" ht="15" thickTop="1">
      <c r="A251" s="132"/>
      <c r="B251" s="132"/>
      <c r="C251" s="189"/>
      <c r="D251" s="187"/>
      <c r="E251" s="334"/>
      <c r="F251" s="334"/>
      <c r="G251" s="334"/>
      <c r="H251" s="334"/>
      <c r="I251" s="334"/>
    </row>
    <row r="252" spans="1:9">
      <c r="A252" s="75"/>
      <c r="B252" s="418" t="str">
        <f>'Form 1 Cover'!B20</f>
        <v>Discovery Charter School</v>
      </c>
      <c r="C252" s="383"/>
      <c r="D252" s="34"/>
      <c r="E252" s="49"/>
      <c r="F252" s="49"/>
      <c r="H252" s="49"/>
      <c r="I252" s="384" t="str">
        <f>"Budget Fiscal Year "&amp;TEXT('Form 1 Cover'!$D$137, "mm/dd/yy")</f>
        <v>Budget Fiscal Year 2022-2023</v>
      </c>
    </row>
    <row r="253" spans="1:9">
      <c r="A253" s="75"/>
      <c r="B253" s="75"/>
      <c r="C253" s="75"/>
      <c r="D253" s="49"/>
      <c r="E253" s="75"/>
      <c r="F253" s="49"/>
      <c r="G253" s="49"/>
      <c r="H253" s="49"/>
      <c r="I253" s="49"/>
    </row>
    <row r="254" spans="1:9">
      <c r="A254" s="75"/>
      <c r="B254" s="75" t="s">
        <v>416</v>
      </c>
      <c r="C254" s="75"/>
      <c r="D254" s="49"/>
      <c r="E254" s="49"/>
      <c r="F254" s="49"/>
      <c r="G254" s="49"/>
      <c r="H254" s="335"/>
      <c r="I254" s="335">
        <f>'Form 1 Cover'!$D$146</f>
        <v>44607</v>
      </c>
    </row>
    <row r="255" spans="1:9">
      <c r="A255" s="75"/>
      <c r="B255" s="75"/>
      <c r="C255" s="75"/>
      <c r="D255" s="49"/>
      <c r="E255" s="49"/>
      <c r="F255" s="49"/>
      <c r="G255" s="49"/>
      <c r="H255" s="335"/>
      <c r="I255" s="335"/>
    </row>
    <row r="256" spans="1:9">
      <c r="A256" s="308"/>
      <c r="B256" s="70"/>
      <c r="C256" s="70"/>
      <c r="D256" s="71"/>
      <c r="E256" s="174">
        <v>-1</v>
      </c>
      <c r="F256" s="175">
        <v>-2</v>
      </c>
      <c r="G256" s="282">
        <v>-3</v>
      </c>
      <c r="H256" s="175">
        <v>-4</v>
      </c>
      <c r="I256" s="175">
        <v>-5</v>
      </c>
    </row>
    <row r="257" spans="1:9">
      <c r="A257" s="324"/>
      <c r="B257" s="75"/>
      <c r="C257" s="75"/>
      <c r="D257" s="38"/>
      <c r="E257" s="181"/>
      <c r="F257" s="23" t="s">
        <v>31</v>
      </c>
      <c r="G257" s="505" t="str">
        <f>"BUDGET YEAR ENDING "&amp;TEXT('Form 1 Cover'!D139, "MM/DD/YY")</f>
        <v>BUDGET YEAR ENDING 06/30/23</v>
      </c>
      <c r="H257" s="26"/>
      <c r="I257" s="506"/>
    </row>
    <row r="258" spans="1:9" ht="15">
      <c r="A258" s="324"/>
      <c r="B258" s="75"/>
      <c r="C258" s="75"/>
      <c r="D258" s="38"/>
      <c r="E258" s="177" t="s">
        <v>277</v>
      </c>
      <c r="F258" s="177" t="s">
        <v>279</v>
      </c>
      <c r="G258" s="178"/>
      <c r="H258" s="326"/>
      <c r="I258" s="177" t="s">
        <v>556</v>
      </c>
    </row>
    <row r="259" spans="1:9" ht="16">
      <c r="A259" s="324"/>
      <c r="B259" s="135" t="s">
        <v>77</v>
      </c>
      <c r="C259" s="49"/>
      <c r="D259" s="38"/>
      <c r="E259" s="177" t="s">
        <v>278</v>
      </c>
      <c r="F259" s="177" t="s">
        <v>278</v>
      </c>
      <c r="G259" s="179" t="s">
        <v>280</v>
      </c>
      <c r="H259" s="177" t="s">
        <v>109</v>
      </c>
      <c r="I259" s="177" t="s">
        <v>109</v>
      </c>
    </row>
    <row r="260" spans="1:9" ht="17" thickBot="1">
      <c r="A260" s="322"/>
      <c r="B260" s="509"/>
      <c r="C260" s="509"/>
      <c r="D260" s="510"/>
      <c r="E260" s="4">
        <f>'Form 1 Cover'!D130</f>
        <v>44377</v>
      </c>
      <c r="F260" s="4">
        <f>'Form 1 Cover'!D134</f>
        <v>44742</v>
      </c>
      <c r="G260" s="180" t="s">
        <v>281</v>
      </c>
      <c r="H260" s="327" t="s">
        <v>281</v>
      </c>
      <c r="I260" s="327" t="s">
        <v>281</v>
      </c>
    </row>
    <row r="261" spans="1:9" ht="15" thickTop="1">
      <c r="A261" s="328" t="s">
        <v>683</v>
      </c>
      <c r="B261" s="148"/>
      <c r="C261" s="159" t="s">
        <v>372</v>
      </c>
      <c r="D261" s="190"/>
      <c r="E261" s="102"/>
      <c r="F261" s="102"/>
      <c r="G261" s="102"/>
      <c r="H261" s="102"/>
      <c r="I261" s="102"/>
    </row>
    <row r="262" spans="1:9">
      <c r="A262" s="298"/>
      <c r="B262" s="89" t="s">
        <v>175</v>
      </c>
      <c r="C262" s="89"/>
      <c r="D262" s="42" t="s">
        <v>176</v>
      </c>
      <c r="E262" s="46"/>
      <c r="F262" s="46"/>
      <c r="G262" s="46"/>
      <c r="H262" s="46"/>
      <c r="I262" s="46"/>
    </row>
    <row r="263" spans="1:9">
      <c r="A263" s="298"/>
      <c r="B263" s="89"/>
      <c r="C263" s="89" t="s">
        <v>79</v>
      </c>
      <c r="D263" s="42" t="s">
        <v>80</v>
      </c>
      <c r="E263" s="417"/>
      <c r="F263" s="417"/>
      <c r="G263" s="417"/>
      <c r="H263" s="417"/>
      <c r="I263" s="417"/>
    </row>
    <row r="264" spans="1:9">
      <c r="A264" s="298"/>
      <c r="B264" s="89"/>
      <c r="C264" s="89" t="s">
        <v>81</v>
      </c>
      <c r="D264" s="42" t="s">
        <v>82</v>
      </c>
      <c r="E264" s="417"/>
      <c r="F264" s="417"/>
      <c r="G264" s="417"/>
      <c r="H264" s="417"/>
      <c r="I264" s="417"/>
    </row>
    <row r="265" spans="1:9">
      <c r="A265" s="298"/>
      <c r="B265" s="89"/>
      <c r="C265" s="89" t="s">
        <v>131</v>
      </c>
      <c r="D265" s="42"/>
      <c r="E265" s="417"/>
      <c r="F265" s="417"/>
      <c r="G265" s="417"/>
      <c r="H265" s="417"/>
      <c r="I265" s="417"/>
    </row>
    <row r="266" spans="1:9">
      <c r="A266" s="298"/>
      <c r="B266" s="89"/>
      <c r="C266" s="89" t="s">
        <v>83</v>
      </c>
      <c r="D266" s="42" t="s">
        <v>84</v>
      </c>
      <c r="E266" s="417"/>
      <c r="F266" s="417"/>
      <c r="G266" s="417"/>
      <c r="H266" s="417"/>
      <c r="I266" s="417"/>
    </row>
    <row r="267" spans="1:9">
      <c r="A267" s="298"/>
      <c r="B267" s="89"/>
      <c r="C267" s="89" t="s">
        <v>87</v>
      </c>
      <c r="D267" s="42" t="s">
        <v>132</v>
      </c>
      <c r="E267" s="417"/>
      <c r="F267" s="417"/>
      <c r="G267" s="417"/>
      <c r="H267" s="417"/>
      <c r="I267" s="417"/>
    </row>
    <row r="268" spans="1:9">
      <c r="A268" s="298"/>
      <c r="B268" s="89"/>
      <c r="C268" s="89" t="s">
        <v>85</v>
      </c>
      <c r="D268" s="42" t="s">
        <v>86</v>
      </c>
      <c r="E268" s="417"/>
      <c r="F268" s="417"/>
      <c r="G268" s="417"/>
      <c r="H268" s="417"/>
      <c r="I268" s="417"/>
    </row>
    <row r="269" spans="1:9">
      <c r="A269" s="298"/>
      <c r="B269" s="89" t="s">
        <v>380</v>
      </c>
      <c r="C269" s="89"/>
      <c r="D269" s="42"/>
      <c r="E269" s="117"/>
      <c r="F269" s="117"/>
      <c r="G269" s="117"/>
      <c r="H269" s="117"/>
      <c r="I269" s="117"/>
    </row>
    <row r="270" spans="1:9">
      <c r="A270" s="298"/>
      <c r="B270" s="89"/>
      <c r="C270" s="89" t="s">
        <v>79</v>
      </c>
      <c r="D270" s="42" t="s">
        <v>80</v>
      </c>
      <c r="E270" s="417"/>
      <c r="F270" s="417"/>
      <c r="G270" s="417"/>
      <c r="H270" s="417"/>
      <c r="I270" s="417"/>
    </row>
    <row r="271" spans="1:9">
      <c r="A271" s="298"/>
      <c r="B271" s="89"/>
      <c r="C271" s="89" t="s">
        <v>81</v>
      </c>
      <c r="D271" s="42" t="s">
        <v>82</v>
      </c>
      <c r="E271" s="417"/>
      <c r="F271" s="417"/>
      <c r="G271" s="417"/>
      <c r="H271" s="417"/>
      <c r="I271" s="417"/>
    </row>
    <row r="272" spans="1:9">
      <c r="A272" s="298"/>
      <c r="B272" s="89"/>
      <c r="C272" s="89" t="s">
        <v>131</v>
      </c>
      <c r="D272" s="42"/>
      <c r="E272" s="417"/>
      <c r="F272" s="417"/>
      <c r="G272" s="417"/>
      <c r="H272" s="417"/>
      <c r="I272" s="417"/>
    </row>
    <row r="273" spans="1:9">
      <c r="A273" s="298"/>
      <c r="B273" s="89"/>
      <c r="C273" s="89" t="s">
        <v>83</v>
      </c>
      <c r="D273" s="42" t="s">
        <v>84</v>
      </c>
      <c r="E273" s="417"/>
      <c r="F273" s="417"/>
      <c r="G273" s="417"/>
      <c r="H273" s="417"/>
      <c r="I273" s="417"/>
    </row>
    <row r="274" spans="1:9">
      <c r="A274" s="298"/>
      <c r="B274" s="89"/>
      <c r="C274" s="89" t="s">
        <v>87</v>
      </c>
      <c r="D274" s="42" t="s">
        <v>132</v>
      </c>
      <c r="E274" s="417"/>
      <c r="F274" s="417"/>
      <c r="G274" s="417"/>
      <c r="H274" s="417"/>
      <c r="I274" s="417"/>
    </row>
    <row r="275" spans="1:9">
      <c r="A275" s="298"/>
      <c r="B275" s="89"/>
      <c r="C275" s="89" t="s">
        <v>85</v>
      </c>
      <c r="D275" s="42" t="s">
        <v>86</v>
      </c>
      <c r="E275" s="417"/>
      <c r="F275" s="417"/>
      <c r="G275" s="417"/>
      <c r="H275" s="417"/>
      <c r="I275" s="417"/>
    </row>
    <row r="276" spans="1:9">
      <c r="A276" s="298"/>
      <c r="B276" s="89" t="s">
        <v>381</v>
      </c>
      <c r="C276" s="89"/>
      <c r="D276" s="42"/>
      <c r="E276" s="117"/>
      <c r="F276" s="117"/>
      <c r="G276" s="117"/>
      <c r="H276" s="117"/>
      <c r="I276" s="117"/>
    </row>
    <row r="277" spans="1:9">
      <c r="A277" s="298"/>
      <c r="B277" s="89"/>
      <c r="C277" s="89" t="s">
        <v>79</v>
      </c>
      <c r="D277" s="42" t="s">
        <v>80</v>
      </c>
      <c r="E277" s="417"/>
      <c r="F277" s="417"/>
      <c r="G277" s="417"/>
      <c r="H277" s="417"/>
      <c r="I277" s="417"/>
    </row>
    <row r="278" spans="1:9">
      <c r="A278" s="298"/>
      <c r="B278" s="89"/>
      <c r="C278" s="89" t="s">
        <v>81</v>
      </c>
      <c r="D278" s="42" t="s">
        <v>82</v>
      </c>
      <c r="E278" s="417"/>
      <c r="F278" s="417"/>
      <c r="G278" s="417"/>
      <c r="H278" s="417"/>
      <c r="I278" s="417"/>
    </row>
    <row r="279" spans="1:9">
      <c r="A279" s="298"/>
      <c r="B279" s="89"/>
      <c r="C279" s="89" t="s">
        <v>131</v>
      </c>
      <c r="D279" s="42"/>
      <c r="E279" s="417"/>
      <c r="F279" s="417"/>
      <c r="G279" s="417"/>
      <c r="H279" s="417"/>
      <c r="I279" s="417"/>
    </row>
    <row r="280" spans="1:9">
      <c r="A280" s="298"/>
      <c r="B280" s="89"/>
      <c r="C280" s="89" t="s">
        <v>83</v>
      </c>
      <c r="D280" s="42" t="s">
        <v>84</v>
      </c>
      <c r="E280" s="417"/>
      <c r="F280" s="417"/>
      <c r="G280" s="417"/>
      <c r="H280" s="417"/>
      <c r="I280" s="417"/>
    </row>
    <row r="281" spans="1:9">
      <c r="A281" s="298"/>
      <c r="B281" s="89"/>
      <c r="C281" s="89" t="s">
        <v>87</v>
      </c>
      <c r="D281" s="42" t="s">
        <v>132</v>
      </c>
      <c r="E281" s="417"/>
      <c r="F281" s="417"/>
      <c r="G281" s="417"/>
      <c r="H281" s="417"/>
      <c r="I281" s="417"/>
    </row>
    <row r="282" spans="1:9">
      <c r="A282" s="298"/>
      <c r="B282" s="89"/>
      <c r="C282" s="89" t="s">
        <v>85</v>
      </c>
      <c r="D282" s="42" t="s">
        <v>86</v>
      </c>
      <c r="E282" s="417"/>
      <c r="F282" s="417"/>
      <c r="G282" s="417"/>
      <c r="H282" s="417"/>
      <c r="I282" s="417"/>
    </row>
    <row r="283" spans="1:9" ht="15" thickBot="1">
      <c r="A283" s="309" t="s">
        <v>179</v>
      </c>
      <c r="B283" s="108"/>
      <c r="C283" s="146" t="s">
        <v>684</v>
      </c>
      <c r="D283" s="48"/>
      <c r="E283" s="137">
        <f>SUM(E263:E282)</f>
        <v>0</v>
      </c>
      <c r="F283" s="137">
        <f>SUM(F263:F282)</f>
        <v>0</v>
      </c>
      <c r="G283" s="137">
        <f>SUM(G263:G282)</f>
        <v>0</v>
      </c>
      <c r="H283" s="137">
        <f>SUM(H263:H282)</f>
        <v>0</v>
      </c>
      <c r="I283" s="137">
        <f>SUM(I263:I282)</f>
        <v>0</v>
      </c>
    </row>
    <row r="284" spans="1:9" ht="15" thickTop="1">
      <c r="A284" s="300" t="s">
        <v>420</v>
      </c>
      <c r="B284" s="99"/>
      <c r="C284" s="138" t="s">
        <v>421</v>
      </c>
      <c r="D284" s="139"/>
      <c r="E284" s="140"/>
      <c r="F284" s="140"/>
      <c r="G284" s="140"/>
      <c r="H284" s="140"/>
      <c r="I284" s="140"/>
    </row>
    <row r="285" spans="1:9">
      <c r="A285" s="298"/>
      <c r="B285" s="89" t="s">
        <v>175</v>
      </c>
      <c r="C285" s="89"/>
      <c r="D285" s="42" t="s">
        <v>176</v>
      </c>
      <c r="E285" s="142"/>
      <c r="F285" s="117"/>
      <c r="G285" s="117"/>
      <c r="H285" s="117"/>
      <c r="I285" s="117"/>
    </row>
    <row r="286" spans="1:9">
      <c r="A286" s="298"/>
      <c r="B286" s="89"/>
      <c r="C286" s="89" t="s">
        <v>79</v>
      </c>
      <c r="D286" s="42" t="s">
        <v>80</v>
      </c>
      <c r="E286" s="417"/>
      <c r="F286" s="417"/>
      <c r="G286" s="417"/>
      <c r="H286" s="417"/>
      <c r="I286" s="417"/>
    </row>
    <row r="287" spans="1:9">
      <c r="A287" s="298"/>
      <c r="B287" s="89"/>
      <c r="C287" s="89" t="s">
        <v>81</v>
      </c>
      <c r="D287" s="42" t="s">
        <v>82</v>
      </c>
      <c r="E287" s="414"/>
      <c r="F287" s="415"/>
      <c r="G287" s="415"/>
      <c r="H287" s="415"/>
      <c r="I287" s="415"/>
    </row>
    <row r="288" spans="1:9">
      <c r="A288" s="298"/>
      <c r="B288" s="89"/>
      <c r="C288" s="89" t="s">
        <v>131</v>
      </c>
      <c r="D288" s="42"/>
      <c r="E288" s="417"/>
      <c r="F288" s="417"/>
      <c r="G288" s="417"/>
      <c r="H288" s="417"/>
      <c r="I288" s="417"/>
    </row>
    <row r="289" spans="1:9">
      <c r="A289" s="298"/>
      <c r="B289" s="89"/>
      <c r="C289" s="89" t="s">
        <v>83</v>
      </c>
      <c r="D289" s="42" t="s">
        <v>84</v>
      </c>
      <c r="E289" s="417"/>
      <c r="F289" s="417"/>
      <c r="G289" s="417"/>
      <c r="H289" s="417"/>
      <c r="I289" s="417"/>
    </row>
    <row r="290" spans="1:9">
      <c r="A290" s="298"/>
      <c r="B290" s="89"/>
      <c r="C290" s="89" t="s">
        <v>87</v>
      </c>
      <c r="D290" s="42" t="s">
        <v>132</v>
      </c>
      <c r="E290" s="417"/>
      <c r="F290" s="417"/>
      <c r="G290" s="417"/>
      <c r="H290" s="417"/>
      <c r="I290" s="417"/>
    </row>
    <row r="291" spans="1:9">
      <c r="A291" s="298"/>
      <c r="B291" s="89"/>
      <c r="C291" s="89" t="s">
        <v>85</v>
      </c>
      <c r="D291" s="42" t="s">
        <v>86</v>
      </c>
      <c r="E291" s="414"/>
      <c r="F291" s="415"/>
      <c r="G291" s="415"/>
      <c r="H291" s="415"/>
      <c r="I291" s="415"/>
    </row>
    <row r="292" spans="1:9">
      <c r="A292" s="298"/>
      <c r="B292" s="89" t="s">
        <v>380</v>
      </c>
      <c r="C292" s="89"/>
      <c r="D292" s="42"/>
      <c r="E292" s="115"/>
      <c r="F292" s="116"/>
      <c r="G292" s="116"/>
      <c r="H292" s="116"/>
      <c r="I292" s="116"/>
    </row>
    <row r="293" spans="1:9">
      <c r="A293" s="298"/>
      <c r="B293" s="89"/>
      <c r="C293" s="89" t="s">
        <v>79</v>
      </c>
      <c r="D293" s="42" t="s">
        <v>80</v>
      </c>
      <c r="E293" s="417"/>
      <c r="F293" s="417"/>
      <c r="G293" s="417"/>
      <c r="H293" s="417"/>
      <c r="I293" s="417"/>
    </row>
    <row r="294" spans="1:9">
      <c r="A294" s="298"/>
      <c r="B294" s="89"/>
      <c r="C294" s="89" t="s">
        <v>81</v>
      </c>
      <c r="D294" s="42" t="s">
        <v>82</v>
      </c>
      <c r="E294" s="417"/>
      <c r="F294" s="417"/>
      <c r="G294" s="417"/>
      <c r="H294" s="417"/>
      <c r="I294" s="417"/>
    </row>
    <row r="295" spans="1:9">
      <c r="A295" s="298"/>
      <c r="B295" s="89"/>
      <c r="C295" s="89" t="s">
        <v>131</v>
      </c>
      <c r="D295" s="42"/>
      <c r="E295" s="417"/>
      <c r="F295" s="417"/>
      <c r="G295" s="417"/>
      <c r="H295" s="417"/>
      <c r="I295" s="417"/>
    </row>
    <row r="296" spans="1:9">
      <c r="A296" s="298"/>
      <c r="B296" s="89"/>
      <c r="C296" s="89" t="s">
        <v>83</v>
      </c>
      <c r="D296" s="42" t="s">
        <v>84</v>
      </c>
      <c r="E296" s="417"/>
      <c r="F296" s="417"/>
      <c r="G296" s="417"/>
      <c r="H296" s="417"/>
      <c r="I296" s="417"/>
    </row>
    <row r="297" spans="1:9">
      <c r="A297" s="298"/>
      <c r="B297" s="89"/>
      <c r="C297" s="89" t="s">
        <v>87</v>
      </c>
      <c r="D297" s="42" t="s">
        <v>132</v>
      </c>
      <c r="E297" s="417"/>
      <c r="F297" s="417"/>
      <c r="G297" s="417"/>
      <c r="H297" s="417"/>
      <c r="I297" s="417"/>
    </row>
    <row r="298" spans="1:9">
      <c r="A298" s="298"/>
      <c r="B298" s="89"/>
      <c r="C298" s="89" t="s">
        <v>85</v>
      </c>
      <c r="D298" s="42" t="s">
        <v>86</v>
      </c>
      <c r="E298" s="417"/>
      <c r="F298" s="417"/>
      <c r="G298" s="417"/>
      <c r="H298" s="417"/>
      <c r="I298" s="417"/>
    </row>
    <row r="299" spans="1:9">
      <c r="A299" s="298"/>
      <c r="B299" s="89" t="s">
        <v>381</v>
      </c>
      <c r="C299" s="89"/>
      <c r="D299" s="42"/>
      <c r="E299" s="117"/>
      <c r="F299" s="117"/>
      <c r="G299" s="117"/>
      <c r="H299" s="117"/>
      <c r="I299" s="117"/>
    </row>
    <row r="300" spans="1:9">
      <c r="A300" s="298"/>
      <c r="B300" s="89"/>
      <c r="C300" s="89" t="s">
        <v>79</v>
      </c>
      <c r="D300" s="42" t="s">
        <v>80</v>
      </c>
      <c r="E300" s="417"/>
      <c r="F300" s="417"/>
      <c r="G300" s="417"/>
      <c r="H300" s="417"/>
      <c r="I300" s="417"/>
    </row>
    <row r="301" spans="1:9">
      <c r="A301" s="298"/>
      <c r="B301" s="89"/>
      <c r="C301" s="89" t="s">
        <v>81</v>
      </c>
      <c r="D301" s="42" t="s">
        <v>82</v>
      </c>
      <c r="E301" s="416"/>
      <c r="F301" s="417"/>
      <c r="G301" s="417"/>
      <c r="H301" s="417"/>
      <c r="I301" s="417"/>
    </row>
    <row r="302" spans="1:9">
      <c r="A302" s="298"/>
      <c r="B302" s="89"/>
      <c r="C302" s="89" t="s">
        <v>131</v>
      </c>
      <c r="D302" s="42"/>
      <c r="E302" s="414"/>
      <c r="F302" s="415"/>
      <c r="G302" s="415"/>
      <c r="H302" s="415"/>
      <c r="I302" s="415"/>
    </row>
    <row r="303" spans="1:9">
      <c r="A303" s="298"/>
      <c r="B303" s="89"/>
      <c r="C303" s="89" t="s">
        <v>83</v>
      </c>
      <c r="D303" s="42" t="s">
        <v>84</v>
      </c>
      <c r="E303" s="416"/>
      <c r="F303" s="417"/>
      <c r="G303" s="417"/>
      <c r="H303" s="417"/>
      <c r="I303" s="417"/>
    </row>
    <row r="304" spans="1:9">
      <c r="A304" s="298"/>
      <c r="B304" s="89"/>
      <c r="C304" s="89" t="s">
        <v>87</v>
      </c>
      <c r="D304" s="42" t="s">
        <v>132</v>
      </c>
      <c r="E304" s="416"/>
      <c r="F304" s="417"/>
      <c r="G304" s="417"/>
      <c r="H304" s="417"/>
      <c r="I304" s="417"/>
    </row>
    <row r="305" spans="1:9">
      <c r="A305" s="298"/>
      <c r="B305" s="89"/>
      <c r="C305" s="89" t="s">
        <v>85</v>
      </c>
      <c r="D305" s="42" t="s">
        <v>86</v>
      </c>
      <c r="E305" s="414"/>
      <c r="F305" s="415"/>
      <c r="G305" s="415"/>
      <c r="H305" s="415"/>
      <c r="I305" s="415"/>
    </row>
    <row r="306" spans="1:9" ht="15" thickBot="1">
      <c r="A306" s="299" t="s">
        <v>420</v>
      </c>
      <c r="B306" s="95"/>
      <c r="C306" s="147" t="s">
        <v>422</v>
      </c>
      <c r="D306" s="144"/>
      <c r="E306" s="145">
        <f>SUM(E286:E305)</f>
        <v>0</v>
      </c>
      <c r="F306" s="145">
        <f>SUM(F286:F305)</f>
        <v>0</v>
      </c>
      <c r="G306" s="145">
        <f>SUM(G286:G305)</f>
        <v>0</v>
      </c>
      <c r="H306" s="145">
        <f>SUM(H286:H305)</f>
        <v>0</v>
      </c>
      <c r="I306" s="145">
        <f>SUM(I286:I305)</f>
        <v>0</v>
      </c>
    </row>
    <row r="307" spans="1:9" ht="15" thickTop="1">
      <c r="A307" s="310"/>
      <c r="B307" s="131"/>
      <c r="C307" s="425"/>
      <c r="D307" s="28"/>
      <c r="E307" s="140"/>
      <c r="F307" s="140"/>
      <c r="G307" s="140"/>
      <c r="H307" s="140"/>
      <c r="I307" s="140"/>
    </row>
    <row r="308" spans="1:9">
      <c r="A308" s="75"/>
      <c r="B308" s="418" t="str">
        <f>'Form 1 Cover'!B20</f>
        <v>Discovery Charter School</v>
      </c>
      <c r="C308" s="383"/>
      <c r="D308" s="34"/>
      <c r="E308" s="49"/>
      <c r="F308" s="49"/>
      <c r="H308" s="49"/>
      <c r="I308" s="384" t="str">
        <f>"Budget Fiscal Year "&amp;TEXT('Form 1 Cover'!$D$137, "mm/dd/yy")</f>
        <v>Budget Fiscal Year 2022-2023</v>
      </c>
    </row>
    <row r="309" spans="1:9">
      <c r="A309" s="75"/>
      <c r="B309" s="75"/>
      <c r="C309" s="75"/>
      <c r="D309" s="49"/>
      <c r="E309" s="75"/>
      <c r="F309" s="49"/>
      <c r="G309" s="49"/>
      <c r="H309" s="49"/>
      <c r="I309" s="49"/>
    </row>
    <row r="310" spans="1:9">
      <c r="A310" s="75"/>
      <c r="B310" s="75" t="s">
        <v>416</v>
      </c>
      <c r="C310" s="75"/>
      <c r="D310" s="49"/>
      <c r="E310" s="49"/>
      <c r="F310" s="49"/>
      <c r="G310" s="49"/>
      <c r="H310" s="335"/>
      <c r="I310" s="335">
        <f>'Form 1 Cover'!$D$146</f>
        <v>44607</v>
      </c>
    </row>
    <row r="311" spans="1:9">
      <c r="A311" s="296" t="s">
        <v>85</v>
      </c>
      <c r="B311" s="85"/>
      <c r="C311" s="86" t="s">
        <v>382</v>
      </c>
      <c r="D311" s="136"/>
      <c r="E311" s="102"/>
      <c r="F311" s="102"/>
      <c r="G311" s="102"/>
      <c r="H311" s="102"/>
      <c r="I311" s="102"/>
    </row>
    <row r="312" spans="1:9">
      <c r="A312" s="298"/>
      <c r="B312" s="89" t="s">
        <v>175</v>
      </c>
      <c r="C312" s="89"/>
      <c r="D312" s="42" t="s">
        <v>176</v>
      </c>
      <c r="E312" s="46"/>
      <c r="F312" s="46"/>
      <c r="G312" s="46"/>
      <c r="H312" s="46"/>
      <c r="I312" s="46"/>
    </row>
    <row r="313" spans="1:9">
      <c r="A313" s="298"/>
      <c r="B313" s="89"/>
      <c r="C313" s="89" t="s">
        <v>79</v>
      </c>
      <c r="D313" s="42" t="s">
        <v>80</v>
      </c>
      <c r="E313" s="417"/>
      <c r="F313" s="417"/>
      <c r="G313" s="417"/>
      <c r="H313" s="417"/>
      <c r="I313" s="417"/>
    </row>
    <row r="314" spans="1:9">
      <c r="A314" s="298"/>
      <c r="B314" s="89"/>
      <c r="C314" s="89" t="s">
        <v>81</v>
      </c>
      <c r="D314" s="42" t="s">
        <v>82</v>
      </c>
      <c r="E314" s="417"/>
      <c r="F314" s="417"/>
      <c r="G314" s="417"/>
      <c r="H314" s="417"/>
      <c r="I314" s="417"/>
    </row>
    <row r="315" spans="1:9">
      <c r="A315" s="298"/>
      <c r="B315" s="89"/>
      <c r="C315" s="89" t="s">
        <v>131</v>
      </c>
      <c r="D315" s="42"/>
      <c r="E315" s="417"/>
      <c r="F315" s="417"/>
      <c r="G315" s="417"/>
      <c r="H315" s="417"/>
      <c r="I315" s="417"/>
    </row>
    <row r="316" spans="1:9">
      <c r="A316" s="298"/>
      <c r="B316" s="89"/>
      <c r="C316" s="89" t="s">
        <v>83</v>
      </c>
      <c r="D316" s="42" t="s">
        <v>84</v>
      </c>
      <c r="E316" s="417"/>
      <c r="F316" s="417"/>
      <c r="G316" s="417"/>
      <c r="H316" s="417"/>
      <c r="I316" s="417"/>
    </row>
    <row r="317" spans="1:9">
      <c r="A317" s="298"/>
      <c r="B317" s="89"/>
      <c r="C317" s="89" t="s">
        <v>87</v>
      </c>
      <c r="D317" s="42" t="s">
        <v>132</v>
      </c>
      <c r="E317" s="417"/>
      <c r="F317" s="417"/>
      <c r="G317" s="417"/>
      <c r="H317" s="417"/>
      <c r="I317" s="417"/>
    </row>
    <row r="318" spans="1:9">
      <c r="A318" s="298"/>
      <c r="B318" s="89"/>
      <c r="C318" s="89" t="s">
        <v>85</v>
      </c>
      <c r="D318" s="42" t="s">
        <v>86</v>
      </c>
      <c r="E318" s="417"/>
      <c r="F318" s="417"/>
      <c r="G318" s="417"/>
      <c r="H318" s="417"/>
      <c r="I318" s="417"/>
    </row>
    <row r="319" spans="1:9">
      <c r="A319" s="298"/>
      <c r="B319" s="89" t="s">
        <v>380</v>
      </c>
      <c r="C319" s="89"/>
      <c r="D319" s="42"/>
      <c r="E319" s="117"/>
      <c r="F319" s="117"/>
      <c r="G319" s="117"/>
      <c r="H319" s="117"/>
      <c r="I319" s="117"/>
    </row>
    <row r="320" spans="1:9">
      <c r="A320" s="298"/>
      <c r="B320" s="89"/>
      <c r="C320" s="89" t="s">
        <v>79</v>
      </c>
      <c r="D320" s="42" t="s">
        <v>80</v>
      </c>
      <c r="E320" s="417"/>
      <c r="F320" s="417"/>
      <c r="G320" s="417"/>
      <c r="H320" s="417"/>
      <c r="I320" s="417"/>
    </row>
    <row r="321" spans="1:9">
      <c r="A321" s="298"/>
      <c r="B321" s="89"/>
      <c r="C321" s="89" t="s">
        <v>81</v>
      </c>
      <c r="D321" s="42" t="s">
        <v>82</v>
      </c>
      <c r="E321" s="417"/>
      <c r="F321" s="417"/>
      <c r="G321" s="417"/>
      <c r="H321" s="417"/>
      <c r="I321" s="417"/>
    </row>
    <row r="322" spans="1:9">
      <c r="A322" s="298"/>
      <c r="B322" s="89"/>
      <c r="C322" s="89" t="s">
        <v>131</v>
      </c>
      <c r="D322" s="42"/>
      <c r="E322" s="417"/>
      <c r="F322" s="417"/>
      <c r="G322" s="417"/>
      <c r="H322" s="417"/>
      <c r="I322" s="417"/>
    </row>
    <row r="323" spans="1:9">
      <c r="A323" s="298"/>
      <c r="B323" s="89"/>
      <c r="C323" s="89" t="s">
        <v>83</v>
      </c>
      <c r="D323" s="42" t="s">
        <v>84</v>
      </c>
      <c r="E323" s="417"/>
      <c r="F323" s="417"/>
      <c r="G323" s="417"/>
      <c r="H323" s="417"/>
      <c r="I323" s="417"/>
    </row>
    <row r="324" spans="1:9">
      <c r="A324" s="298"/>
      <c r="B324" s="89"/>
      <c r="C324" s="89" t="s">
        <v>87</v>
      </c>
      <c r="D324" s="42" t="s">
        <v>132</v>
      </c>
      <c r="E324" s="417"/>
      <c r="F324" s="417"/>
      <c r="G324" s="417"/>
      <c r="H324" s="417"/>
      <c r="I324" s="417"/>
    </row>
    <row r="325" spans="1:9">
      <c r="A325" s="298"/>
      <c r="B325" s="89"/>
      <c r="C325" s="89" t="s">
        <v>85</v>
      </c>
      <c r="D325" s="42" t="s">
        <v>86</v>
      </c>
      <c r="E325" s="417"/>
      <c r="F325" s="417"/>
      <c r="G325" s="417"/>
      <c r="H325" s="417"/>
      <c r="I325" s="417"/>
    </row>
    <row r="326" spans="1:9">
      <c r="A326" s="298"/>
      <c r="B326" s="89" t="s">
        <v>381</v>
      </c>
      <c r="C326" s="89"/>
      <c r="D326" s="42"/>
      <c r="E326" s="117"/>
      <c r="F326" s="117"/>
      <c r="G326" s="117"/>
      <c r="H326" s="117"/>
      <c r="I326" s="117"/>
    </row>
    <row r="327" spans="1:9">
      <c r="A327" s="298"/>
      <c r="B327" s="89"/>
      <c r="C327" s="89" t="s">
        <v>79</v>
      </c>
      <c r="D327" s="42" t="s">
        <v>80</v>
      </c>
      <c r="E327" s="417"/>
      <c r="F327" s="417"/>
      <c r="G327" s="417"/>
      <c r="H327" s="417"/>
      <c r="I327" s="417"/>
    </row>
    <row r="328" spans="1:9">
      <c r="A328" s="298"/>
      <c r="B328" s="89"/>
      <c r="C328" s="89" t="s">
        <v>81</v>
      </c>
      <c r="D328" s="42" t="s">
        <v>82</v>
      </c>
      <c r="E328" s="417"/>
      <c r="F328" s="417"/>
      <c r="G328" s="417"/>
      <c r="H328" s="417"/>
      <c r="I328" s="417"/>
    </row>
    <row r="329" spans="1:9">
      <c r="A329" s="298"/>
      <c r="B329" s="89"/>
      <c r="C329" s="89" t="s">
        <v>131</v>
      </c>
      <c r="D329" s="42"/>
      <c r="E329" s="417"/>
      <c r="F329" s="417"/>
      <c r="G329" s="417"/>
      <c r="H329" s="417"/>
      <c r="I329" s="417"/>
    </row>
    <row r="330" spans="1:9">
      <c r="A330" s="298"/>
      <c r="B330" s="89"/>
      <c r="C330" s="89" t="s">
        <v>83</v>
      </c>
      <c r="D330" s="42" t="s">
        <v>84</v>
      </c>
      <c r="E330" s="417"/>
      <c r="F330" s="417"/>
      <c r="G330" s="417"/>
      <c r="H330" s="417"/>
      <c r="I330" s="417"/>
    </row>
    <row r="331" spans="1:9">
      <c r="A331" s="298"/>
      <c r="B331" s="89"/>
      <c r="C331" s="89" t="s">
        <v>87</v>
      </c>
      <c r="D331" s="42" t="s">
        <v>132</v>
      </c>
      <c r="E331" s="417"/>
      <c r="F331" s="417"/>
      <c r="G331" s="417"/>
      <c r="H331" s="417"/>
      <c r="I331" s="417"/>
    </row>
    <row r="332" spans="1:9">
      <c r="A332" s="298"/>
      <c r="B332" s="89"/>
      <c r="C332" s="89" t="s">
        <v>85</v>
      </c>
      <c r="D332" s="42" t="s">
        <v>86</v>
      </c>
      <c r="E332" s="417"/>
      <c r="F332" s="417"/>
      <c r="G332" s="417"/>
      <c r="H332" s="417"/>
      <c r="I332" s="417"/>
    </row>
    <row r="333" spans="1:9" ht="15" thickBot="1">
      <c r="A333" s="309" t="s">
        <v>383</v>
      </c>
      <c r="B333" s="108"/>
      <c r="C333" s="146"/>
      <c r="D333" s="48"/>
      <c r="E333" s="137">
        <f>SUM(E313:E332)</f>
        <v>0</v>
      </c>
      <c r="F333" s="137">
        <f>SUM(F313:F332)</f>
        <v>0</v>
      </c>
      <c r="G333" s="137">
        <f>SUM(G313:G332)</f>
        <v>0</v>
      </c>
      <c r="H333" s="137">
        <f>SUM(H313:H332)</f>
        <v>0</v>
      </c>
      <c r="I333" s="137">
        <f>SUM(I313:I332)</f>
        <v>0</v>
      </c>
    </row>
    <row r="334" spans="1:9" ht="15" thickTop="1">
      <c r="A334" s="300" t="s">
        <v>384</v>
      </c>
      <c r="B334" s="99"/>
      <c r="C334" s="138"/>
      <c r="D334" s="139"/>
      <c r="E334" s="140"/>
      <c r="F334" s="140"/>
      <c r="G334" s="140"/>
      <c r="H334" s="140"/>
      <c r="I334" s="140"/>
    </row>
    <row r="335" spans="1:9">
      <c r="A335" s="298"/>
      <c r="B335" s="89" t="s">
        <v>175</v>
      </c>
      <c r="C335" s="89"/>
      <c r="D335" s="42" t="s">
        <v>176</v>
      </c>
      <c r="E335" s="142"/>
      <c r="F335" s="117"/>
      <c r="G335" s="117"/>
      <c r="H335" s="117"/>
      <c r="I335" s="117"/>
    </row>
    <row r="336" spans="1:9">
      <c r="A336" s="298"/>
      <c r="B336" s="89"/>
      <c r="C336" s="89" t="s">
        <v>79</v>
      </c>
      <c r="D336" s="42" t="s">
        <v>80</v>
      </c>
      <c r="E336" s="417"/>
      <c r="F336" s="417"/>
      <c r="G336" s="417"/>
      <c r="H336" s="417"/>
      <c r="I336" s="417"/>
    </row>
    <row r="337" spans="1:9">
      <c r="A337" s="298"/>
      <c r="B337" s="89"/>
      <c r="C337" s="89" t="s">
        <v>81</v>
      </c>
      <c r="D337" s="42" t="s">
        <v>82</v>
      </c>
      <c r="E337" s="414"/>
      <c r="F337" s="415"/>
      <c r="G337" s="415"/>
      <c r="H337" s="415"/>
      <c r="I337" s="415"/>
    </row>
    <row r="338" spans="1:9">
      <c r="A338" s="298"/>
      <c r="B338" s="89"/>
      <c r="C338" s="89" t="s">
        <v>131</v>
      </c>
      <c r="D338" s="42"/>
      <c r="E338" s="417"/>
      <c r="F338" s="417"/>
      <c r="G338" s="417"/>
      <c r="H338" s="417"/>
      <c r="I338" s="417"/>
    </row>
    <row r="339" spans="1:9">
      <c r="A339" s="298"/>
      <c r="B339" s="89"/>
      <c r="C339" s="89" t="s">
        <v>83</v>
      </c>
      <c r="D339" s="42" t="s">
        <v>84</v>
      </c>
      <c r="E339" s="417"/>
      <c r="F339" s="417"/>
      <c r="G339" s="417"/>
      <c r="H339" s="417"/>
      <c r="I339" s="417"/>
    </row>
    <row r="340" spans="1:9">
      <c r="A340" s="298"/>
      <c r="B340" s="89"/>
      <c r="C340" s="89" t="s">
        <v>87</v>
      </c>
      <c r="D340" s="42" t="s">
        <v>132</v>
      </c>
      <c r="E340" s="417"/>
      <c r="F340" s="417"/>
      <c r="G340" s="417"/>
      <c r="H340" s="417"/>
      <c r="I340" s="417"/>
    </row>
    <row r="341" spans="1:9">
      <c r="A341" s="298"/>
      <c r="B341" s="89"/>
      <c r="C341" s="89" t="s">
        <v>85</v>
      </c>
      <c r="D341" s="42" t="s">
        <v>86</v>
      </c>
      <c r="E341" s="414"/>
      <c r="F341" s="415"/>
      <c r="G341" s="415"/>
      <c r="H341" s="415"/>
      <c r="I341" s="415"/>
    </row>
    <row r="342" spans="1:9">
      <c r="A342" s="298"/>
      <c r="B342" s="89" t="s">
        <v>380</v>
      </c>
      <c r="C342" s="89"/>
      <c r="D342" s="42"/>
      <c r="E342" s="115"/>
      <c r="F342" s="116"/>
      <c r="G342" s="116"/>
      <c r="H342" s="116"/>
      <c r="I342" s="116"/>
    </row>
    <row r="343" spans="1:9">
      <c r="A343" s="298"/>
      <c r="B343" s="89"/>
      <c r="C343" s="89" t="s">
        <v>79</v>
      </c>
      <c r="D343" s="42" t="s">
        <v>80</v>
      </c>
      <c r="E343" s="417"/>
      <c r="F343" s="417"/>
      <c r="G343" s="417"/>
      <c r="H343" s="417"/>
      <c r="I343" s="417"/>
    </row>
    <row r="344" spans="1:9">
      <c r="A344" s="298"/>
      <c r="B344" s="89"/>
      <c r="C344" s="89" t="s">
        <v>81</v>
      </c>
      <c r="D344" s="42" t="s">
        <v>82</v>
      </c>
      <c r="E344" s="417"/>
      <c r="F344" s="417"/>
      <c r="G344" s="417"/>
      <c r="H344" s="417"/>
      <c r="I344" s="417"/>
    </row>
    <row r="345" spans="1:9">
      <c r="A345" s="298"/>
      <c r="B345" s="89"/>
      <c r="C345" s="89" t="s">
        <v>131</v>
      </c>
      <c r="D345" s="42"/>
      <c r="E345" s="417"/>
      <c r="F345" s="417"/>
      <c r="G345" s="417"/>
      <c r="H345" s="417"/>
      <c r="I345" s="417"/>
    </row>
    <row r="346" spans="1:9">
      <c r="A346" s="298"/>
      <c r="B346" s="89"/>
      <c r="C346" s="89" t="s">
        <v>83</v>
      </c>
      <c r="D346" s="42" t="s">
        <v>84</v>
      </c>
      <c r="E346" s="417"/>
      <c r="F346" s="417"/>
      <c r="G346" s="417"/>
      <c r="H346" s="417"/>
      <c r="I346" s="417"/>
    </row>
    <row r="347" spans="1:9">
      <c r="A347" s="298"/>
      <c r="B347" s="89"/>
      <c r="C347" s="89" t="s">
        <v>87</v>
      </c>
      <c r="D347" s="42" t="s">
        <v>132</v>
      </c>
      <c r="E347" s="417"/>
      <c r="F347" s="417"/>
      <c r="G347" s="417"/>
      <c r="H347" s="417"/>
      <c r="I347" s="417"/>
    </row>
    <row r="348" spans="1:9">
      <c r="A348" s="298"/>
      <c r="B348" s="89"/>
      <c r="C348" s="89" t="s">
        <v>85</v>
      </c>
      <c r="D348" s="42" t="s">
        <v>86</v>
      </c>
      <c r="E348" s="417"/>
      <c r="F348" s="417"/>
      <c r="G348" s="417"/>
      <c r="H348" s="417"/>
      <c r="I348" s="417"/>
    </row>
    <row r="349" spans="1:9">
      <c r="A349" s="298"/>
      <c r="B349" s="89" t="s">
        <v>381</v>
      </c>
      <c r="C349" s="89"/>
      <c r="D349" s="42"/>
      <c r="E349" s="117"/>
      <c r="F349" s="117"/>
      <c r="G349" s="117"/>
      <c r="H349" s="117"/>
      <c r="I349" s="117"/>
    </row>
    <row r="350" spans="1:9">
      <c r="A350" s="298"/>
      <c r="B350" s="89"/>
      <c r="C350" s="89" t="s">
        <v>79</v>
      </c>
      <c r="D350" s="42" t="s">
        <v>80</v>
      </c>
      <c r="E350" s="417"/>
      <c r="F350" s="417"/>
      <c r="G350" s="417"/>
      <c r="H350" s="417"/>
      <c r="I350" s="417"/>
    </row>
    <row r="351" spans="1:9">
      <c r="A351" s="298"/>
      <c r="B351" s="89"/>
      <c r="C351" s="89" t="s">
        <v>81</v>
      </c>
      <c r="D351" s="42" t="s">
        <v>82</v>
      </c>
      <c r="E351" s="416"/>
      <c r="F351" s="417"/>
      <c r="G351" s="417"/>
      <c r="H351" s="417"/>
      <c r="I351" s="417"/>
    </row>
    <row r="352" spans="1:9">
      <c r="A352" s="298"/>
      <c r="B352" s="89"/>
      <c r="C352" s="89" t="s">
        <v>131</v>
      </c>
      <c r="D352" s="42"/>
      <c r="E352" s="414"/>
      <c r="F352" s="415"/>
      <c r="G352" s="415"/>
      <c r="H352" s="415"/>
      <c r="I352" s="415"/>
    </row>
    <row r="353" spans="1:9">
      <c r="A353" s="298"/>
      <c r="B353" s="89"/>
      <c r="C353" s="89" t="s">
        <v>83</v>
      </c>
      <c r="D353" s="42" t="s">
        <v>84</v>
      </c>
      <c r="E353" s="416"/>
      <c r="F353" s="417"/>
      <c r="G353" s="417"/>
      <c r="H353" s="417"/>
      <c r="I353" s="417"/>
    </row>
    <row r="354" spans="1:9">
      <c r="A354" s="298"/>
      <c r="B354" s="89"/>
      <c r="C354" s="89" t="s">
        <v>87</v>
      </c>
      <c r="D354" s="42" t="s">
        <v>132</v>
      </c>
      <c r="E354" s="416"/>
      <c r="F354" s="417"/>
      <c r="G354" s="417"/>
      <c r="H354" s="417"/>
      <c r="I354" s="417"/>
    </row>
    <row r="355" spans="1:9" ht="15" thickBot="1">
      <c r="A355" s="298"/>
      <c r="B355" s="89"/>
      <c r="C355" s="89" t="s">
        <v>85</v>
      </c>
      <c r="D355" s="42" t="s">
        <v>86</v>
      </c>
      <c r="E355" s="414"/>
      <c r="F355" s="415"/>
      <c r="G355" s="415"/>
      <c r="H355" s="415"/>
      <c r="I355" s="415"/>
    </row>
    <row r="356" spans="1:9" ht="18" customHeight="1" thickTop="1" thickBot="1">
      <c r="A356" s="312" t="s">
        <v>384</v>
      </c>
      <c r="B356" s="169"/>
      <c r="C356" s="337"/>
      <c r="D356" s="338"/>
      <c r="E356" s="145">
        <f>SUM(E336:E355)</f>
        <v>0</v>
      </c>
      <c r="F356" s="145">
        <f>SUM(F336:F355)</f>
        <v>0</v>
      </c>
      <c r="G356" s="145">
        <f>SUM(G336:G355)</f>
        <v>0</v>
      </c>
      <c r="H356" s="145">
        <f>SUM(H336:H355)</f>
        <v>0</v>
      </c>
      <c r="I356" s="145">
        <f>SUM(I336:I355)</f>
        <v>0</v>
      </c>
    </row>
    <row r="357" spans="1:9" ht="18" customHeight="1" thickTop="1">
      <c r="A357" s="131"/>
      <c r="B357" s="131"/>
      <c r="C357" s="188"/>
      <c r="D357" s="49"/>
      <c r="E357" s="141"/>
      <c r="F357" s="141"/>
      <c r="G357" s="141"/>
      <c r="H357" s="141"/>
      <c r="I357" s="141"/>
    </row>
    <row r="358" spans="1:9" ht="18" customHeight="1">
      <c r="A358" s="131"/>
      <c r="B358" s="131"/>
      <c r="C358" s="188"/>
      <c r="D358" s="49"/>
      <c r="E358" s="141"/>
      <c r="F358" s="141"/>
      <c r="G358" s="141"/>
      <c r="H358" s="141"/>
      <c r="I358" s="141"/>
    </row>
    <row r="359" spans="1:9">
      <c r="A359" s="75"/>
      <c r="B359" s="418" t="str">
        <f>'Form 1 Cover'!B20</f>
        <v>Discovery Charter School</v>
      </c>
      <c r="C359" s="383"/>
      <c r="D359" s="34"/>
      <c r="E359" s="49"/>
      <c r="F359" s="49"/>
      <c r="H359" s="49"/>
      <c r="I359" s="384" t="str">
        <f>"Budget Fiscal Year "&amp;TEXT('Form 1 Cover'!$D$137, "mm/dd/yy")</f>
        <v>Budget Fiscal Year 2022-2023</v>
      </c>
    </row>
    <row r="360" spans="1:9">
      <c r="A360" s="75"/>
      <c r="B360" s="75"/>
      <c r="C360" s="75"/>
      <c r="D360" s="49"/>
      <c r="E360" s="75"/>
      <c r="F360" s="49"/>
      <c r="G360" s="49"/>
      <c r="H360" s="49"/>
      <c r="I360" s="49"/>
    </row>
    <row r="361" spans="1:9">
      <c r="A361" s="75"/>
      <c r="B361" s="75" t="s">
        <v>416</v>
      </c>
      <c r="C361" s="75"/>
      <c r="D361" s="49"/>
      <c r="E361" s="49"/>
      <c r="F361" s="49"/>
      <c r="G361" s="49"/>
      <c r="H361" s="335"/>
      <c r="I361" s="335">
        <f>'Form 1 Cover'!$D$146</f>
        <v>44607</v>
      </c>
    </row>
    <row r="362" spans="1:9">
      <c r="A362" s="308"/>
      <c r="B362" s="70"/>
      <c r="C362" s="70"/>
      <c r="D362" s="71"/>
      <c r="E362" s="174">
        <v>-1</v>
      </c>
      <c r="F362" s="175">
        <v>-2</v>
      </c>
      <c r="G362" s="282">
        <v>-3</v>
      </c>
      <c r="H362" s="175">
        <v>-4</v>
      </c>
      <c r="I362" s="175">
        <v>-5</v>
      </c>
    </row>
    <row r="363" spans="1:9">
      <c r="A363" s="324"/>
      <c r="B363" s="75"/>
      <c r="C363" s="75"/>
      <c r="D363" s="38"/>
      <c r="E363" s="181"/>
      <c r="F363" s="23" t="s">
        <v>31</v>
      </c>
      <c r="G363" s="505" t="str">
        <f>"BUDGET YEAR ENDING "&amp;TEXT('Form 1 Cover'!D139, "MM/DD/YY")</f>
        <v>BUDGET YEAR ENDING 06/30/23</v>
      </c>
      <c r="H363" s="26"/>
      <c r="I363" s="506"/>
    </row>
    <row r="364" spans="1:9" ht="15">
      <c r="A364" s="324"/>
      <c r="B364" s="75"/>
      <c r="C364" s="75"/>
      <c r="D364" s="38"/>
      <c r="E364" s="177" t="s">
        <v>277</v>
      </c>
      <c r="F364" s="177" t="s">
        <v>279</v>
      </c>
      <c r="G364" s="178"/>
      <c r="H364" s="326"/>
      <c r="I364" s="177" t="s">
        <v>556</v>
      </c>
    </row>
    <row r="365" spans="1:9" ht="16">
      <c r="A365" s="324"/>
      <c r="B365" s="135" t="s">
        <v>77</v>
      </c>
      <c r="C365" s="49"/>
      <c r="D365" s="38"/>
      <c r="E365" s="177" t="s">
        <v>278</v>
      </c>
      <c r="F365" s="177" t="s">
        <v>278</v>
      </c>
      <c r="G365" s="179" t="s">
        <v>280</v>
      </c>
      <c r="H365" s="177" t="s">
        <v>109</v>
      </c>
      <c r="I365" s="177" t="s">
        <v>109</v>
      </c>
    </row>
    <row r="366" spans="1:9" ht="16">
      <c r="A366" s="322"/>
      <c r="B366" s="507"/>
      <c r="C366" s="507"/>
      <c r="D366" s="508"/>
      <c r="E366" s="4">
        <f>'Form 1 Cover'!D130</f>
        <v>44377</v>
      </c>
      <c r="F366" s="4">
        <f>'Form 1 Cover'!D134</f>
        <v>44742</v>
      </c>
      <c r="G366" s="180" t="s">
        <v>281</v>
      </c>
      <c r="H366" s="327" t="s">
        <v>281</v>
      </c>
      <c r="I366" s="327" t="s">
        <v>281</v>
      </c>
    </row>
    <row r="367" spans="1:9" ht="16">
      <c r="A367" s="328" t="s">
        <v>291</v>
      </c>
      <c r="B367" s="149"/>
      <c r="C367" s="150" t="s">
        <v>293</v>
      </c>
      <c r="D367" s="151"/>
      <c r="E367" s="152"/>
      <c r="F367" s="152"/>
      <c r="G367" s="152"/>
      <c r="H367" s="152"/>
      <c r="I367" s="152"/>
    </row>
    <row r="368" spans="1:9" ht="16">
      <c r="A368" s="322"/>
      <c r="B368" s="153" t="s">
        <v>292</v>
      </c>
      <c r="C368" s="68"/>
      <c r="D368" s="154" t="s">
        <v>385</v>
      </c>
      <c r="E368" s="155"/>
      <c r="F368" s="155"/>
      <c r="G368" s="155"/>
      <c r="H368" s="155"/>
      <c r="I368" s="155"/>
    </row>
    <row r="369" spans="1:9">
      <c r="A369" s="298"/>
      <c r="B369" s="89"/>
      <c r="C369" s="89" t="s">
        <v>79</v>
      </c>
      <c r="D369" s="42" t="s">
        <v>80</v>
      </c>
      <c r="E369" s="417"/>
      <c r="F369" s="417"/>
      <c r="G369" s="417"/>
      <c r="H369" s="417"/>
      <c r="I369" s="417"/>
    </row>
    <row r="370" spans="1:9">
      <c r="A370" s="298"/>
      <c r="B370" s="89"/>
      <c r="C370" s="89" t="s">
        <v>81</v>
      </c>
      <c r="D370" s="42" t="s">
        <v>82</v>
      </c>
      <c r="E370" s="417"/>
      <c r="F370" s="417"/>
      <c r="G370" s="417"/>
      <c r="H370" s="417"/>
      <c r="I370" s="417"/>
    </row>
    <row r="371" spans="1:9">
      <c r="A371" s="298"/>
      <c r="B371" s="89"/>
      <c r="C371" s="89" t="s">
        <v>131</v>
      </c>
      <c r="D371" s="42"/>
      <c r="E371" s="417"/>
      <c r="F371" s="417"/>
      <c r="G371" s="417"/>
      <c r="H371" s="417"/>
      <c r="I371" s="417"/>
    </row>
    <row r="372" spans="1:9">
      <c r="A372" s="298"/>
      <c r="B372" s="89"/>
      <c r="C372" s="89" t="s">
        <v>83</v>
      </c>
      <c r="D372" s="42" t="s">
        <v>84</v>
      </c>
      <c r="E372" s="417"/>
      <c r="F372" s="417"/>
      <c r="G372" s="417"/>
      <c r="H372" s="417"/>
      <c r="I372" s="417"/>
    </row>
    <row r="373" spans="1:9">
      <c r="A373" s="298"/>
      <c r="B373" s="89"/>
      <c r="C373" s="89" t="s">
        <v>87</v>
      </c>
      <c r="D373" s="42" t="s">
        <v>132</v>
      </c>
      <c r="E373" s="417"/>
      <c r="F373" s="417"/>
      <c r="G373" s="417"/>
      <c r="H373" s="417"/>
      <c r="I373" s="417"/>
    </row>
    <row r="374" spans="1:9">
      <c r="A374" s="298"/>
      <c r="B374" s="89"/>
      <c r="C374" s="89" t="s">
        <v>85</v>
      </c>
      <c r="D374" s="42" t="s">
        <v>86</v>
      </c>
      <c r="E374" s="417"/>
      <c r="F374" s="417"/>
      <c r="G374" s="417"/>
      <c r="H374" s="417"/>
      <c r="I374" s="417"/>
    </row>
    <row r="375" spans="1:9" ht="15" thickBot="1">
      <c r="A375" s="329"/>
      <c r="B375" s="157" t="s">
        <v>166</v>
      </c>
      <c r="C375" s="156"/>
      <c r="D375" s="44"/>
      <c r="E375" s="158">
        <f>SUM(E369:E374)</f>
        <v>0</v>
      </c>
      <c r="F375" s="158">
        <f>SUM(F369:F374)</f>
        <v>0</v>
      </c>
      <c r="G375" s="158">
        <f>SUM(G369:G374)</f>
        <v>0</v>
      </c>
      <c r="H375" s="158">
        <f>SUM(H369:H374)</f>
        <v>0</v>
      </c>
      <c r="I375" s="158">
        <f>SUM(I369:I374)</f>
        <v>0</v>
      </c>
    </row>
    <row r="376" spans="1:9">
      <c r="A376" s="298"/>
      <c r="B376" s="148" t="s">
        <v>167</v>
      </c>
      <c r="C376" s="148"/>
      <c r="D376" s="159" t="s">
        <v>386</v>
      </c>
      <c r="E376" s="117"/>
      <c r="F376" s="117"/>
      <c r="G376" s="117"/>
      <c r="H376" s="117"/>
      <c r="I376" s="117"/>
    </row>
    <row r="377" spans="1:9">
      <c r="A377" s="298"/>
      <c r="B377" s="89"/>
      <c r="C377" s="89" t="s">
        <v>79</v>
      </c>
      <c r="D377" s="42" t="s">
        <v>80</v>
      </c>
      <c r="E377" s="417"/>
      <c r="F377" s="417"/>
      <c r="G377" s="417"/>
      <c r="H377" s="417"/>
      <c r="I377" s="417"/>
    </row>
    <row r="378" spans="1:9">
      <c r="A378" s="298"/>
      <c r="B378" s="89"/>
      <c r="C378" s="89" t="s">
        <v>81</v>
      </c>
      <c r="D378" s="42" t="s">
        <v>82</v>
      </c>
      <c r="E378" s="417"/>
      <c r="F378" s="417"/>
      <c r="G378" s="417"/>
      <c r="H378" s="417"/>
      <c r="I378" s="417"/>
    </row>
    <row r="379" spans="1:9">
      <c r="A379" s="298"/>
      <c r="B379" s="89"/>
      <c r="C379" s="89" t="s">
        <v>131</v>
      </c>
      <c r="D379" s="42"/>
      <c r="E379" s="417"/>
      <c r="F379" s="417"/>
      <c r="G379" s="417"/>
      <c r="H379" s="417"/>
      <c r="I379" s="417"/>
    </row>
    <row r="380" spans="1:9">
      <c r="A380" s="298"/>
      <c r="B380" s="89"/>
      <c r="C380" s="89" t="s">
        <v>83</v>
      </c>
      <c r="D380" s="42" t="s">
        <v>84</v>
      </c>
      <c r="E380" s="417"/>
      <c r="F380" s="417"/>
      <c r="G380" s="417"/>
      <c r="H380" s="417"/>
      <c r="I380" s="417"/>
    </row>
    <row r="381" spans="1:9">
      <c r="A381" s="298"/>
      <c r="B381" s="89"/>
      <c r="C381" s="89" t="s">
        <v>87</v>
      </c>
      <c r="D381" s="42" t="s">
        <v>132</v>
      </c>
      <c r="E381" s="417"/>
      <c r="F381" s="417"/>
      <c r="G381" s="417"/>
      <c r="H381" s="417"/>
      <c r="I381" s="417"/>
    </row>
    <row r="382" spans="1:9">
      <c r="A382" s="298"/>
      <c r="B382" s="89"/>
      <c r="C382" s="89" t="s">
        <v>85</v>
      </c>
      <c r="D382" s="42" t="s">
        <v>86</v>
      </c>
      <c r="E382" s="417"/>
      <c r="F382" s="417"/>
      <c r="G382" s="417"/>
      <c r="H382" s="417"/>
      <c r="I382" s="417"/>
    </row>
    <row r="383" spans="1:9" ht="15" thickBot="1">
      <c r="A383" s="329"/>
      <c r="B383" s="157" t="s">
        <v>168</v>
      </c>
      <c r="C383" s="156"/>
      <c r="D383" s="44"/>
      <c r="E383" s="158">
        <f>SUM(E377:E382)</f>
        <v>0</v>
      </c>
      <c r="F383" s="158">
        <f>SUM(F377:F382)</f>
        <v>0</v>
      </c>
      <c r="G383" s="158">
        <f>SUM(G377:G382)</f>
        <v>0</v>
      </c>
      <c r="H383" s="158">
        <f>SUM(H377:H382)</f>
        <v>0</v>
      </c>
      <c r="I383" s="158">
        <f>SUM(I377:I382)</f>
        <v>0</v>
      </c>
    </row>
    <row r="384" spans="1:9">
      <c r="A384" s="298"/>
      <c r="B384" s="148" t="s">
        <v>169</v>
      </c>
      <c r="C384" s="148"/>
      <c r="D384" s="159" t="s">
        <v>387</v>
      </c>
      <c r="E384" s="117"/>
      <c r="F384" s="117"/>
      <c r="G384" s="117"/>
      <c r="H384" s="117"/>
      <c r="I384" s="117"/>
    </row>
    <row r="385" spans="1:9">
      <c r="A385" s="298"/>
      <c r="B385" s="89"/>
      <c r="C385" s="89" t="s">
        <v>79</v>
      </c>
      <c r="D385" s="42" t="s">
        <v>80</v>
      </c>
      <c r="E385" s="417"/>
      <c r="F385" s="417"/>
      <c r="G385" s="417"/>
      <c r="H385" s="417"/>
      <c r="I385" s="417"/>
    </row>
    <row r="386" spans="1:9">
      <c r="A386" s="298"/>
      <c r="B386" s="89"/>
      <c r="C386" s="89" t="s">
        <v>81</v>
      </c>
      <c r="D386" s="42" t="s">
        <v>82</v>
      </c>
      <c r="E386" s="417"/>
      <c r="F386" s="417"/>
      <c r="G386" s="417"/>
      <c r="H386" s="417"/>
      <c r="I386" s="417"/>
    </row>
    <row r="387" spans="1:9">
      <c r="A387" s="298"/>
      <c r="B387" s="89"/>
      <c r="C387" s="89" t="s">
        <v>131</v>
      </c>
      <c r="D387" s="42"/>
      <c r="E387" s="417"/>
      <c r="F387" s="417"/>
      <c r="G387" s="417"/>
      <c r="H387" s="417"/>
      <c r="I387" s="417"/>
    </row>
    <row r="388" spans="1:9">
      <c r="A388" s="298"/>
      <c r="B388" s="89"/>
      <c r="C388" s="89" t="s">
        <v>83</v>
      </c>
      <c r="D388" s="42" t="s">
        <v>84</v>
      </c>
      <c r="E388" s="417"/>
      <c r="F388" s="417"/>
      <c r="G388" s="417"/>
      <c r="H388" s="417"/>
      <c r="I388" s="417"/>
    </row>
    <row r="389" spans="1:9">
      <c r="A389" s="298"/>
      <c r="B389" s="89"/>
      <c r="C389" s="89" t="s">
        <v>87</v>
      </c>
      <c r="D389" s="42" t="s">
        <v>132</v>
      </c>
      <c r="E389" s="417"/>
      <c r="F389" s="417"/>
      <c r="G389" s="417"/>
      <c r="H389" s="417"/>
      <c r="I389" s="417"/>
    </row>
    <row r="390" spans="1:9">
      <c r="A390" s="324"/>
      <c r="B390" s="88"/>
      <c r="C390" s="75" t="s">
        <v>85</v>
      </c>
      <c r="D390" s="38" t="s">
        <v>86</v>
      </c>
      <c r="E390" s="417"/>
      <c r="F390" s="417"/>
      <c r="G390" s="417"/>
      <c r="H390" s="417"/>
      <c r="I390" s="417"/>
    </row>
    <row r="391" spans="1:9" ht="15" thickBot="1">
      <c r="A391" s="329"/>
      <c r="B391" s="157" t="s">
        <v>170</v>
      </c>
      <c r="C391" s="156"/>
      <c r="D391" s="44"/>
      <c r="E391" s="158">
        <f>SUM(E385:E390)</f>
        <v>0</v>
      </c>
      <c r="F391" s="158">
        <f>SUM(F385:F390)</f>
        <v>0</v>
      </c>
      <c r="G391" s="158">
        <f>SUM(G385:G390)</f>
        <v>0</v>
      </c>
      <c r="H391" s="158">
        <f>SUM(H385:H390)</f>
        <v>0</v>
      </c>
      <c r="I391" s="158">
        <f>SUM(I385:I390)</f>
        <v>0</v>
      </c>
    </row>
    <row r="392" spans="1:9">
      <c r="A392" s="298"/>
      <c r="B392" s="148" t="s">
        <v>171</v>
      </c>
      <c r="C392" s="148"/>
      <c r="D392" s="159" t="s">
        <v>388</v>
      </c>
      <c r="E392" s="117"/>
      <c r="F392" s="117"/>
      <c r="G392" s="117"/>
      <c r="H392" s="117"/>
      <c r="I392" s="117"/>
    </row>
    <row r="393" spans="1:9">
      <c r="A393" s="298"/>
      <c r="B393" s="89"/>
      <c r="C393" s="89" t="s">
        <v>79</v>
      </c>
      <c r="D393" s="42" t="s">
        <v>80</v>
      </c>
      <c r="E393" s="417"/>
      <c r="F393" s="417"/>
      <c r="G393" s="417"/>
      <c r="H393" s="417"/>
      <c r="I393" s="417"/>
    </row>
    <row r="394" spans="1:9">
      <c r="A394" s="298"/>
      <c r="B394" s="89"/>
      <c r="C394" s="89" t="s">
        <v>81</v>
      </c>
      <c r="D394" s="42" t="s">
        <v>82</v>
      </c>
      <c r="E394" s="414"/>
      <c r="F394" s="415"/>
      <c r="G394" s="415"/>
      <c r="H394" s="415"/>
      <c r="I394" s="415"/>
    </row>
    <row r="395" spans="1:9">
      <c r="A395" s="298"/>
      <c r="B395" s="89"/>
      <c r="C395" s="89" t="s">
        <v>131</v>
      </c>
      <c r="D395" s="42"/>
      <c r="E395" s="417"/>
      <c r="F395" s="417"/>
      <c r="G395" s="417"/>
      <c r="H395" s="417"/>
      <c r="I395" s="417"/>
    </row>
    <row r="396" spans="1:9">
      <c r="A396" s="298"/>
      <c r="B396" s="89"/>
      <c r="C396" s="89" t="s">
        <v>83</v>
      </c>
      <c r="D396" s="42" t="s">
        <v>84</v>
      </c>
      <c r="E396" s="417"/>
      <c r="F396" s="417"/>
      <c r="G396" s="417"/>
      <c r="H396" s="417"/>
      <c r="I396" s="417"/>
    </row>
    <row r="397" spans="1:9">
      <c r="A397" s="298"/>
      <c r="B397" s="89"/>
      <c r="C397" s="89" t="s">
        <v>87</v>
      </c>
      <c r="D397" s="42" t="s">
        <v>132</v>
      </c>
      <c r="E397" s="417"/>
      <c r="F397" s="417"/>
      <c r="G397" s="417"/>
      <c r="H397" s="417"/>
      <c r="I397" s="417"/>
    </row>
    <row r="398" spans="1:9">
      <c r="A398" s="298"/>
      <c r="B398" s="89"/>
      <c r="C398" s="89" t="s">
        <v>85</v>
      </c>
      <c r="D398" s="42" t="s">
        <v>86</v>
      </c>
      <c r="E398" s="414"/>
      <c r="F398" s="415"/>
      <c r="G398" s="415"/>
      <c r="H398" s="415"/>
      <c r="I398" s="415"/>
    </row>
    <row r="399" spans="1:9" ht="15" thickBot="1">
      <c r="A399" s="329"/>
      <c r="B399" s="157" t="s">
        <v>172</v>
      </c>
      <c r="C399" s="156"/>
      <c r="D399" s="44"/>
      <c r="E399" s="160">
        <f>SUM(E393:E398)</f>
        <v>0</v>
      </c>
      <c r="F399" s="160">
        <f>SUM(F393:F398)</f>
        <v>0</v>
      </c>
      <c r="G399" s="160">
        <f>SUM(G393:G398)</f>
        <v>0</v>
      </c>
      <c r="H399" s="160">
        <f>SUM(H393:H398)</f>
        <v>0</v>
      </c>
      <c r="I399" s="160">
        <f>SUM(I393:I398)</f>
        <v>0</v>
      </c>
    </row>
    <row r="400" spans="1:9">
      <c r="A400" s="298"/>
      <c r="B400" s="148" t="s">
        <v>173</v>
      </c>
      <c r="C400" s="148"/>
      <c r="D400" s="159" t="s">
        <v>389</v>
      </c>
      <c r="E400" s="142"/>
      <c r="F400" s="117"/>
      <c r="G400" s="117"/>
      <c r="H400" s="117"/>
      <c r="I400" s="117"/>
    </row>
    <row r="401" spans="1:9">
      <c r="A401" s="298"/>
      <c r="B401" s="89"/>
      <c r="C401" s="89" t="s">
        <v>79</v>
      </c>
      <c r="D401" s="42" t="s">
        <v>80</v>
      </c>
      <c r="E401" s="417"/>
      <c r="F401" s="417"/>
      <c r="G401" s="417"/>
      <c r="H401" s="417"/>
      <c r="I401" s="417"/>
    </row>
    <row r="402" spans="1:9">
      <c r="A402" s="298"/>
      <c r="B402" s="89"/>
      <c r="C402" s="89" t="s">
        <v>81</v>
      </c>
      <c r="D402" s="42" t="s">
        <v>82</v>
      </c>
      <c r="E402" s="417"/>
      <c r="F402" s="417"/>
      <c r="G402" s="417"/>
      <c r="H402" s="417"/>
      <c r="I402" s="417"/>
    </row>
    <row r="403" spans="1:9">
      <c r="A403" s="298"/>
      <c r="B403" s="89"/>
      <c r="C403" s="89" t="s">
        <v>131</v>
      </c>
      <c r="D403" s="42"/>
      <c r="E403" s="417"/>
      <c r="F403" s="417"/>
      <c r="G403" s="417"/>
      <c r="H403" s="417"/>
      <c r="I403" s="417"/>
    </row>
    <row r="404" spans="1:9">
      <c r="A404" s="298"/>
      <c r="B404" s="89"/>
      <c r="C404" s="89" t="s">
        <v>83</v>
      </c>
      <c r="D404" s="42" t="s">
        <v>84</v>
      </c>
      <c r="E404" s="417"/>
      <c r="F404" s="417"/>
      <c r="G404" s="417"/>
      <c r="H404" s="417"/>
      <c r="I404" s="417"/>
    </row>
    <row r="405" spans="1:9">
      <c r="A405" s="298"/>
      <c r="B405" s="89"/>
      <c r="C405" s="89" t="s">
        <v>87</v>
      </c>
      <c r="D405" s="42" t="s">
        <v>132</v>
      </c>
      <c r="E405" s="417"/>
      <c r="F405" s="417"/>
      <c r="G405" s="417"/>
      <c r="H405" s="417"/>
      <c r="I405" s="417"/>
    </row>
    <row r="406" spans="1:9">
      <c r="A406" s="298"/>
      <c r="B406" s="89"/>
      <c r="C406" s="89" t="s">
        <v>85</v>
      </c>
      <c r="D406" s="42" t="s">
        <v>86</v>
      </c>
      <c r="E406" s="417"/>
      <c r="F406" s="417"/>
      <c r="G406" s="417"/>
      <c r="H406" s="417"/>
      <c r="I406" s="417"/>
    </row>
    <row r="407" spans="1:9" ht="15" thickBot="1">
      <c r="A407" s="329"/>
      <c r="B407" s="157" t="s">
        <v>174</v>
      </c>
      <c r="C407" s="156"/>
      <c r="D407" s="44"/>
      <c r="E407" s="158">
        <f>SUM(E401:E406)</f>
        <v>0</v>
      </c>
      <c r="F407" s="158">
        <f>SUM(F401:F406)</f>
        <v>0</v>
      </c>
      <c r="G407" s="158">
        <f>SUM(G401:G406)</f>
        <v>0</v>
      </c>
      <c r="H407" s="158">
        <f>SUM(H401:H406)</f>
        <v>0</v>
      </c>
      <c r="I407" s="158">
        <f>SUM(I401:I406)</f>
        <v>0</v>
      </c>
    </row>
    <row r="408" spans="1:9">
      <c r="A408" s="185"/>
      <c r="B408" s="184"/>
      <c r="C408" s="185"/>
      <c r="D408" s="186"/>
      <c r="E408" s="339"/>
      <c r="F408" s="339"/>
      <c r="G408" s="339"/>
      <c r="H408" s="339"/>
      <c r="I408" s="339"/>
    </row>
    <row r="409" spans="1:9">
      <c r="A409" s="75"/>
      <c r="B409" s="418" t="str">
        <f>'Form 1 Cover'!B20</f>
        <v>Discovery Charter School</v>
      </c>
      <c r="C409" s="383"/>
      <c r="D409" s="34"/>
      <c r="E409" s="49"/>
      <c r="F409" s="49"/>
      <c r="H409" s="49"/>
      <c r="I409" s="384" t="str">
        <f>"Budget Fiscal Year "&amp;TEXT('Form 1 Cover'!$D$137, "mm/dd/yy")</f>
        <v>Budget Fiscal Year 2022-2023</v>
      </c>
    </row>
    <row r="410" spans="1:9">
      <c r="A410" s="75"/>
      <c r="B410" s="75"/>
      <c r="C410" s="75"/>
      <c r="D410" s="49"/>
      <c r="E410" s="75"/>
      <c r="F410" s="49"/>
      <c r="G410" s="49"/>
      <c r="H410" s="49"/>
      <c r="I410" s="49"/>
    </row>
    <row r="411" spans="1:9">
      <c r="A411" s="75"/>
      <c r="B411" s="75" t="s">
        <v>416</v>
      </c>
      <c r="C411" s="75"/>
      <c r="D411" s="49"/>
      <c r="E411" s="49"/>
      <c r="F411" s="49"/>
      <c r="G411" s="49"/>
      <c r="H411" s="335"/>
      <c r="I411" s="335">
        <f>'Form 1 Cover'!$D$146</f>
        <v>44607</v>
      </c>
    </row>
    <row r="412" spans="1:9">
      <c r="A412" s="75"/>
      <c r="B412" s="75"/>
      <c r="C412" s="75"/>
      <c r="D412" s="49"/>
      <c r="E412" s="49"/>
      <c r="F412" s="49"/>
      <c r="G412" s="49"/>
      <c r="H412" s="335"/>
      <c r="I412" s="335"/>
    </row>
    <row r="413" spans="1:9">
      <c r="A413" s="75"/>
      <c r="B413" s="75"/>
      <c r="C413" s="75"/>
      <c r="D413" s="49"/>
      <c r="E413" s="49"/>
      <c r="F413" s="49"/>
      <c r="G413" s="49"/>
      <c r="H413" s="335"/>
      <c r="I413" s="335"/>
    </row>
    <row r="414" spans="1:9">
      <c r="A414" s="75"/>
      <c r="B414" s="75"/>
      <c r="C414" s="75"/>
      <c r="D414" s="49"/>
      <c r="E414" s="49"/>
      <c r="F414" s="49"/>
      <c r="G414" s="49"/>
      <c r="H414" s="335"/>
      <c r="I414" s="335"/>
    </row>
    <row r="415" spans="1:9">
      <c r="A415" s="308"/>
      <c r="B415" s="70"/>
      <c r="C415" s="70"/>
      <c r="D415" s="71"/>
      <c r="E415" s="174">
        <v>-1</v>
      </c>
      <c r="F415" s="175">
        <v>-2</v>
      </c>
      <c r="G415" s="282">
        <v>-3</v>
      </c>
      <c r="H415" s="175">
        <v>-4</v>
      </c>
      <c r="I415" s="175">
        <v>-5</v>
      </c>
    </row>
    <row r="416" spans="1:9">
      <c r="A416" s="324"/>
      <c r="B416" s="75"/>
      <c r="C416" s="75"/>
      <c r="D416" s="38"/>
      <c r="E416" s="181"/>
      <c r="F416" s="23" t="s">
        <v>31</v>
      </c>
      <c r="G416" s="505" t="str">
        <f>"BUDGET YEAR ENDING "&amp;TEXT('Form 1 Cover'!D139, "MM/DD/YY")</f>
        <v>BUDGET YEAR ENDING 06/30/23</v>
      </c>
      <c r="H416" s="26"/>
      <c r="I416" s="506"/>
    </row>
    <row r="417" spans="1:9" ht="15">
      <c r="A417" s="324"/>
      <c r="B417" s="75"/>
      <c r="C417" s="75"/>
      <c r="D417" s="38"/>
      <c r="E417" s="177" t="s">
        <v>277</v>
      </c>
      <c r="F417" s="177" t="s">
        <v>279</v>
      </c>
      <c r="G417" s="178"/>
      <c r="H417" s="326"/>
      <c r="I417" s="177" t="s">
        <v>556</v>
      </c>
    </row>
    <row r="418" spans="1:9" ht="16">
      <c r="A418" s="324"/>
      <c r="B418" s="135" t="s">
        <v>77</v>
      </c>
      <c r="C418" s="49"/>
      <c r="D418" s="38"/>
      <c r="E418" s="177" t="s">
        <v>278</v>
      </c>
      <c r="F418" s="177" t="s">
        <v>278</v>
      </c>
      <c r="G418" s="179" t="s">
        <v>280</v>
      </c>
      <c r="H418" s="177" t="s">
        <v>109</v>
      </c>
      <c r="I418" s="177" t="s">
        <v>109</v>
      </c>
    </row>
    <row r="419" spans="1:9" ht="16">
      <c r="A419" s="322"/>
      <c r="B419" s="507"/>
      <c r="C419" s="507"/>
      <c r="D419" s="508"/>
      <c r="E419" s="4">
        <f>'Form 1 Cover'!D130</f>
        <v>44377</v>
      </c>
      <c r="F419" s="4">
        <f>'Form 1 Cover'!D134</f>
        <v>44742</v>
      </c>
      <c r="G419" s="180" t="s">
        <v>281</v>
      </c>
      <c r="H419" s="327" t="s">
        <v>281</v>
      </c>
      <c r="I419" s="327" t="s">
        <v>281</v>
      </c>
    </row>
    <row r="420" spans="1:9" ht="30">
      <c r="A420" s="328"/>
      <c r="B420" s="161" t="s">
        <v>154</v>
      </c>
      <c r="C420" s="148"/>
      <c r="D420" s="123" t="s">
        <v>155</v>
      </c>
      <c r="E420" s="46"/>
      <c r="F420" s="46"/>
      <c r="G420" s="46"/>
      <c r="H420" s="46"/>
      <c r="I420" s="46"/>
    </row>
    <row r="421" spans="1:9">
      <c r="A421" s="298"/>
      <c r="B421" s="89"/>
      <c r="C421" s="89" t="s">
        <v>79</v>
      </c>
      <c r="D421" s="42" t="s">
        <v>80</v>
      </c>
      <c r="E421" s="413"/>
      <c r="F421" s="413"/>
      <c r="G421" s="413"/>
      <c r="H421" s="413"/>
      <c r="I421" s="413"/>
    </row>
    <row r="422" spans="1:9">
      <c r="A422" s="298"/>
      <c r="B422" s="89"/>
      <c r="C422" s="89" t="s">
        <v>81</v>
      </c>
      <c r="D422" s="42" t="s">
        <v>82</v>
      </c>
      <c r="E422" s="413"/>
      <c r="F422" s="413"/>
      <c r="G422" s="413"/>
      <c r="H422" s="413"/>
      <c r="I422" s="413"/>
    </row>
    <row r="423" spans="1:9">
      <c r="A423" s="298"/>
      <c r="B423" s="89"/>
      <c r="C423" s="89" t="s">
        <v>131</v>
      </c>
      <c r="D423" s="42"/>
      <c r="E423" s="413"/>
      <c r="F423" s="413"/>
      <c r="G423" s="413"/>
      <c r="H423" s="413"/>
      <c r="I423" s="413"/>
    </row>
    <row r="424" spans="1:9">
      <c r="A424" s="298"/>
      <c r="B424" s="89"/>
      <c r="C424" s="89" t="s">
        <v>83</v>
      </c>
      <c r="D424" s="42" t="s">
        <v>84</v>
      </c>
      <c r="E424" s="413"/>
      <c r="F424" s="413"/>
      <c r="G424" s="413"/>
      <c r="H424" s="413"/>
      <c r="I424" s="413"/>
    </row>
    <row r="425" spans="1:9">
      <c r="A425" s="298"/>
      <c r="B425" s="89"/>
      <c r="C425" s="89" t="s">
        <v>87</v>
      </c>
      <c r="D425" s="42" t="s">
        <v>132</v>
      </c>
      <c r="E425" s="413"/>
      <c r="F425" s="413"/>
      <c r="G425" s="413"/>
      <c r="H425" s="413"/>
      <c r="I425" s="413"/>
    </row>
    <row r="426" spans="1:9">
      <c r="A426" s="298"/>
      <c r="B426" s="89"/>
      <c r="C426" s="89" t="s">
        <v>85</v>
      </c>
      <c r="D426" s="42" t="s">
        <v>86</v>
      </c>
      <c r="E426" s="413"/>
      <c r="F426" s="413"/>
      <c r="G426" s="413"/>
      <c r="H426" s="413"/>
      <c r="I426" s="413"/>
    </row>
    <row r="427" spans="1:9" ht="15" thickBot="1">
      <c r="A427" s="329"/>
      <c r="B427" s="157" t="s">
        <v>156</v>
      </c>
      <c r="C427" s="156"/>
      <c r="D427" s="44"/>
      <c r="E427" s="125">
        <f>SUM(E421:E426)</f>
        <v>0</v>
      </c>
      <c r="F427" s="125">
        <f>SUM(F421:F426)</f>
        <v>0</v>
      </c>
      <c r="G427" s="125">
        <f>SUM(G421:G426)</f>
        <v>0</v>
      </c>
      <c r="H427" s="125">
        <f>SUM(H421:H426)</f>
        <v>0</v>
      </c>
      <c r="I427" s="125">
        <f>SUM(I421:I426)</f>
        <v>0</v>
      </c>
    </row>
    <row r="428" spans="1:9">
      <c r="A428" s="298"/>
      <c r="B428" s="148" t="s">
        <v>157</v>
      </c>
      <c r="C428" s="148"/>
      <c r="D428" s="159" t="s">
        <v>158</v>
      </c>
      <c r="E428" s="91"/>
      <c r="F428" s="91"/>
      <c r="G428" s="91"/>
      <c r="H428" s="91"/>
      <c r="I428" s="91"/>
    </row>
    <row r="429" spans="1:9">
      <c r="A429" s="298"/>
      <c r="B429" s="89"/>
      <c r="C429" s="89" t="s">
        <v>79</v>
      </c>
      <c r="D429" s="42" t="s">
        <v>80</v>
      </c>
      <c r="E429" s="413"/>
      <c r="F429" s="413"/>
      <c r="G429" s="413"/>
      <c r="H429" s="413"/>
      <c r="I429" s="413"/>
    </row>
    <row r="430" spans="1:9">
      <c r="A430" s="298"/>
      <c r="B430" s="89"/>
      <c r="C430" s="89" t="s">
        <v>81</v>
      </c>
      <c r="D430" s="42" t="s">
        <v>82</v>
      </c>
      <c r="E430" s="413"/>
      <c r="F430" s="413"/>
      <c r="G430" s="413"/>
      <c r="H430" s="413"/>
      <c r="I430" s="413"/>
    </row>
    <row r="431" spans="1:9">
      <c r="A431" s="298"/>
      <c r="B431" s="89"/>
      <c r="C431" s="89" t="s">
        <v>131</v>
      </c>
      <c r="D431" s="42"/>
      <c r="E431" s="413"/>
      <c r="F431" s="413"/>
      <c r="G431" s="413"/>
      <c r="H431" s="413"/>
      <c r="I431" s="413"/>
    </row>
    <row r="432" spans="1:9">
      <c r="A432" s="298"/>
      <c r="B432" s="89"/>
      <c r="C432" s="89" t="s">
        <v>83</v>
      </c>
      <c r="D432" s="42" t="s">
        <v>84</v>
      </c>
      <c r="E432" s="413"/>
      <c r="F432" s="413"/>
      <c r="G432" s="413"/>
      <c r="H432" s="413"/>
      <c r="I432" s="413"/>
    </row>
    <row r="433" spans="1:9">
      <c r="A433" s="298"/>
      <c r="B433" s="89"/>
      <c r="C433" s="89" t="s">
        <v>87</v>
      </c>
      <c r="D433" s="42" t="s">
        <v>132</v>
      </c>
      <c r="E433" s="413"/>
      <c r="F433" s="413"/>
      <c r="G433" s="413"/>
      <c r="H433" s="413"/>
      <c r="I433" s="413"/>
    </row>
    <row r="434" spans="1:9">
      <c r="A434" s="298"/>
      <c r="B434" s="89"/>
      <c r="C434" s="89" t="s">
        <v>85</v>
      </c>
      <c r="D434" s="42" t="s">
        <v>86</v>
      </c>
      <c r="E434" s="413"/>
      <c r="F434" s="413"/>
      <c r="G434" s="413"/>
      <c r="H434" s="413"/>
      <c r="I434" s="413"/>
    </row>
    <row r="435" spans="1:9" ht="15" thickBot="1">
      <c r="A435" s="329"/>
      <c r="B435" s="157" t="s">
        <v>159</v>
      </c>
      <c r="C435" s="156"/>
      <c r="D435" s="44"/>
      <c r="E435" s="125">
        <f>SUM(E429:E434)</f>
        <v>0</v>
      </c>
      <c r="F435" s="125">
        <f>SUM(F429:F434)</f>
        <v>0</v>
      </c>
      <c r="G435" s="125">
        <f>SUM(G429:G434)</f>
        <v>0</v>
      </c>
      <c r="H435" s="125">
        <f>SUM(H429:H434)</f>
        <v>0</v>
      </c>
      <c r="I435" s="125">
        <f>SUM(I429:I434)</f>
        <v>0</v>
      </c>
    </row>
    <row r="436" spans="1:9">
      <c r="A436" s="298"/>
      <c r="B436" s="148" t="s">
        <v>160</v>
      </c>
      <c r="C436" s="148"/>
      <c r="D436" s="159" t="s">
        <v>161</v>
      </c>
      <c r="E436" s="91"/>
      <c r="F436" s="91"/>
      <c r="G436" s="91"/>
      <c r="H436" s="91"/>
      <c r="I436" s="91"/>
    </row>
    <row r="437" spans="1:9">
      <c r="A437" s="298"/>
      <c r="B437" s="89"/>
      <c r="C437" s="89" t="s">
        <v>79</v>
      </c>
      <c r="D437" s="42" t="s">
        <v>80</v>
      </c>
      <c r="E437" s="413"/>
      <c r="F437" s="413"/>
      <c r="G437" s="413"/>
      <c r="H437" s="413"/>
      <c r="I437" s="413"/>
    </row>
    <row r="438" spans="1:9">
      <c r="A438" s="298"/>
      <c r="B438" s="89"/>
      <c r="C438" s="89" t="s">
        <v>81</v>
      </c>
      <c r="D438" s="42" t="s">
        <v>82</v>
      </c>
      <c r="E438" s="408"/>
      <c r="F438" s="411"/>
      <c r="G438" s="411"/>
      <c r="H438" s="411"/>
      <c r="I438" s="411"/>
    </row>
    <row r="439" spans="1:9">
      <c r="A439" s="298"/>
      <c r="B439" s="89"/>
      <c r="C439" s="89" t="s">
        <v>131</v>
      </c>
      <c r="D439" s="42"/>
      <c r="E439" s="413"/>
      <c r="F439" s="413"/>
      <c r="G439" s="413"/>
      <c r="H439" s="413"/>
      <c r="I439" s="413"/>
    </row>
    <row r="440" spans="1:9">
      <c r="A440" s="298"/>
      <c r="B440" s="89"/>
      <c r="C440" s="89" t="s">
        <v>83</v>
      </c>
      <c r="D440" s="42" t="s">
        <v>84</v>
      </c>
      <c r="E440" s="413"/>
      <c r="F440" s="413"/>
      <c r="G440" s="413"/>
      <c r="H440" s="413"/>
      <c r="I440" s="413"/>
    </row>
    <row r="441" spans="1:9">
      <c r="A441" s="298"/>
      <c r="B441" s="89"/>
      <c r="C441" s="89" t="s">
        <v>87</v>
      </c>
      <c r="D441" s="42" t="s">
        <v>132</v>
      </c>
      <c r="E441" s="413"/>
      <c r="F441" s="413"/>
      <c r="G441" s="413"/>
      <c r="H441" s="413"/>
      <c r="I441" s="413"/>
    </row>
    <row r="442" spans="1:9">
      <c r="A442" s="298"/>
      <c r="B442" s="89"/>
      <c r="C442" s="89" t="s">
        <v>85</v>
      </c>
      <c r="D442" s="42" t="s">
        <v>86</v>
      </c>
      <c r="E442" s="408"/>
      <c r="F442" s="411"/>
      <c r="G442" s="411"/>
      <c r="H442" s="411"/>
      <c r="I442" s="411"/>
    </row>
    <row r="443" spans="1:9" ht="15" thickBot="1">
      <c r="A443" s="329"/>
      <c r="B443" s="157" t="s">
        <v>162</v>
      </c>
      <c r="C443" s="156"/>
      <c r="D443" s="44"/>
      <c r="E443" s="162">
        <f>SUM(E437:E442)</f>
        <v>0</v>
      </c>
      <c r="F443" s="162">
        <f>SUM(F437:F442)</f>
        <v>0</v>
      </c>
      <c r="G443" s="162">
        <f>SUM(G437:G442)</f>
        <v>0</v>
      </c>
      <c r="H443" s="162">
        <f>SUM(H437:H442)</f>
        <v>0</v>
      </c>
      <c r="I443" s="162">
        <f>SUM(I437:I442)</f>
        <v>0</v>
      </c>
    </row>
    <row r="444" spans="1:9" ht="19.5" customHeight="1" thickBot="1">
      <c r="A444" s="299" t="s">
        <v>457</v>
      </c>
      <c r="B444" s="95"/>
      <c r="C444" s="96"/>
      <c r="D444" s="97"/>
      <c r="E444" s="163">
        <f>E375+E383+E391+E399+E407+E427+E435+E443</f>
        <v>0</v>
      </c>
      <c r="F444" s="163">
        <f>F375+F383+F391+F399+F407+F427+F435+F443</f>
        <v>0</v>
      </c>
      <c r="G444" s="163">
        <f>G375+G383+G391+G399+G407+G427+G435+G443</f>
        <v>0</v>
      </c>
      <c r="H444" s="163">
        <f>H375+H383+H391+H399+H407+H427+H435+H443</f>
        <v>0</v>
      </c>
      <c r="I444" s="163">
        <f>I375+I383+I391+I399+I407+I427+I435+I443</f>
        <v>0</v>
      </c>
    </row>
    <row r="445" spans="1:9" ht="15" thickTop="1">
      <c r="A445" s="298"/>
      <c r="B445" s="148" t="s">
        <v>177</v>
      </c>
      <c r="C445" s="148"/>
      <c r="D445" s="159" t="s">
        <v>244</v>
      </c>
      <c r="E445" s="164"/>
      <c r="F445" s="91"/>
      <c r="G445" s="91"/>
      <c r="H445" s="91"/>
      <c r="I445" s="91"/>
    </row>
    <row r="446" spans="1:9">
      <c r="A446" s="298"/>
      <c r="B446" s="89"/>
      <c r="C446" s="89" t="s">
        <v>79</v>
      </c>
      <c r="D446" s="42" t="s">
        <v>80</v>
      </c>
      <c r="E446" s="413"/>
      <c r="F446" s="413"/>
      <c r="G446" s="413"/>
      <c r="H446" s="413"/>
      <c r="I446" s="413"/>
    </row>
    <row r="447" spans="1:9">
      <c r="A447" s="298"/>
      <c r="B447" s="89"/>
      <c r="C447" s="89" t="s">
        <v>81</v>
      </c>
      <c r="D447" s="42" t="s">
        <v>82</v>
      </c>
      <c r="E447" s="413"/>
      <c r="F447" s="413"/>
      <c r="G447" s="413"/>
      <c r="H447" s="413"/>
      <c r="I447" s="413"/>
    </row>
    <row r="448" spans="1:9">
      <c r="A448" s="298"/>
      <c r="B448" s="89"/>
      <c r="C448" s="89" t="s">
        <v>131</v>
      </c>
      <c r="D448" s="42"/>
      <c r="E448" s="413"/>
      <c r="F448" s="413"/>
      <c r="G448" s="413"/>
      <c r="H448" s="413"/>
      <c r="I448" s="413"/>
    </row>
    <row r="449" spans="1:9">
      <c r="A449" s="298"/>
      <c r="B449" s="89"/>
      <c r="C449" s="89" t="s">
        <v>83</v>
      </c>
      <c r="D449" s="42" t="s">
        <v>84</v>
      </c>
      <c r="E449" s="413"/>
      <c r="F449" s="413"/>
      <c r="G449" s="413"/>
      <c r="H449" s="413"/>
      <c r="I449" s="413"/>
    </row>
    <row r="450" spans="1:9">
      <c r="A450" s="298"/>
      <c r="B450" s="89"/>
      <c r="C450" s="89" t="s">
        <v>87</v>
      </c>
      <c r="D450" s="42" t="s">
        <v>132</v>
      </c>
      <c r="E450" s="413"/>
      <c r="F450" s="413"/>
      <c r="G450" s="413"/>
      <c r="H450" s="413"/>
      <c r="I450" s="413"/>
    </row>
    <row r="451" spans="1:9">
      <c r="A451" s="298"/>
      <c r="B451" s="89"/>
      <c r="C451" s="89" t="s">
        <v>85</v>
      </c>
      <c r="D451" s="42" t="s">
        <v>86</v>
      </c>
      <c r="E451" s="413"/>
      <c r="F451" s="413"/>
      <c r="G451" s="413"/>
      <c r="H451" s="413"/>
      <c r="I451" s="413"/>
    </row>
    <row r="452" spans="1:9" ht="15" thickBot="1">
      <c r="A452" s="330" t="s">
        <v>418</v>
      </c>
      <c r="B452" s="43"/>
      <c r="C452" s="156"/>
      <c r="D452" s="44"/>
      <c r="E452" s="125">
        <f>SUM(E446:E451)</f>
        <v>0</v>
      </c>
      <c r="F452" s="125">
        <f>SUM(F446:F451)</f>
        <v>0</v>
      </c>
      <c r="G452" s="125">
        <f>SUM(G446:G451)</f>
        <v>0</v>
      </c>
      <c r="H452" s="125">
        <f>SUM(H446:H451)</f>
        <v>0</v>
      </c>
      <c r="I452" s="125">
        <f>SUM(I446:I451)</f>
        <v>0</v>
      </c>
    </row>
    <row r="453" spans="1:9">
      <c r="A453" s="184"/>
      <c r="B453" s="186"/>
      <c r="C453" s="185"/>
      <c r="D453" s="186"/>
      <c r="E453" s="340"/>
      <c r="F453" s="340"/>
      <c r="G453" s="340"/>
      <c r="H453" s="340"/>
      <c r="I453" s="340"/>
    </row>
    <row r="454" spans="1:9">
      <c r="A454" s="75"/>
      <c r="B454" s="418" t="str">
        <f>'Form 1 Cover'!B20</f>
        <v>Discovery Charter School</v>
      </c>
      <c r="C454" s="383"/>
      <c r="D454" s="34"/>
      <c r="E454" s="49"/>
      <c r="F454" s="49"/>
      <c r="H454" s="49"/>
      <c r="I454" s="384" t="str">
        <f>"Budget Fiscal Year "&amp;TEXT('Form 1 Cover'!$D$137, "mm/dd/yy")</f>
        <v>Budget Fiscal Year 2022-2023</v>
      </c>
    </row>
    <row r="455" spans="1:9">
      <c r="A455" s="75"/>
      <c r="B455" s="75"/>
      <c r="C455" s="75"/>
      <c r="D455" s="49"/>
      <c r="E455" s="75"/>
      <c r="F455" s="49"/>
      <c r="G455" s="49"/>
      <c r="H455" s="49"/>
      <c r="I455" s="49"/>
    </row>
    <row r="456" spans="1:9">
      <c r="A456" s="75"/>
      <c r="B456" s="75" t="s">
        <v>416</v>
      </c>
      <c r="C456" s="75"/>
      <c r="D456" s="49"/>
      <c r="E456" s="49"/>
      <c r="F456" s="49"/>
      <c r="G456" s="49"/>
      <c r="H456" s="335"/>
      <c r="I456" s="335">
        <f>'Form 1 Cover'!$D$146</f>
        <v>44607</v>
      </c>
    </row>
    <row r="457" spans="1:9">
      <c r="A457" s="308"/>
      <c r="B457" s="70"/>
      <c r="C457" s="70"/>
      <c r="D457" s="71"/>
      <c r="E457" s="174">
        <v>-1</v>
      </c>
      <c r="F457" s="175">
        <v>-2</v>
      </c>
      <c r="G457" s="282">
        <v>-3</v>
      </c>
      <c r="H457" s="175">
        <v>-4</v>
      </c>
      <c r="I457" s="175">
        <v>-5</v>
      </c>
    </row>
    <row r="458" spans="1:9">
      <c r="A458" s="324"/>
      <c r="B458" s="75"/>
      <c r="C458" s="75"/>
      <c r="D458" s="38"/>
      <c r="E458" s="181"/>
      <c r="F458" s="23" t="s">
        <v>31</v>
      </c>
      <c r="G458" s="505" t="str">
        <f>"BUDGET YEAR ENDING "&amp;TEXT('Form 1 Cover'!D139, "MM/DD/YY")</f>
        <v>BUDGET YEAR ENDING 06/30/23</v>
      </c>
      <c r="H458" s="26"/>
      <c r="I458" s="506"/>
    </row>
    <row r="459" spans="1:9" ht="15">
      <c r="A459" s="324"/>
      <c r="B459" s="75"/>
      <c r="C459" s="75"/>
      <c r="D459" s="38"/>
      <c r="E459" s="177" t="s">
        <v>277</v>
      </c>
      <c r="F459" s="177" t="s">
        <v>279</v>
      </c>
      <c r="G459" s="178"/>
      <c r="H459" s="326"/>
      <c r="I459" s="177" t="s">
        <v>556</v>
      </c>
    </row>
    <row r="460" spans="1:9" ht="16">
      <c r="A460" s="324"/>
      <c r="B460" s="135" t="s">
        <v>77</v>
      </c>
      <c r="C460" s="49"/>
      <c r="D460" s="38"/>
      <c r="E460" s="177" t="s">
        <v>278</v>
      </c>
      <c r="F460" s="177" t="s">
        <v>278</v>
      </c>
      <c r="G460" s="179" t="s">
        <v>280</v>
      </c>
      <c r="H460" s="177" t="s">
        <v>109</v>
      </c>
      <c r="I460" s="177" t="s">
        <v>109</v>
      </c>
    </row>
    <row r="461" spans="1:9" ht="16">
      <c r="A461" s="322"/>
      <c r="B461" s="507"/>
      <c r="C461" s="507"/>
      <c r="D461" s="508"/>
      <c r="E461" s="4">
        <f>'Form 1 Cover'!D130</f>
        <v>44377</v>
      </c>
      <c r="F461" s="4">
        <f>'Form 1 Cover'!D134</f>
        <v>44742</v>
      </c>
      <c r="G461" s="180" t="s">
        <v>281</v>
      </c>
      <c r="H461" s="327" t="s">
        <v>281</v>
      </c>
      <c r="I461" s="327" t="s">
        <v>281</v>
      </c>
    </row>
    <row r="462" spans="1:9">
      <c r="A462" s="298"/>
      <c r="B462" s="148" t="s">
        <v>163</v>
      </c>
      <c r="C462" s="148"/>
      <c r="D462" s="159" t="s">
        <v>164</v>
      </c>
      <c r="E462" s="164"/>
      <c r="F462" s="91"/>
      <c r="G462" s="91"/>
      <c r="H462" s="91"/>
      <c r="I462" s="91"/>
    </row>
    <row r="463" spans="1:9">
      <c r="A463" s="298"/>
      <c r="B463" s="89"/>
      <c r="C463" s="89" t="s">
        <v>79</v>
      </c>
      <c r="D463" s="42" t="s">
        <v>80</v>
      </c>
      <c r="E463" s="413"/>
      <c r="F463" s="413"/>
      <c r="G463" s="413"/>
      <c r="H463" s="413"/>
      <c r="I463" s="413"/>
    </row>
    <row r="464" spans="1:9">
      <c r="A464" s="298"/>
      <c r="B464" s="89"/>
      <c r="C464" s="89" t="s">
        <v>81</v>
      </c>
      <c r="D464" s="42" t="s">
        <v>82</v>
      </c>
      <c r="E464" s="413"/>
      <c r="F464" s="413"/>
      <c r="G464" s="413"/>
      <c r="H464" s="413"/>
      <c r="I464" s="413"/>
    </row>
    <row r="465" spans="1:9">
      <c r="A465" s="298"/>
      <c r="B465" s="89"/>
      <c r="C465" s="89" t="s">
        <v>131</v>
      </c>
      <c r="D465" s="42"/>
      <c r="E465" s="413"/>
      <c r="F465" s="413"/>
      <c r="G465" s="413"/>
      <c r="H465" s="413"/>
      <c r="I465" s="413"/>
    </row>
    <row r="466" spans="1:9">
      <c r="A466" s="298"/>
      <c r="B466" s="89"/>
      <c r="C466" s="89" t="s">
        <v>83</v>
      </c>
      <c r="D466" s="42" t="s">
        <v>84</v>
      </c>
      <c r="E466" s="413"/>
      <c r="F466" s="413"/>
      <c r="G466" s="413"/>
      <c r="H466" s="413"/>
      <c r="I466" s="413"/>
    </row>
    <row r="467" spans="1:9">
      <c r="A467" s="298"/>
      <c r="B467" s="89"/>
      <c r="C467" s="89" t="s">
        <v>87</v>
      </c>
      <c r="D467" s="42" t="s">
        <v>132</v>
      </c>
      <c r="E467" s="413"/>
      <c r="F467" s="413"/>
      <c r="G467" s="413"/>
      <c r="H467" s="413"/>
      <c r="I467" s="413"/>
    </row>
    <row r="468" spans="1:9">
      <c r="A468" s="298"/>
      <c r="B468" s="89"/>
      <c r="C468" s="89" t="s">
        <v>85</v>
      </c>
      <c r="D468" s="42" t="s">
        <v>86</v>
      </c>
      <c r="E468" s="413"/>
      <c r="F468" s="413"/>
      <c r="G468" s="413"/>
      <c r="H468" s="413"/>
      <c r="I468" s="413"/>
    </row>
    <row r="469" spans="1:9" ht="15" thickBot="1">
      <c r="A469" s="329"/>
      <c r="B469" s="157" t="s">
        <v>165</v>
      </c>
      <c r="C469" s="156"/>
      <c r="D469" s="44"/>
      <c r="E469" s="125">
        <f>SUM(E463:E468)</f>
        <v>0</v>
      </c>
      <c r="F469" s="125">
        <f>SUM(F463:F468)</f>
        <v>0</v>
      </c>
      <c r="G469" s="125">
        <f>SUM(G463:G468)</f>
        <v>0</v>
      </c>
      <c r="H469" s="125">
        <f>SUM(H463:H468)</f>
        <v>0</v>
      </c>
      <c r="I469" s="125">
        <f>SUM(I463:I468)</f>
        <v>0</v>
      </c>
    </row>
    <row r="470" spans="1:9">
      <c r="A470" s="298"/>
      <c r="B470" s="148" t="s">
        <v>145</v>
      </c>
      <c r="C470" s="148"/>
      <c r="D470" s="159" t="s">
        <v>390</v>
      </c>
      <c r="E470" s="91"/>
      <c r="F470" s="91"/>
      <c r="G470" s="91"/>
      <c r="H470" s="91"/>
      <c r="I470" s="91"/>
    </row>
    <row r="471" spans="1:9">
      <c r="A471" s="298"/>
      <c r="B471" s="89"/>
      <c r="C471" s="89" t="s">
        <v>79</v>
      </c>
      <c r="D471" s="42" t="s">
        <v>80</v>
      </c>
      <c r="E471" s="413"/>
      <c r="F471" s="413"/>
      <c r="G471" s="413"/>
      <c r="H471" s="413"/>
      <c r="I471" s="413"/>
    </row>
    <row r="472" spans="1:9">
      <c r="A472" s="298"/>
      <c r="B472" s="89"/>
      <c r="C472" s="89" t="s">
        <v>81</v>
      </c>
      <c r="D472" s="42" t="s">
        <v>82</v>
      </c>
      <c r="E472" s="413"/>
      <c r="F472" s="413"/>
      <c r="G472" s="413"/>
      <c r="H472" s="413"/>
      <c r="I472" s="413"/>
    </row>
    <row r="473" spans="1:9">
      <c r="A473" s="298"/>
      <c r="B473" s="89"/>
      <c r="C473" s="89" t="s">
        <v>131</v>
      </c>
      <c r="D473" s="42"/>
      <c r="E473" s="413"/>
      <c r="F473" s="413"/>
      <c r="G473" s="413"/>
      <c r="H473" s="413"/>
      <c r="I473" s="413"/>
    </row>
    <row r="474" spans="1:9">
      <c r="A474" s="298"/>
      <c r="B474" s="89"/>
      <c r="C474" s="89" t="s">
        <v>83</v>
      </c>
      <c r="D474" s="42" t="s">
        <v>84</v>
      </c>
      <c r="E474" s="413"/>
      <c r="F474" s="413"/>
      <c r="G474" s="413"/>
      <c r="H474" s="413"/>
      <c r="I474" s="413"/>
    </row>
    <row r="475" spans="1:9">
      <c r="A475" s="298"/>
      <c r="B475" s="89"/>
      <c r="C475" s="89" t="s">
        <v>87</v>
      </c>
      <c r="D475" s="42" t="s">
        <v>132</v>
      </c>
      <c r="E475" s="413"/>
      <c r="F475" s="413"/>
      <c r="G475" s="413"/>
      <c r="H475" s="413"/>
      <c r="I475" s="413"/>
    </row>
    <row r="476" spans="1:9">
      <c r="A476" s="298"/>
      <c r="B476" s="89"/>
      <c r="C476" s="89" t="s">
        <v>85</v>
      </c>
      <c r="D476" s="42" t="s">
        <v>86</v>
      </c>
      <c r="E476" s="413"/>
      <c r="F476" s="413"/>
      <c r="G476" s="413"/>
      <c r="H476" s="413"/>
      <c r="I476" s="413"/>
    </row>
    <row r="477" spans="1:9" ht="15" thickBot="1">
      <c r="A477" s="329"/>
      <c r="B477" s="157" t="s">
        <v>147</v>
      </c>
      <c r="C477" s="156"/>
      <c r="D477" s="44"/>
      <c r="E477" s="125">
        <f>SUM(E471:E476)</f>
        <v>0</v>
      </c>
      <c r="F477" s="125">
        <f>SUM(F471:F476)</f>
        <v>0</v>
      </c>
      <c r="G477" s="125">
        <f>SUM(G471:G476)</f>
        <v>0</v>
      </c>
      <c r="H477" s="125">
        <f>SUM(H471:H476)</f>
        <v>0</v>
      </c>
      <c r="I477" s="125">
        <f>SUM(I471:I476)</f>
        <v>0</v>
      </c>
    </row>
    <row r="478" spans="1:9">
      <c r="A478" s="298"/>
      <c r="B478" s="148" t="s">
        <v>148</v>
      </c>
      <c r="C478" s="148"/>
      <c r="D478" s="159" t="s">
        <v>149</v>
      </c>
      <c r="E478" s="91"/>
      <c r="F478" s="91"/>
      <c r="G478" s="91"/>
      <c r="H478" s="91"/>
      <c r="I478" s="91"/>
    </row>
    <row r="479" spans="1:9">
      <c r="A479" s="298"/>
      <c r="B479" s="89"/>
      <c r="C479" s="89" t="s">
        <v>79</v>
      </c>
      <c r="D479" s="42" t="s">
        <v>80</v>
      </c>
      <c r="E479" s="413"/>
      <c r="F479" s="413"/>
      <c r="G479" s="413"/>
      <c r="H479" s="413"/>
      <c r="I479" s="413"/>
    </row>
    <row r="480" spans="1:9">
      <c r="A480" s="298"/>
      <c r="B480" s="89"/>
      <c r="C480" s="89" t="s">
        <v>81</v>
      </c>
      <c r="D480" s="42" t="s">
        <v>82</v>
      </c>
      <c r="E480" s="413"/>
      <c r="F480" s="413"/>
      <c r="G480" s="413"/>
      <c r="H480" s="413"/>
      <c r="I480" s="413"/>
    </row>
    <row r="481" spans="1:9">
      <c r="A481" s="298"/>
      <c r="B481" s="89"/>
      <c r="C481" s="89" t="s">
        <v>131</v>
      </c>
      <c r="D481" s="42"/>
      <c r="E481" s="413"/>
      <c r="F481" s="413"/>
      <c r="G481" s="413"/>
      <c r="H481" s="413"/>
      <c r="I481" s="413"/>
    </row>
    <row r="482" spans="1:9">
      <c r="A482" s="298"/>
      <c r="B482" s="89"/>
      <c r="C482" s="89" t="s">
        <v>83</v>
      </c>
      <c r="D482" s="42" t="s">
        <v>84</v>
      </c>
      <c r="E482" s="413"/>
      <c r="F482" s="413"/>
      <c r="G482" s="413"/>
      <c r="H482" s="413"/>
      <c r="I482" s="413"/>
    </row>
    <row r="483" spans="1:9">
      <c r="A483" s="298"/>
      <c r="B483" s="89"/>
      <c r="C483" s="89" t="s">
        <v>87</v>
      </c>
      <c r="D483" s="42" t="s">
        <v>132</v>
      </c>
      <c r="E483" s="413"/>
      <c r="F483" s="413"/>
      <c r="G483" s="413"/>
      <c r="H483" s="413"/>
      <c r="I483" s="413"/>
    </row>
    <row r="484" spans="1:9">
      <c r="A484" s="298"/>
      <c r="B484" s="89"/>
      <c r="C484" s="89" t="s">
        <v>85</v>
      </c>
      <c r="D484" s="42" t="s">
        <v>86</v>
      </c>
      <c r="E484" s="413"/>
      <c r="F484" s="413"/>
      <c r="G484" s="413"/>
      <c r="H484" s="413"/>
      <c r="I484" s="413"/>
    </row>
    <row r="485" spans="1:9" ht="15" thickBot="1">
      <c r="A485" s="329"/>
      <c r="B485" s="157" t="s">
        <v>150</v>
      </c>
      <c r="C485" s="156"/>
      <c r="D485" s="44"/>
      <c r="E485" s="125">
        <f>SUM(E479:E484)</f>
        <v>0</v>
      </c>
      <c r="F485" s="125">
        <f>SUM(F479:F484)</f>
        <v>0</v>
      </c>
      <c r="G485" s="125">
        <f>SUM(G479:G484)</f>
        <v>0</v>
      </c>
      <c r="H485" s="125">
        <f>SUM(H479:H484)</f>
        <v>0</v>
      </c>
      <c r="I485" s="125">
        <f>SUM(I479:I484)</f>
        <v>0</v>
      </c>
    </row>
    <row r="486" spans="1:9">
      <c r="A486" s="298"/>
      <c r="B486" s="148" t="s">
        <v>391</v>
      </c>
      <c r="C486" s="148"/>
      <c r="D486" s="159" t="s">
        <v>392</v>
      </c>
      <c r="E486" s="91"/>
      <c r="F486" s="91"/>
      <c r="G486" s="91"/>
      <c r="H486" s="91"/>
      <c r="I486" s="91"/>
    </row>
    <row r="487" spans="1:9">
      <c r="A487" s="298"/>
      <c r="B487" s="89"/>
      <c r="C487" s="89" t="s">
        <v>79</v>
      </c>
      <c r="D487" s="42" t="s">
        <v>80</v>
      </c>
      <c r="E487" s="413"/>
      <c r="F487" s="413"/>
      <c r="G487" s="413"/>
      <c r="H487" s="413"/>
      <c r="I487" s="413"/>
    </row>
    <row r="488" spans="1:9">
      <c r="A488" s="298"/>
      <c r="B488" s="89"/>
      <c r="C488" s="89" t="s">
        <v>81</v>
      </c>
      <c r="D488" s="42" t="s">
        <v>82</v>
      </c>
      <c r="E488" s="413"/>
      <c r="F488" s="413"/>
      <c r="G488" s="413"/>
      <c r="H488" s="413"/>
      <c r="I488" s="413"/>
    </row>
    <row r="489" spans="1:9">
      <c r="A489" s="298"/>
      <c r="B489" s="89"/>
      <c r="C489" s="89" t="s">
        <v>131</v>
      </c>
      <c r="D489" s="42"/>
      <c r="E489" s="413"/>
      <c r="F489" s="413"/>
      <c r="G489" s="413"/>
      <c r="H489" s="413"/>
      <c r="I489" s="413"/>
    </row>
    <row r="490" spans="1:9">
      <c r="A490" s="298"/>
      <c r="B490" s="89"/>
      <c r="C490" s="89" t="s">
        <v>83</v>
      </c>
      <c r="D490" s="42" t="s">
        <v>84</v>
      </c>
      <c r="E490" s="413"/>
      <c r="F490" s="413"/>
      <c r="G490" s="413"/>
      <c r="H490" s="413"/>
      <c r="I490" s="413"/>
    </row>
    <row r="491" spans="1:9">
      <c r="A491" s="298"/>
      <c r="B491" s="89"/>
      <c r="C491" s="89" t="s">
        <v>87</v>
      </c>
      <c r="D491" s="42" t="s">
        <v>132</v>
      </c>
      <c r="E491" s="413"/>
      <c r="F491" s="413"/>
      <c r="G491" s="413"/>
      <c r="H491" s="413"/>
      <c r="I491" s="413"/>
    </row>
    <row r="492" spans="1:9">
      <c r="A492" s="324"/>
      <c r="B492" s="88"/>
      <c r="C492" s="75" t="s">
        <v>85</v>
      </c>
      <c r="D492" s="38" t="s">
        <v>86</v>
      </c>
      <c r="E492" s="413"/>
      <c r="F492" s="413"/>
      <c r="G492" s="413"/>
      <c r="H492" s="413"/>
      <c r="I492" s="413"/>
    </row>
    <row r="493" spans="1:9" ht="15" thickBot="1">
      <c r="A493" s="329"/>
      <c r="B493" s="157" t="s">
        <v>393</v>
      </c>
      <c r="C493" s="156"/>
      <c r="D493" s="44"/>
      <c r="E493" s="125">
        <f>SUM(E487:E492)</f>
        <v>0</v>
      </c>
      <c r="F493" s="125">
        <f>SUM(F487:F492)</f>
        <v>0</v>
      </c>
      <c r="G493" s="125">
        <f>SUM(G487:G492)</f>
        <v>0</v>
      </c>
      <c r="H493" s="125">
        <f>SUM(H487:H492)</f>
        <v>0</v>
      </c>
      <c r="I493" s="125">
        <f>SUM(I487:I492)</f>
        <v>0</v>
      </c>
    </row>
    <row r="494" spans="1:9">
      <c r="A494" s="298"/>
      <c r="B494" s="148" t="s">
        <v>151</v>
      </c>
      <c r="C494" s="148"/>
      <c r="D494" s="159" t="s">
        <v>153</v>
      </c>
      <c r="E494" s="91"/>
      <c r="F494" s="91"/>
      <c r="G494" s="91"/>
      <c r="H494" s="91"/>
      <c r="I494" s="91"/>
    </row>
    <row r="495" spans="1:9">
      <c r="A495" s="298"/>
      <c r="B495" s="89"/>
      <c r="C495" s="89" t="s">
        <v>79</v>
      </c>
      <c r="D495" s="42" t="s">
        <v>80</v>
      </c>
      <c r="E495" s="413"/>
      <c r="F495" s="413"/>
      <c r="G495" s="413"/>
      <c r="H495" s="413"/>
      <c r="I495" s="413"/>
    </row>
    <row r="496" spans="1:9">
      <c r="A496" s="298"/>
      <c r="B496" s="89"/>
      <c r="C496" s="89" t="s">
        <v>81</v>
      </c>
      <c r="D496" s="42" t="s">
        <v>82</v>
      </c>
      <c r="E496" s="408"/>
      <c r="F496" s="411"/>
      <c r="G496" s="411"/>
      <c r="H496" s="411"/>
      <c r="I496" s="411"/>
    </row>
    <row r="497" spans="1:9">
      <c r="A497" s="298"/>
      <c r="B497" s="89"/>
      <c r="C497" s="89" t="s">
        <v>131</v>
      </c>
      <c r="D497" s="42"/>
      <c r="E497" s="413"/>
      <c r="F497" s="413"/>
      <c r="G497" s="413"/>
      <c r="H497" s="413"/>
      <c r="I497" s="413"/>
    </row>
    <row r="498" spans="1:9">
      <c r="A498" s="298"/>
      <c r="B498" s="89"/>
      <c r="C498" s="89" t="s">
        <v>83</v>
      </c>
      <c r="D498" s="42" t="s">
        <v>84</v>
      </c>
      <c r="E498" s="413"/>
      <c r="F498" s="413"/>
      <c r="G498" s="413"/>
      <c r="H498" s="413"/>
      <c r="I498" s="413"/>
    </row>
    <row r="499" spans="1:9">
      <c r="A499" s="298"/>
      <c r="B499" s="89"/>
      <c r="C499" s="89" t="s">
        <v>87</v>
      </c>
      <c r="D499" s="42" t="s">
        <v>132</v>
      </c>
      <c r="E499" s="413"/>
      <c r="F499" s="413"/>
      <c r="G499" s="413"/>
      <c r="H499" s="413"/>
      <c r="I499" s="413"/>
    </row>
    <row r="500" spans="1:9">
      <c r="A500" s="298"/>
      <c r="B500" s="89"/>
      <c r="C500" s="89" t="s">
        <v>85</v>
      </c>
      <c r="D500" s="42" t="s">
        <v>86</v>
      </c>
      <c r="E500" s="408"/>
      <c r="F500" s="411"/>
      <c r="G500" s="411"/>
      <c r="H500" s="411"/>
      <c r="I500" s="411"/>
    </row>
    <row r="501" spans="1:9" ht="15" thickBot="1">
      <c r="A501" s="329"/>
      <c r="B501" s="157" t="s">
        <v>394</v>
      </c>
      <c r="C501" s="156"/>
      <c r="D501" s="44"/>
      <c r="E501" s="162">
        <f>SUM(E495:E500)</f>
        <v>0</v>
      </c>
      <c r="F501" s="162">
        <f>SUM(F495:F500)</f>
        <v>0</v>
      </c>
      <c r="G501" s="162">
        <f>SUM(G495:G500)</f>
        <v>0</v>
      </c>
      <c r="H501" s="162">
        <f>SUM(H495:H500)</f>
        <v>0</v>
      </c>
      <c r="I501" s="162">
        <f>SUM(I495:I500)</f>
        <v>0</v>
      </c>
    </row>
    <row r="502" spans="1:9">
      <c r="A502" s="298"/>
      <c r="B502" s="148" t="s">
        <v>152</v>
      </c>
      <c r="C502" s="148"/>
      <c r="D502" s="159" t="s">
        <v>146</v>
      </c>
      <c r="E502" s="117"/>
      <c r="F502" s="117"/>
      <c r="G502" s="117"/>
      <c r="H502" s="117"/>
      <c r="I502" s="117"/>
    </row>
    <row r="503" spans="1:9">
      <c r="A503" s="298"/>
      <c r="B503" s="89"/>
      <c r="C503" s="89" t="s">
        <v>79</v>
      </c>
      <c r="D503" s="42" t="s">
        <v>80</v>
      </c>
      <c r="E503" s="417"/>
      <c r="F503" s="417"/>
      <c r="G503" s="417"/>
      <c r="H503" s="417"/>
      <c r="I503" s="417"/>
    </row>
    <row r="504" spans="1:9">
      <c r="A504" s="298"/>
      <c r="B504" s="89"/>
      <c r="C504" s="89" t="s">
        <v>81</v>
      </c>
      <c r="D504" s="42" t="s">
        <v>82</v>
      </c>
      <c r="E504" s="417"/>
      <c r="F504" s="417"/>
      <c r="G504" s="417"/>
      <c r="H504" s="417"/>
      <c r="I504" s="417"/>
    </row>
    <row r="505" spans="1:9">
      <c r="A505" s="298"/>
      <c r="B505" s="89"/>
      <c r="C505" s="89" t="s">
        <v>131</v>
      </c>
      <c r="D505" s="42"/>
      <c r="E505" s="417"/>
      <c r="F505" s="417"/>
      <c r="G505" s="417"/>
      <c r="H505" s="417"/>
      <c r="I505" s="417"/>
    </row>
    <row r="506" spans="1:9">
      <c r="A506" s="298"/>
      <c r="B506" s="89"/>
      <c r="C506" s="89" t="s">
        <v>83</v>
      </c>
      <c r="D506" s="42" t="s">
        <v>84</v>
      </c>
      <c r="E506" s="417"/>
      <c r="F506" s="417"/>
      <c r="G506" s="417"/>
      <c r="H506" s="417"/>
      <c r="I506" s="417"/>
    </row>
    <row r="507" spans="1:9">
      <c r="A507" s="298"/>
      <c r="B507" s="89"/>
      <c r="C507" s="89" t="s">
        <v>87</v>
      </c>
      <c r="D507" s="42" t="s">
        <v>132</v>
      </c>
      <c r="E507" s="417"/>
      <c r="F507" s="417"/>
      <c r="G507" s="417"/>
      <c r="H507" s="417"/>
      <c r="I507" s="417"/>
    </row>
    <row r="508" spans="1:9">
      <c r="A508" s="324"/>
      <c r="B508" s="88"/>
      <c r="C508" s="75" t="s">
        <v>85</v>
      </c>
      <c r="D508" s="38" t="s">
        <v>86</v>
      </c>
      <c r="E508" s="417"/>
      <c r="F508" s="417"/>
      <c r="G508" s="417"/>
      <c r="H508" s="417"/>
      <c r="I508" s="417"/>
    </row>
    <row r="509" spans="1:9" ht="15" thickBot="1">
      <c r="A509" s="329"/>
      <c r="B509" s="157" t="s">
        <v>395</v>
      </c>
      <c r="C509" s="156"/>
      <c r="D509" s="44"/>
      <c r="E509" s="158">
        <f>SUM(E503:E508)</f>
        <v>0</v>
      </c>
      <c r="F509" s="158">
        <f>SUM(F503:F508)</f>
        <v>0</v>
      </c>
      <c r="G509" s="158">
        <f>SUM(G503:G508)</f>
        <v>0</v>
      </c>
      <c r="H509" s="158">
        <f>SUM(H503:H508)</f>
        <v>0</v>
      </c>
      <c r="I509" s="158">
        <f>SUM(I503:I508)</f>
        <v>0</v>
      </c>
    </row>
    <row r="510" spans="1:9">
      <c r="A510" s="185"/>
      <c r="B510" s="184"/>
      <c r="C510" s="185"/>
      <c r="D510" s="186"/>
      <c r="E510" s="340"/>
      <c r="F510" s="340"/>
      <c r="G510" s="340"/>
      <c r="H510" s="340"/>
      <c r="I510" s="340"/>
    </row>
    <row r="511" spans="1:9">
      <c r="A511" s="75"/>
      <c r="B511" s="418" t="str">
        <f>'Form 1 Cover'!B20</f>
        <v>Discovery Charter School</v>
      </c>
      <c r="C511" s="383"/>
      <c r="D511" s="34"/>
      <c r="E511" s="49"/>
      <c r="F511" s="49"/>
      <c r="H511" s="49"/>
      <c r="I511" s="384" t="str">
        <f>"Budget Fiscal Year "&amp;TEXT('Form 1 Cover'!$D$137, "mm/dd/yy")</f>
        <v>Budget Fiscal Year 2022-2023</v>
      </c>
    </row>
    <row r="512" spans="1:9">
      <c r="A512" s="75"/>
      <c r="B512" s="75"/>
      <c r="C512" s="75"/>
      <c r="D512" s="49"/>
      <c r="E512" s="75"/>
      <c r="F512" s="49"/>
      <c r="G512" s="49"/>
      <c r="H512" s="49"/>
      <c r="I512" s="49"/>
    </row>
    <row r="513" spans="1:9">
      <c r="A513" s="75"/>
      <c r="B513" s="75" t="s">
        <v>416</v>
      </c>
      <c r="C513" s="75"/>
      <c r="D513" s="49"/>
      <c r="F513" s="49"/>
      <c r="G513" s="49"/>
      <c r="H513" s="335"/>
      <c r="I513" s="335">
        <f>'Form 1 Cover'!$D$146</f>
        <v>44607</v>
      </c>
    </row>
    <row r="514" spans="1:9">
      <c r="A514" s="75"/>
      <c r="B514" s="75"/>
      <c r="C514" s="75"/>
      <c r="D514" s="49"/>
      <c r="F514" s="49"/>
      <c r="G514" s="49"/>
      <c r="H514" s="335"/>
      <c r="I514" s="335"/>
    </row>
    <row r="515" spans="1:9">
      <c r="A515" s="308"/>
      <c r="B515" s="70"/>
      <c r="C515" s="70"/>
      <c r="D515" s="71"/>
      <c r="E515" s="174">
        <v>-1</v>
      </c>
      <c r="F515" s="175">
        <v>-2</v>
      </c>
      <c r="G515" s="282">
        <v>-3</v>
      </c>
      <c r="H515" s="175">
        <v>-4</v>
      </c>
      <c r="I515" s="175">
        <v>-5</v>
      </c>
    </row>
    <row r="516" spans="1:9">
      <c r="A516" s="324"/>
      <c r="B516" s="75"/>
      <c r="C516" s="75"/>
      <c r="D516" s="38"/>
      <c r="E516" s="176"/>
      <c r="F516" s="23" t="s">
        <v>31</v>
      </c>
      <c r="G516" s="505" t="str">
        <f>"BUDGET YEAR ENDING "&amp;TEXT('Form 1 Cover'!D139, "MM/DD/YY")</f>
        <v>BUDGET YEAR ENDING 06/30/23</v>
      </c>
      <c r="H516" s="26"/>
      <c r="I516" s="506"/>
    </row>
    <row r="517" spans="1:9" ht="15">
      <c r="A517" s="324"/>
      <c r="B517" s="75"/>
      <c r="C517" s="75"/>
      <c r="D517" s="38"/>
      <c r="E517" s="179" t="s">
        <v>277</v>
      </c>
      <c r="F517" s="177" t="s">
        <v>279</v>
      </c>
      <c r="G517" s="178"/>
      <c r="H517" s="326"/>
      <c r="I517" s="177" t="str">
        <f>I459</f>
        <v>AMENDED</v>
      </c>
    </row>
    <row r="518" spans="1:9" ht="16">
      <c r="A518" s="324"/>
      <c r="B518" s="135" t="s">
        <v>77</v>
      </c>
      <c r="C518" s="49"/>
      <c r="D518" s="38"/>
      <c r="E518" s="179" t="s">
        <v>278</v>
      </c>
      <c r="F518" s="177" t="s">
        <v>278</v>
      </c>
      <c r="G518" s="179" t="s">
        <v>280</v>
      </c>
      <c r="H518" s="177" t="s">
        <v>109</v>
      </c>
      <c r="I518" s="177" t="s">
        <v>109</v>
      </c>
    </row>
    <row r="519" spans="1:9" ht="16">
      <c r="A519" s="322"/>
      <c r="B519" s="507"/>
      <c r="C519" s="507"/>
      <c r="D519" s="508"/>
      <c r="E519" s="281">
        <f>'Form 1 Cover'!D130</f>
        <v>44377</v>
      </c>
      <c r="F519" s="4">
        <f>'Form 1 Cover'!D134</f>
        <v>44742</v>
      </c>
      <c r="G519" s="180" t="s">
        <v>281</v>
      </c>
      <c r="H519" s="327" t="s">
        <v>281</v>
      </c>
      <c r="I519" s="327" t="s">
        <v>281</v>
      </c>
    </row>
    <row r="520" spans="1:9">
      <c r="A520" s="298"/>
      <c r="B520" s="148" t="s">
        <v>339</v>
      </c>
      <c r="C520" s="148"/>
      <c r="D520" s="159" t="s">
        <v>153</v>
      </c>
      <c r="E520" s="117"/>
      <c r="F520" s="117"/>
      <c r="G520" s="117"/>
      <c r="H520" s="117"/>
      <c r="I520" s="117"/>
    </row>
    <row r="521" spans="1:9">
      <c r="A521" s="298"/>
      <c r="B521" s="89"/>
      <c r="C521" s="89" t="s">
        <v>79</v>
      </c>
      <c r="D521" s="42" t="s">
        <v>80</v>
      </c>
      <c r="E521" s="417"/>
      <c r="F521" s="417"/>
      <c r="G521" s="417"/>
      <c r="H521" s="417"/>
      <c r="I521" s="417"/>
    </row>
    <row r="522" spans="1:9">
      <c r="A522" s="298"/>
      <c r="B522" s="89"/>
      <c r="C522" s="89" t="s">
        <v>81</v>
      </c>
      <c r="D522" s="42" t="s">
        <v>82</v>
      </c>
      <c r="E522" s="414"/>
      <c r="F522" s="415"/>
      <c r="G522" s="415"/>
      <c r="H522" s="415"/>
      <c r="I522" s="415"/>
    </row>
    <row r="523" spans="1:9">
      <c r="A523" s="298"/>
      <c r="B523" s="89"/>
      <c r="C523" s="89" t="s">
        <v>131</v>
      </c>
      <c r="D523" s="42"/>
      <c r="E523" s="417"/>
      <c r="F523" s="417"/>
      <c r="G523" s="417"/>
      <c r="H523" s="417"/>
      <c r="I523" s="417"/>
    </row>
    <row r="524" spans="1:9">
      <c r="A524" s="298"/>
      <c r="B524" s="89"/>
      <c r="C524" s="89" t="s">
        <v>83</v>
      </c>
      <c r="D524" s="42" t="s">
        <v>84</v>
      </c>
      <c r="E524" s="417"/>
      <c r="F524" s="417"/>
      <c r="G524" s="417"/>
      <c r="H524" s="417"/>
      <c r="I524" s="417"/>
    </row>
    <row r="525" spans="1:9">
      <c r="A525" s="298"/>
      <c r="B525" s="89"/>
      <c r="C525" s="89" t="s">
        <v>87</v>
      </c>
      <c r="D525" s="42" t="s">
        <v>132</v>
      </c>
      <c r="E525" s="417"/>
      <c r="F525" s="417"/>
      <c r="G525" s="417"/>
      <c r="H525" s="417"/>
      <c r="I525" s="417"/>
    </row>
    <row r="526" spans="1:9">
      <c r="A526" s="298"/>
      <c r="B526" s="89"/>
      <c r="C526" s="89" t="s">
        <v>85</v>
      </c>
      <c r="D526" s="42" t="s">
        <v>86</v>
      </c>
      <c r="E526" s="414"/>
      <c r="F526" s="415"/>
      <c r="G526" s="415"/>
      <c r="H526" s="415"/>
      <c r="I526" s="415"/>
    </row>
    <row r="527" spans="1:9" ht="15" thickBot="1">
      <c r="A527" s="329"/>
      <c r="B527" s="157" t="s">
        <v>396</v>
      </c>
      <c r="C527" s="156"/>
      <c r="D527" s="44"/>
      <c r="E527" s="160">
        <f>SUM(E521:E526)</f>
        <v>0</v>
      </c>
      <c r="F527" s="160">
        <f>SUM(F521:F526)</f>
        <v>0</v>
      </c>
      <c r="G527" s="160">
        <f>SUM(G521:G526)</f>
        <v>0</v>
      </c>
      <c r="H527" s="160">
        <f>SUM(H521:H526)</f>
        <v>0</v>
      </c>
      <c r="I527" s="160">
        <f>SUM(I521:I526)</f>
        <v>0</v>
      </c>
    </row>
    <row r="528" spans="1:9" ht="15" thickBot="1">
      <c r="A528" s="298"/>
      <c r="B528" s="148" t="s">
        <v>129</v>
      </c>
      <c r="C528" s="148"/>
      <c r="D528" s="159" t="s">
        <v>130</v>
      </c>
      <c r="E528" s="117"/>
      <c r="F528" s="117"/>
      <c r="G528" s="117"/>
      <c r="H528" s="117"/>
      <c r="I528" s="117"/>
    </row>
    <row r="529" spans="1:11" ht="15" thickBot="1">
      <c r="A529" s="298"/>
      <c r="B529" s="89"/>
      <c r="C529" s="89" t="s">
        <v>79</v>
      </c>
      <c r="D529" s="42" t="s">
        <v>80</v>
      </c>
      <c r="E529" s="417"/>
      <c r="F529" s="417"/>
      <c r="G529" s="417"/>
      <c r="H529" s="417"/>
      <c r="I529" s="417"/>
      <c r="J529" s="512"/>
    </row>
    <row r="530" spans="1:11" ht="15" thickTop="1">
      <c r="A530" s="298"/>
      <c r="B530" s="89"/>
      <c r="C530" s="89" t="s">
        <v>81</v>
      </c>
      <c r="D530" s="42" t="s">
        <v>82</v>
      </c>
      <c r="E530" s="417"/>
      <c r="F530" s="417"/>
      <c r="G530" s="417"/>
      <c r="H530" s="417"/>
      <c r="I530" s="417"/>
    </row>
    <row r="531" spans="1:11">
      <c r="A531" s="298"/>
      <c r="B531" s="89"/>
      <c r="C531" s="89" t="s">
        <v>131</v>
      </c>
      <c r="D531" s="42"/>
      <c r="E531" s="417"/>
      <c r="F531" s="417"/>
      <c r="G531" s="417"/>
      <c r="H531" s="417"/>
      <c r="I531" s="417"/>
    </row>
    <row r="532" spans="1:11">
      <c r="A532" s="298"/>
      <c r="B532" s="89"/>
      <c r="C532" s="89" t="s">
        <v>83</v>
      </c>
      <c r="D532" s="42" t="s">
        <v>84</v>
      </c>
      <c r="E532" s="417"/>
      <c r="F532" s="417"/>
      <c r="G532" s="417"/>
      <c r="H532" s="417"/>
      <c r="I532" s="417"/>
    </row>
    <row r="533" spans="1:11">
      <c r="A533" s="298"/>
      <c r="B533" s="89"/>
      <c r="C533" s="89" t="s">
        <v>87</v>
      </c>
      <c r="D533" s="42" t="s">
        <v>132</v>
      </c>
      <c r="E533" s="417"/>
      <c r="F533" s="417"/>
      <c r="G533" s="417"/>
      <c r="H533" s="417"/>
      <c r="I533" s="417"/>
    </row>
    <row r="534" spans="1:11">
      <c r="A534" s="298"/>
      <c r="B534" s="89"/>
      <c r="C534" s="89" t="s">
        <v>85</v>
      </c>
      <c r="D534" s="42" t="s">
        <v>86</v>
      </c>
      <c r="E534" s="417"/>
      <c r="F534" s="417"/>
      <c r="G534" s="417"/>
      <c r="H534" s="417"/>
      <c r="I534" s="417"/>
    </row>
    <row r="535" spans="1:11" ht="15" thickBot="1">
      <c r="A535" s="329"/>
      <c r="B535" s="157" t="s">
        <v>133</v>
      </c>
      <c r="C535" s="156"/>
      <c r="D535" s="44"/>
      <c r="E535" s="158">
        <f>SUM(E529:E534)</f>
        <v>0</v>
      </c>
      <c r="F535" s="158">
        <f>SUM(F529:F534)</f>
        <v>0</v>
      </c>
      <c r="G535" s="158">
        <f>SUM(G529:G534)</f>
        <v>0</v>
      </c>
      <c r="H535" s="158">
        <f>SUM(H529:H534)</f>
        <v>0</v>
      </c>
      <c r="I535" s="158">
        <f>SUM(I529:I534)</f>
        <v>0</v>
      </c>
    </row>
    <row r="536" spans="1:11" ht="15.75" customHeight="1" thickBot="1">
      <c r="A536" s="331" t="s">
        <v>456</v>
      </c>
      <c r="B536" s="95"/>
      <c r="C536" s="513" t="s">
        <v>613</v>
      </c>
      <c r="D536" s="511"/>
      <c r="E536" s="165">
        <f>E477+E485+E493+E501+E509+E527+E535+E469</f>
        <v>0</v>
      </c>
      <c r="F536" s="165">
        <f>F477+F485+F493+F501+F509+F527+F535+F469</f>
        <v>0</v>
      </c>
      <c r="G536" s="165">
        <f>G477+G485+G493+G501+G509+G527+G535+G469</f>
        <v>0</v>
      </c>
      <c r="H536" s="165">
        <f>H477+H485+H493+H501+H509+H527+H535+H469</f>
        <v>0</v>
      </c>
      <c r="I536" s="165">
        <f>I477+I485+I493+I501+I509+I527+I535+I469</f>
        <v>0</v>
      </c>
    </row>
    <row r="537" spans="1:11" ht="16" thickTop="1" thickBot="1">
      <c r="A537" s="324"/>
      <c r="B537" s="131" t="s">
        <v>184</v>
      </c>
      <c r="C537" s="131"/>
      <c r="D537" s="28" t="s">
        <v>246</v>
      </c>
      <c r="E537" s="421"/>
      <c r="F537" s="421"/>
      <c r="G537" s="421"/>
      <c r="H537" s="421"/>
      <c r="I537" s="421"/>
    </row>
    <row r="538" spans="1:11" ht="16.5" customHeight="1" thickTop="1" thickBot="1">
      <c r="A538" s="332" t="s">
        <v>135</v>
      </c>
      <c r="B538" s="167"/>
      <c r="C538" s="515" t="s">
        <v>136</v>
      </c>
      <c r="D538" s="514"/>
      <c r="E538" s="168">
        <f>E444+E536+E537+E452</f>
        <v>0</v>
      </c>
      <c r="F538" s="168">
        <f>F444+F536+F537+F452</f>
        <v>0</v>
      </c>
      <c r="G538" s="168">
        <f>G444+G536+G537+G452</f>
        <v>0</v>
      </c>
      <c r="H538" s="168">
        <f>H444+H536+H537+H452</f>
        <v>0</v>
      </c>
      <c r="I538" s="168">
        <f>I444+I536+I537+I452</f>
        <v>0</v>
      </c>
    </row>
    <row r="539" spans="1:11" ht="16" thickTop="1" thickBot="1">
      <c r="A539" s="312" t="s">
        <v>137</v>
      </c>
      <c r="B539" s="167"/>
      <c r="C539" s="167"/>
      <c r="D539" s="170"/>
      <c r="E539" s="171">
        <f>E538+E28+E51+E80+E103+E137+E170+E193+E226+E249+E306+E333+E356</f>
        <v>3427573.2900000005</v>
      </c>
      <c r="F539" s="171">
        <f>F538+F28+F51+F80+F103+F137+F170+F193+F226+F249+F306+F333+F356</f>
        <v>4599520.9755589394</v>
      </c>
      <c r="G539" s="171">
        <f>G538+G28+G51+G80+G103+G137+G170+G193+G226+G249+G306+G333+G356</f>
        <v>4562361.5299854772</v>
      </c>
      <c r="H539" s="171">
        <f>H538+H28+H51+H80+H103+H137+H170+H193+H226+H249+H306+H333+H356</f>
        <v>0</v>
      </c>
      <c r="I539" s="171">
        <f>I538+I28+I51+I80+I103+I137+I170+I193+I226+I249+I306+I333+I356</f>
        <v>0</v>
      </c>
      <c r="K539" s="29" t="s">
        <v>648</v>
      </c>
    </row>
    <row r="540" spans="1:11" ht="47" thickTop="1" thickBot="1">
      <c r="A540" s="333"/>
      <c r="B540" s="166" t="s">
        <v>359</v>
      </c>
      <c r="C540" s="167"/>
      <c r="D540" s="172" t="s">
        <v>144</v>
      </c>
      <c r="E540" s="173" t="s">
        <v>139</v>
      </c>
      <c r="F540" s="422"/>
      <c r="G540" s="423">
        <f>+G539*0.03</f>
        <v>136870.8458995643</v>
      </c>
      <c r="H540" s="423"/>
      <c r="I540" s="423"/>
    </row>
    <row r="541" spans="1:11" ht="15" thickTop="1">
      <c r="A541" s="328" t="s">
        <v>397</v>
      </c>
      <c r="B541" s="148"/>
      <c r="C541" s="89"/>
      <c r="D541" s="42"/>
      <c r="E541" s="117"/>
      <c r="F541" s="117"/>
      <c r="G541" s="117"/>
      <c r="H541" s="117"/>
      <c r="I541" s="117"/>
    </row>
    <row r="542" spans="1:11">
      <c r="A542" s="298"/>
      <c r="B542" s="89" t="s">
        <v>140</v>
      </c>
      <c r="C542" s="89"/>
      <c r="D542" s="42"/>
      <c r="E542" s="417"/>
      <c r="F542" s="417"/>
      <c r="G542" s="417"/>
      <c r="H542" s="417"/>
      <c r="I542" s="417"/>
    </row>
    <row r="543" spans="1:11">
      <c r="A543" s="298"/>
      <c r="B543" s="89" t="s">
        <v>141</v>
      </c>
      <c r="C543" s="89"/>
      <c r="D543" s="42"/>
      <c r="E543" s="417"/>
      <c r="F543" s="417"/>
      <c r="G543" s="417"/>
      <c r="H543" s="417"/>
      <c r="I543" s="417"/>
    </row>
    <row r="544" spans="1:11" ht="15" thickBot="1">
      <c r="A544" s="309" t="s">
        <v>142</v>
      </c>
      <c r="B544" s="108"/>
      <c r="C544" s="108"/>
      <c r="D544" s="48"/>
      <c r="E544" s="137">
        <f>SUM(E542:E543)</f>
        <v>0</v>
      </c>
      <c r="F544" s="137">
        <f>SUM(F540:F543)</f>
        <v>0</v>
      </c>
      <c r="G544" s="137">
        <f>SUM(G540:G543)</f>
        <v>136870.8458995643</v>
      </c>
      <c r="H544" s="137">
        <f>SUM(H540:H543)</f>
        <v>0</v>
      </c>
      <c r="I544" s="137">
        <f>SUM(I540:I543)</f>
        <v>0</v>
      </c>
    </row>
    <row r="545" spans="1:9" ht="16" thickTop="1" thickBot="1">
      <c r="A545" s="312" t="s">
        <v>143</v>
      </c>
      <c r="B545" s="167"/>
      <c r="C545" s="167"/>
      <c r="D545" s="170"/>
      <c r="E545" s="171">
        <f>E539+E544</f>
        <v>3427573.2900000005</v>
      </c>
      <c r="F545" s="171">
        <f>F539+F544</f>
        <v>4599520.9755589394</v>
      </c>
      <c r="G545" s="171">
        <f>G539+G544</f>
        <v>4699232.3758850414</v>
      </c>
      <c r="H545" s="171">
        <f>H539+H544</f>
        <v>0</v>
      </c>
      <c r="I545" s="171">
        <f>I539+I544</f>
        <v>0</v>
      </c>
    </row>
    <row r="546" spans="1:9" ht="15" thickTop="1">
      <c r="A546" s="131"/>
      <c r="B546" s="133"/>
      <c r="C546" s="133"/>
      <c r="D546" s="49"/>
      <c r="E546" s="183"/>
      <c r="F546" s="183"/>
      <c r="G546" s="183"/>
      <c r="H546" s="183"/>
      <c r="I546" s="183"/>
    </row>
    <row r="547" spans="1:9">
      <c r="A547" s="260" t="s">
        <v>479</v>
      </c>
      <c r="B547" s="261"/>
      <c r="C547" s="261"/>
      <c r="D547" s="262" t="s">
        <v>480</v>
      </c>
      <c r="E547" s="266" t="s">
        <v>482</v>
      </c>
      <c r="F547" s="263">
        <f>0.03*F539</f>
        <v>137985.62926676817</v>
      </c>
      <c r="G547" s="263">
        <f>0.03*G539</f>
        <v>136870.8458995643</v>
      </c>
      <c r="H547" s="263">
        <f>0.03*H539</f>
        <v>0</v>
      </c>
      <c r="I547" s="263">
        <f>0.03*I539</f>
        <v>0</v>
      </c>
    </row>
    <row r="548" spans="1:9">
      <c r="A548" s="260"/>
      <c r="B548" s="261"/>
      <c r="C548" s="261"/>
      <c r="D548" s="264" t="s">
        <v>481</v>
      </c>
      <c r="E548" s="265">
        <f>'Form 3 Revenues'!D101-'Form 4 Expenses'!E539</f>
        <v>695478.62000000011</v>
      </c>
      <c r="F548" s="265">
        <f>'Form 3 Revenues'!E101-'Form 4 Expenses'!F539</f>
        <v>409151.56944106054</v>
      </c>
      <c r="G548" s="265">
        <f>'Form 3 Revenues'!F101-'Form 4 Expenses'!G539</f>
        <v>951902.6788028013</v>
      </c>
      <c r="H548" s="265">
        <f>'Form 3 Revenues'!G101-'Form 4 Expenses'!H539</f>
        <v>0</v>
      </c>
      <c r="I548" s="265">
        <f>'Form 3 Revenues'!H101-'Form 4 Expenses'!I539</f>
        <v>0</v>
      </c>
    </row>
    <row r="549" spans="1:9">
      <c r="A549" s="131"/>
      <c r="B549" s="75"/>
      <c r="C549" s="75"/>
      <c r="D549" s="49"/>
      <c r="E549" s="183"/>
      <c r="F549" s="183"/>
      <c r="G549" s="183"/>
      <c r="H549" s="183"/>
      <c r="I549" s="183"/>
    </row>
    <row r="550" spans="1:9">
      <c r="A550" s="89"/>
      <c r="B550" s="418" t="str">
        <f>'Form 1 Cover'!B20</f>
        <v>Discovery Charter School</v>
      </c>
      <c r="C550" s="383"/>
      <c r="D550" s="34"/>
      <c r="F550" s="49"/>
      <c r="I550" s="382" t="str">
        <f>"Budget Fiscal Year "&amp;TEXT('Form 1 Cover'!$D$137, "mm/dd/yy")</f>
        <v>Budget Fiscal Year 2022-2023</v>
      </c>
    </row>
    <row r="551" spans="1:9">
      <c r="A551" s="75"/>
      <c r="B551" s="75"/>
      <c r="C551" s="75"/>
      <c r="D551" s="49"/>
      <c r="E551" s="94"/>
    </row>
    <row r="552" spans="1:9">
      <c r="A552" s="75"/>
      <c r="B552" s="94" t="s">
        <v>416</v>
      </c>
      <c r="H552" s="21"/>
      <c r="I552" s="21">
        <f>'Form 1 Cover'!$D$146</f>
        <v>44607</v>
      </c>
    </row>
  </sheetData>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zoomScaleNormal="100" zoomScalePageLayoutView="85" workbookViewId="0"/>
  </sheetViews>
  <sheetFormatPr baseColWidth="10" defaultColWidth="9.1640625" defaultRowHeight="14"/>
  <cols>
    <col min="1" max="1" width="6" style="205" customWidth="1"/>
    <col min="2" max="2" width="30.33203125" style="29" customWidth="1"/>
    <col min="3" max="6" width="14.6640625" style="122" customWidth="1"/>
    <col min="7" max="9" width="9.1640625" style="29"/>
    <col min="10" max="10" width="5.5" style="29" customWidth="1"/>
    <col min="11" max="16384" width="9.1640625" style="29"/>
  </cols>
  <sheetData>
    <row r="1" spans="1:6">
      <c r="A1" s="599" t="str">
        <f>"TENTATIVE BUDGET "&amp;TEXT('Form 1 Cover'!D137, "MM/DD/YY")</f>
        <v>TENTATIVE BUDGET 2022-2023</v>
      </c>
      <c r="B1" s="600"/>
      <c r="C1" s="90" t="s">
        <v>297</v>
      </c>
      <c r="D1" s="90" t="s">
        <v>298</v>
      </c>
      <c r="E1" s="90" t="s">
        <v>299</v>
      </c>
      <c r="F1" s="90"/>
    </row>
    <row r="2" spans="1:6" ht="57.75" customHeight="1" thickBot="1">
      <c r="A2" s="517"/>
      <c r="B2" s="465" t="s">
        <v>614</v>
      </c>
      <c r="C2" s="191" t="s">
        <v>232</v>
      </c>
      <c r="D2" s="191" t="s">
        <v>233</v>
      </c>
      <c r="E2" s="191" t="s">
        <v>449</v>
      </c>
      <c r="F2" s="191" t="s">
        <v>430</v>
      </c>
    </row>
    <row r="3" spans="1:6" ht="18.75" customHeight="1">
      <c r="A3" s="341" t="s">
        <v>423</v>
      </c>
      <c r="B3" s="192"/>
      <c r="C3" s="102"/>
      <c r="D3" s="102"/>
      <c r="E3" s="102"/>
      <c r="F3" s="102"/>
    </row>
    <row r="4" spans="1:6">
      <c r="A4" s="342">
        <v>100</v>
      </c>
      <c r="B4" s="42" t="s">
        <v>234</v>
      </c>
      <c r="C4" s="193">
        <f>'Form 4 Expenses'!G8+'Form 4 Expenses'!G15+'Form 4 Expenses'!G22+'Form 4 Expenses'!G31+'Form 4 Expenses'!G38+'Form 4 Expenses'!G45</f>
        <v>1921628.3366666669</v>
      </c>
      <c r="D4" s="194">
        <f>'Form 4 Expenses'!G9+'Form 4 Expenses'!G16+'Form 4 Expenses'!G23+'Form 4 Expenses'!G32+'Form 4 Expenses'!G39+'Form 4 Expenses'!G46</f>
        <v>538833.71078014339</v>
      </c>
      <c r="E4" s="194">
        <f>'Form 4 Expenses'!G28+'Form 4 Expenses'!G51-'Form 5 Exp Summary'!C4-'Form 5 Exp Summary'!D4</f>
        <v>2101899.482538667</v>
      </c>
      <c r="F4" s="116">
        <f>SUM(C4:E4)</f>
        <v>4562361.5299854772</v>
      </c>
    </row>
    <row r="5" spans="1:6">
      <c r="A5" s="342">
        <v>200</v>
      </c>
      <c r="B5" s="42" t="s">
        <v>235</v>
      </c>
      <c r="C5" s="195">
        <f>'Form 4 Expenses'!G60+'Form 4 Expenses'!G67+'Form 4 Expenses'!G74+'Form 4 Expenses'!G83+'Form 4 Expenses'!G90+'Form 4 Expenses'!G97</f>
        <v>0</v>
      </c>
      <c r="D5" s="195">
        <f>'Form 4 Expenses'!G61+'Form 4 Expenses'!G68+'Form 4 Expenses'!G75+'Form 4 Expenses'!G84+'Form 4 Expenses'!G91+'Form 4 Expenses'!G98</f>
        <v>0</v>
      </c>
      <c r="E5" s="194">
        <f>'Form 4 Expenses'!G80+'Form 4 Expenses'!G103-'Form 5 Exp Summary'!C5-'Form 5 Exp Summary'!D5</f>
        <v>0</v>
      </c>
      <c r="F5" s="116">
        <f t="shared" ref="F5:F11" si="0">SUM(C5:E5)</f>
        <v>0</v>
      </c>
    </row>
    <row r="6" spans="1:6">
      <c r="A6" s="342">
        <v>300</v>
      </c>
      <c r="B6" s="42" t="s">
        <v>236</v>
      </c>
      <c r="C6" s="195">
        <f>'Form 4 Expenses'!G117+'Form 4 Expenses'!G124+'Form 4 Expenses'!G131+'Form 4 Expenses'!G150+'Form 4 Expenses'!G157+'Form 4 Expenses'!G164</f>
        <v>0</v>
      </c>
      <c r="D6" s="195">
        <f>'Form 4 Expenses'!G118+'Form 4 Expenses'!G125+'Form 4 Expenses'!G132+'Form 4 Expenses'!G151+'Form 4 Expenses'!G158+'Form 4 Expenses'!G165</f>
        <v>0</v>
      </c>
      <c r="E6" s="194">
        <f>'Form 4 Expenses'!G137+'Form 4 Expenses'!G170-'Form 5 Exp Summary'!C6-'Form 5 Exp Summary'!D6</f>
        <v>0</v>
      </c>
      <c r="F6" s="116">
        <f t="shared" si="0"/>
        <v>0</v>
      </c>
    </row>
    <row r="7" spans="1:6">
      <c r="A7" s="342">
        <v>400</v>
      </c>
      <c r="B7" s="42" t="s">
        <v>237</v>
      </c>
      <c r="C7" s="195">
        <f>'Form 4 Expenses'!G173+'Form 4 Expenses'!G180+'Form 4 Expenses'!G187+'Form 4 Expenses'!G229+'Form 4 Expenses'!G236+'Form 4 Expenses'!G243+'Form 4 Expenses'!G286+'Form 4 Expenses'!G293+'Form 4 Expenses'!G300</f>
        <v>0</v>
      </c>
      <c r="D7" s="195">
        <f>'Form 4 Expenses'!G174+'Form 4 Expenses'!G181+'Form 4 Expenses'!G188+'Form 4 Expenses'!G230+'Form 4 Expenses'!G237+'Form 4 Expenses'!G244+'Form 4 Expenses'!G287+'Form 4 Expenses'!G294+'Form 4 Expenses'!G301</f>
        <v>0</v>
      </c>
      <c r="E7" s="194">
        <f>'Form 4 Expenses'!G193+'Form 4 Expenses'!G249+'Form 4 Expenses'!G306-'Form 5 Exp Summary'!C7-'Form 5 Exp Summary'!D7</f>
        <v>0</v>
      </c>
      <c r="F7" s="116">
        <f t="shared" si="0"/>
        <v>0</v>
      </c>
    </row>
    <row r="8" spans="1:6">
      <c r="A8" s="342">
        <v>500</v>
      </c>
      <c r="B8" s="42" t="s">
        <v>238</v>
      </c>
      <c r="C8" s="196"/>
      <c r="D8" s="196"/>
      <c r="E8" s="197"/>
      <c r="F8" s="116">
        <f t="shared" si="0"/>
        <v>0</v>
      </c>
    </row>
    <row r="9" spans="1:6">
      <c r="A9" s="342">
        <v>600</v>
      </c>
      <c r="B9" s="42" t="s">
        <v>196</v>
      </c>
      <c r="C9" s="196"/>
      <c r="D9" s="196"/>
      <c r="E9" s="197"/>
      <c r="F9" s="116">
        <f t="shared" si="0"/>
        <v>0</v>
      </c>
    </row>
    <row r="10" spans="1:6">
      <c r="A10" s="342">
        <v>800</v>
      </c>
      <c r="B10" s="42" t="s">
        <v>239</v>
      </c>
      <c r="C10" s="195">
        <f>'Form 4 Expenses'!G313+'Form 4 Expenses'!G320+'Form 4 Expenses'!G327</f>
        <v>0</v>
      </c>
      <c r="D10" s="195">
        <f>'Form 4 Expenses'!G314+'Form 4 Expenses'!G321+'Form 4 Expenses'!G328</f>
        <v>0</v>
      </c>
      <c r="E10" s="194">
        <f>'Form 4 Expenses'!G333-'Form 5 Exp Summary'!C10-'Form 5 Exp Summary'!D10</f>
        <v>0</v>
      </c>
      <c r="F10" s="116">
        <f t="shared" si="0"/>
        <v>0</v>
      </c>
    </row>
    <row r="11" spans="1:6">
      <c r="A11" s="342">
        <v>900</v>
      </c>
      <c r="B11" s="42" t="s">
        <v>425</v>
      </c>
      <c r="C11" s="195">
        <f>'Form 4 Expenses'!G336+'Form 4 Expenses'!G343+'Form 4 Expenses'!G350</f>
        <v>0</v>
      </c>
      <c r="D11" s="195">
        <f>'Form 4 Expenses'!G337+'Form 4 Expenses'!G344+'Form 4 Expenses'!G351</f>
        <v>0</v>
      </c>
      <c r="E11" s="194">
        <f>'Form 4 Expenses'!G356-'Form 5 Exp Summary'!C11-'Form 5 Exp Summary'!D11</f>
        <v>0</v>
      </c>
      <c r="F11" s="116">
        <f t="shared" si="0"/>
        <v>0</v>
      </c>
    </row>
    <row r="12" spans="1:6">
      <c r="A12" s="342" t="s">
        <v>424</v>
      </c>
      <c r="B12" s="42"/>
      <c r="C12" s="195">
        <f>SUM(C4:C11)</f>
        <v>1921628.3366666669</v>
      </c>
      <c r="D12" s="195">
        <f>SUM(D4:D11)</f>
        <v>538833.71078014339</v>
      </c>
      <c r="E12" s="195">
        <f>SUM(E4:E11)</f>
        <v>2101899.482538667</v>
      </c>
      <c r="F12" s="193">
        <f>SUM(F4:F11)</f>
        <v>4562361.5299854772</v>
      </c>
    </row>
    <row r="13" spans="1:6">
      <c r="A13" s="342"/>
      <c r="B13" s="198"/>
      <c r="C13" s="199"/>
      <c r="D13" s="199"/>
      <c r="E13" s="199"/>
      <c r="F13" s="343"/>
    </row>
    <row r="14" spans="1:6">
      <c r="A14" s="344" t="s">
        <v>291</v>
      </c>
      <c r="B14" s="42" t="s">
        <v>240</v>
      </c>
      <c r="C14" s="200"/>
      <c r="D14" s="200"/>
      <c r="E14" s="200"/>
      <c r="F14" s="117"/>
    </row>
    <row r="15" spans="1:6">
      <c r="A15" s="342">
        <v>2000</v>
      </c>
      <c r="B15" s="42" t="s">
        <v>290</v>
      </c>
      <c r="C15" s="195">
        <f>'Form 4 Expenses'!G369+'Form 4 Expenses'!G377+'Form 4 Expenses'!G385+'Form 4 Expenses'!G393+'Form 4 Expenses'!G401+'Form 4 Expenses'!G421+'Form 4 Expenses'!G429+'Form 4 Expenses'!G437</f>
        <v>0</v>
      </c>
      <c r="D15" s="195">
        <f>'Form 4 Expenses'!G370+'Form 4 Expenses'!G378+'Form 4 Expenses'!G386+'Form 4 Expenses'!G394+'Form 4 Expenses'!G402+'Form 4 Expenses'!G422+'Form 4 Expenses'!G430+'Form 4 Expenses'!G438</f>
        <v>0</v>
      </c>
      <c r="E15" s="195">
        <f>'Form 4 Expenses'!G444-'Form 5 Exp Summary'!C15-'Form 5 Exp Summary'!D15</f>
        <v>0</v>
      </c>
      <c r="F15" s="116">
        <f>SUM(C15:E15)</f>
        <v>0</v>
      </c>
    </row>
    <row r="16" spans="1:6">
      <c r="A16" s="342">
        <v>3100</v>
      </c>
      <c r="B16" s="42" t="s">
        <v>244</v>
      </c>
      <c r="C16" s="195">
        <f>'Form 4 Expenses'!G446</f>
        <v>0</v>
      </c>
      <c r="D16" s="195">
        <f>'Form 4 Expenses'!G447</f>
        <v>0</v>
      </c>
      <c r="E16" s="195">
        <f>'Form 4 Expenses'!G452-C16-D16</f>
        <v>0</v>
      </c>
      <c r="F16" s="116">
        <f>SUM(C16:E16)</f>
        <v>0</v>
      </c>
    </row>
    <row r="17" spans="1:6" ht="30">
      <c r="A17" s="345">
        <v>4000</v>
      </c>
      <c r="B17" s="92" t="s">
        <v>241</v>
      </c>
      <c r="C17" s="196"/>
      <c r="D17" s="196"/>
      <c r="E17" s="195">
        <f>'Form 4 Expenses'!G536</f>
        <v>0</v>
      </c>
      <c r="F17" s="116">
        <f>SUM(C17:E17)</f>
        <v>0</v>
      </c>
    </row>
    <row r="18" spans="1:6">
      <c r="A18" s="342">
        <v>5000</v>
      </c>
      <c r="B18" s="42" t="s">
        <v>246</v>
      </c>
      <c r="C18" s="196"/>
      <c r="D18" s="196"/>
      <c r="E18" s="195">
        <f>'Form 4 Expenses'!G537</f>
        <v>0</v>
      </c>
      <c r="F18" s="116">
        <f>SUM(C18:E18)</f>
        <v>0</v>
      </c>
    </row>
    <row r="19" spans="1:6">
      <c r="A19" s="342">
        <v>6300</v>
      </c>
      <c r="B19" s="42" t="s">
        <v>242</v>
      </c>
      <c r="C19" s="196"/>
      <c r="D19" s="196"/>
      <c r="E19" s="196"/>
      <c r="F19" s="195">
        <f>'Form 4 Expenses'!G540</f>
        <v>136870.8458995643</v>
      </c>
    </row>
    <row r="20" spans="1:6" ht="18" customHeight="1">
      <c r="A20" s="342">
        <v>8000</v>
      </c>
      <c r="B20" s="201" t="s">
        <v>243</v>
      </c>
      <c r="C20" s="196"/>
      <c r="D20" s="196"/>
      <c r="E20" s="196"/>
      <c r="F20" s="195">
        <f>'Form 4 Expenses'!G542+'Form 4 Expenses'!G543</f>
        <v>0</v>
      </c>
    </row>
    <row r="21" spans="1:6" ht="20.25" customHeight="1" thickBot="1">
      <c r="A21" s="346" t="s">
        <v>426</v>
      </c>
      <c r="B21" s="202"/>
      <c r="C21" s="203">
        <f>SUM(C15:C20)</f>
        <v>0</v>
      </c>
      <c r="D21" s="203">
        <f>SUM(D15:D20)</f>
        <v>0</v>
      </c>
      <c r="E21" s="203">
        <f>SUM(E15:E20)</f>
        <v>0</v>
      </c>
      <c r="F21" s="203">
        <f>SUM(F15:F20)</f>
        <v>136870.8458995643</v>
      </c>
    </row>
    <row r="22" spans="1:6" ht="18.75" customHeight="1" thickBot="1">
      <c r="A22" s="351" t="s">
        <v>451</v>
      </c>
      <c r="B22" s="352"/>
      <c r="C22" s="204">
        <f>C12+C21</f>
        <v>1921628.3366666669</v>
      </c>
      <c r="D22" s="204">
        <f>D12+D21</f>
        <v>538833.71078014339</v>
      </c>
      <c r="E22" s="204">
        <f>E12+E21</f>
        <v>2101899.482538667</v>
      </c>
      <c r="F22" s="204">
        <f>F12+F21</f>
        <v>4699232.3758850414</v>
      </c>
    </row>
    <row r="23" spans="1:6">
      <c r="A23" s="353"/>
      <c r="B23" s="71"/>
      <c r="C23" s="141"/>
      <c r="D23" s="141"/>
      <c r="E23" s="141"/>
      <c r="F23" s="140"/>
    </row>
    <row r="24" spans="1:6">
      <c r="A24" s="601" t="str">
        <f>"FINAL BUDGET "&amp;TEXT('Form 1 Cover'!D137, "MM/DD/YY")</f>
        <v>FINAL BUDGET 2022-2023</v>
      </c>
      <c r="B24" s="602"/>
      <c r="C24" s="284" t="s">
        <v>297</v>
      </c>
      <c r="D24" s="90" t="s">
        <v>298</v>
      </c>
      <c r="E24" s="90" t="s">
        <v>299</v>
      </c>
      <c r="F24" s="90"/>
    </row>
    <row r="25" spans="1:6" ht="57.75" customHeight="1" thickBot="1">
      <c r="B25" s="465" t="s">
        <v>614</v>
      </c>
      <c r="C25" s="191" t="s">
        <v>232</v>
      </c>
      <c r="D25" s="191" t="s">
        <v>233</v>
      </c>
      <c r="E25" s="191" t="s">
        <v>449</v>
      </c>
      <c r="F25" s="191" t="s">
        <v>430</v>
      </c>
    </row>
    <row r="26" spans="1:6">
      <c r="A26" s="341" t="s">
        <v>423</v>
      </c>
      <c r="B26" s="192"/>
      <c r="C26" s="102"/>
      <c r="D26" s="102"/>
      <c r="E26" s="102"/>
      <c r="F26" s="102"/>
    </row>
    <row r="27" spans="1:6">
      <c r="A27" s="342">
        <v>100</v>
      </c>
      <c r="B27" s="42" t="s">
        <v>234</v>
      </c>
      <c r="C27" s="206">
        <f>'Form 4 Expenses'!H8+'Form 4 Expenses'!H15+'Form 4 Expenses'!H22+'Form 4 Expenses'!H31+'Form 4 Expenses'!H38+'Form 4 Expenses'!H45</f>
        <v>0</v>
      </c>
      <c r="D27" s="206">
        <f>'Form 4 Expenses'!H9+'Form 4 Expenses'!H16+'Form 4 Expenses'!H23+'Form 4 Expenses'!H32+'Form 4 Expenses'!H39+'Form 4 Expenses'!H46</f>
        <v>0</v>
      </c>
      <c r="E27" s="207">
        <f>'Form 4 Expenses'!H28+'Form 4 Expenses'!H51-'Form 5 Exp Summary'!C27-'Form 5 Exp Summary'!D27</f>
        <v>0</v>
      </c>
      <c r="F27" s="347">
        <f>SUM(C27:E27)</f>
        <v>0</v>
      </c>
    </row>
    <row r="28" spans="1:6">
      <c r="A28" s="342">
        <v>200</v>
      </c>
      <c r="B28" s="42" t="s">
        <v>235</v>
      </c>
      <c r="C28" s="208">
        <f>'Form 4 Expenses'!H60+'Form 4 Expenses'!H67+'Form 4 Expenses'!H74+'Form 4 Expenses'!H83+'Form 4 Expenses'!H90+'Form 4 Expenses'!H97</f>
        <v>0</v>
      </c>
      <c r="D28" s="208">
        <f>'Form 4 Expenses'!H61+'Form 4 Expenses'!H68+'Form 4 Expenses'!H75+'Form 4 Expenses'!H84+'Form 4 Expenses'!H91+'Form 4 Expenses'!H98</f>
        <v>0</v>
      </c>
      <c r="E28" s="208">
        <f>'Form 4 Expenses'!H80+'Form 4 Expenses'!H103-'Form 5 Exp Summary'!C28-'Form 5 Exp Summary'!D28</f>
        <v>0</v>
      </c>
      <c r="F28" s="347">
        <f t="shared" ref="F28:F34" si="1">SUM(C28:E28)</f>
        <v>0</v>
      </c>
    </row>
    <row r="29" spans="1:6">
      <c r="A29" s="342">
        <v>300</v>
      </c>
      <c r="B29" s="42" t="s">
        <v>236</v>
      </c>
      <c r="C29" s="208">
        <f>'Form 4 Expenses'!H117+'Form 4 Expenses'!H124+'Form 4 Expenses'!H131+'Form 4 Expenses'!H150+'Form 4 Expenses'!H157+'Form 4 Expenses'!H164</f>
        <v>0</v>
      </c>
      <c r="D29" s="208">
        <f>'Form 4 Expenses'!H118+'Form 4 Expenses'!H125+'Form 4 Expenses'!H132+'Form 4 Expenses'!H151+'Form 4 Expenses'!H158+'Form 4 Expenses'!H165</f>
        <v>0</v>
      </c>
      <c r="E29" s="208">
        <f>'Form 4 Expenses'!H137+'Form 4 Expenses'!H170-'Form 5 Exp Summary'!C29-'Form 5 Exp Summary'!D29</f>
        <v>0</v>
      </c>
      <c r="F29" s="347">
        <f t="shared" si="1"/>
        <v>0</v>
      </c>
    </row>
    <row r="30" spans="1:6">
      <c r="A30" s="342">
        <v>400</v>
      </c>
      <c r="B30" s="42" t="s">
        <v>237</v>
      </c>
      <c r="C30" s="208">
        <f>'Form 4 Expenses'!H173+'Form 4 Expenses'!H180+'Form 4 Expenses'!H187+'Form 4 Expenses'!H229+'Form 4 Expenses'!H236+'Form 4 Expenses'!H243+'Form 4 Expenses'!H286+'Form 4 Expenses'!H293+'Form 4 Expenses'!H300</f>
        <v>0</v>
      </c>
      <c r="D30" s="208">
        <f>'Form 4 Expenses'!H174+'Form 4 Expenses'!H181+'Form 4 Expenses'!H188+'Form 4 Expenses'!H230+'Form 4 Expenses'!H237+'Form 4 Expenses'!H244+'Form 4 Expenses'!H287+'Form 4 Expenses'!H294+'Form 4 Expenses'!H301</f>
        <v>0</v>
      </c>
      <c r="E30" s="208">
        <f>'Form 4 Expenses'!H193+'Form 4 Expenses'!H249+'Form 4 Expenses'!H306-'Form 5 Exp Summary'!C30-'Form 5 Exp Summary'!D30</f>
        <v>0</v>
      </c>
      <c r="F30" s="347">
        <f t="shared" si="1"/>
        <v>0</v>
      </c>
    </row>
    <row r="31" spans="1:6">
      <c r="A31" s="342">
        <v>500</v>
      </c>
      <c r="B31" s="42" t="s">
        <v>238</v>
      </c>
      <c r="C31" s="209">
        <v>0</v>
      </c>
      <c r="D31" s="209">
        <v>0</v>
      </c>
      <c r="E31" s="209">
        <v>0</v>
      </c>
      <c r="F31" s="347">
        <f t="shared" si="1"/>
        <v>0</v>
      </c>
    </row>
    <row r="32" spans="1:6">
      <c r="A32" s="342">
        <v>600</v>
      </c>
      <c r="B32" s="42" t="s">
        <v>196</v>
      </c>
      <c r="C32" s="209">
        <v>0</v>
      </c>
      <c r="D32" s="209">
        <v>0</v>
      </c>
      <c r="E32" s="209">
        <v>0</v>
      </c>
      <c r="F32" s="347">
        <f t="shared" si="1"/>
        <v>0</v>
      </c>
    </row>
    <row r="33" spans="1:6">
      <c r="A33" s="342">
        <v>800</v>
      </c>
      <c r="B33" s="42" t="s">
        <v>239</v>
      </c>
      <c r="C33" s="208">
        <f>'Form 4 Expenses'!H313+'Form 4 Expenses'!H320+'Form 4 Expenses'!H327</f>
        <v>0</v>
      </c>
      <c r="D33" s="208">
        <f>'Form 4 Expenses'!H314+'Form 4 Expenses'!H321+'Form 4 Expenses'!H328</f>
        <v>0</v>
      </c>
      <c r="E33" s="208">
        <f>'Form 4 Expenses'!H333-'Form 5 Exp Summary'!C33-'Form 5 Exp Summary'!D33</f>
        <v>0</v>
      </c>
      <c r="F33" s="347">
        <f t="shared" si="1"/>
        <v>0</v>
      </c>
    </row>
    <row r="34" spans="1:6">
      <c r="A34" s="342">
        <v>900</v>
      </c>
      <c r="B34" s="42" t="s">
        <v>425</v>
      </c>
      <c r="C34" s="210">
        <f>'Form 4 Expenses'!H336+'Form 4 Expenses'!H343+'Form 4 Expenses'!H350</f>
        <v>0</v>
      </c>
      <c r="D34" s="208">
        <f>'Form 4 Expenses'!H337+'Form 4 Expenses'!H344+'Form 4 Expenses'!H351</f>
        <v>0</v>
      </c>
      <c r="E34" s="208">
        <f>'Form 4 Expenses'!H356-'Form 5 Exp Summary'!C34-'Form 5 Exp Summary'!D34</f>
        <v>0</v>
      </c>
      <c r="F34" s="347">
        <f t="shared" si="1"/>
        <v>0</v>
      </c>
    </row>
    <row r="35" spans="1:6">
      <c r="A35" s="342" t="s">
        <v>424</v>
      </c>
      <c r="B35" s="42"/>
      <c r="C35" s="195">
        <f>SUM(C27:C34)</f>
        <v>0</v>
      </c>
      <c r="D35" s="195">
        <f>SUM(D27:D34)</f>
        <v>0</v>
      </c>
      <c r="E35" s="195">
        <f>SUM(E27:E34)</f>
        <v>0</v>
      </c>
      <c r="F35" s="193">
        <f>SUM(F27:F34)</f>
        <v>0</v>
      </c>
    </row>
    <row r="36" spans="1:6">
      <c r="A36" s="342"/>
      <c r="B36" s="198"/>
      <c r="C36" s="199"/>
      <c r="D36" s="199"/>
      <c r="E36" s="199"/>
      <c r="F36" s="343"/>
    </row>
    <row r="37" spans="1:6">
      <c r="A37" s="344" t="s">
        <v>291</v>
      </c>
      <c r="B37" s="42" t="s">
        <v>240</v>
      </c>
      <c r="C37" s="200"/>
      <c r="D37" s="200"/>
      <c r="E37" s="200"/>
      <c r="F37" s="117"/>
    </row>
    <row r="38" spans="1:6">
      <c r="A38" s="342">
        <v>2000</v>
      </c>
      <c r="B38" s="42" t="s">
        <v>290</v>
      </c>
      <c r="C38" s="195">
        <f>'Form 4 Expenses'!H369+'Form 4 Expenses'!H377+'Form 4 Expenses'!H385+'Form 4 Expenses'!H393+'Form 4 Expenses'!H401+'Form 4 Expenses'!H421+'Form 4 Expenses'!H429+'Form 4 Expenses'!H437</f>
        <v>0</v>
      </c>
      <c r="D38" s="195">
        <f>'Form 4 Expenses'!H370+'Form 4 Expenses'!H378+'Form 4 Expenses'!H386+'Form 4 Expenses'!H394+'Form 4 Expenses'!H402+'Form 4 Expenses'!H422+'Form 4 Expenses'!H430+'Form 4 Expenses'!H438</f>
        <v>0</v>
      </c>
      <c r="E38" s="195">
        <f>'Form 4 Expenses'!H444-'Form 5 Exp Summary'!C38-'Form 5 Exp Summary'!D38</f>
        <v>0</v>
      </c>
      <c r="F38" s="116">
        <f>SUM(C38:E38)</f>
        <v>0</v>
      </c>
    </row>
    <row r="39" spans="1:6">
      <c r="A39" s="342">
        <v>3100</v>
      </c>
      <c r="B39" s="42" t="s">
        <v>244</v>
      </c>
      <c r="C39" s="195">
        <f>'Form 4 Expenses'!H446</f>
        <v>0</v>
      </c>
      <c r="D39" s="195">
        <f>'Form 4 Expenses'!H447</f>
        <v>0</v>
      </c>
      <c r="E39" s="195">
        <f>'Form 4 Expenses'!H452-'Form 5 Exp Summary'!C39-'Form 5 Exp Summary'!D39</f>
        <v>0</v>
      </c>
      <c r="F39" s="116">
        <f>SUM(C39:E39)</f>
        <v>0</v>
      </c>
    </row>
    <row r="40" spans="1:6" ht="30">
      <c r="A40" s="345">
        <v>4000</v>
      </c>
      <c r="B40" s="92" t="s">
        <v>241</v>
      </c>
      <c r="C40" s="196"/>
      <c r="D40" s="196"/>
      <c r="E40" s="195">
        <f>'Form 4 Expenses'!H536</f>
        <v>0</v>
      </c>
      <c r="F40" s="116">
        <f>SUM(C40:E40)</f>
        <v>0</v>
      </c>
    </row>
    <row r="41" spans="1:6">
      <c r="A41" s="342">
        <v>5000</v>
      </c>
      <c r="B41" s="42" t="s">
        <v>246</v>
      </c>
      <c r="C41" s="196"/>
      <c r="D41" s="196"/>
      <c r="E41" s="195">
        <f>'Form 4 Expenses'!H537</f>
        <v>0</v>
      </c>
      <c r="F41" s="116">
        <f>SUM(C41:E41)</f>
        <v>0</v>
      </c>
    </row>
    <row r="42" spans="1:6">
      <c r="A42" s="342">
        <v>6300</v>
      </c>
      <c r="B42" s="42" t="s">
        <v>242</v>
      </c>
      <c r="C42" s="196"/>
      <c r="D42" s="196"/>
      <c r="E42" s="196"/>
      <c r="F42" s="195">
        <f>'Form 4 Expenses'!H540</f>
        <v>0</v>
      </c>
    </row>
    <row r="43" spans="1:6" ht="19.5" customHeight="1">
      <c r="A43" s="342">
        <v>8000</v>
      </c>
      <c r="B43" s="201" t="s">
        <v>243</v>
      </c>
      <c r="C43" s="196"/>
      <c r="D43" s="196"/>
      <c r="E43" s="196"/>
      <c r="F43" s="195">
        <f>'Form 4 Expenses'!H542+'Form 4 Expenses'!H543</f>
        <v>0</v>
      </c>
    </row>
    <row r="44" spans="1:6" ht="15" thickBot="1">
      <c r="A44" s="346" t="s">
        <v>426</v>
      </c>
      <c r="B44" s="202"/>
      <c r="C44" s="203">
        <f>SUM(C38:C43)</f>
        <v>0</v>
      </c>
      <c r="D44" s="203">
        <f>SUM(D38:D43)</f>
        <v>0</v>
      </c>
      <c r="E44" s="203">
        <f>SUM(E38:E43)</f>
        <v>0</v>
      </c>
      <c r="F44" s="203">
        <f>SUM(F38:F43)</f>
        <v>0</v>
      </c>
    </row>
    <row r="45" spans="1:6" ht="15" thickBot="1">
      <c r="A45" s="348" t="s">
        <v>450</v>
      </c>
      <c r="B45" s="349"/>
      <c r="C45" s="350">
        <f>C35+C44</f>
        <v>0</v>
      </c>
      <c r="D45" s="350">
        <f>D35+D44</f>
        <v>0</v>
      </c>
      <c r="E45" s="350">
        <f>E35+E44</f>
        <v>0</v>
      </c>
      <c r="F45" s="350">
        <f>F35+F44</f>
        <v>0</v>
      </c>
    </row>
    <row r="46" spans="1:6" ht="12.75" customHeight="1" thickTop="1">
      <c r="A46" s="354"/>
      <c r="B46" s="49"/>
      <c r="C46" s="141"/>
      <c r="D46" s="141"/>
      <c r="E46" s="141"/>
      <c r="F46" s="141"/>
    </row>
    <row r="47" spans="1:6">
      <c r="A47" s="75"/>
      <c r="B47" s="109" t="str">
        <f>'Form 1 Cover'!B20</f>
        <v>Discovery Charter School</v>
      </c>
      <c r="C47" s="29"/>
      <c r="D47" s="49"/>
      <c r="E47" s="3" t="str">
        <f>"Budget Fiscal Year "&amp;TEXT('Form 1 Cover'!$D$137, "mm/dd/yy")</f>
        <v>Budget Fiscal Year 2022-2023</v>
      </c>
      <c r="F47" s="29"/>
    </row>
    <row r="48" spans="1:6">
      <c r="A48" s="75"/>
      <c r="B48" s="75"/>
      <c r="C48" s="94"/>
      <c r="D48" s="29"/>
      <c r="E48" s="29"/>
      <c r="F48" s="29"/>
    </row>
    <row r="49" spans="1:6">
      <c r="A49" s="75"/>
      <c r="B49" s="94" t="s">
        <v>452</v>
      </c>
      <c r="C49" s="29" t="s">
        <v>453</v>
      </c>
      <c r="D49" s="29"/>
      <c r="E49" s="29"/>
      <c r="F49" s="2">
        <f>'Form 1 Cover'!$D$146</f>
        <v>44607</v>
      </c>
    </row>
    <row r="50" spans="1:6">
      <c r="A50" s="75"/>
      <c r="B50" s="94"/>
      <c r="C50" s="29"/>
      <c r="D50" s="29"/>
      <c r="E50" s="29"/>
      <c r="F50" s="2"/>
    </row>
    <row r="51" spans="1:6">
      <c r="A51" s="599" t="str">
        <f>"FINAL AMENDED BUDGET "&amp;TEXT('Form 1 Cover'!G130, "MM/DD/YY")</f>
        <v>FINAL AMENDED BUDGET - Estimated</v>
      </c>
      <c r="B51" s="600"/>
      <c r="C51" s="284" t="s">
        <v>297</v>
      </c>
      <c r="D51" s="90" t="s">
        <v>298</v>
      </c>
      <c r="E51" s="90" t="s">
        <v>299</v>
      </c>
      <c r="F51" s="90"/>
    </row>
    <row r="52" spans="1:6" ht="57" customHeight="1" thickBot="1">
      <c r="A52" s="516"/>
      <c r="B52" s="465" t="s">
        <v>614</v>
      </c>
      <c r="C52" s="387" t="s">
        <v>232</v>
      </c>
      <c r="D52" s="387" t="s">
        <v>233</v>
      </c>
      <c r="E52" s="387" t="s">
        <v>449</v>
      </c>
      <c r="F52" s="387" t="s">
        <v>430</v>
      </c>
    </row>
    <row r="53" spans="1:6">
      <c r="A53" s="386" t="s">
        <v>423</v>
      </c>
      <c r="B53" s="42"/>
      <c r="C53" s="102"/>
      <c r="D53" s="102"/>
      <c r="E53" s="102"/>
      <c r="F53" s="102"/>
    </row>
    <row r="54" spans="1:6">
      <c r="A54" s="342">
        <v>100</v>
      </c>
      <c r="B54" s="42" t="s">
        <v>234</v>
      </c>
      <c r="C54" s="206">
        <f>'Form 4 Expenses'!I8+'Form 4 Expenses'!I15+'Form 4 Expenses'!I22+'Form 4 Expenses'!I31+'Form 4 Expenses'!I38+'Form 4 Expenses'!I45</f>
        <v>0</v>
      </c>
      <c r="D54" s="206">
        <f>'Form 4 Expenses'!I9+'Form 4 Expenses'!I16+'Form 4 Expenses'!I23+'Form 4 Expenses'!I32+'Form 4 Expenses'!I39+'Form 4 Expenses'!I46</f>
        <v>0</v>
      </c>
      <c r="E54" s="207">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47">
        <f>SUM(C54:E54)</f>
        <v>0</v>
      </c>
    </row>
    <row r="55" spans="1:6">
      <c r="A55" s="342">
        <v>200</v>
      </c>
      <c r="B55" s="42" t="s">
        <v>235</v>
      </c>
      <c r="C55" s="208">
        <f>'Form 4 Expenses'!I60+'Form 4 Expenses'!I67+'Form 4 Expenses'!I74+'Form 4 Expenses'!I83+'Form 4 Expenses'!I90+'Form 4 Expenses'!I97</f>
        <v>0</v>
      </c>
      <c r="D55" s="208">
        <f>'Form 4 Expenses'!I61+'Form 4 Expenses'!I68+'Form 4 Expenses'!I75+'Form 4 Expenses'!I84+'Form 4 Expenses'!I91+'Form 4 Expenses'!I98</f>
        <v>0</v>
      </c>
      <c r="E55" s="208">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47">
        <f t="shared" ref="F55:F61" si="2">SUM(C55:E55)</f>
        <v>0</v>
      </c>
    </row>
    <row r="56" spans="1:6">
      <c r="A56" s="342">
        <v>300</v>
      </c>
      <c r="B56" s="42" t="s">
        <v>236</v>
      </c>
      <c r="C56" s="208">
        <f>'Form 4 Expenses'!I117+'Form 4 Expenses'!I124+'Form 4 Expenses'!I131+'Form 4 Expenses'!I150+'Form 4 Expenses'!I157+'Form 4 Expenses'!I164</f>
        <v>0</v>
      </c>
      <c r="D56" s="208">
        <f>'Form 4 Expenses'!I118+'Form 4 Expenses'!I125+'Form 4 Expenses'!I132+'Form 4 Expenses'!I151+'Form 4 Expenses'!I158+'Form 4 Expenses'!I165</f>
        <v>0</v>
      </c>
      <c r="E56" s="208">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47">
        <f t="shared" si="2"/>
        <v>0</v>
      </c>
    </row>
    <row r="57" spans="1:6">
      <c r="A57" s="342">
        <v>400</v>
      </c>
      <c r="B57" s="42" t="s">
        <v>237</v>
      </c>
      <c r="C57" s="208">
        <f>'Form 4 Expenses'!I173+'Form 4 Expenses'!I180+'Form 4 Expenses'!I187+'Form 4 Expenses'!I229+'Form 4 Expenses'!I236+'Form 4 Expenses'!I243+'Form 4 Expenses'!I286+'Form 4 Expenses'!I293+'Form 4 Expenses'!I300</f>
        <v>0</v>
      </c>
      <c r="D57" s="208">
        <f>'Form 4 Expenses'!I174+'Form 4 Expenses'!I181+'Form 4 Expenses'!I188+'Form 4 Expenses'!I230+'Form 4 Expenses'!I237+'Form 4 Expenses'!I244+'Form 4 Expenses'!I287+'Form 4 Expenses'!I294+'Form 4 Expenses'!I301</f>
        <v>0</v>
      </c>
      <c r="E57" s="208">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47">
        <f t="shared" si="2"/>
        <v>0</v>
      </c>
    </row>
    <row r="58" spans="1:6">
      <c r="A58" s="342">
        <v>500</v>
      </c>
      <c r="B58" s="42" t="s">
        <v>238</v>
      </c>
      <c r="C58" s="209">
        <v>0</v>
      </c>
      <c r="D58" s="209">
        <v>0</v>
      </c>
      <c r="E58" s="209">
        <v>0</v>
      </c>
      <c r="F58" s="347">
        <f t="shared" si="2"/>
        <v>0</v>
      </c>
    </row>
    <row r="59" spans="1:6">
      <c r="A59" s="342">
        <v>600</v>
      </c>
      <c r="B59" s="42" t="s">
        <v>196</v>
      </c>
      <c r="C59" s="209">
        <v>0</v>
      </c>
      <c r="D59" s="209">
        <v>0</v>
      </c>
      <c r="E59" s="209">
        <v>0</v>
      </c>
      <c r="F59" s="347">
        <f t="shared" si="2"/>
        <v>0</v>
      </c>
    </row>
    <row r="60" spans="1:6">
      <c r="A60" s="342">
        <v>800</v>
      </c>
      <c r="B60" s="42" t="s">
        <v>239</v>
      </c>
      <c r="C60" s="208">
        <f>'Form 4 Expenses'!I313+'Form 4 Expenses'!I320+'Form 4 Expenses'!I327</f>
        <v>0</v>
      </c>
      <c r="D60" s="208">
        <f>'Form 4 Expenses'!I314+'Form 4 Expenses'!I321+'Form 4 Expenses'!I328</f>
        <v>0</v>
      </c>
      <c r="E60" s="208">
        <f>'Form 4 Expenses'!I315+'Form 4 Expenses'!I316+'Form 4 Expenses'!I317+'Form 4 Expenses'!I318+'Form 4 Expenses'!I322+'Form 4 Expenses'!I323+'Form 4 Expenses'!I324+'Form 4 Expenses'!I325+'Form 4 Expenses'!I329+'Form 4 Expenses'!I330+'Form 4 Expenses'!I331+'Form 4 Expenses'!I332</f>
        <v>0</v>
      </c>
      <c r="F60" s="347">
        <f t="shared" si="2"/>
        <v>0</v>
      </c>
    </row>
    <row r="61" spans="1:6">
      <c r="A61" s="342">
        <v>900</v>
      </c>
      <c r="B61" s="42" t="s">
        <v>425</v>
      </c>
      <c r="C61" s="388">
        <f>'Form 4 Expenses'!I336+'Form 4 Expenses'!I343+'Form 4 Expenses'!I350</f>
        <v>0</v>
      </c>
      <c r="D61" s="208">
        <f>'Form 4 Expenses'!I337+'Form 4 Expenses'!I344+'Form 4 Expenses'!I351</f>
        <v>0</v>
      </c>
      <c r="E61" s="208">
        <f>'Form 4 Expenses'!I338+'Form 4 Expenses'!I339+'Form 4 Expenses'!I340+'Form 4 Expenses'!I341+'Form 4 Expenses'!I345+'Form 4 Expenses'!I346+'Form 4 Expenses'!I347+'Form 4 Expenses'!I348+'Form 4 Expenses'!I352+'Form 4 Expenses'!I353+'Form 4 Expenses'!I354+'Form 4 Expenses'!I355</f>
        <v>0</v>
      </c>
      <c r="F61" s="347">
        <f t="shared" si="2"/>
        <v>0</v>
      </c>
    </row>
    <row r="62" spans="1:6">
      <c r="A62" s="342" t="s">
        <v>424</v>
      </c>
      <c r="B62" s="42"/>
      <c r="C62" s="195">
        <f>SUM(C54:C61)</f>
        <v>0</v>
      </c>
      <c r="D62" s="195">
        <f>SUM(D54:D61)</f>
        <v>0</v>
      </c>
      <c r="E62" s="195">
        <f>SUM(E54:E61)</f>
        <v>0</v>
      </c>
      <c r="F62" s="193">
        <f>SUM(F54:F61)</f>
        <v>0</v>
      </c>
    </row>
    <row r="63" spans="1:6">
      <c r="A63" s="342"/>
      <c r="B63" s="198"/>
      <c r="C63" s="199"/>
      <c r="D63" s="199"/>
      <c r="E63" s="199"/>
      <c r="F63" s="343"/>
    </row>
    <row r="64" spans="1:6">
      <c r="A64" s="344" t="s">
        <v>291</v>
      </c>
      <c r="B64" s="42" t="s">
        <v>240</v>
      </c>
      <c r="C64" s="200"/>
      <c r="D64" s="200"/>
      <c r="E64" s="200"/>
      <c r="F64" s="117"/>
    </row>
    <row r="65" spans="1:6">
      <c r="A65" s="342">
        <v>2000</v>
      </c>
      <c r="B65" s="42" t="s">
        <v>290</v>
      </c>
      <c r="C65" s="195">
        <f>'Form 4 Expenses'!I369+'Form 4 Expenses'!I377+'Form 4 Expenses'!I385+'Form 4 Expenses'!I393+'Form 4 Expenses'!I401+'Form 4 Expenses'!I421+'Form 4 Expenses'!I429+'Form 4 Expenses'!I437</f>
        <v>0</v>
      </c>
      <c r="D65" s="195">
        <f>'Form 4 Expenses'!I370+'Form 4 Expenses'!I378+'Form 4 Expenses'!I386+'Form 4 Expenses'!I394+'Form 4 Expenses'!I402+'Form 4 Expenses'!I422+'Form 4 Expenses'!I430+'Form 4 Expenses'!I438</f>
        <v>0</v>
      </c>
      <c r="E65" s="195">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94">
        <f>SUM(C65:E65)</f>
        <v>0</v>
      </c>
    </row>
    <row r="66" spans="1:6">
      <c r="A66" s="342">
        <v>3100</v>
      </c>
      <c r="B66" s="42" t="s">
        <v>244</v>
      </c>
      <c r="C66" s="195">
        <f>'Form 4 Expenses'!I446</f>
        <v>0</v>
      </c>
      <c r="D66" s="195">
        <f>'Form 4 Expenses'!I447</f>
        <v>0</v>
      </c>
      <c r="E66" s="195">
        <f>'Form 4 Expenses'!I448+'Form 4 Expenses'!I449+'Form 4 Expenses'!I450+'Form 4 Expenses'!I451</f>
        <v>0</v>
      </c>
      <c r="F66" s="194">
        <f>SUM(C66:E66)</f>
        <v>0</v>
      </c>
    </row>
    <row r="67" spans="1:6" ht="30">
      <c r="A67" s="345">
        <v>4000</v>
      </c>
      <c r="B67" s="92" t="s">
        <v>241</v>
      </c>
      <c r="C67" s="196"/>
      <c r="D67" s="196"/>
      <c r="E67" s="195">
        <f>'Form 4 Expenses'!I536</f>
        <v>0</v>
      </c>
      <c r="F67" s="194">
        <f>SUM(C67:E67)</f>
        <v>0</v>
      </c>
    </row>
    <row r="68" spans="1:6">
      <c r="A68" s="342">
        <v>5000</v>
      </c>
      <c r="B68" s="42" t="s">
        <v>246</v>
      </c>
      <c r="C68" s="196"/>
      <c r="D68" s="196"/>
      <c r="E68" s="195">
        <f>'Form 4 Expenses'!I537</f>
        <v>0</v>
      </c>
      <c r="F68" s="194">
        <f>SUM(C68:E68)</f>
        <v>0</v>
      </c>
    </row>
    <row r="69" spans="1:6">
      <c r="A69" s="342">
        <v>6300</v>
      </c>
      <c r="B69" s="42" t="s">
        <v>242</v>
      </c>
      <c r="C69" s="196"/>
      <c r="D69" s="196"/>
      <c r="E69" s="196"/>
      <c r="F69" s="195">
        <f>'Form 4 Expenses'!I540</f>
        <v>0</v>
      </c>
    </row>
    <row r="70" spans="1:6">
      <c r="A70" s="342">
        <v>8000</v>
      </c>
      <c r="B70" s="201" t="s">
        <v>243</v>
      </c>
      <c r="C70" s="196"/>
      <c r="D70" s="196"/>
      <c r="E70" s="196"/>
      <c r="F70" s="195">
        <f>'Form 4 Expenses'!I542+'Form 4 Expenses'!I543</f>
        <v>0</v>
      </c>
    </row>
    <row r="71" spans="1:6" ht="15" thickBot="1">
      <c r="A71" s="346" t="s">
        <v>426</v>
      </c>
      <c r="B71" s="202"/>
      <c r="C71" s="203">
        <f>SUM(C65:C70)</f>
        <v>0</v>
      </c>
      <c r="D71" s="203">
        <f>SUM(D65:D70)</f>
        <v>0</v>
      </c>
      <c r="E71" s="203">
        <f>SUM(E65:E70)</f>
        <v>0</v>
      </c>
      <c r="F71" s="203">
        <f>SUM(F65:F70)</f>
        <v>0</v>
      </c>
    </row>
    <row r="72" spans="1:6" ht="15" thickBot="1">
      <c r="A72" s="348" t="s">
        <v>565</v>
      </c>
      <c r="B72" s="349"/>
      <c r="C72" s="350">
        <f>C62+C71</f>
        <v>0</v>
      </c>
      <c r="D72" s="350">
        <f>D62+D71</f>
        <v>0</v>
      </c>
      <c r="E72" s="350">
        <f>E62+E71</f>
        <v>0</v>
      </c>
      <c r="F72" s="350">
        <f>F62+F71</f>
        <v>0</v>
      </c>
    </row>
    <row r="73" spans="1:6" ht="15" thickTop="1">
      <c r="A73" s="354"/>
      <c r="B73" s="49"/>
      <c r="C73" s="141"/>
      <c r="D73" s="141"/>
      <c r="E73" s="141"/>
      <c r="F73" s="141"/>
    </row>
    <row r="74" spans="1:6">
      <c r="A74" s="75"/>
      <c r="B74" s="109" t="str">
        <f>'Form 1 Cover'!B20</f>
        <v>Discovery Charter School</v>
      </c>
      <c r="C74" s="29"/>
      <c r="D74" s="49"/>
      <c r="E74" s="3" t="str">
        <f>"Budget Fiscal Year "&amp;TEXT('Form 1 Cover'!$D$137, "mm/dd/yy")</f>
        <v>Budget Fiscal Year 2022-2023</v>
      </c>
      <c r="F74" s="29"/>
    </row>
    <row r="75" spans="1:6">
      <c r="A75" s="75"/>
      <c r="B75" s="75"/>
      <c r="C75" s="94"/>
      <c r="D75" s="29"/>
      <c r="E75" s="29"/>
      <c r="F75" s="29"/>
    </row>
    <row r="76" spans="1:6">
      <c r="A76" s="75"/>
      <c r="B76" s="94" t="s">
        <v>452</v>
      </c>
      <c r="C76" s="29" t="s">
        <v>411</v>
      </c>
      <c r="D76" s="29"/>
      <c r="E76" s="29"/>
      <c r="F76" s="2">
        <f>'Form 1 Cover'!$D$146</f>
        <v>44607</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63" zoomScaleNormal="100" workbookViewId="0"/>
  </sheetViews>
  <sheetFormatPr baseColWidth="10" defaultColWidth="9.1640625" defaultRowHeight="14"/>
  <cols>
    <col min="1" max="1" width="1.5" style="94" customWidth="1"/>
    <col min="2" max="2" width="6.5" style="94" customWidth="1"/>
    <col min="3" max="3" width="37" style="29" customWidth="1"/>
    <col min="4" max="5" width="15.6640625" style="29" customWidth="1"/>
    <col min="6" max="6" width="15.1640625" style="29" customWidth="1"/>
    <col min="7" max="7" width="17.6640625" style="29" customWidth="1"/>
    <col min="8" max="10" width="9.1640625" style="29"/>
    <col min="11" max="11" width="5.5" style="29" customWidth="1"/>
    <col min="12" max="16384" width="9.1640625" style="29"/>
  </cols>
  <sheetData>
    <row r="1" spans="1:7">
      <c r="A1" s="75" t="s">
        <v>455</v>
      </c>
      <c r="B1" s="75"/>
      <c r="D1" s="277" t="s">
        <v>4</v>
      </c>
    </row>
    <row r="2" spans="1:7">
      <c r="A2" s="75"/>
      <c r="B2" s="75" t="s">
        <v>245</v>
      </c>
    </row>
    <row r="3" spans="1:7">
      <c r="A3" s="38" t="str">
        <f>'Form 1 Cover'!B20</f>
        <v>Discovery Charter School</v>
      </c>
    </row>
    <row r="4" spans="1:7">
      <c r="A4" s="355"/>
      <c r="B4" s="356"/>
      <c r="C4" s="71"/>
      <c r="D4" s="72">
        <v>-1</v>
      </c>
      <c r="E4" s="73">
        <v>-2</v>
      </c>
      <c r="F4" s="74">
        <v>-3</v>
      </c>
      <c r="G4" s="73">
        <v>-4</v>
      </c>
    </row>
    <row r="5" spans="1:7">
      <c r="A5" s="357"/>
      <c r="B5" s="49" t="s">
        <v>492</v>
      </c>
      <c r="C5" s="426"/>
      <c r="D5" s="38"/>
      <c r="E5" s="39" t="s">
        <v>31</v>
      </c>
      <c r="F5" s="518" t="str">
        <f>"BUDGET YEAR ENDING "&amp;TEXT('Form 1 Cover'!D139, "MM/DD/YY")</f>
        <v>BUDGET YEAR ENDING 06/30/23</v>
      </c>
      <c r="G5" s="519"/>
    </row>
    <row r="6" spans="1:7" s="80" customFormat="1" ht="15.75" customHeight="1">
      <c r="A6" s="358"/>
      <c r="B6" s="76"/>
      <c r="C6" s="77"/>
      <c r="D6" s="78" t="s">
        <v>277</v>
      </c>
      <c r="E6" s="78" t="s">
        <v>279</v>
      </c>
      <c r="F6" s="79"/>
      <c r="G6" s="111"/>
    </row>
    <row r="7" spans="1:7" s="80" customFormat="1" ht="15.75" customHeight="1">
      <c r="A7" s="321"/>
      <c r="B7" s="76"/>
      <c r="C7" s="77" t="s">
        <v>194</v>
      </c>
      <c r="D7" s="78" t="s">
        <v>278</v>
      </c>
      <c r="E7" s="78" t="s">
        <v>278</v>
      </c>
      <c r="F7" s="81" t="s">
        <v>280</v>
      </c>
      <c r="G7" s="78" t="s">
        <v>109</v>
      </c>
    </row>
    <row r="8" spans="1:7" s="80" customFormat="1" ht="15" customHeight="1">
      <c r="A8" s="322"/>
      <c r="B8" s="68"/>
      <c r="C8" s="69"/>
      <c r="D8" s="83">
        <f>'Form 1 Cover'!D130</f>
        <v>44377</v>
      </c>
      <c r="E8" s="83">
        <f>'Form 1 Cover'!D134</f>
        <v>44742</v>
      </c>
      <c r="F8" s="84" t="s">
        <v>281</v>
      </c>
      <c r="G8" s="152" t="s">
        <v>281</v>
      </c>
    </row>
    <row r="9" spans="1:7" ht="21" customHeight="1">
      <c r="A9" s="296" t="s">
        <v>175</v>
      </c>
      <c r="B9" s="85"/>
      <c r="C9" s="86" t="s">
        <v>200</v>
      </c>
      <c r="D9" s="297"/>
      <c r="E9" s="297"/>
      <c r="F9" s="359"/>
      <c r="G9" s="297"/>
    </row>
    <row r="10" spans="1:7">
      <c r="A10" s="298" t="s">
        <v>208</v>
      </c>
      <c r="B10" s="89"/>
      <c r="C10" s="42" t="s">
        <v>209</v>
      </c>
      <c r="D10" s="408"/>
      <c r="E10" s="411"/>
      <c r="F10" s="408"/>
      <c r="G10" s="411"/>
    </row>
    <row r="11" spans="1:7">
      <c r="A11" s="298" t="s">
        <v>210</v>
      </c>
      <c r="B11" s="89"/>
      <c r="C11" s="42" t="s">
        <v>211</v>
      </c>
      <c r="D11" s="413"/>
      <c r="E11" s="413"/>
      <c r="F11" s="412"/>
      <c r="G11" s="413"/>
    </row>
    <row r="12" spans="1:7">
      <c r="A12" s="298" t="s">
        <v>88</v>
      </c>
      <c r="B12" s="89"/>
      <c r="C12" s="42" t="s">
        <v>306</v>
      </c>
      <c r="D12" s="413"/>
      <c r="E12" s="413"/>
      <c r="F12" s="412"/>
      <c r="G12" s="413"/>
    </row>
    <row r="13" spans="1:7">
      <c r="A13" s="298" t="s">
        <v>78</v>
      </c>
      <c r="B13" s="89"/>
      <c r="C13" s="42" t="s">
        <v>307</v>
      </c>
      <c r="D13" s="413"/>
      <c r="E13" s="413"/>
      <c r="F13" s="412"/>
      <c r="G13" s="413"/>
    </row>
    <row r="14" spans="1:7">
      <c r="A14" s="104" t="s">
        <v>215</v>
      </c>
      <c r="B14" s="89"/>
      <c r="C14" s="42" t="s">
        <v>673</v>
      </c>
      <c r="D14" s="413"/>
      <c r="E14" s="413"/>
      <c r="F14" s="412"/>
      <c r="G14" s="413"/>
    </row>
    <row r="15" spans="1:7">
      <c r="A15" s="104" t="s">
        <v>216</v>
      </c>
      <c r="B15" s="89"/>
      <c r="C15" s="42" t="s">
        <v>217</v>
      </c>
      <c r="D15" s="413"/>
      <c r="E15" s="413"/>
      <c r="F15" s="412"/>
      <c r="G15" s="413"/>
    </row>
    <row r="16" spans="1:7">
      <c r="A16" s="104" t="s">
        <v>218</v>
      </c>
      <c r="B16" s="89"/>
      <c r="C16" s="42" t="s">
        <v>219</v>
      </c>
      <c r="D16" s="413"/>
      <c r="E16" s="413"/>
      <c r="F16" s="412"/>
      <c r="G16" s="413"/>
    </row>
    <row r="17" spans="1:7" ht="15" thickBot="1">
      <c r="A17" s="299" t="s">
        <v>225</v>
      </c>
      <c r="B17" s="96"/>
      <c r="C17" s="97"/>
      <c r="D17" s="98">
        <f>SUM(D10:D16)</f>
        <v>0</v>
      </c>
      <c r="E17" s="98">
        <f>SUM(E10:E16)</f>
        <v>0</v>
      </c>
      <c r="F17" s="360">
        <f>SUM(F10:F16)</f>
        <v>0</v>
      </c>
      <c r="G17" s="98">
        <f>SUM(G10:G16)</f>
        <v>0</v>
      </c>
    </row>
    <row r="18" spans="1:7" ht="21.75" customHeight="1" thickTop="1">
      <c r="A18" s="300" t="s">
        <v>226</v>
      </c>
      <c r="B18" s="100"/>
      <c r="C18" s="101" t="s">
        <v>227</v>
      </c>
      <c r="D18" s="102"/>
      <c r="E18" s="102"/>
      <c r="F18" s="361"/>
      <c r="G18" s="102"/>
    </row>
    <row r="19" spans="1:7">
      <c r="A19" s="103" t="s">
        <v>177</v>
      </c>
      <c r="B19" s="104"/>
      <c r="C19" s="105" t="s">
        <v>326</v>
      </c>
      <c r="D19" s="408"/>
      <c r="E19" s="411"/>
      <c r="F19" s="408"/>
      <c r="G19" s="411"/>
    </row>
    <row r="20" spans="1:7">
      <c r="A20" s="103" t="s">
        <v>228</v>
      </c>
      <c r="B20" s="104"/>
      <c r="C20" s="106" t="s">
        <v>327</v>
      </c>
      <c r="D20" s="413"/>
      <c r="E20" s="413"/>
      <c r="F20" s="412"/>
      <c r="G20" s="413"/>
    </row>
    <row r="21" spans="1:7" ht="20.25" customHeight="1" thickBot="1">
      <c r="A21" s="299" t="s">
        <v>231</v>
      </c>
      <c r="B21" s="108"/>
      <c r="C21" s="97"/>
      <c r="D21" s="98">
        <f>SUM(D19:D20)</f>
        <v>0</v>
      </c>
      <c r="E21" s="98">
        <f>SUM(E19:E20)</f>
        <v>0</v>
      </c>
      <c r="F21" s="360">
        <f>SUM(F19:F20)</f>
        <v>0</v>
      </c>
      <c r="G21" s="98">
        <f>SUM(G19:G20)</f>
        <v>0</v>
      </c>
    </row>
    <row r="22" spans="1:7" ht="16" thickTop="1">
      <c r="A22" s="301" t="s">
        <v>89</v>
      </c>
      <c r="B22" s="112"/>
      <c r="C22" s="113" t="s">
        <v>195</v>
      </c>
      <c r="D22" s="38"/>
      <c r="E22" s="38"/>
      <c r="F22" s="134"/>
      <c r="G22" s="38"/>
    </row>
    <row r="23" spans="1:7" ht="30">
      <c r="A23" s="302" t="s">
        <v>163</v>
      </c>
      <c r="B23" s="114"/>
      <c r="C23" s="92" t="s">
        <v>341</v>
      </c>
      <c r="D23" s="414"/>
      <c r="E23" s="415"/>
      <c r="F23" s="414"/>
      <c r="G23" s="415"/>
    </row>
    <row r="24" spans="1:7" ht="30">
      <c r="A24" s="303" t="s">
        <v>145</v>
      </c>
      <c r="B24" s="114"/>
      <c r="C24" s="92" t="s">
        <v>428</v>
      </c>
      <c r="D24" s="417"/>
      <c r="E24" s="417"/>
      <c r="F24" s="416"/>
      <c r="G24" s="417"/>
    </row>
    <row r="25" spans="1:7" ht="15">
      <c r="A25" s="303" t="s">
        <v>148</v>
      </c>
      <c r="B25" s="114"/>
      <c r="C25" s="92" t="s">
        <v>427</v>
      </c>
      <c r="D25" s="417"/>
      <c r="E25" s="417"/>
      <c r="F25" s="416"/>
      <c r="G25" s="417"/>
    </row>
    <row r="26" spans="1:7" ht="30">
      <c r="A26" s="303" t="s">
        <v>151</v>
      </c>
      <c r="B26" s="114"/>
      <c r="C26" s="92" t="s">
        <v>429</v>
      </c>
      <c r="D26" s="417"/>
      <c r="E26" s="417"/>
      <c r="F26" s="416"/>
      <c r="G26" s="417"/>
    </row>
    <row r="27" spans="1:7" ht="30">
      <c r="A27" s="303" t="s">
        <v>339</v>
      </c>
      <c r="B27" s="114"/>
      <c r="C27" s="92" t="s">
        <v>340</v>
      </c>
      <c r="D27" s="417"/>
      <c r="E27" s="417"/>
      <c r="F27" s="416"/>
      <c r="G27" s="417"/>
    </row>
    <row r="28" spans="1:7" ht="21.75" customHeight="1" thickBot="1">
      <c r="A28" s="304" t="s">
        <v>199</v>
      </c>
      <c r="B28" s="118"/>
      <c r="C28" s="119"/>
      <c r="D28" s="120">
        <f>SUM(D23:D27)</f>
        <v>0</v>
      </c>
      <c r="E28" s="120">
        <f>SUM(E23:E27)</f>
        <v>0</v>
      </c>
      <c r="F28" s="145">
        <f>SUM(F23:F27)</f>
        <v>0</v>
      </c>
      <c r="G28" s="120">
        <f>SUM(G23:G27)</f>
        <v>0</v>
      </c>
    </row>
    <row r="29" spans="1:7" ht="16" thickTop="1">
      <c r="A29" s="301" t="s">
        <v>184</v>
      </c>
      <c r="B29" s="112"/>
      <c r="C29" s="113" t="s">
        <v>343</v>
      </c>
      <c r="D29" s="121"/>
      <c r="E29" s="121"/>
      <c r="F29" s="320"/>
      <c r="G29" s="121"/>
    </row>
    <row r="30" spans="1:7" ht="15">
      <c r="A30" s="303" t="s">
        <v>134</v>
      </c>
      <c r="B30" s="114"/>
      <c r="C30" s="92" t="s">
        <v>349</v>
      </c>
      <c r="D30" s="408"/>
      <c r="E30" s="411"/>
      <c r="F30" s="408"/>
      <c r="G30" s="411"/>
    </row>
    <row r="31" spans="1:7" ht="30">
      <c r="A31" s="303" t="s">
        <v>90</v>
      </c>
      <c r="B31" s="114"/>
      <c r="C31" s="92" t="s">
        <v>350</v>
      </c>
      <c r="D31" s="413"/>
      <c r="E31" s="413"/>
      <c r="F31" s="412"/>
      <c r="G31" s="413"/>
    </row>
    <row r="32" spans="1:7" ht="15">
      <c r="A32" s="303" t="s">
        <v>186</v>
      </c>
      <c r="B32" s="114"/>
      <c r="C32" s="92" t="s">
        <v>353</v>
      </c>
      <c r="D32" s="413"/>
      <c r="E32" s="413"/>
      <c r="F32" s="412"/>
      <c r="G32" s="413"/>
    </row>
    <row r="33" spans="1:7" ht="15">
      <c r="A33" s="303" t="s">
        <v>351</v>
      </c>
      <c r="B33" s="114"/>
      <c r="C33" s="92" t="s">
        <v>354</v>
      </c>
      <c r="D33" s="413"/>
      <c r="E33" s="413"/>
      <c r="F33" s="412"/>
      <c r="G33" s="413"/>
    </row>
    <row r="34" spans="1:7" ht="15">
      <c r="A34" s="303" t="s">
        <v>352</v>
      </c>
      <c r="B34" s="114"/>
      <c r="C34" s="92" t="s">
        <v>355</v>
      </c>
      <c r="D34" s="413"/>
      <c r="E34" s="413"/>
      <c r="F34" s="412"/>
      <c r="G34" s="413"/>
    </row>
    <row r="35" spans="1:7" ht="15">
      <c r="A35" s="305" t="s">
        <v>138</v>
      </c>
      <c r="B35" s="114"/>
      <c r="C35" s="123" t="s">
        <v>356</v>
      </c>
      <c r="D35" s="413"/>
      <c r="E35" s="413"/>
      <c r="F35" s="412"/>
      <c r="G35" s="413"/>
    </row>
    <row r="36" spans="1:7" ht="15" thickBot="1">
      <c r="A36" s="306" t="s">
        <v>187</v>
      </c>
      <c r="B36" s="124"/>
      <c r="C36" s="44"/>
      <c r="D36" s="125">
        <f>SUM(D30:D35)</f>
        <v>0</v>
      </c>
      <c r="E36" s="125">
        <f>SUM(E30:E35)</f>
        <v>0</v>
      </c>
      <c r="F36" s="162">
        <f>SUM(F30:F35)</f>
        <v>0</v>
      </c>
      <c r="G36" s="125">
        <f>SUM(G30:G35)</f>
        <v>0</v>
      </c>
    </row>
    <row r="37" spans="1:7">
      <c r="A37" s="305" t="s">
        <v>364</v>
      </c>
      <c r="B37" s="114"/>
      <c r="C37" s="42"/>
      <c r="D37" s="91"/>
      <c r="E37" s="91"/>
      <c r="F37" s="164"/>
      <c r="G37" s="91"/>
    </row>
    <row r="38" spans="1:7">
      <c r="A38" s="302"/>
      <c r="B38" s="114" t="s">
        <v>188</v>
      </c>
      <c r="C38" s="42"/>
      <c r="D38" s="413"/>
      <c r="E38" s="413"/>
      <c r="F38" s="412"/>
      <c r="G38" s="413"/>
    </row>
    <row r="39" spans="1:7">
      <c r="A39" s="303"/>
      <c r="B39" s="114" t="s">
        <v>189</v>
      </c>
      <c r="C39" s="42"/>
      <c r="D39" s="413"/>
      <c r="E39" s="413"/>
      <c r="F39" s="412"/>
      <c r="G39" s="413"/>
    </row>
    <row r="40" spans="1:7" ht="15" thickBot="1">
      <c r="A40" s="306" t="s">
        <v>190</v>
      </c>
      <c r="B40" s="124"/>
      <c r="C40" s="44"/>
      <c r="D40" s="125">
        <f>SUM(D38:D39)</f>
        <v>0</v>
      </c>
      <c r="E40" s="125">
        <f>SUM(E38:E39)</f>
        <v>0</v>
      </c>
      <c r="F40" s="162">
        <f>SUM(F38:F39)</f>
        <v>0</v>
      </c>
      <c r="G40" s="125">
        <f>SUM(G38:G39)</f>
        <v>0</v>
      </c>
    </row>
    <row r="41" spans="1:7" ht="15" thickBot="1">
      <c r="A41" s="304" t="s">
        <v>193</v>
      </c>
      <c r="B41" s="118"/>
      <c r="C41" s="97"/>
      <c r="D41" s="98">
        <f>D17+D21+D28+D36+D40</f>
        <v>0</v>
      </c>
      <c r="E41" s="98">
        <f>E17+E21+E28+E36+E40</f>
        <v>0</v>
      </c>
      <c r="F41" s="360">
        <f>F17+F21+F28+F36+F40</f>
        <v>0</v>
      </c>
      <c r="G41" s="98">
        <f>G17+G21+G28+G36+G40</f>
        <v>0</v>
      </c>
    </row>
    <row r="42" spans="1:7" ht="15" thickTop="1">
      <c r="A42" s="362"/>
      <c r="B42" s="290"/>
      <c r="C42" s="291"/>
      <c r="D42" s="130"/>
      <c r="E42" s="130"/>
      <c r="F42" s="130"/>
      <c r="G42" s="130"/>
    </row>
    <row r="43" spans="1:7">
      <c r="A43" s="292" t="str">
        <f>'Form 1 Cover'!B20</f>
        <v>Discovery Charter School</v>
      </c>
      <c r="B43" s="127"/>
      <c r="C43" s="49"/>
      <c r="F43" s="29" t="str">
        <f>"Budget Fiscal Year "&amp;TEXT('Form 1 Cover'!$D$137, "mm/dd/yy")</f>
        <v>Budget Fiscal Year 2022-2023</v>
      </c>
    </row>
    <row r="44" spans="1:7">
      <c r="A44" s="292"/>
      <c r="B44" s="127"/>
      <c r="C44" s="49"/>
    </row>
    <row r="45" spans="1:7">
      <c r="A45" s="94" t="s">
        <v>5</v>
      </c>
      <c r="D45" s="29" t="s">
        <v>412</v>
      </c>
      <c r="G45" s="128">
        <f>'Form 1 Cover'!D146</f>
        <v>44607</v>
      </c>
    </row>
    <row r="46" spans="1:7">
      <c r="A46" s="308" t="s">
        <v>5</v>
      </c>
      <c r="B46" s="70"/>
      <c r="C46" s="363"/>
      <c r="D46" s="174">
        <v>-1</v>
      </c>
      <c r="E46" s="174">
        <v>-2</v>
      </c>
      <c r="F46" s="282">
        <v>-3</v>
      </c>
      <c r="G46" s="175">
        <v>-4</v>
      </c>
    </row>
    <row r="47" spans="1:7">
      <c r="A47" s="357"/>
      <c r="B47" s="49"/>
      <c r="C47" s="38"/>
      <c r="D47" s="176"/>
      <c r="E47" s="24" t="s">
        <v>31</v>
      </c>
      <c r="F47" s="518" t="str">
        <f>"BUDGET YEAR ENDING "&amp;TEXT('Form 1 Cover'!D139, "MM/DD/YY")</f>
        <v>BUDGET YEAR ENDING 06/30/23</v>
      </c>
      <c r="G47" s="519"/>
    </row>
    <row r="48" spans="1:7" ht="15">
      <c r="A48" s="357"/>
      <c r="B48" s="49"/>
      <c r="C48" s="38"/>
      <c r="D48" s="179" t="s">
        <v>277</v>
      </c>
      <c r="E48" s="179" t="s">
        <v>279</v>
      </c>
      <c r="F48" s="182"/>
      <c r="G48" s="182"/>
    </row>
    <row r="49" spans="1:7" ht="15">
      <c r="A49" s="357"/>
      <c r="B49" s="49"/>
      <c r="C49" s="38"/>
      <c r="D49" s="179" t="s">
        <v>278</v>
      </c>
      <c r="E49" s="179" t="s">
        <v>278</v>
      </c>
      <c r="F49" s="179" t="s">
        <v>280</v>
      </c>
      <c r="G49" s="179" t="s">
        <v>109</v>
      </c>
    </row>
    <row r="50" spans="1:7" ht="16">
      <c r="A50" s="322"/>
      <c r="B50" s="364" t="s">
        <v>493</v>
      </c>
      <c r="C50" s="69"/>
      <c r="D50" s="83">
        <f>'Form 1 Cover'!D130</f>
        <v>44377</v>
      </c>
      <c r="E50" s="281">
        <f>'Form 1 Cover'!D134</f>
        <v>44742</v>
      </c>
      <c r="F50" s="180" t="s">
        <v>281</v>
      </c>
      <c r="G50" s="180" t="s">
        <v>281</v>
      </c>
    </row>
    <row r="51" spans="1:7">
      <c r="A51" s="296" t="s">
        <v>499</v>
      </c>
      <c r="B51" s="85"/>
      <c r="C51" s="278"/>
      <c r="D51" s="279"/>
      <c r="E51" s="307"/>
      <c r="F51" s="307"/>
      <c r="G51" s="307"/>
    </row>
    <row r="52" spans="1:7">
      <c r="A52" s="298"/>
      <c r="B52" s="89" t="s">
        <v>175</v>
      </c>
      <c r="C52" s="89" t="s">
        <v>176</v>
      </c>
      <c r="D52" s="280"/>
      <c r="E52" s="46"/>
      <c r="F52" s="46"/>
      <c r="G52" s="46"/>
    </row>
    <row r="53" spans="1:7">
      <c r="A53" s="298"/>
      <c r="B53" s="89"/>
      <c r="C53" s="89" t="s">
        <v>495</v>
      </c>
      <c r="D53" s="416"/>
      <c r="E53" s="417"/>
      <c r="F53" s="417"/>
      <c r="G53" s="417"/>
    </row>
    <row r="54" spans="1:7">
      <c r="A54" s="298"/>
      <c r="B54" s="89"/>
      <c r="C54" s="89" t="s">
        <v>494</v>
      </c>
      <c r="D54" s="416"/>
      <c r="E54" s="417"/>
      <c r="F54" s="417"/>
      <c r="G54" s="417"/>
    </row>
    <row r="55" spans="1:7">
      <c r="A55" s="298"/>
      <c r="B55" s="89"/>
      <c r="C55" s="89" t="s">
        <v>131</v>
      </c>
      <c r="D55" s="416"/>
      <c r="E55" s="417"/>
      <c r="F55" s="417"/>
      <c r="G55" s="417"/>
    </row>
    <row r="56" spans="1:7">
      <c r="A56" s="298"/>
      <c r="B56" s="89"/>
      <c r="C56" s="89" t="s">
        <v>496</v>
      </c>
      <c r="D56" s="416"/>
      <c r="E56" s="417"/>
      <c r="F56" s="417"/>
      <c r="G56" s="417"/>
    </row>
    <row r="57" spans="1:7">
      <c r="A57" s="298"/>
      <c r="B57" s="89"/>
      <c r="C57" s="89" t="s">
        <v>497</v>
      </c>
      <c r="D57" s="416"/>
      <c r="E57" s="417"/>
      <c r="F57" s="417"/>
      <c r="G57" s="417"/>
    </row>
    <row r="58" spans="1:7">
      <c r="A58" s="298"/>
      <c r="B58" s="89"/>
      <c r="C58" s="89" t="s">
        <v>498</v>
      </c>
      <c r="D58" s="416"/>
      <c r="E58" s="417"/>
      <c r="F58" s="417"/>
      <c r="G58" s="417"/>
    </row>
    <row r="59" spans="1:7">
      <c r="A59" s="104"/>
      <c r="B59" s="88" t="s">
        <v>501</v>
      </c>
      <c r="C59" s="93"/>
      <c r="D59" s="283">
        <f>SUM(D53:D58)</f>
        <v>0</v>
      </c>
      <c r="E59" s="283">
        <f>SUM(E53:E58)</f>
        <v>0</v>
      </c>
      <c r="F59" s="283">
        <f>SUM(F53:F58)</f>
        <v>0</v>
      </c>
      <c r="G59" s="283">
        <f>SUM(G53:G58)</f>
        <v>0</v>
      </c>
    </row>
    <row r="60" spans="1:7">
      <c r="A60" s="298"/>
      <c r="B60" s="89" t="s">
        <v>503</v>
      </c>
      <c r="C60" s="89"/>
      <c r="D60" s="142"/>
      <c r="E60" s="117"/>
      <c r="F60" s="117"/>
      <c r="G60" s="117"/>
    </row>
    <row r="61" spans="1:7">
      <c r="A61" s="298"/>
      <c r="B61" s="89"/>
      <c r="C61" s="89" t="s">
        <v>495</v>
      </c>
      <c r="D61" s="416"/>
      <c r="E61" s="417"/>
      <c r="F61" s="417"/>
      <c r="G61" s="417"/>
    </row>
    <row r="62" spans="1:7">
      <c r="A62" s="298"/>
      <c r="B62" s="89"/>
      <c r="C62" s="89" t="s">
        <v>494</v>
      </c>
      <c r="D62" s="416"/>
      <c r="E62" s="417"/>
      <c r="F62" s="417"/>
      <c r="G62" s="417"/>
    </row>
    <row r="63" spans="1:7">
      <c r="A63" s="298"/>
      <c r="B63" s="89"/>
      <c r="C63" s="89" t="s">
        <v>131</v>
      </c>
      <c r="D63" s="416"/>
      <c r="E63" s="417"/>
      <c r="F63" s="417"/>
      <c r="G63" s="417"/>
    </row>
    <row r="64" spans="1:7">
      <c r="A64" s="298"/>
      <c r="B64" s="89"/>
      <c r="C64" s="89" t="s">
        <v>496</v>
      </c>
      <c r="D64" s="416"/>
      <c r="E64" s="417"/>
      <c r="F64" s="417"/>
      <c r="G64" s="417"/>
    </row>
    <row r="65" spans="1:7">
      <c r="A65" s="298"/>
      <c r="B65" s="89"/>
      <c r="C65" s="89" t="s">
        <v>497</v>
      </c>
      <c r="D65" s="416"/>
      <c r="E65" s="417"/>
      <c r="F65" s="417"/>
      <c r="G65" s="417"/>
    </row>
    <row r="66" spans="1:7">
      <c r="A66" s="298"/>
      <c r="B66" s="89"/>
      <c r="C66" s="89" t="s">
        <v>498</v>
      </c>
      <c r="D66" s="416"/>
      <c r="E66" s="417"/>
      <c r="F66" s="417"/>
      <c r="G66" s="417"/>
    </row>
    <row r="67" spans="1:7">
      <c r="A67" s="104"/>
      <c r="B67" s="88" t="s">
        <v>502</v>
      </c>
      <c r="C67" s="198"/>
      <c r="D67" s="193">
        <f>SUM(D61:D66)</f>
        <v>0</v>
      </c>
      <c r="E67" s="283">
        <f>SUM(E61:E66)</f>
        <v>0</v>
      </c>
      <c r="F67" s="283">
        <f>SUM(F61:F66)</f>
        <v>0</v>
      </c>
      <c r="G67" s="283">
        <f>SUM(G61:G66)</f>
        <v>0</v>
      </c>
    </row>
    <row r="68" spans="1:7">
      <c r="A68" s="298"/>
      <c r="B68" s="89" t="s">
        <v>177</v>
      </c>
      <c r="C68" s="34" t="s">
        <v>244</v>
      </c>
      <c r="D68" s="164"/>
      <c r="E68" s="91"/>
      <c r="F68" s="91"/>
      <c r="G68" s="91"/>
    </row>
    <row r="69" spans="1:7">
      <c r="A69" s="298"/>
      <c r="B69" s="89"/>
      <c r="C69" s="89" t="s">
        <v>495</v>
      </c>
      <c r="D69" s="412"/>
      <c r="E69" s="413"/>
      <c r="F69" s="413"/>
      <c r="G69" s="413"/>
    </row>
    <row r="70" spans="1:7">
      <c r="A70" s="298"/>
      <c r="B70" s="89"/>
      <c r="C70" s="89" t="s">
        <v>494</v>
      </c>
      <c r="D70" s="412"/>
      <c r="E70" s="413"/>
      <c r="F70" s="413"/>
      <c r="G70" s="413"/>
    </row>
    <row r="71" spans="1:7">
      <c r="A71" s="298"/>
      <c r="B71" s="89"/>
      <c r="C71" s="89" t="s">
        <v>131</v>
      </c>
      <c r="D71" s="412"/>
      <c r="E71" s="413"/>
      <c r="F71" s="413"/>
      <c r="G71" s="413"/>
    </row>
    <row r="72" spans="1:7">
      <c r="A72" s="298"/>
      <c r="B72" s="89"/>
      <c r="C72" s="89" t="s">
        <v>496</v>
      </c>
      <c r="D72" s="412"/>
      <c r="E72" s="413"/>
      <c r="F72" s="413"/>
      <c r="G72" s="413"/>
    </row>
    <row r="73" spans="1:7">
      <c r="A73" s="298"/>
      <c r="B73" s="89"/>
      <c r="C73" s="89" t="s">
        <v>497</v>
      </c>
      <c r="D73" s="412"/>
      <c r="E73" s="413"/>
      <c r="F73" s="413"/>
      <c r="G73" s="413"/>
    </row>
    <row r="74" spans="1:7">
      <c r="A74" s="298"/>
      <c r="B74" s="89"/>
      <c r="C74" s="89" t="s">
        <v>498</v>
      </c>
      <c r="D74" s="412"/>
      <c r="E74" s="413"/>
      <c r="F74" s="413"/>
      <c r="G74" s="413"/>
    </row>
    <row r="75" spans="1:7">
      <c r="A75" s="235"/>
      <c r="B75" s="88" t="s">
        <v>504</v>
      </c>
      <c r="C75" s="93"/>
      <c r="D75" s="284">
        <f>SUM(D69:D74)</f>
        <v>0</v>
      </c>
      <c r="E75" s="284">
        <f>SUM(E69:E74)</f>
        <v>0</v>
      </c>
      <c r="F75" s="284">
        <f>SUM(F69:F74)</f>
        <v>0</v>
      </c>
      <c r="G75" s="284">
        <f>SUM(G69:G74)</f>
        <v>0</v>
      </c>
    </row>
    <row r="76" spans="1:7">
      <c r="A76" s="104"/>
      <c r="B76" s="88" t="s">
        <v>89</v>
      </c>
      <c r="C76" s="285" t="s">
        <v>505</v>
      </c>
      <c r="D76" s="286"/>
      <c r="E76" s="287"/>
      <c r="F76" s="287"/>
      <c r="G76" s="287"/>
    </row>
    <row r="77" spans="1:7">
      <c r="A77" s="104"/>
      <c r="B77" s="88"/>
      <c r="C77" s="89" t="s">
        <v>495</v>
      </c>
      <c r="D77" s="414"/>
      <c r="E77" s="414"/>
      <c r="F77" s="414"/>
      <c r="G77" s="414"/>
    </row>
    <row r="78" spans="1:7">
      <c r="A78" s="104"/>
      <c r="B78" s="88"/>
      <c r="C78" s="89" t="s">
        <v>494</v>
      </c>
      <c r="D78" s="414"/>
      <c r="E78" s="414"/>
      <c r="F78" s="414"/>
      <c r="G78" s="414"/>
    </row>
    <row r="79" spans="1:7">
      <c r="A79" s="104"/>
      <c r="B79" s="88"/>
      <c r="C79" s="89" t="s">
        <v>131</v>
      </c>
      <c r="D79" s="414"/>
      <c r="E79" s="414"/>
      <c r="F79" s="414"/>
      <c r="G79" s="414"/>
    </row>
    <row r="80" spans="1:7">
      <c r="A80" s="104"/>
      <c r="B80" s="88"/>
      <c r="C80" s="89" t="s">
        <v>496</v>
      </c>
      <c r="D80" s="414"/>
      <c r="E80" s="414"/>
      <c r="F80" s="414"/>
      <c r="G80" s="414"/>
    </row>
    <row r="81" spans="1:7">
      <c r="A81" s="104"/>
      <c r="B81" s="88"/>
      <c r="C81" s="89" t="s">
        <v>497</v>
      </c>
      <c r="D81" s="414"/>
      <c r="E81" s="414"/>
      <c r="F81" s="414"/>
      <c r="G81" s="414"/>
    </row>
    <row r="82" spans="1:7">
      <c r="A82" s="104"/>
      <c r="B82" s="88"/>
      <c r="C82" s="75" t="s">
        <v>498</v>
      </c>
      <c r="D82" s="414"/>
      <c r="E82" s="414"/>
      <c r="F82" s="414"/>
      <c r="G82" s="414"/>
    </row>
    <row r="83" spans="1:7">
      <c r="A83" s="104"/>
      <c r="B83" s="88" t="s">
        <v>504</v>
      </c>
      <c r="C83" s="285"/>
      <c r="D83" s="193">
        <f>SUM(D77:D82)</f>
        <v>0</v>
      </c>
      <c r="E83" s="193">
        <f>SUM(E77:E82)</f>
        <v>0</v>
      </c>
      <c r="F83" s="193">
        <f>SUM(F77:F82)</f>
        <v>0</v>
      </c>
      <c r="G83" s="193">
        <f>SUM(G77:G82)</f>
        <v>0</v>
      </c>
    </row>
    <row r="84" spans="1:7">
      <c r="A84" s="308"/>
      <c r="B84" s="70" t="s">
        <v>184</v>
      </c>
      <c r="C84" s="70" t="s">
        <v>246</v>
      </c>
      <c r="D84" s="427"/>
      <c r="E84" s="428"/>
      <c r="F84" s="428"/>
      <c r="G84" s="428"/>
    </row>
    <row r="85" spans="1:7">
      <c r="A85" s="308"/>
      <c r="B85" s="70" t="s">
        <v>138</v>
      </c>
      <c r="C85" s="70" t="s">
        <v>506</v>
      </c>
      <c r="D85" s="427"/>
      <c r="E85" s="428"/>
      <c r="F85" s="428"/>
      <c r="G85" s="428"/>
    </row>
    <row r="86" spans="1:7">
      <c r="A86" s="104"/>
      <c r="B86" s="88" t="s">
        <v>507</v>
      </c>
      <c r="C86" s="88"/>
      <c r="D86" s="193">
        <f>SUM(D84:D85)</f>
        <v>0</v>
      </c>
      <c r="E86" s="193">
        <f>SUM(E84:E85)</f>
        <v>0</v>
      </c>
      <c r="F86" s="193">
        <f>SUM(F84:F85)</f>
        <v>0</v>
      </c>
      <c r="G86" s="193">
        <f>SUM(G84:G85)</f>
        <v>0</v>
      </c>
    </row>
    <row r="87" spans="1:7" ht="15" thickBot="1">
      <c r="A87" s="309" t="s">
        <v>500</v>
      </c>
      <c r="B87" s="108"/>
      <c r="C87" s="108"/>
      <c r="D87" s="143">
        <f>D59+D67+D75+D83+D86</f>
        <v>0</v>
      </c>
      <c r="E87" s="143">
        <f>E59+E67+E75+E83+E86</f>
        <v>0</v>
      </c>
      <c r="F87" s="143">
        <f>F59+F67+F75+F83+F86</f>
        <v>0</v>
      </c>
      <c r="G87" s="143">
        <f>G59+G67+G75+G83+G86</f>
        <v>0</v>
      </c>
    </row>
    <row r="88" spans="1:7" ht="15" thickTop="1">
      <c r="A88" s="310"/>
      <c r="B88" s="89" t="s">
        <v>508</v>
      </c>
      <c r="C88" s="42" t="s">
        <v>509</v>
      </c>
      <c r="D88" s="117"/>
      <c r="E88" s="117"/>
      <c r="F88" s="117"/>
      <c r="G88" s="117"/>
    </row>
    <row r="89" spans="1:7">
      <c r="A89" s="235"/>
      <c r="B89" s="89"/>
      <c r="C89" s="89" t="s">
        <v>140</v>
      </c>
      <c r="D89" s="414"/>
      <c r="E89" s="417"/>
      <c r="F89" s="417"/>
      <c r="G89" s="417"/>
    </row>
    <row r="90" spans="1:7">
      <c r="A90" s="248"/>
      <c r="B90" s="89"/>
      <c r="C90" s="89" t="s">
        <v>141</v>
      </c>
      <c r="D90" s="414"/>
      <c r="E90" s="417"/>
      <c r="F90" s="417"/>
      <c r="G90" s="417"/>
    </row>
    <row r="91" spans="1:7" ht="15" thickBot="1">
      <c r="A91" s="311"/>
      <c r="B91" s="108" t="s">
        <v>142</v>
      </c>
      <c r="C91" s="48"/>
      <c r="D91" s="137">
        <f>SUM(D89:D90)</f>
        <v>0</v>
      </c>
      <c r="E91" s="137">
        <f>SUM(E89:E90)</f>
        <v>0</v>
      </c>
      <c r="F91" s="137">
        <f>SUM(F89:F90)</f>
        <v>0</v>
      </c>
      <c r="G91" s="137">
        <f>SUM(G89:G90)</f>
        <v>0</v>
      </c>
    </row>
    <row r="92" spans="1:7" ht="16" thickTop="1" thickBot="1">
      <c r="A92" s="312" t="s">
        <v>143</v>
      </c>
      <c r="B92" s="167"/>
      <c r="C92" s="288"/>
      <c r="D92" s="289">
        <f>D87+D91</f>
        <v>0</v>
      </c>
      <c r="E92" s="289">
        <f>E87+E91</f>
        <v>0</v>
      </c>
      <c r="F92" s="289">
        <f>F87+F91</f>
        <v>0</v>
      </c>
      <c r="G92" s="289">
        <f>G87+G91</f>
        <v>0</v>
      </c>
    </row>
    <row r="93" spans="1:7" ht="15" thickTop="1">
      <c r="A93" s="132"/>
      <c r="B93" s="133"/>
      <c r="C93" s="291"/>
      <c r="D93" s="141"/>
      <c r="E93" s="141"/>
      <c r="F93" s="141"/>
      <c r="G93" s="141"/>
    </row>
    <row r="94" spans="1:7">
      <c r="A94" s="292" t="str">
        <f>'Form 1 Cover'!B20</f>
        <v>Discovery Charter School</v>
      </c>
      <c r="B94" s="127"/>
      <c r="C94" s="49"/>
      <c r="F94" s="29" t="str">
        <f>"Budget Fiscal Year "&amp;TEXT('Form 1 Cover'!$D$137, "mm/dd/yy")</f>
        <v>Budget Fiscal Year 2022-2023</v>
      </c>
    </row>
    <row r="95" spans="1:7">
      <c r="A95" s="292"/>
      <c r="B95" s="127"/>
      <c r="C95" s="49"/>
    </row>
    <row r="96" spans="1:7">
      <c r="A96" s="94" t="s">
        <v>5</v>
      </c>
      <c r="D96" s="29" t="s">
        <v>411</v>
      </c>
      <c r="G96" s="128">
        <f>'Form 1 Cover'!D146</f>
        <v>44607</v>
      </c>
    </row>
    <row r="98" spans="2:7">
      <c r="B98" s="293"/>
      <c r="C98" s="294" t="s">
        <v>510</v>
      </c>
      <c r="D98" s="295">
        <f>D41-D87</f>
        <v>0</v>
      </c>
      <c r="E98" s="295">
        <f>E41-E87</f>
        <v>0</v>
      </c>
      <c r="F98" s="295">
        <f>F41-F87</f>
        <v>0</v>
      </c>
      <c r="G98" s="295">
        <f>G41-G87</f>
        <v>0</v>
      </c>
    </row>
  </sheetData>
  <sheetProtection algorithmName="SHA-512" hashValue="uMZv7fE0ZkerjkdMTphdcv+41PA7g8QO4+T0R1ZQsanvKDuY/xJXARA4bUMbE0DKHrh9e/gid0DHVje72iRXkA==" saltValue="ChpkOJrd3TrsbOZTWUQu6w==" spinCount="100000" sheet="1" objects="1" scenarios="1"/>
  <phoneticPr fontId="14"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heetViews>
  <sheetFormatPr baseColWidth="10" defaultColWidth="9.1640625" defaultRowHeight="14"/>
  <cols>
    <col min="1" max="1" width="28.5" style="29" customWidth="1"/>
    <col min="2" max="2" width="5.6640625" style="29" customWidth="1"/>
    <col min="3" max="3" width="7.6640625" style="29" customWidth="1"/>
    <col min="4" max="4" width="14.6640625" style="29" customWidth="1"/>
    <col min="5" max="5" width="12.33203125" style="29" customWidth="1"/>
    <col min="6" max="6" width="12.5" style="29" customWidth="1"/>
    <col min="7" max="7" width="11.1640625" style="29" customWidth="1"/>
    <col min="8" max="8" width="14.83203125" style="29" customWidth="1"/>
    <col min="9" max="11" width="14.6640625" style="29" customWidth="1"/>
    <col min="12" max="13" width="9.1640625" style="29"/>
    <col min="14" max="14" width="20.5" customWidth="1"/>
    <col min="15" max="19" width="8.6640625" customWidth="1"/>
    <col min="20" max="16384" width="9.1640625" style="29"/>
  </cols>
  <sheetData>
    <row r="2" spans="1:21">
      <c r="A2" s="420" t="str">
        <f>'Form 1 Cover'!B20</f>
        <v>Discovery Charter School</v>
      </c>
      <c r="B2" s="49"/>
      <c r="C2" s="49"/>
      <c r="D2" s="49"/>
      <c r="F2" s="235" t="s">
        <v>458</v>
      </c>
      <c r="G2" s="198"/>
      <c r="H2" s="93"/>
      <c r="I2" s="126" t="s">
        <v>91</v>
      </c>
    </row>
    <row r="3" spans="1:21">
      <c r="F3" s="126" t="s">
        <v>93</v>
      </c>
      <c r="I3" s="126" t="s">
        <v>94</v>
      </c>
    </row>
    <row r="4" spans="1:21">
      <c r="A4" s="29" t="s">
        <v>92</v>
      </c>
      <c r="F4" s="126" t="s">
        <v>95</v>
      </c>
      <c r="I4" s="126" t="s">
        <v>96</v>
      </c>
    </row>
    <row r="5" spans="1:21">
      <c r="A5" s="205"/>
      <c r="F5" s="126" t="s">
        <v>97</v>
      </c>
      <c r="I5" s="126" t="s">
        <v>98</v>
      </c>
    </row>
    <row r="6" spans="1:21">
      <c r="F6" s="126" t="s">
        <v>99</v>
      </c>
      <c r="I6" s="126" t="s">
        <v>100</v>
      </c>
    </row>
    <row r="7" spans="1:21">
      <c r="F7" s="126" t="s">
        <v>101</v>
      </c>
      <c r="I7" s="126" t="s">
        <v>102</v>
      </c>
    </row>
    <row r="8" spans="1:21">
      <c r="F8" s="126"/>
    </row>
    <row r="10" spans="1:21" s="215" customFormat="1">
      <c r="A10" s="211" t="s">
        <v>45</v>
      </c>
      <c r="B10" s="211" t="s">
        <v>46</v>
      </c>
      <c r="C10" s="212" t="s">
        <v>47</v>
      </c>
      <c r="D10" s="212" t="s">
        <v>48</v>
      </c>
      <c r="E10" s="212" t="s">
        <v>49</v>
      </c>
      <c r="F10" s="212" t="s">
        <v>50</v>
      </c>
      <c r="G10" s="212" t="s">
        <v>51</v>
      </c>
      <c r="H10" s="213" t="s">
        <v>52</v>
      </c>
      <c r="I10" s="214" t="s">
        <v>103</v>
      </c>
      <c r="J10" s="212" t="s">
        <v>104</v>
      </c>
      <c r="K10" s="211" t="s">
        <v>105</v>
      </c>
      <c r="N10"/>
      <c r="O10"/>
      <c r="P10"/>
      <c r="Q10"/>
      <c r="R10"/>
      <c r="S10"/>
    </row>
    <row r="11" spans="1:21" s="41" customFormat="1">
      <c r="A11" s="39"/>
      <c r="B11" s="39"/>
      <c r="C11" s="40" t="s">
        <v>530</v>
      </c>
      <c r="D11" s="40"/>
      <c r="E11" s="40"/>
      <c r="F11" s="40"/>
      <c r="G11" s="40"/>
      <c r="H11" s="216"/>
      <c r="I11" s="217" t="s">
        <v>106</v>
      </c>
      <c r="J11" s="218"/>
      <c r="K11" s="219" t="s">
        <v>413</v>
      </c>
      <c r="M11" s="216"/>
      <c r="N11"/>
      <c r="O11"/>
      <c r="P11"/>
      <c r="Q11"/>
      <c r="R11"/>
      <c r="S11"/>
      <c r="T11" s="216"/>
      <c r="U11" s="216"/>
    </row>
    <row r="12" spans="1:21" s="215" customFormat="1">
      <c r="A12" s="219"/>
      <c r="B12" s="219"/>
      <c r="C12" s="220" t="s">
        <v>531</v>
      </c>
      <c r="D12" s="220"/>
      <c r="E12" s="220"/>
      <c r="F12" s="220"/>
      <c r="G12" s="220"/>
      <c r="H12" s="221" t="s">
        <v>107</v>
      </c>
      <c r="I12" s="505" t="str">
        <f>"YEAR ENDING "&amp;TEXT('Form 1 Cover'!D139, "MM/DD/YY")</f>
        <v>YEAR ENDING 06/30/23</v>
      </c>
      <c r="J12" s="506"/>
      <c r="K12" s="219"/>
      <c r="L12" s="41"/>
      <c r="M12" s="221"/>
      <c r="N12"/>
      <c r="O12"/>
      <c r="P12"/>
      <c r="Q12"/>
      <c r="R12"/>
      <c r="S12"/>
      <c r="T12" s="221"/>
      <c r="U12" s="221"/>
    </row>
    <row r="13" spans="1:21" s="41" customFormat="1">
      <c r="A13" s="39"/>
      <c r="B13" s="39"/>
      <c r="C13" s="40" t="s">
        <v>532</v>
      </c>
      <c r="D13" s="40" t="s">
        <v>108</v>
      </c>
      <c r="E13" s="40"/>
      <c r="F13" s="40" t="s">
        <v>109</v>
      </c>
      <c r="G13" s="40"/>
      <c r="H13" s="216" t="s">
        <v>110</v>
      </c>
      <c r="I13" s="5"/>
      <c r="J13" s="6"/>
      <c r="K13" s="219"/>
      <c r="M13" s="216"/>
      <c r="N13"/>
      <c r="O13"/>
      <c r="P13"/>
      <c r="Q13"/>
      <c r="R13"/>
      <c r="S13"/>
      <c r="T13" s="216"/>
      <c r="U13" s="216"/>
    </row>
    <row r="14" spans="1:21" s="41" customFormat="1">
      <c r="A14" s="39" t="s">
        <v>398</v>
      </c>
      <c r="B14" s="39" t="s">
        <v>414</v>
      </c>
      <c r="C14" s="40" t="s">
        <v>531</v>
      </c>
      <c r="D14" s="40" t="s">
        <v>111</v>
      </c>
      <c r="E14" s="40" t="s">
        <v>112</v>
      </c>
      <c r="F14" s="40" t="s">
        <v>113</v>
      </c>
      <c r="G14" s="40" t="s">
        <v>114</v>
      </c>
      <c r="H14" s="216" t="s">
        <v>115</v>
      </c>
      <c r="I14" s="24" t="s">
        <v>415</v>
      </c>
      <c r="J14" s="23" t="s">
        <v>116</v>
      </c>
      <c r="K14" s="25">
        <f>'Form 1 Cover'!D139</f>
        <v>45107</v>
      </c>
      <c r="M14" s="216"/>
      <c r="N14"/>
      <c r="O14"/>
      <c r="P14"/>
      <c r="Q14"/>
      <c r="R14"/>
      <c r="S14"/>
      <c r="T14" s="216"/>
      <c r="U14" s="216"/>
    </row>
    <row r="15" spans="1:21" s="41" customFormat="1" ht="15" thickBot="1">
      <c r="A15" s="222" t="s">
        <v>117</v>
      </c>
      <c r="B15" s="224" t="s">
        <v>118</v>
      </c>
      <c r="C15" s="223" t="s">
        <v>119</v>
      </c>
      <c r="D15" s="223" t="s">
        <v>120</v>
      </c>
      <c r="E15" s="223" t="s">
        <v>121</v>
      </c>
      <c r="F15" s="223" t="s">
        <v>121</v>
      </c>
      <c r="G15" s="224" t="s">
        <v>122</v>
      </c>
      <c r="H15" s="22">
        <f>'Form 1 Cover'!D143</f>
        <v>44743</v>
      </c>
      <c r="I15" s="225" t="s">
        <v>123</v>
      </c>
      <c r="J15" s="226" t="s">
        <v>123</v>
      </c>
      <c r="K15" s="225" t="s">
        <v>124</v>
      </c>
      <c r="M15" s="216"/>
      <c r="N15"/>
      <c r="O15"/>
      <c r="P15"/>
      <c r="Q15"/>
      <c r="R15"/>
      <c r="S15"/>
      <c r="T15" s="216"/>
      <c r="U15" s="216"/>
    </row>
    <row r="16" spans="1:21" ht="27" customHeight="1">
      <c r="A16" s="435" t="s">
        <v>125</v>
      </c>
      <c r="B16" s="227"/>
      <c r="C16" s="227"/>
      <c r="D16" s="164"/>
      <c r="E16" s="228"/>
      <c r="F16" s="228"/>
      <c r="G16" s="229"/>
      <c r="H16" s="230"/>
      <c r="I16" s="91"/>
      <c r="J16" s="91"/>
      <c r="K16" s="91"/>
      <c r="M16" s="49"/>
      <c r="T16" s="49"/>
      <c r="U16" s="49"/>
    </row>
    <row r="17" spans="1:21" ht="14" customHeight="1">
      <c r="A17" s="429" t="s">
        <v>712</v>
      </c>
      <c r="B17" s="430">
        <v>7</v>
      </c>
      <c r="C17" s="430">
        <f>30*12</f>
        <v>360</v>
      </c>
      <c r="D17" s="431"/>
      <c r="E17" s="432"/>
      <c r="F17" s="432"/>
      <c r="G17" s="433"/>
      <c r="H17" s="434">
        <f>'[1]Financial Position'!$N$22</f>
        <v>6474786.0999999996</v>
      </c>
      <c r="I17" s="434">
        <f>SUM('[1]Hillpointe Detail'!$AC$125:$AN$125)+SUM('[1]Hillpointe Detail'!$AC$163:$AN$163)</f>
        <v>789209.06</v>
      </c>
      <c r="J17" s="434">
        <v>-148542.14000000001</v>
      </c>
      <c r="K17" s="313">
        <f t="shared" ref="K17:K31" si="0">I17+J17</f>
        <v>640666.92000000004</v>
      </c>
      <c r="M17" s="49"/>
      <c r="T17" s="49"/>
      <c r="U17" s="49"/>
    </row>
    <row r="18" spans="1:21" ht="14" customHeight="1">
      <c r="A18" s="429"/>
      <c r="B18" s="430"/>
      <c r="C18" s="430"/>
      <c r="D18" s="431"/>
      <c r="E18" s="432"/>
      <c r="F18" s="432"/>
      <c r="G18" s="433"/>
      <c r="H18" s="434"/>
      <c r="I18" s="434"/>
      <c r="J18" s="434"/>
      <c r="K18" s="313">
        <f t="shared" si="0"/>
        <v>0</v>
      </c>
      <c r="M18" s="49"/>
      <c r="T18" s="49"/>
      <c r="U18" s="49"/>
    </row>
    <row r="19" spans="1:21" ht="14" customHeight="1">
      <c r="A19" s="429"/>
      <c r="B19" s="430"/>
      <c r="C19" s="430"/>
      <c r="D19" s="431"/>
      <c r="E19" s="432"/>
      <c r="F19" s="432"/>
      <c r="G19" s="433"/>
      <c r="H19" s="434"/>
      <c r="I19" s="434"/>
      <c r="J19" s="434"/>
      <c r="K19" s="313">
        <f t="shared" si="0"/>
        <v>0</v>
      </c>
      <c r="M19" s="49"/>
      <c r="T19" s="49"/>
      <c r="U19" s="49"/>
    </row>
    <row r="20" spans="1:21" ht="14" customHeight="1">
      <c r="A20" s="429"/>
      <c r="B20" s="430"/>
      <c r="C20" s="430"/>
      <c r="D20" s="431"/>
      <c r="E20" s="432"/>
      <c r="F20" s="432"/>
      <c r="G20" s="433"/>
      <c r="H20" s="434"/>
      <c r="I20" s="434"/>
      <c r="J20" s="434"/>
      <c r="K20" s="313">
        <f t="shared" si="0"/>
        <v>0</v>
      </c>
      <c r="M20" s="49"/>
      <c r="T20" s="49"/>
      <c r="U20" s="49"/>
    </row>
    <row r="21" spans="1:21" ht="14" customHeight="1">
      <c r="A21" s="429"/>
      <c r="B21" s="430"/>
      <c r="C21" s="430"/>
      <c r="D21" s="431"/>
      <c r="E21" s="432"/>
      <c r="F21" s="432"/>
      <c r="G21" s="433"/>
      <c r="H21" s="434"/>
      <c r="I21" s="434"/>
      <c r="J21" s="434"/>
      <c r="K21" s="313">
        <f t="shared" si="0"/>
        <v>0</v>
      </c>
      <c r="M21" s="49"/>
      <c r="T21" s="49"/>
      <c r="U21" s="49"/>
    </row>
    <row r="22" spans="1:21" ht="14" customHeight="1">
      <c r="A22" s="429"/>
      <c r="B22" s="430"/>
      <c r="C22" s="430"/>
      <c r="D22" s="431"/>
      <c r="E22" s="432"/>
      <c r="F22" s="432"/>
      <c r="G22" s="433"/>
      <c r="H22" s="434"/>
      <c r="I22" s="434"/>
      <c r="J22" s="434"/>
      <c r="K22" s="313">
        <f t="shared" si="0"/>
        <v>0</v>
      </c>
      <c r="M22" s="49"/>
      <c r="T22" s="49"/>
      <c r="U22" s="49"/>
    </row>
    <row r="23" spans="1:21" ht="14" customHeight="1">
      <c r="A23" s="429"/>
      <c r="B23" s="430"/>
      <c r="C23" s="430"/>
      <c r="D23" s="431"/>
      <c r="E23" s="432"/>
      <c r="F23" s="432"/>
      <c r="G23" s="433"/>
      <c r="H23" s="434"/>
      <c r="I23" s="434"/>
      <c r="J23" s="434"/>
      <c r="K23" s="313">
        <f t="shared" si="0"/>
        <v>0</v>
      </c>
      <c r="M23" s="49"/>
      <c r="T23" s="49"/>
      <c r="U23" s="49"/>
    </row>
    <row r="24" spans="1:21" ht="14" customHeight="1">
      <c r="A24" s="429"/>
      <c r="B24" s="430"/>
      <c r="C24" s="430"/>
      <c r="D24" s="431"/>
      <c r="E24" s="432"/>
      <c r="F24" s="432"/>
      <c r="G24" s="433"/>
      <c r="H24" s="434"/>
      <c r="I24" s="434"/>
      <c r="J24" s="434"/>
      <c r="K24" s="313">
        <f t="shared" si="0"/>
        <v>0</v>
      </c>
      <c r="M24" s="49"/>
      <c r="T24" s="49"/>
      <c r="U24" s="49"/>
    </row>
    <row r="25" spans="1:21" ht="14" customHeight="1">
      <c r="A25" s="429"/>
      <c r="B25" s="430"/>
      <c r="C25" s="430"/>
      <c r="D25" s="431"/>
      <c r="E25" s="432"/>
      <c r="F25" s="432"/>
      <c r="G25" s="433"/>
      <c r="H25" s="434"/>
      <c r="I25" s="434"/>
      <c r="J25" s="434"/>
      <c r="K25" s="313">
        <f t="shared" si="0"/>
        <v>0</v>
      </c>
      <c r="M25" s="49"/>
      <c r="T25" s="49"/>
      <c r="U25" s="49"/>
    </row>
    <row r="26" spans="1:21" ht="14" customHeight="1">
      <c r="A26" s="429"/>
      <c r="B26" s="430"/>
      <c r="C26" s="430"/>
      <c r="D26" s="431"/>
      <c r="E26" s="432"/>
      <c r="F26" s="432"/>
      <c r="G26" s="433"/>
      <c r="H26" s="434"/>
      <c r="I26" s="434"/>
      <c r="J26" s="434"/>
      <c r="K26" s="313">
        <f t="shared" si="0"/>
        <v>0</v>
      </c>
      <c r="M26" s="49"/>
      <c r="T26" s="49"/>
      <c r="U26" s="49"/>
    </row>
    <row r="27" spans="1:21" ht="14" customHeight="1">
      <c r="A27" s="429"/>
      <c r="B27" s="430"/>
      <c r="C27" s="430"/>
      <c r="D27" s="431"/>
      <c r="E27" s="432"/>
      <c r="F27" s="432"/>
      <c r="G27" s="433"/>
      <c r="H27" s="434"/>
      <c r="I27" s="434"/>
      <c r="J27" s="434"/>
      <c r="K27" s="313">
        <f t="shared" si="0"/>
        <v>0</v>
      </c>
      <c r="M27" s="49"/>
      <c r="T27" s="49"/>
      <c r="U27" s="49"/>
    </row>
    <row r="28" spans="1:21" ht="14" customHeight="1">
      <c r="A28" s="429"/>
      <c r="B28" s="430"/>
      <c r="C28" s="430"/>
      <c r="D28" s="431"/>
      <c r="E28" s="432"/>
      <c r="F28" s="432"/>
      <c r="G28" s="433"/>
      <c r="H28" s="434"/>
      <c r="I28" s="434"/>
      <c r="J28" s="434"/>
      <c r="K28" s="313">
        <f t="shared" si="0"/>
        <v>0</v>
      </c>
      <c r="M28" s="49"/>
      <c r="T28" s="49"/>
      <c r="U28" s="49"/>
    </row>
    <row r="29" spans="1:21" ht="14" customHeight="1">
      <c r="A29" s="429"/>
      <c r="B29" s="430"/>
      <c r="C29" s="430"/>
      <c r="D29" s="431"/>
      <c r="E29" s="432"/>
      <c r="F29" s="432"/>
      <c r="G29" s="433"/>
      <c r="H29" s="434"/>
      <c r="I29" s="434"/>
      <c r="J29" s="434"/>
      <c r="K29" s="313">
        <f t="shared" si="0"/>
        <v>0</v>
      </c>
      <c r="M29" s="49"/>
      <c r="T29" s="49"/>
      <c r="U29" s="49"/>
    </row>
    <row r="30" spans="1:21" ht="14" customHeight="1">
      <c r="A30" s="429"/>
      <c r="B30" s="430"/>
      <c r="C30" s="430"/>
      <c r="D30" s="431"/>
      <c r="E30" s="432"/>
      <c r="F30" s="432"/>
      <c r="G30" s="433"/>
      <c r="H30" s="434"/>
      <c r="I30" s="434"/>
      <c r="J30" s="434"/>
      <c r="K30" s="313">
        <f t="shared" si="0"/>
        <v>0</v>
      </c>
      <c r="M30" s="49"/>
      <c r="T30" s="49"/>
      <c r="U30" s="49"/>
    </row>
    <row r="31" spans="1:21" ht="14" customHeight="1">
      <c r="A31" s="429"/>
      <c r="B31" s="430"/>
      <c r="C31" s="430"/>
      <c r="D31" s="431"/>
      <c r="E31" s="432"/>
      <c r="F31" s="432"/>
      <c r="G31" s="433"/>
      <c r="H31" s="434"/>
      <c r="I31" s="434"/>
      <c r="J31" s="434"/>
      <c r="K31" s="313">
        <f t="shared" si="0"/>
        <v>0</v>
      </c>
      <c r="M31" s="49"/>
      <c r="T31" s="49"/>
      <c r="U31" s="49"/>
    </row>
    <row r="32" spans="1:21" s="27" customFormat="1" ht="25.5" customHeight="1">
      <c r="A32" s="231" t="s">
        <v>126</v>
      </c>
      <c r="B32" s="231"/>
      <c r="C32" s="231"/>
      <c r="D32" s="314">
        <f>SUM(D17:D31)</f>
        <v>0</v>
      </c>
      <c r="E32" s="231"/>
      <c r="F32" s="231"/>
      <c r="G32" s="231"/>
      <c r="H32" s="315">
        <f>SUM(H16:H31)</f>
        <v>6474786.0999999996</v>
      </c>
      <c r="I32" s="315">
        <f>SUM(I17:I31)</f>
        <v>789209.06</v>
      </c>
      <c r="J32" s="315">
        <f>SUM(J17:J31)</f>
        <v>-148542.14000000001</v>
      </c>
      <c r="K32" s="315">
        <f>SUM(K17:K31)</f>
        <v>640666.92000000004</v>
      </c>
      <c r="M32" s="188"/>
      <c r="N32"/>
      <c r="O32"/>
      <c r="P32"/>
      <c r="Q32"/>
      <c r="R32"/>
      <c r="S32"/>
      <c r="T32" s="188"/>
      <c r="U32" s="188"/>
    </row>
    <row r="33" spans="1:21" s="27" customFormat="1" ht="25.5" customHeight="1">
      <c r="A33" s="233"/>
      <c r="B33" s="233"/>
      <c r="C33" s="233"/>
      <c r="D33" s="234"/>
      <c r="E33" s="233"/>
      <c r="F33" s="233"/>
      <c r="G33" s="233"/>
      <c r="H33" s="234"/>
      <c r="I33" s="234"/>
      <c r="J33" s="234"/>
      <c r="K33" s="234"/>
      <c r="M33" s="188"/>
      <c r="N33"/>
      <c r="O33"/>
      <c r="P33"/>
      <c r="Q33"/>
      <c r="R33"/>
      <c r="S33"/>
      <c r="T33" s="188"/>
      <c r="U33" s="188"/>
    </row>
    <row r="34" spans="1:21" ht="21.75" customHeight="1">
      <c r="A34" s="420" t="str">
        <f>'Form 1 Cover'!B20</f>
        <v>Discovery Charter School</v>
      </c>
      <c r="D34" s="49"/>
      <c r="H34" s="216"/>
      <c r="J34" s="3" t="str">
        <f>"Budget Fiscal Year "&amp;TEXT('Form 1 Cover'!$D$137, "mm/dd/yy")</f>
        <v>Budget Fiscal Year 2022-2023</v>
      </c>
      <c r="K34" s="216"/>
      <c r="M34" s="49"/>
      <c r="T34" s="49"/>
      <c r="U34" s="49"/>
    </row>
    <row r="35" spans="1:21">
      <c r="A35" s="49"/>
      <c r="M35" s="49"/>
      <c r="T35" s="49"/>
      <c r="U35" s="49"/>
    </row>
    <row r="36" spans="1:21">
      <c r="A36" s="232" t="s">
        <v>488</v>
      </c>
      <c r="K36" s="2">
        <f>'Form 1 Cover'!$D$146</f>
        <v>44607</v>
      </c>
      <c r="M36" s="49"/>
      <c r="T36" s="49"/>
      <c r="U36" s="49"/>
    </row>
    <row r="37" spans="1:21">
      <c r="M37" s="49"/>
      <c r="T37" s="49"/>
      <c r="U37" s="49"/>
    </row>
    <row r="38" spans="1:21">
      <c r="M38" s="49"/>
      <c r="T38" s="49"/>
      <c r="U38" s="49"/>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heetViews>
  <sheetFormatPr baseColWidth="10" defaultColWidth="9.1640625" defaultRowHeight="14"/>
  <cols>
    <col min="1" max="1" width="3.5" style="29" customWidth="1"/>
    <col min="2" max="2" width="31.1640625" style="29" customWidth="1"/>
    <col min="3" max="3" width="11.1640625" style="29" customWidth="1"/>
    <col min="4" max="7" width="21.6640625" style="29" customWidth="1"/>
    <col min="8" max="16384" width="9.1640625" style="29"/>
  </cols>
  <sheetData>
    <row r="1" spans="1:7">
      <c r="B1" s="27" t="str">
        <f>'Form 1 Cover'!B20</f>
        <v>Discovery Charter School</v>
      </c>
    </row>
    <row r="3" spans="1:7" ht="19.5" customHeight="1">
      <c r="A3" s="27"/>
      <c r="B3" s="27"/>
      <c r="C3" s="28"/>
      <c r="D3" s="520" t="s">
        <v>475</v>
      </c>
      <c r="E3" s="521"/>
      <c r="F3" s="520" t="s">
        <v>476</v>
      </c>
      <c r="G3" s="521"/>
    </row>
    <row r="4" spans="1:7" ht="16">
      <c r="A4" s="30" t="s">
        <v>63</v>
      </c>
      <c r="B4" s="27"/>
      <c r="C4" s="31" t="str">
        <f>'Form 1 Cover'!D137</f>
        <v>2022-2023</v>
      </c>
      <c r="D4" s="32" t="s">
        <v>64</v>
      </c>
      <c r="E4" s="33" t="s">
        <v>46</v>
      </c>
      <c r="F4" s="33" t="s">
        <v>47</v>
      </c>
      <c r="G4" s="33" t="s">
        <v>48</v>
      </c>
    </row>
    <row r="5" spans="1:7">
      <c r="A5" s="34"/>
      <c r="B5" s="34"/>
      <c r="C5" s="35"/>
      <c r="D5" s="36" t="s">
        <v>65</v>
      </c>
      <c r="E5" s="37" t="s">
        <v>66</v>
      </c>
      <c r="F5" s="37" t="s">
        <v>65</v>
      </c>
      <c r="G5" s="37" t="s">
        <v>66</v>
      </c>
    </row>
    <row r="6" spans="1:7">
      <c r="A6" s="355"/>
      <c r="B6" s="71"/>
      <c r="C6" s="316" t="s">
        <v>399</v>
      </c>
      <c r="D6" s="39" t="s">
        <v>467</v>
      </c>
      <c r="E6" s="40" t="s">
        <v>468</v>
      </c>
      <c r="F6" s="40" t="s">
        <v>469</v>
      </c>
      <c r="G6" s="40" t="s">
        <v>470</v>
      </c>
    </row>
    <row r="7" spans="1:7">
      <c r="A7" s="365" t="s">
        <v>67</v>
      </c>
      <c r="B7" s="42"/>
      <c r="C7" s="37" t="s">
        <v>68</v>
      </c>
      <c r="D7" s="227" t="s">
        <v>460</v>
      </c>
      <c r="E7" s="35" t="s">
        <v>465</v>
      </c>
      <c r="F7" s="35" t="s">
        <v>466</v>
      </c>
      <c r="G7" s="35" t="s">
        <v>471</v>
      </c>
    </row>
    <row r="8" spans="1:7">
      <c r="A8" s="366"/>
      <c r="B8" s="236" t="s">
        <v>463</v>
      </c>
      <c r="C8" s="237" t="s">
        <v>472</v>
      </c>
      <c r="D8" s="436"/>
      <c r="E8" s="436"/>
      <c r="F8" s="257"/>
      <c r="G8" s="257"/>
    </row>
    <row r="9" spans="1:7">
      <c r="A9" s="366"/>
      <c r="B9" s="236" t="s">
        <v>461</v>
      </c>
      <c r="C9" s="237" t="s">
        <v>473</v>
      </c>
      <c r="D9" s="436"/>
      <c r="E9" s="436"/>
      <c r="F9" s="257"/>
      <c r="G9" s="257"/>
    </row>
    <row r="10" spans="1:7">
      <c r="A10" s="366"/>
      <c r="B10" s="236" t="s">
        <v>462</v>
      </c>
      <c r="C10" s="237" t="s">
        <v>472</v>
      </c>
      <c r="D10" s="257"/>
      <c r="E10" s="257"/>
      <c r="F10" s="436"/>
      <c r="G10" s="436"/>
    </row>
    <row r="11" spans="1:7">
      <c r="A11" s="366"/>
      <c r="B11" s="236" t="s">
        <v>464</v>
      </c>
      <c r="C11" s="237" t="s">
        <v>474</v>
      </c>
      <c r="D11" s="257"/>
      <c r="E11" s="257"/>
      <c r="F11" s="436"/>
      <c r="G11" s="436"/>
    </row>
    <row r="12" spans="1:7" ht="15" thickBot="1">
      <c r="A12" s="367"/>
      <c r="B12" s="44"/>
      <c r="C12" s="44"/>
      <c r="D12" s="258">
        <f>SUM(D8:D11)</f>
        <v>0</v>
      </c>
      <c r="E12" s="258">
        <f>SUM(E8:E11)</f>
        <v>0</v>
      </c>
      <c r="F12" s="258">
        <f>SUM(F8:F11)</f>
        <v>0</v>
      </c>
      <c r="G12" s="258">
        <f>SUM(G8:G11)</f>
        <v>0</v>
      </c>
    </row>
    <row r="13" spans="1:7">
      <c r="A13" s="49"/>
      <c r="B13" s="186"/>
      <c r="C13" s="186"/>
      <c r="D13" s="186"/>
      <c r="E13" s="186"/>
      <c r="F13" s="186"/>
      <c r="G13" s="186"/>
    </row>
    <row r="14" spans="1:7">
      <c r="A14" s="49"/>
      <c r="B14" s="49"/>
      <c r="C14" s="49"/>
      <c r="D14" s="520" t="s">
        <v>477</v>
      </c>
      <c r="E14" s="521"/>
      <c r="F14" s="520" t="s">
        <v>478</v>
      </c>
      <c r="G14" s="521"/>
    </row>
    <row r="15" spans="1:7" ht="28.5" customHeight="1">
      <c r="A15" s="368" t="s">
        <v>69</v>
      </c>
      <c r="B15" s="93"/>
      <c r="C15" s="369" t="s">
        <v>459</v>
      </c>
      <c r="D15" s="136">
        <v>561</v>
      </c>
      <c r="E15" s="42">
        <v>511</v>
      </c>
      <c r="F15" s="190">
        <v>562</v>
      </c>
      <c r="G15" s="42">
        <v>512</v>
      </c>
    </row>
    <row r="16" spans="1:7">
      <c r="A16" s="248"/>
      <c r="B16" s="42" t="s">
        <v>70</v>
      </c>
      <c r="C16" s="106"/>
      <c r="D16" s="437"/>
      <c r="E16" s="438"/>
      <c r="F16" s="437"/>
      <c r="G16" s="438"/>
    </row>
    <row r="17" spans="1:11">
      <c r="A17" s="248"/>
      <c r="B17" s="42"/>
      <c r="C17" s="106"/>
      <c r="D17" s="437"/>
      <c r="E17" s="438"/>
      <c r="F17" s="437"/>
      <c r="G17" s="438"/>
    </row>
    <row r="18" spans="1:11">
      <c r="A18" s="248"/>
      <c r="B18" s="42" t="s">
        <v>71</v>
      </c>
      <c r="C18" s="106"/>
      <c r="D18" s="437"/>
      <c r="E18" s="438"/>
      <c r="F18" s="437"/>
      <c r="G18" s="438"/>
    </row>
    <row r="19" spans="1:11">
      <c r="A19" s="248"/>
      <c r="B19" s="42"/>
      <c r="C19" s="106"/>
      <c r="D19" s="437"/>
      <c r="E19" s="438"/>
      <c r="F19" s="437"/>
      <c r="G19" s="438"/>
    </row>
    <row r="20" spans="1:11">
      <c r="A20" s="248"/>
      <c r="B20" s="42" t="s">
        <v>72</v>
      </c>
      <c r="C20" s="106"/>
      <c r="D20" s="437"/>
      <c r="E20" s="438"/>
      <c r="F20" s="437"/>
      <c r="G20" s="438"/>
    </row>
    <row r="21" spans="1:11">
      <c r="A21" s="248"/>
      <c r="B21" s="42"/>
      <c r="C21" s="106"/>
      <c r="D21" s="437"/>
      <c r="E21" s="438"/>
      <c r="F21" s="437"/>
      <c r="G21" s="438"/>
    </row>
    <row r="22" spans="1:11">
      <c r="A22" s="248"/>
      <c r="B22" s="42" t="s">
        <v>73</v>
      </c>
      <c r="C22" s="106"/>
      <c r="D22" s="437"/>
      <c r="E22" s="438"/>
      <c r="F22" s="437"/>
      <c r="G22" s="438"/>
    </row>
    <row r="23" spans="1:11">
      <c r="A23" s="248"/>
      <c r="B23" s="42"/>
      <c r="C23" s="106"/>
      <c r="D23" s="437"/>
      <c r="E23" s="438"/>
      <c r="F23" s="437"/>
      <c r="G23" s="438"/>
    </row>
    <row r="24" spans="1:11">
      <c r="A24" s="248"/>
      <c r="B24" s="42" t="s">
        <v>74</v>
      </c>
      <c r="C24" s="106"/>
      <c r="D24" s="437"/>
      <c r="E24" s="438"/>
      <c r="F24" s="437"/>
      <c r="G24" s="438"/>
    </row>
    <row r="25" spans="1:11">
      <c r="A25" s="248"/>
      <c r="B25" s="42"/>
      <c r="C25" s="106"/>
      <c r="D25" s="437"/>
      <c r="E25" s="438"/>
      <c r="F25" s="437"/>
      <c r="G25" s="438"/>
    </row>
    <row r="26" spans="1:11">
      <c r="A26" s="248"/>
      <c r="B26" s="42" t="s">
        <v>75</v>
      </c>
      <c r="C26" s="106"/>
      <c r="D26" s="437"/>
      <c r="E26" s="438"/>
      <c r="F26" s="437"/>
      <c r="G26" s="438"/>
    </row>
    <row r="27" spans="1:11" ht="26.25" customHeight="1" thickBot="1">
      <c r="A27" s="370"/>
      <c r="B27" s="47" t="s">
        <v>76</v>
      </c>
      <c r="C27" s="48"/>
      <c r="D27" s="259">
        <f>SUM(D16:D26)</f>
        <v>0</v>
      </c>
      <c r="E27" s="259">
        <f>SUM(E16:E26)</f>
        <v>0</v>
      </c>
      <c r="F27" s="259">
        <f>SUM(F16:F26)</f>
        <v>0</v>
      </c>
      <c r="G27" s="259">
        <f>SUM(G16:G26)</f>
        <v>0</v>
      </c>
    </row>
    <row r="28" spans="1:11" ht="15" thickTop="1">
      <c r="K28" s="49"/>
    </row>
    <row r="29" spans="1:11">
      <c r="A29" s="109" t="str">
        <f>'Form 1 Cover'!B20</f>
        <v>Discovery Charter School</v>
      </c>
      <c r="D29" s="49"/>
      <c r="F29" s="3" t="str">
        <f>"Budget Fiscal Year "&amp;TEXT('Form 1 Cover'!$D$137, "mm/dd/yy")</f>
        <v>Budget Fiscal Year 2022-2023</v>
      </c>
      <c r="H29" s="216"/>
      <c r="J29" s="3"/>
      <c r="K29" s="216"/>
    </row>
    <row r="30" spans="1:11">
      <c r="F30" s="1"/>
    </row>
    <row r="31" spans="1:11" ht="15" customHeight="1"/>
    <row r="33" spans="1:7">
      <c r="A33" s="29" t="s">
        <v>489</v>
      </c>
      <c r="G33" s="21">
        <f>'Form 1 Cover'!$D$146</f>
        <v>44607</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Tricia Wilbourne</cp:lastModifiedBy>
  <cp:lastPrinted>2022-02-15T17:43:52Z</cp:lastPrinted>
  <dcterms:created xsi:type="dcterms:W3CDTF">2002-08-27T23:27:13Z</dcterms:created>
  <dcterms:modified xsi:type="dcterms:W3CDTF">2022-06-16T19:31:31Z</dcterms:modified>
</cp:coreProperties>
</file>